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'공장창고매물'!$A$1:$Q$1076</definedName>
    <definedName name="_xlnm._FilterDatabase" localSheetId="1" hidden="1">'주택매물'!$A$1:$P$634</definedName>
    <definedName name="_xlnm._FilterDatabase" localSheetId="2" hidden="1">'토지매물'!$A$1:$M$4951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1">
    <numFmt numFmtId="164" formatCode="#,##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2" max="12"/>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연면적</t>
        </is>
      </c>
      <c r="J1" s="2" t="inlineStr">
        <is>
          <t>해당층</t>
        </is>
      </c>
      <c r="K1" s="2" t="inlineStr">
        <is>
          <t>총층</t>
        </is>
      </c>
      <c r="L1" s="2" t="inlineStr">
        <is>
          <t>매물특징</t>
        </is>
      </c>
      <c r="M1" s="2" t="inlineStr">
        <is>
          <t>매물보기</t>
        </is>
      </c>
      <c r="N1" s="2" t="inlineStr">
        <is>
          <t>지도보기</t>
        </is>
      </c>
      <c r="O1" s="2" t="inlineStr">
        <is>
          <t>토지이용계획</t>
        </is>
      </c>
      <c r="P1" s="2" t="inlineStr">
        <is>
          <t>업소</t>
        </is>
      </c>
      <c r="Q1" s="2" t="inlineStr">
        <is>
          <t>중개사</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200</v>
      </c>
      <c r="J2" s="3" t="inlineStr">
        <is>
          <t>1</t>
        </is>
      </c>
      <c r="K2" s="3" t="inlineStr">
        <is>
          <t>-</t>
        </is>
      </c>
      <c r="L2" s="3" t="inlineStr">
        <is>
          <t>단순 창고 즉시 사용가능</t>
        </is>
      </c>
      <c r="M2" s="5">
        <f>HYPERLINK("https://fin.land.naver.com/articles/2645522832", "매물Link")</f>
        <v/>
      </c>
      <c r="N2" s="5">
        <f>HYPERLINK("https://map.naver.com/p/search/금남면 감성리 264-1", "지도Link")</f>
        <v/>
      </c>
      <c r="O2" s="5">
        <f>HYPERLINK("http://www.eum.go.kr/web/ar/lu/luLandDet.jsp?pnu=3611034023102640001&amp;isNoScr=script&amp;mode=search", "토지이음")</f>
        <v/>
      </c>
      <c r="P2" s="3" t="inlineStr">
        <is>
          <t>탑</t>
        </is>
      </c>
      <c r="Q2" s="3" t="n">
        <v>1</v>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200</v>
      </c>
      <c r="J3" s="3" t="inlineStr">
        <is>
          <t>1</t>
        </is>
      </c>
      <c r="K3" s="3" t="inlineStr">
        <is>
          <t>-</t>
        </is>
      </c>
      <c r="L3" s="3" t="inlineStr">
        <is>
          <t>단순창고용 즉시입주 차량진입가능 남세종ic 인접</t>
        </is>
      </c>
      <c r="M3" s="5">
        <f>HYPERLINK("https://fin.land.naver.com/articles/2646920336", "매물Link")</f>
        <v/>
      </c>
      <c r="N3" s="5">
        <f>HYPERLINK("https://map.naver.com/p/search/금남면 감성리 264-1", "지도Link")</f>
        <v/>
      </c>
      <c r="O3" s="5">
        <f>HYPERLINK("http://www.eum.go.kr/web/ar/lu/luLandDet.jsp?pnu=3611034023102640001&amp;isNoScr=script&amp;mode=search", "토지이음")</f>
        <v/>
      </c>
      <c r="P3" s="3" t="inlineStr">
        <is>
          <t>호반</t>
        </is>
      </c>
      <c r="Q3" s="3" t="n">
        <v>1</v>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343</v>
      </c>
      <c r="J4" s="3" t="inlineStr">
        <is>
          <t>2</t>
        </is>
      </c>
      <c r="K4" s="3" t="inlineStr">
        <is>
          <t>-</t>
        </is>
      </c>
      <c r="L4" s="3" t="inlineStr">
        <is>
          <t>저렴한금액 세종시창고 서둘러서 구경해보세요</t>
        </is>
      </c>
      <c r="M4" s="5">
        <f>HYPERLINK("https://fin.land.naver.com/articles/2648322182", "매물Link")</f>
        <v/>
      </c>
      <c r="N4" s="5">
        <f>HYPERLINK("https://map.naver.com/p/search/금남면 국곡리 108-2", "지도Link")</f>
        <v/>
      </c>
      <c r="O4" s="5">
        <f>HYPERLINK("http://www.eum.go.kr/web/ar/lu/luLandDet.jsp?pnu=3611034044101080002&amp;isNoScr=script&amp;mode=search", "토지이음")</f>
        <v/>
      </c>
      <c r="P4" s="3" t="inlineStr">
        <is>
          <t>바로e</t>
        </is>
      </c>
      <c r="Q4" s="3" t="n">
        <v>1</v>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196</v>
      </c>
      <c r="J5" s="3" t="inlineStr">
        <is>
          <t>1</t>
        </is>
      </c>
      <c r="K5" s="3" t="inlineStr">
        <is>
          <t>-</t>
        </is>
      </c>
      <c r="L5" s="3" t="inlineStr">
        <is>
          <t>사진0, 대전과 인접한 세종시 금남면 저렴한 창고 임대</t>
        </is>
      </c>
      <c r="M5" s="5">
        <f>HYPERLINK("https://fin.land.naver.com/articles/2649468907", "매물Link")</f>
        <v/>
      </c>
      <c r="N5" s="5">
        <f>HYPERLINK("https://map.naver.com/p/search/금남면 국곡리 108-2", "지도Link")</f>
        <v/>
      </c>
      <c r="O5" s="5">
        <f>HYPERLINK("http://www.eum.go.kr/web/ar/lu/luLandDet.jsp?pnu=3611034044101080002&amp;isNoScr=script&amp;mode=search", "토지이음")</f>
        <v/>
      </c>
      <c r="P5" s="3" t="inlineStr">
        <is>
          <t>비전</t>
        </is>
      </c>
      <c r="Q5" s="3" t="n">
        <v>1</v>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343</v>
      </c>
      <c r="J6" s="3" t="inlineStr">
        <is>
          <t>1</t>
        </is>
      </c>
      <c r="K6" s="3" t="inlineStr">
        <is>
          <t>-</t>
        </is>
      </c>
      <c r="L6" s="3" t="inlineStr">
        <is>
          <t>2층 서비스공간 있는 저렴한 소형창고</t>
        </is>
      </c>
      <c r="M6" s="5">
        <f>HYPERLINK("https://fin.land.naver.com/articles/2645516947", "매물Link")</f>
        <v/>
      </c>
      <c r="N6" s="5">
        <f>HYPERLINK("https://map.naver.com/p/search/금남면 국곡리 108-2", "지도Link")</f>
        <v/>
      </c>
      <c r="O6" s="5">
        <f>HYPERLINK("http://www.eum.go.kr/web/ar/lu/luLandDet.jsp?pnu=3611034044101080002&amp;isNoScr=script&amp;mode=search", "토지이음")</f>
        <v/>
      </c>
      <c r="P6" s="3" t="inlineStr">
        <is>
          <t>탑</t>
        </is>
      </c>
      <c r="Q6" s="3" t="n">
        <v>1</v>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343</v>
      </c>
      <c r="J7" s="3" t="inlineStr">
        <is>
          <t>1</t>
        </is>
      </c>
      <c r="K7" s="3" t="inlineStr">
        <is>
          <t>-</t>
        </is>
      </c>
      <c r="L7" s="3" t="inlineStr">
        <is>
          <t>nan</t>
        </is>
      </c>
      <c r="M7" s="5">
        <f>HYPERLINK("https://fin.land.naver.com/articles/2644809552", "매물Link")</f>
        <v/>
      </c>
      <c r="N7" s="5">
        <f>HYPERLINK("https://map.naver.com/p/search/금남면 국곡리 108-2", "지도Link")</f>
        <v/>
      </c>
      <c r="O7" s="5">
        <f>HYPERLINK("http://www.eum.go.kr/web/ar/lu/luLandDet.jsp?pnu=3611034044101080002&amp;isNoScr=script&amp;mode=search", "토지이음")</f>
        <v/>
      </c>
      <c r="P7" s="3" t="inlineStr">
        <is>
          <t>세종몽땅</t>
        </is>
      </c>
      <c r="Q7" s="3" t="n">
        <v>1</v>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3" t="inlineStr">
        <is>
          <t>1</t>
        </is>
      </c>
      <c r="K8" s="3" t="inlineStr">
        <is>
          <t>-</t>
        </is>
      </c>
      <c r="L8" s="3" t="inlineStr">
        <is>
          <t>남세종ic인근 창고</t>
        </is>
      </c>
      <c r="M8" s="5">
        <f>HYPERLINK("https://fin.land.naver.com/articles/2646668509", "매물Link")</f>
        <v/>
      </c>
      <c r="N8" s="5">
        <f>HYPERLINK("https://map.naver.com/p/search/금남면 국곡리 129-4", "지도Link")</f>
        <v/>
      </c>
      <c r="O8" s="5">
        <f>HYPERLINK("http://www.eum.go.kr/web/ar/lu/luLandDet.jsp?pnu=3611034044101290004&amp;isNoScr=script&amp;mode=search", "토지이음")</f>
        <v/>
      </c>
      <c r="P8" s="3" t="inlineStr">
        <is>
          <t>창고의여왕</t>
        </is>
      </c>
      <c r="Q8" s="3" t="n">
        <v>1</v>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3" t="inlineStr">
        <is>
          <t>1</t>
        </is>
      </c>
      <c r="K9" s="3" t="inlineStr">
        <is>
          <t>-</t>
        </is>
      </c>
      <c r="L9" s="3" t="inlineStr">
        <is>
          <t>마당 독점사용가능한 창고 두동 즉시입주가능</t>
        </is>
      </c>
      <c r="M9" s="5">
        <f>HYPERLINK("https://fin.land.naver.com/articles/2645495453", "매물Link")</f>
        <v/>
      </c>
      <c r="N9" s="5">
        <f>HYPERLINK("https://map.naver.com/p/search/금남면 국곡리 129-4", "지도Link")</f>
        <v/>
      </c>
      <c r="O9" s="5">
        <f>HYPERLINK("http://www.eum.go.kr/web/ar/lu/luLandDet.jsp?pnu=3611034044101290004&amp;isNoScr=script&amp;mode=search", "토지이음")</f>
        <v/>
      </c>
      <c r="P9" s="3" t="inlineStr">
        <is>
          <t>탑</t>
        </is>
      </c>
      <c r="Q9" s="3" t="n">
        <v>1</v>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848</v>
      </c>
      <c r="J10" s="3" t="inlineStr">
        <is>
          <t>1</t>
        </is>
      </c>
      <c r="K10" s="3" t="inlineStr">
        <is>
          <t>-</t>
        </is>
      </c>
      <c r="L10" s="3" t="inlineStr">
        <is>
          <t>세종시근접 공장용지급매,4개의 건축물있음</t>
        </is>
      </c>
      <c r="M10" s="5">
        <f>HYPERLINK("https://fin.land.naver.com/articles/2648674987", "매물Link")</f>
        <v/>
      </c>
      <c r="N10" s="5">
        <f>HYPERLINK("https://map.naver.com/p/search/금남면 대박리 27-1", "지도Link")</f>
        <v/>
      </c>
      <c r="O10" s="5">
        <f>HYPERLINK("http://www.eum.go.kr/web/ar/lu/luLandDet.jsp?pnu=3611034034100270001&amp;isNoScr=script&amp;mode=search", "토지이음")</f>
        <v/>
      </c>
      <c r="P10" s="3" t="inlineStr">
        <is>
          <t>담뜰</t>
        </is>
      </c>
      <c r="Q10" s="3" t="n">
        <v>1</v>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132</v>
      </c>
      <c r="J11" s="3" t="inlineStr">
        <is>
          <t>1</t>
        </is>
      </c>
      <c r="K11" s="3" t="inlineStr">
        <is>
          <t>-</t>
        </is>
      </c>
      <c r="L11" s="3" t="inlineStr">
        <is>
          <t>깔끔 독채 세종가까운 소형창고</t>
        </is>
      </c>
      <c r="M11" s="5">
        <f>HYPERLINK("https://fin.land.naver.com/articles/2645534404", "매물Link")</f>
        <v/>
      </c>
      <c r="N11" s="5">
        <f>HYPERLINK("https://map.naver.com/p/search/금남면 도남리 194-5", "지도Link")</f>
        <v/>
      </c>
      <c r="O11" s="5">
        <f>HYPERLINK("http://www.eum.go.kr/web/ar/lu/luLandDet.jsp?pnu=3611034046101940005&amp;isNoScr=script&amp;mode=search", "토지이음")</f>
        <v/>
      </c>
      <c r="P11" s="3" t="inlineStr">
        <is>
          <t>탑</t>
        </is>
      </c>
      <c r="Q11" s="3" t="n">
        <v>1</v>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261</v>
      </c>
      <c r="J12" s="3" t="inlineStr">
        <is>
          <t>1</t>
        </is>
      </c>
      <c r="K12" s="3" t="inlineStr">
        <is>
          <t>-</t>
        </is>
      </c>
      <c r="L12" s="3" t="inlineStr">
        <is>
          <t>대형차량까지 진입 가능한 창고 매매</t>
        </is>
      </c>
      <c r="M12" s="5">
        <f>HYPERLINK("https://fin.land.naver.com/articles/2644275269", "매물Link")</f>
        <v/>
      </c>
      <c r="N12" s="5">
        <f>HYPERLINK("https://map.naver.com/p/search/금남면 두만리 308-7", "지도Link")</f>
        <v/>
      </c>
      <c r="O12" s="5">
        <f>HYPERLINK("http://www.eum.go.kr/web/ar/lu/luLandDet.jsp?pnu=3611034024103080007&amp;isNoScr=script&amp;mode=search", "토지이음")</f>
        <v/>
      </c>
      <c r="P12" s="3" t="inlineStr">
        <is>
          <t>비전</t>
        </is>
      </c>
      <c r="Q12" s="3" t="n">
        <v>1</v>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284</v>
      </c>
      <c r="J13" s="3" t="inlineStr">
        <is>
          <t>1</t>
        </is>
      </c>
      <c r="K13" s="3" t="inlineStr">
        <is>
          <t>-</t>
        </is>
      </c>
      <c r="L13" s="3" t="inlineStr">
        <is>
          <t>호이스트 이용가능한 공장창고 대형차도 문제없어요</t>
        </is>
      </c>
      <c r="M13" s="5">
        <f>HYPERLINK("https://fin.land.naver.com/articles/2645502347", "매물Link")</f>
        <v/>
      </c>
      <c r="N13" s="5">
        <f>HYPERLINK("https://map.naver.com/p/search/금남면 두만리 537-1", "지도Link")</f>
        <v/>
      </c>
      <c r="O13" s="5">
        <f>HYPERLINK("http://www.eum.go.kr/web/ar/lu/luLandDet.jsp?pnu=3611034024105370001&amp;isNoScr=script&amp;mode=search", "토지이음")</f>
        <v/>
      </c>
      <c r="P13" s="3" t="inlineStr">
        <is>
          <t>탑</t>
        </is>
      </c>
      <c r="Q13" s="3" t="n">
        <v>1</v>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284</v>
      </c>
      <c r="J14" s="3" t="inlineStr">
        <is>
          <t>1</t>
        </is>
      </c>
      <c r="K14" s="3" t="inlineStr">
        <is>
          <t>-</t>
        </is>
      </c>
      <c r="L14" s="3" t="inlineStr">
        <is>
          <t>세종시 금남면 공장용도 창고 임대</t>
        </is>
      </c>
      <c r="M14" s="5">
        <f>HYPERLINK("https://fin.land.naver.com/articles/2646173044", "매물Link")</f>
        <v/>
      </c>
      <c r="N14" s="5">
        <f>HYPERLINK("https://map.naver.com/p/search/금남면 두만리 537-1", "지도Link")</f>
        <v/>
      </c>
      <c r="O14" s="5">
        <f>HYPERLINK("http://www.eum.go.kr/web/ar/lu/luLandDet.jsp?pnu=3611034024105370001&amp;isNoScr=script&amp;mode=search", "토지이음")</f>
        <v/>
      </c>
      <c r="P14" s="3" t="inlineStr">
        <is>
          <t>비전</t>
        </is>
      </c>
      <c r="Q14" s="3" t="n">
        <v>2</v>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284</v>
      </c>
      <c r="J15" s="3" t="inlineStr">
        <is>
          <t>1</t>
        </is>
      </c>
      <c r="K15" s="3" t="inlineStr">
        <is>
          <t>B1</t>
        </is>
      </c>
      <c r="L15" s="3" t="inlineStr">
        <is>
          <t>실내 높이 6미터 호이스트 설치된 공장 임대 다양한 업종 가능</t>
        </is>
      </c>
      <c r="M15" s="5">
        <f>HYPERLINK("https://fin.land.naver.com/articles/2646417337", "매물Link")</f>
        <v/>
      </c>
      <c r="N15" s="5">
        <f>HYPERLINK("https://map.naver.com/p/search/금남면 두만리 537-1", "지도Link")</f>
        <v/>
      </c>
      <c r="O15" s="5">
        <f>HYPERLINK("http://www.eum.go.kr/web/ar/lu/luLandDet.jsp?pnu=3611034024105370001&amp;isNoScr=script&amp;mode=search", "토지이음")</f>
        <v/>
      </c>
      <c r="P15" s="3" t="inlineStr">
        <is>
          <t>도안드림우미린트리쉐이드</t>
        </is>
      </c>
      <c r="Q15" s="3" t="n">
        <v>2</v>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196</v>
      </c>
      <c r="J16" s="3" t="inlineStr">
        <is>
          <t>1</t>
        </is>
      </c>
      <c r="K16" s="3" t="inlineStr">
        <is>
          <t>B1</t>
        </is>
      </c>
      <c r="L16" s="3" t="inlineStr">
        <is>
          <t>봄날｜금남면 영곡리 창고 임대｜즉시입주</t>
        </is>
      </c>
      <c r="M16" s="5">
        <f>HYPERLINK("https://fin.land.naver.com/articles/2649705478", "매물Link")</f>
        <v/>
      </c>
      <c r="N16" s="5">
        <f>HYPERLINK("https://map.naver.com/p/search/금남면 영곡리 112-1", "지도Link")</f>
        <v/>
      </c>
      <c r="O16" s="5">
        <f>HYPERLINK("http://www.eum.go.kr/web/ar/lu/luLandDet.jsp?pnu=3611034041101120001&amp;isNoScr=script&amp;mode=search", "토지이음")</f>
        <v/>
      </c>
      <c r="P16" s="3" t="inlineStr">
        <is>
          <t>봄날</t>
        </is>
      </c>
      <c r="Q16" s="3" t="n">
        <v>3</v>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343</v>
      </c>
      <c r="J17" s="3" t="inlineStr">
        <is>
          <t>1</t>
        </is>
      </c>
      <c r="K17" s="3" t="inlineStr">
        <is>
          <t>B1</t>
        </is>
      </c>
      <c r="L17" s="3" t="inlineStr">
        <is>
          <t>창고2동, 사무실1동, 단독주택1 포함 일괄매도</t>
        </is>
      </c>
      <c r="M17" s="5">
        <f>HYPERLINK("https://fin.land.naver.com/articles/2646198074", "매물Link")</f>
        <v/>
      </c>
      <c r="N17" s="5">
        <f>HYPERLINK("https://map.naver.com/p/search/금남면 영곡리 112-2", "지도Link")</f>
        <v/>
      </c>
      <c r="O17" s="5">
        <f>HYPERLINK("http://www.eum.go.kr/web/ar/lu/luLandDet.jsp?pnu=3611034041101120002&amp;isNoScr=script&amp;mode=search", "토지이음")</f>
        <v/>
      </c>
      <c r="P17" s="3" t="inlineStr">
        <is>
          <t>세종로또</t>
        </is>
      </c>
      <c r="Q17" s="3" t="n">
        <v>1</v>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196</v>
      </c>
      <c r="J18" s="3" t="inlineStr">
        <is>
          <t>1</t>
        </is>
      </c>
      <c r="K18" s="3" t="inlineStr">
        <is>
          <t>-</t>
        </is>
      </c>
      <c r="L18" s="3" t="inlineStr">
        <is>
          <t>nan</t>
        </is>
      </c>
      <c r="M18" s="5">
        <f>HYPERLINK("https://fin.land.naver.com/articles/2645922790", "매물Link")</f>
        <v/>
      </c>
      <c r="N18" s="5">
        <f>HYPERLINK("https://map.naver.com/p/search/금남면 영곡리 121-1", "지도Link")</f>
        <v/>
      </c>
      <c r="O18" s="5">
        <f>HYPERLINK("http://www.eum.go.kr/web/ar/lu/luLandDet.jsp?pnu=3611034041101210001&amp;isNoScr=script&amp;mode=search", "토지이음")</f>
        <v/>
      </c>
      <c r="P18" s="3" t="inlineStr">
        <is>
          <t>KS</t>
        </is>
      </c>
      <c r="Q18" s="3" t="n">
        <v>1</v>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196</v>
      </c>
      <c r="J19" s="3" t="inlineStr">
        <is>
          <t>1</t>
        </is>
      </c>
      <c r="K19" s="3" t="inlineStr">
        <is>
          <t>-</t>
        </is>
      </c>
      <c r="L19" s="3" t="inlineStr">
        <is>
          <t>사진0, 제조업 가능한 금남면 영곡리 창고 임대</t>
        </is>
      </c>
      <c r="M19" s="5">
        <f>HYPERLINK("https://fin.land.naver.com/articles/2645775914", "매물Link")</f>
        <v/>
      </c>
      <c r="N19" s="5">
        <f>HYPERLINK("https://map.naver.com/p/search/금남면 영곡리 128-1", "지도Link")</f>
        <v/>
      </c>
      <c r="O19" s="5">
        <f>HYPERLINK("http://www.eum.go.kr/web/ar/lu/luLandDet.jsp?pnu=3611034041101280001&amp;isNoScr=script&amp;mode=search", "토지이음")</f>
        <v/>
      </c>
      <c r="P19" s="3" t="inlineStr">
        <is>
          <t>비전</t>
        </is>
      </c>
      <c r="Q19" s="3" t="n">
        <v>1</v>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132</v>
      </c>
      <c r="J20" s="3" t="inlineStr">
        <is>
          <t>1</t>
        </is>
      </c>
      <c r="K20" s="3" t="inlineStr">
        <is>
          <t>-</t>
        </is>
      </c>
      <c r="L20" s="3" t="inlineStr">
        <is>
          <t>세종시 금남면 소형창고 임대, 사진有</t>
        </is>
      </c>
      <c r="M20" s="5">
        <f>HYPERLINK("https://fin.land.naver.com/articles/2647181868", "매물Link")</f>
        <v/>
      </c>
      <c r="N20" s="5">
        <f>HYPERLINK("https://map.naver.com/p/search/금남면 영곡리 233-1", "지도Link")</f>
        <v/>
      </c>
      <c r="O20" s="5">
        <f>HYPERLINK("http://www.eum.go.kr/web/ar/lu/luLandDet.jsp?pnu=3611034041102330001&amp;isNoScr=script&amp;mode=search", "토지이음")</f>
        <v/>
      </c>
      <c r="P20" s="3" t="inlineStr">
        <is>
          <t>미우</t>
        </is>
      </c>
      <c r="Q20" s="3" t="n">
        <v>1</v>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474</v>
      </c>
      <c r="J21" s="3" t="inlineStr">
        <is>
          <t>3</t>
        </is>
      </c>
      <c r="K21" s="3" t="inlineStr">
        <is>
          <t>-</t>
        </is>
      </c>
      <c r="L21" s="3" t="inlineStr">
        <is>
          <t>금남면 영치리 창고 임대, 2차선변 200m 거리, 3층 임대</t>
        </is>
      </c>
      <c r="M21" s="5">
        <f>HYPERLINK("https://fin.land.naver.com/articles/2648788777", "매물Link")</f>
        <v/>
      </c>
      <c r="N21" s="5">
        <f>HYPERLINK("https://map.naver.com/p/search/금남면 영치리 283", "지도Link")</f>
        <v/>
      </c>
      <c r="O21" s="5">
        <f>HYPERLINK("http://www.eum.go.kr/web/ar/lu/luLandDet.jsp?pnu=3611034028102830000&amp;isNoScr=script&amp;mode=search", "토지이음")</f>
        <v/>
      </c>
      <c r="P21" s="3" t="inlineStr">
        <is>
          <t>스카이</t>
        </is>
      </c>
      <c r="Q21" s="3" t="n">
        <v>1</v>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99</v>
      </c>
      <c r="J22" s="3" t="inlineStr">
        <is>
          <t>1</t>
        </is>
      </c>
      <c r="K22" s="3" t="inlineStr">
        <is>
          <t>-</t>
        </is>
      </c>
      <c r="L22" s="3" t="inlineStr">
        <is>
          <t>남세종 TG까지 4km 떨어진 세종시 금남면 용담리 창고임대</t>
        </is>
      </c>
      <c r="M22" s="5">
        <f>HYPERLINK("https://fin.land.naver.com/articles/2649481366", "매물Link")</f>
        <v/>
      </c>
      <c r="N22" s="5">
        <f>HYPERLINK("https://map.naver.com/p/search/금남면 용담리 193-5", "지도Link")</f>
        <v/>
      </c>
      <c r="O22" s="5">
        <f>HYPERLINK("http://www.eum.go.kr/web/ar/lu/luLandDet.jsp?pnu=3611034025101930005&amp;isNoScr=script&amp;mode=search", "토지이음")</f>
        <v/>
      </c>
      <c r="P22" s="3" t="inlineStr">
        <is>
          <t>비전</t>
        </is>
      </c>
      <c r="Q22" s="3" t="n">
        <v>1</v>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130</v>
      </c>
      <c r="J23" s="3" t="inlineStr">
        <is>
          <t>1</t>
        </is>
      </c>
      <c r="K23" s="3" t="inlineStr">
        <is>
          <t>-</t>
        </is>
      </c>
      <c r="L23" s="3" t="inlineStr">
        <is>
          <t>대형차 진입가능한 세종시 저렴한 창고임대</t>
        </is>
      </c>
      <c r="M23" s="5">
        <f>HYPERLINK("https://fin.land.naver.com/articles/2645755765", "매물Link")</f>
        <v/>
      </c>
      <c r="N23" s="5">
        <f>HYPERLINK("https://map.naver.com/p/search/금남면 용포리 6-1", "지도Link")</f>
        <v/>
      </c>
      <c r="O23" s="5">
        <f>HYPERLINK("http://www.eum.go.kr/web/ar/lu/luLandDet.jsp?pnu=3611034021100060001&amp;isNoScr=script&amp;mode=search", "토지이음")</f>
        <v/>
      </c>
      <c r="P23" s="3" t="inlineStr">
        <is>
          <t>미우</t>
        </is>
      </c>
      <c r="Q23" s="3" t="n">
        <v>1</v>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496</v>
      </c>
      <c r="J24" s="3" t="inlineStr">
        <is>
          <t>1</t>
        </is>
      </c>
      <c r="K24" s="3" t="inlineStr">
        <is>
          <t>-</t>
        </is>
      </c>
      <c r="L24" s="3" t="inlineStr">
        <is>
          <t>신축,서청주IC,청주역5분거리,하이닉스10분거리 , 청주산업단지이동교통편</t>
        </is>
      </c>
      <c r="M24" s="5">
        <f>HYPERLINK("https://fin.land.naver.com/articles/2646372132", "매물Link")</f>
        <v/>
      </c>
      <c r="N24" s="5">
        <f>HYPERLINK("https://map.naver.com/p/search/나성동 829", "지도Link")</f>
        <v/>
      </c>
      <c r="O24" s="5">
        <f>HYPERLINK("http://www.eum.go.kr/web/ar/lu/luLandDet.jsp?pnu=3611010700108290000&amp;isNoScr=script&amp;mode=search", "토지이음")</f>
        <v/>
      </c>
      <c r="P24" s="3" t="inlineStr">
        <is>
          <t>다온</t>
        </is>
      </c>
      <c r="Q24" s="3" t="n">
        <v>1</v>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444</v>
      </c>
      <c r="J25" s="3" t="inlineStr">
        <is>
          <t>2</t>
        </is>
      </c>
      <c r="K25" s="3" t="inlineStr">
        <is>
          <t>-</t>
        </is>
      </c>
      <c r="L25" s="3" t="inlineStr">
        <is>
          <t>1층창고,2층사무실.</t>
        </is>
      </c>
      <c r="M25" s="5">
        <f>HYPERLINK("https://fin.land.naver.com/articles/2646606345", "매물Link")</f>
        <v/>
      </c>
      <c r="N25" s="5">
        <f>HYPERLINK("https://map.naver.com/p/search/나성동 829", "지도Link")</f>
        <v/>
      </c>
      <c r="O25" s="5">
        <f>HYPERLINK("http://www.eum.go.kr/web/ar/lu/luLandDet.jsp?pnu=3611010700108290000&amp;isNoScr=script&amp;mode=search", "토지이음")</f>
        <v/>
      </c>
      <c r="P25" s="3" t="inlineStr">
        <is>
          <t>청주합동</t>
        </is>
      </c>
      <c r="Q25" s="3" t="n">
        <v>1</v>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140</v>
      </c>
      <c r="J26" s="3" t="inlineStr">
        <is>
          <t>1</t>
        </is>
      </c>
      <c r="K26" s="3" t="inlineStr">
        <is>
          <t>-</t>
        </is>
      </c>
      <c r="L26" s="3" t="inlineStr">
        <is>
          <t>청주역인근,창고및사무실,2층</t>
        </is>
      </c>
      <c r="M26" s="5">
        <f>HYPERLINK("https://fin.land.naver.com/articles/2649533466", "매물Link")</f>
        <v/>
      </c>
      <c r="N26" s="5">
        <f>HYPERLINK("https://map.naver.com/p/search/나성동 829", "지도Link")</f>
        <v/>
      </c>
      <c r="O26" s="5">
        <f>HYPERLINK("http://www.eum.go.kr/web/ar/lu/luLandDet.jsp?pnu=3611010700108290000&amp;isNoScr=script&amp;mode=search", "토지이음")</f>
        <v/>
      </c>
      <c r="P26" s="3" t="inlineStr">
        <is>
          <t>LBA리치아노합동사무소</t>
        </is>
      </c>
      <c r="Q26" s="3" t="n">
        <v>2</v>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492</v>
      </c>
      <c r="J27" s="3" t="inlineStr">
        <is>
          <t>1</t>
        </is>
      </c>
      <c r="K27" s="3" t="inlineStr">
        <is>
          <t>-</t>
        </is>
      </c>
      <c r="L27" s="3" t="inlineStr">
        <is>
          <t>SK하이닉스인근,제조업소및창고,호이스트3톤</t>
        </is>
      </c>
      <c r="M27" s="5">
        <f>HYPERLINK("https://fin.land.naver.com/articles/2649539365", "매물Link")</f>
        <v/>
      </c>
      <c r="N27" s="5">
        <f>HYPERLINK("https://map.naver.com/p/search/나성동 829", "지도Link")</f>
        <v/>
      </c>
      <c r="O27" s="5">
        <f>HYPERLINK("http://www.eum.go.kr/web/ar/lu/luLandDet.jsp?pnu=3611010700108290000&amp;isNoScr=script&amp;mode=search", "토지이음")</f>
        <v/>
      </c>
      <c r="P27" s="3" t="inlineStr">
        <is>
          <t>LBA리치아노합동사무소</t>
        </is>
      </c>
      <c r="Q27" s="3" t="n">
        <v>1</v>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477</v>
      </c>
      <c r="J28" s="3" t="inlineStr">
        <is>
          <t>2</t>
        </is>
      </c>
      <c r="K28" s="3" t="inlineStr">
        <is>
          <t>-</t>
        </is>
      </c>
      <c r="L28" s="3" t="inlineStr">
        <is>
          <t>nan</t>
        </is>
      </c>
      <c r="M28" s="5">
        <f>HYPERLINK("https://fin.land.naver.com/articles/2649457857", "매물Link")</f>
        <v/>
      </c>
      <c r="N28" s="5">
        <f>HYPERLINK("https://map.naver.com/p/search/나성동 829", "지도Link")</f>
        <v/>
      </c>
      <c r="O28" s="5">
        <f>HYPERLINK("http://www.eum.go.kr/web/ar/lu/luLandDet.jsp?pnu=3611010700108290000&amp;isNoScr=script&amp;mode=search", "토지이음")</f>
        <v/>
      </c>
      <c r="P28" s="3" t="inlineStr">
        <is>
          <t>청주합동</t>
        </is>
      </c>
      <c r="Q28" s="3" t="n">
        <v>1</v>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767</v>
      </c>
      <c r="J29" s="3" t="inlineStr">
        <is>
          <t>2</t>
        </is>
      </c>
      <c r="K29" s="3" t="inlineStr">
        <is>
          <t>-</t>
        </is>
      </c>
      <c r="L29" s="3" t="inlineStr">
        <is>
          <t>하이닉스 서청주ic접근성 좋음 대형차 진출입용이 마당넓어 야적장최적</t>
        </is>
      </c>
      <c r="M29" s="5">
        <f>HYPERLINK("https://fin.land.naver.com/articles/2646667955", "매물Link")</f>
        <v/>
      </c>
      <c r="N29" s="5">
        <f>HYPERLINK("https://map.naver.com/p/search/나성동 829", "지도Link")</f>
        <v/>
      </c>
      <c r="O29" s="5">
        <f>HYPERLINK("http://www.eum.go.kr/web/ar/lu/luLandDet.jsp?pnu=3611010700108290000&amp;isNoScr=script&amp;mode=search", "토지이음")</f>
        <v/>
      </c>
      <c r="P29" s="3" t="inlineStr">
        <is>
          <t>더원</t>
        </is>
      </c>
      <c r="Q29" s="3" t="n">
        <v>1</v>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474</v>
      </c>
      <c r="J30" s="3" t="inlineStr">
        <is>
          <t>2</t>
        </is>
      </c>
      <c r="K30" s="3" t="inlineStr">
        <is>
          <t>-</t>
        </is>
      </c>
      <c r="L30" s="3" t="inlineStr">
        <is>
          <t>nan</t>
        </is>
      </c>
      <c r="M30" s="5">
        <f>HYPERLINK("https://fin.land.naver.com/articles/2647723060", "매물Link")</f>
        <v/>
      </c>
      <c r="N30" s="5">
        <f>HYPERLINK("https://map.naver.com/p/search/나성동 829", "지도Link")</f>
        <v/>
      </c>
      <c r="O30" s="5">
        <f>HYPERLINK("http://www.eum.go.kr/web/ar/lu/luLandDet.jsp?pnu=3611010700108290000&amp;isNoScr=script&amp;mode=search", "토지이음")</f>
        <v/>
      </c>
      <c r="P30" s="3" t="inlineStr">
        <is>
          <t>청주합동</t>
        </is>
      </c>
      <c r="Q30" s="3" t="n">
        <v>1</v>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191</v>
      </c>
      <c r="J31" s="3" t="inlineStr">
        <is>
          <t>1</t>
        </is>
      </c>
      <c r="K31" s="3" t="inlineStr">
        <is>
          <t>-</t>
        </is>
      </c>
      <c r="L31" s="3" t="inlineStr">
        <is>
          <t>nan</t>
        </is>
      </c>
      <c r="M31" s="5">
        <f>HYPERLINK("https://fin.land.naver.com/articles/2647728487", "매물Link")</f>
        <v/>
      </c>
      <c r="N31" s="5">
        <f>HYPERLINK("https://map.naver.com/p/search/나성동 829", "지도Link")</f>
        <v/>
      </c>
      <c r="O31" s="5">
        <f>HYPERLINK("http://www.eum.go.kr/web/ar/lu/luLandDet.jsp?pnu=3611010700108290000&amp;isNoScr=script&amp;mode=search", "토지이음")</f>
        <v/>
      </c>
      <c r="P31" s="3" t="inlineStr">
        <is>
          <t>청주합동</t>
        </is>
      </c>
      <c r="Q31" s="3" t="n">
        <v>1</v>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231</v>
      </c>
      <c r="J32" s="3" t="inlineStr">
        <is>
          <t>1</t>
        </is>
      </c>
      <c r="K32" s="3" t="inlineStr">
        <is>
          <t>-</t>
        </is>
      </c>
      <c r="L32" s="3" t="inlineStr">
        <is>
          <t>nan</t>
        </is>
      </c>
      <c r="M32" s="5">
        <f>HYPERLINK("https://fin.land.naver.com/articles/2647810982", "매물Link")</f>
        <v/>
      </c>
      <c r="N32" s="5">
        <f>HYPERLINK("https://map.naver.com/p/search/나성동 829", "지도Link")</f>
        <v/>
      </c>
      <c r="O32" s="5">
        <f>HYPERLINK("http://www.eum.go.kr/web/ar/lu/luLandDet.jsp?pnu=3611010700108290000&amp;isNoScr=script&amp;mode=search", "토지이음")</f>
        <v/>
      </c>
      <c r="P32" s="3" t="inlineStr">
        <is>
          <t>청주합동</t>
        </is>
      </c>
      <c r="Q32" s="3" t="n">
        <v>1</v>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223</v>
      </c>
      <c r="J33" s="3" t="inlineStr">
        <is>
          <t>1</t>
        </is>
      </c>
      <c r="K33" s="3" t="inlineStr">
        <is>
          <t>-</t>
        </is>
      </c>
      <c r="L33" s="3" t="inlineStr">
        <is>
          <t>nan</t>
        </is>
      </c>
      <c r="M33" s="5">
        <f>HYPERLINK("https://fin.land.naver.com/articles/2647737576", "매물Link")</f>
        <v/>
      </c>
      <c r="N33" s="5">
        <f>HYPERLINK("https://map.naver.com/p/search/나성동 829", "지도Link")</f>
        <v/>
      </c>
      <c r="O33" s="5">
        <f>HYPERLINK("http://www.eum.go.kr/web/ar/lu/luLandDet.jsp?pnu=3611010700108290000&amp;isNoScr=script&amp;mode=search", "토지이음")</f>
        <v/>
      </c>
      <c r="P33" s="3" t="inlineStr">
        <is>
          <t>청주합동</t>
        </is>
      </c>
      <c r="Q33" s="3" t="n">
        <v>1</v>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362</v>
      </c>
      <c r="J34" s="3" t="inlineStr">
        <is>
          <t>1</t>
        </is>
      </c>
      <c r="K34" s="3" t="inlineStr">
        <is>
          <t>-</t>
        </is>
      </c>
      <c r="L34" s="3" t="inlineStr">
        <is>
          <t>3순환로 및 서청주ic 접근성 좋아 청주 전지역 이동 편리</t>
        </is>
      </c>
      <c r="M34" s="5">
        <f>HYPERLINK("https://fin.land.naver.com/articles/2647588362", "매물Link")</f>
        <v/>
      </c>
      <c r="N34" s="5">
        <f>HYPERLINK("https://map.naver.com/p/search/나성동 829", "지도Link")</f>
        <v/>
      </c>
      <c r="O34" s="5">
        <f>HYPERLINK("http://www.eum.go.kr/web/ar/lu/luLandDet.jsp?pnu=3611010700108290000&amp;isNoScr=script&amp;mode=search", "토지이음")</f>
        <v/>
      </c>
      <c r="P34" s="3" t="inlineStr">
        <is>
          <t>더원</t>
        </is>
      </c>
      <c r="Q34" s="3" t="n">
        <v>1</v>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192</v>
      </c>
      <c r="J35" s="3" t="inlineStr">
        <is>
          <t>1</t>
        </is>
      </c>
      <c r="K35" s="3" t="inlineStr">
        <is>
          <t>-</t>
        </is>
      </c>
      <c r="L35" s="3" t="inlineStr">
        <is>
          <t>SK하이닉스인근,사무실,창고</t>
        </is>
      </c>
      <c r="M35" s="5">
        <f>HYPERLINK("https://fin.land.naver.com/articles/2648892669", "매물Link")</f>
        <v/>
      </c>
      <c r="N35" s="5">
        <f>HYPERLINK("https://map.naver.com/p/search/나성동 829", "지도Link")</f>
        <v/>
      </c>
      <c r="O35" s="5">
        <f>HYPERLINK("http://www.eum.go.kr/web/ar/lu/luLandDet.jsp?pnu=3611010700108290000&amp;isNoScr=script&amp;mode=search", "토지이음")</f>
        <v/>
      </c>
      <c r="P35" s="3" t="inlineStr">
        <is>
          <t>LBA리치아노합동사무소</t>
        </is>
      </c>
      <c r="Q35" s="3" t="n">
        <v>1</v>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336</v>
      </c>
      <c r="J36" s="3" t="inlineStr">
        <is>
          <t>1</t>
        </is>
      </c>
      <c r="K36" s="3" t="inlineStr">
        <is>
          <t>-</t>
        </is>
      </c>
      <c r="L36" s="3" t="inlineStr">
        <is>
          <t>nan</t>
        </is>
      </c>
      <c r="M36" s="5">
        <f>HYPERLINK("https://fin.land.naver.com/articles/2646692097", "매물Link")</f>
        <v/>
      </c>
      <c r="N36" s="5">
        <f>HYPERLINK("https://map.naver.com/p/search/나성동 829", "지도Link")</f>
        <v/>
      </c>
      <c r="O36" s="5">
        <f>HYPERLINK("http://www.eum.go.kr/web/ar/lu/luLandDet.jsp?pnu=3611010700108290000&amp;isNoScr=script&amp;mode=search", "토지이음")</f>
        <v/>
      </c>
      <c r="P36" s="3" t="inlineStr">
        <is>
          <t>수풀림</t>
        </is>
      </c>
      <c r="Q36" s="3" t="n">
        <v>1</v>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336</v>
      </c>
      <c r="J37" s="3" t="inlineStr">
        <is>
          <t>1</t>
        </is>
      </c>
      <c r="K37" s="3" t="inlineStr">
        <is>
          <t>-</t>
        </is>
      </c>
      <c r="L37" s="3" t="inlineStr">
        <is>
          <t>2동중1동</t>
        </is>
      </c>
      <c r="M37" s="5">
        <f>HYPERLINK("https://fin.land.naver.com/articles/2647768253", "매물Link")</f>
        <v/>
      </c>
      <c r="N37" s="5">
        <f>HYPERLINK("https://map.naver.com/p/search/나성동 829", "지도Link")</f>
        <v/>
      </c>
      <c r="O37" s="5">
        <f>HYPERLINK("http://www.eum.go.kr/web/ar/lu/luLandDet.jsp?pnu=3611010700108290000&amp;isNoScr=script&amp;mode=search", "토지이음")</f>
        <v/>
      </c>
      <c r="P37" s="3" t="inlineStr">
        <is>
          <t>청주합동</t>
        </is>
      </c>
      <c r="Q37" s="3" t="n">
        <v>1</v>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273</v>
      </c>
      <c r="J38" s="3" t="inlineStr">
        <is>
          <t>1</t>
        </is>
      </c>
      <c r="K38" s="3" t="inlineStr">
        <is>
          <t>-</t>
        </is>
      </c>
      <c r="L38" s="3" t="inlineStr">
        <is>
          <t>서청주ic와 청주역사이 중간위치, 현재 임차인 있음</t>
        </is>
      </c>
      <c r="M38" s="5">
        <f>HYPERLINK("https://fin.land.naver.com/articles/2647865320", "매물Link")</f>
        <v/>
      </c>
      <c r="N38" s="5">
        <f>HYPERLINK("https://map.naver.com/p/search/나성동 829", "지도Link")</f>
        <v/>
      </c>
      <c r="O38" s="5">
        <f>HYPERLINK("http://www.eum.go.kr/web/ar/lu/luLandDet.jsp?pnu=3611010700108290000&amp;isNoScr=script&amp;mode=search", "토지이음")</f>
        <v/>
      </c>
      <c r="P38" s="3" t="inlineStr">
        <is>
          <t>명진</t>
        </is>
      </c>
      <c r="Q38" s="3" t="n">
        <v>1</v>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842</v>
      </c>
      <c r="J39" s="3" t="inlineStr">
        <is>
          <t>2</t>
        </is>
      </c>
      <c r="K39" s="3" t="inlineStr">
        <is>
          <t>-</t>
        </is>
      </c>
      <c r="L39" s="3" t="inlineStr">
        <is>
          <t>청주IC 10분이내 클린룸 공장 매매 (2개동)</t>
        </is>
      </c>
      <c r="M39" s="5">
        <f>HYPERLINK("https://fin.land.naver.com/articles/2649047349", "매물Link")</f>
        <v/>
      </c>
      <c r="N39" s="5">
        <f>HYPERLINK("https://map.naver.com/p/search/나성동 829", "지도Link")</f>
        <v/>
      </c>
      <c r="O39" s="5">
        <f>HYPERLINK("http://www.eum.go.kr/web/ar/lu/luLandDet.jsp?pnu=3611010700108290000&amp;isNoScr=script&amp;mode=search", "토지이음")</f>
        <v/>
      </c>
      <c r="P39" s="3" t="inlineStr">
        <is>
          <t>나인</t>
        </is>
      </c>
      <c r="Q39" s="3" t="n">
        <v>1</v>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397</v>
      </c>
      <c r="J40" s="3" t="inlineStr">
        <is>
          <t>1</t>
        </is>
      </c>
      <c r="K40" s="3" t="inlineStr">
        <is>
          <t>-</t>
        </is>
      </c>
      <c r="L40" s="3" t="inlineStr">
        <is>
          <t>서청주IC,청주역, 청주산업단지10분거리, 진입도로확보</t>
        </is>
      </c>
      <c r="M40" s="5">
        <f>HYPERLINK("https://fin.land.naver.com/articles/2644488907", "매물Link")</f>
        <v/>
      </c>
      <c r="N40" s="5">
        <f>HYPERLINK("https://map.naver.com/p/search/나성동 829", "지도Link")</f>
        <v/>
      </c>
      <c r="O40" s="5">
        <f>HYPERLINK("http://www.eum.go.kr/web/ar/lu/luLandDet.jsp?pnu=3611010700108290000&amp;isNoScr=script&amp;mode=search", "토지이음")</f>
        <v/>
      </c>
      <c r="P40" s="3" t="inlineStr">
        <is>
          <t>다온</t>
        </is>
      </c>
      <c r="Q40" s="3" t="n">
        <v>1</v>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661</v>
      </c>
      <c r="J41" s="3" t="inlineStr">
        <is>
          <t>1</t>
        </is>
      </c>
      <c r="K41" s="3" t="inlineStr">
        <is>
          <t>-</t>
        </is>
      </c>
      <c r="L41" s="3" t="inlineStr">
        <is>
          <t>청주sk하이닉스2공장맞은편에 위치 신축공장매매</t>
        </is>
      </c>
      <c r="M41" s="5">
        <f>HYPERLINK("https://fin.land.naver.com/articles/2650053173", "매물Link")</f>
        <v/>
      </c>
      <c r="N41" s="5">
        <f>HYPERLINK("https://map.naver.com/p/search/나성동 829", "지도Link")</f>
        <v/>
      </c>
      <c r="O41" s="5">
        <f>HYPERLINK("http://www.eum.go.kr/web/ar/lu/luLandDet.jsp?pnu=3611010700108290000&amp;isNoScr=script&amp;mode=search", "토지이음")</f>
        <v/>
      </c>
      <c r="P41" s="3" t="inlineStr">
        <is>
          <t>지웰에스테이트</t>
        </is>
      </c>
      <c r="Q41" s="3" t="n">
        <v>1</v>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183</v>
      </c>
      <c r="J42" s="3" t="inlineStr">
        <is>
          <t>1</t>
        </is>
      </c>
      <c r="K42" s="3" t="inlineStr">
        <is>
          <t>-</t>
        </is>
      </c>
      <c r="L42" s="3" t="inlineStr">
        <is>
          <t>nan</t>
        </is>
      </c>
      <c r="M42" s="5">
        <f>HYPERLINK("https://fin.land.naver.com/articles/2643959121", "매물Link")</f>
        <v/>
      </c>
      <c r="N42" s="5">
        <f>HYPERLINK("https://map.naver.com/p/search/나성동 829", "지도Link")</f>
        <v/>
      </c>
      <c r="O42" s="5">
        <f>HYPERLINK("http://www.eum.go.kr/web/ar/lu/luLandDet.jsp?pnu=3611010700108290000&amp;isNoScr=script&amp;mode=search", "토지이음")</f>
        <v/>
      </c>
      <c r="P42" s="3" t="inlineStr">
        <is>
          <t>청주합동</t>
        </is>
      </c>
      <c r="Q42" s="3" t="n">
        <v>1</v>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427</v>
      </c>
      <c r="J43" s="3" t="inlineStr">
        <is>
          <t>2</t>
        </is>
      </c>
      <c r="K43" s="3" t="inlineStr">
        <is>
          <t>-</t>
        </is>
      </c>
      <c r="L43" s="3" t="inlineStr">
        <is>
          <t>청주sk하이닉스2공장앞공장창고 2개동 위치좋고내부상태최상주택별도있음</t>
        </is>
      </c>
      <c r="M43" s="5">
        <f>HYPERLINK("https://fin.land.naver.com/articles/2650052417", "매물Link")</f>
        <v/>
      </c>
      <c r="N43" s="5">
        <f>HYPERLINK("https://map.naver.com/p/search/나성동 829", "지도Link")</f>
        <v/>
      </c>
      <c r="O43" s="5">
        <f>HYPERLINK("http://www.eum.go.kr/web/ar/lu/luLandDet.jsp?pnu=3611010700108290000&amp;isNoScr=script&amp;mode=search", "토지이음")</f>
        <v/>
      </c>
      <c r="P43" s="3" t="inlineStr">
        <is>
          <t>지웰에스테이트</t>
        </is>
      </c>
      <c r="Q43" s="3" t="n">
        <v>1</v>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482</v>
      </c>
      <c r="J44" s="3" t="inlineStr">
        <is>
          <t>1</t>
        </is>
      </c>
      <c r="K44" s="3" t="inlineStr">
        <is>
          <t>-</t>
        </is>
      </c>
      <c r="L44" s="3" t="inlineStr">
        <is>
          <t>청주역,제조업소및창고,별도기숙사</t>
        </is>
      </c>
      <c r="M44" s="5">
        <f>HYPERLINK("https://fin.land.naver.com/articles/2646082629", "매물Link")</f>
        <v/>
      </c>
      <c r="N44" s="5">
        <f>HYPERLINK("https://map.naver.com/p/search/나성동 829", "지도Link")</f>
        <v/>
      </c>
      <c r="O44" s="5">
        <f>HYPERLINK("http://www.eum.go.kr/web/ar/lu/luLandDet.jsp?pnu=3611010700108290000&amp;isNoScr=script&amp;mode=search", "토지이음")</f>
        <v/>
      </c>
      <c r="P44" s="3" t="inlineStr">
        <is>
          <t>LBA리치아노합동사무소</t>
        </is>
      </c>
      <c r="Q44" s="3" t="n">
        <v>1</v>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373</v>
      </c>
      <c r="J45" s="3" t="inlineStr">
        <is>
          <t>1</t>
        </is>
      </c>
      <c r="K45" s="3" t="inlineStr">
        <is>
          <t>-</t>
        </is>
      </c>
      <c r="L45" s="3" t="inlineStr">
        <is>
          <t>nan</t>
        </is>
      </c>
      <c r="M45" s="5">
        <f>HYPERLINK("https://fin.land.naver.com/articles/2647747502", "매물Link")</f>
        <v/>
      </c>
      <c r="N45" s="5">
        <f>HYPERLINK("https://map.naver.com/p/search/나성동 829", "지도Link")</f>
        <v/>
      </c>
      <c r="O45" s="5">
        <f>HYPERLINK("http://www.eum.go.kr/web/ar/lu/luLandDet.jsp?pnu=3611010700108290000&amp;isNoScr=script&amp;mode=search", "토지이음")</f>
        <v/>
      </c>
      <c r="P45" s="3" t="inlineStr">
        <is>
          <t>청주합동</t>
        </is>
      </c>
      <c r="Q45" s="3" t="n">
        <v>1</v>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395</v>
      </c>
      <c r="J46" s="3" t="inlineStr">
        <is>
          <t>1</t>
        </is>
      </c>
      <c r="K46" s="3" t="inlineStr">
        <is>
          <t>-</t>
        </is>
      </c>
      <c r="L46" s="3" t="inlineStr">
        <is>
          <t>서청주ic주변이어서 제조공장으로 합당함 ,태양열설치되어있으므로 수입있음</t>
        </is>
      </c>
      <c r="M46" s="5">
        <f>HYPERLINK("https://fin.land.naver.com/articles/2645968359", "매물Link")</f>
        <v/>
      </c>
      <c r="N46" s="5">
        <f>HYPERLINK("https://map.naver.com/p/search/나성동 829", "지도Link")</f>
        <v/>
      </c>
      <c r="O46" s="5">
        <f>HYPERLINK("http://www.eum.go.kr/web/ar/lu/luLandDet.jsp?pnu=3611010700108290000&amp;isNoScr=script&amp;mode=search", "토지이음")</f>
        <v/>
      </c>
      <c r="P46" s="3" t="inlineStr">
        <is>
          <t>황금빛</t>
        </is>
      </c>
      <c r="Q46" s="3" t="n">
        <v>1</v>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133</v>
      </c>
      <c r="J47" s="3" t="inlineStr">
        <is>
          <t>1</t>
        </is>
      </c>
      <c r="K47" s="3" t="inlineStr">
        <is>
          <t>-</t>
        </is>
      </c>
      <c r="L47" s="3" t="inlineStr">
        <is>
          <t>nan</t>
        </is>
      </c>
      <c r="M47" s="5">
        <f>HYPERLINK("https://fin.land.naver.com/articles/2648783419", "매물Link")</f>
        <v/>
      </c>
      <c r="N47" s="5">
        <f>HYPERLINK("https://map.naver.com/p/search/나성동 829", "지도Link")</f>
        <v/>
      </c>
      <c r="O47" s="5">
        <f>HYPERLINK("http://www.eum.go.kr/web/ar/lu/luLandDet.jsp?pnu=3611010700108290000&amp;isNoScr=script&amp;mode=search", "토지이음")</f>
        <v/>
      </c>
      <c r="P47" s="3" t="inlineStr">
        <is>
          <t>청주합동</t>
        </is>
      </c>
      <c r="Q47" s="3" t="n">
        <v>1</v>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468</v>
      </c>
      <c r="J48" s="3" t="inlineStr">
        <is>
          <t>2</t>
        </is>
      </c>
      <c r="K48" s="3" t="inlineStr">
        <is>
          <t>-</t>
        </is>
      </c>
      <c r="L48" s="3" t="inlineStr">
        <is>
          <t>nan</t>
        </is>
      </c>
      <c r="M48" s="5">
        <f>HYPERLINK("https://fin.land.naver.com/articles/2646979567", "매물Link")</f>
        <v/>
      </c>
      <c r="N48" s="5">
        <f>HYPERLINK("https://map.naver.com/p/search/나성동 829", "지도Link")</f>
        <v/>
      </c>
      <c r="O48" s="5">
        <f>HYPERLINK("http://www.eum.go.kr/web/ar/lu/luLandDet.jsp?pnu=3611010700108290000&amp;isNoScr=script&amp;mode=search", "토지이음")</f>
        <v/>
      </c>
      <c r="P48" s="3" t="inlineStr">
        <is>
          <t>교차로</t>
        </is>
      </c>
      <c r="Q48" s="3" t="n">
        <v>1</v>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640</v>
      </c>
      <c r="J49" s="3" t="inlineStr">
        <is>
          <t>2</t>
        </is>
      </c>
      <c r="K49" s="3" t="inlineStr">
        <is>
          <t>-</t>
        </is>
      </c>
      <c r="L49" s="3" t="inlineStr">
        <is>
          <t>nan</t>
        </is>
      </c>
      <c r="M49" s="5">
        <f>HYPERLINK("https://fin.land.naver.com/articles/2648225938", "매물Link")</f>
        <v/>
      </c>
      <c r="N49" s="5">
        <f>HYPERLINK("https://map.naver.com/p/search/나성동 829", "지도Link")</f>
        <v/>
      </c>
      <c r="O49" s="5">
        <f>HYPERLINK("http://www.eum.go.kr/web/ar/lu/luLandDet.jsp?pnu=3611010700108290000&amp;isNoScr=script&amp;mode=search", "토지이음")</f>
        <v/>
      </c>
      <c r="P49" s="3" t="inlineStr">
        <is>
          <t>좋은터</t>
        </is>
      </c>
      <c r="Q49" s="3" t="n">
        <v>1</v>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539</v>
      </c>
      <c r="J50" s="3" t="inlineStr">
        <is>
          <t>1</t>
        </is>
      </c>
      <c r="K50" s="3" t="inlineStr">
        <is>
          <t>-</t>
        </is>
      </c>
      <c r="L50" s="3" t="inlineStr">
        <is>
          <t>nan</t>
        </is>
      </c>
      <c r="M50" s="5">
        <f>HYPERLINK("https://fin.land.naver.com/articles/2648827464", "매물Link")</f>
        <v/>
      </c>
      <c r="N50" s="5">
        <f>HYPERLINK("https://map.naver.com/p/search/나성동 829", "지도Link")</f>
        <v/>
      </c>
      <c r="O50" s="5">
        <f>HYPERLINK("http://www.eum.go.kr/web/ar/lu/luLandDet.jsp?pnu=3611010700108290000&amp;isNoScr=script&amp;mode=search", "토지이음")</f>
        <v/>
      </c>
      <c r="P50" s="3" t="inlineStr">
        <is>
          <t>청솔</t>
        </is>
      </c>
      <c r="Q50" s="3" t="n">
        <v>1</v>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165</v>
      </c>
      <c r="J51" s="3" t="inlineStr">
        <is>
          <t>2</t>
        </is>
      </c>
      <c r="K51" s="3" t="inlineStr">
        <is>
          <t>-</t>
        </is>
      </c>
      <c r="L51" s="3" t="inlineStr">
        <is>
          <t>2층 사무실 임대 천정냉난방기 설치 즉시 입주가 마당주차넓음</t>
        </is>
      </c>
      <c r="M51" s="5">
        <f>HYPERLINK("https://fin.land.naver.com/articles/2646668937", "매물Link")</f>
        <v/>
      </c>
      <c r="N51" s="5">
        <f>HYPERLINK("https://map.naver.com/p/search/나성동 829", "지도Link")</f>
        <v/>
      </c>
      <c r="O51" s="5">
        <f>HYPERLINK("http://www.eum.go.kr/web/ar/lu/luLandDet.jsp?pnu=3611010700108290000&amp;isNoScr=script&amp;mode=search", "토지이음")</f>
        <v/>
      </c>
      <c r="P51" s="3" t="inlineStr">
        <is>
          <t>더원</t>
        </is>
      </c>
      <c r="Q51" s="3" t="n">
        <v>1</v>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153</v>
      </c>
      <c r="J52" s="3" t="inlineStr">
        <is>
          <t>1</t>
        </is>
      </c>
      <c r="K52" s="3" t="inlineStr">
        <is>
          <t>-</t>
        </is>
      </c>
      <c r="L52" s="3" t="inlineStr">
        <is>
          <t>서청주ic4분 청주ic9분 하이닉스 접근성 좋은 위치의 대로변 공장 창고</t>
        </is>
      </c>
      <c r="M52" s="5">
        <f>HYPERLINK("https://fin.land.naver.com/articles/2646669055", "매물Link")</f>
        <v/>
      </c>
      <c r="N52" s="5">
        <f>HYPERLINK("https://map.naver.com/p/search/나성동 829", "지도Link")</f>
        <v/>
      </c>
      <c r="O52" s="5">
        <f>HYPERLINK("http://www.eum.go.kr/web/ar/lu/luLandDet.jsp?pnu=3611010700108290000&amp;isNoScr=script&amp;mode=search", "토지이음")</f>
        <v/>
      </c>
      <c r="P52" s="3" t="inlineStr">
        <is>
          <t>더원</t>
        </is>
      </c>
      <c r="Q52" s="3" t="n">
        <v>1</v>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352</v>
      </c>
      <c r="J53" s="3" t="inlineStr">
        <is>
          <t>1</t>
        </is>
      </c>
      <c r="K53" s="3" t="inlineStr">
        <is>
          <t>-</t>
        </is>
      </c>
      <c r="L53" s="3" t="inlineStr">
        <is>
          <t>서청주ic 5분, 하이닉스 5분 접근성좋은 위치의 신축 마당넓은 공장 창</t>
        </is>
      </c>
      <c r="M53" s="5">
        <f>HYPERLINK("https://fin.land.naver.com/articles/2646669281", "매물Link")</f>
        <v/>
      </c>
      <c r="N53" s="5">
        <f>HYPERLINK("https://map.naver.com/p/search/나성동 829", "지도Link")</f>
        <v/>
      </c>
      <c r="O53" s="5">
        <f>HYPERLINK("http://www.eum.go.kr/web/ar/lu/luLandDet.jsp?pnu=3611010700108290000&amp;isNoScr=script&amp;mode=search", "토지이음")</f>
        <v/>
      </c>
      <c r="P53" s="3" t="inlineStr">
        <is>
          <t>더원</t>
        </is>
      </c>
      <c r="Q53" s="3" t="n">
        <v>1</v>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487</v>
      </c>
      <c r="J54" s="3" t="inlineStr">
        <is>
          <t>1</t>
        </is>
      </c>
      <c r="K54" s="3" t="inlineStr">
        <is>
          <t>-</t>
        </is>
      </c>
      <c r="L54" s="3" t="inlineStr">
        <is>
          <t>SK하이닉스인근,창고,입주협의</t>
        </is>
      </c>
      <c r="M54" s="5">
        <f>HYPERLINK("https://fin.land.naver.com/articles/2648121996", "매물Link")</f>
        <v/>
      </c>
      <c r="N54" s="5">
        <f>HYPERLINK("https://map.naver.com/p/search/나성동 829", "지도Link")</f>
        <v/>
      </c>
      <c r="O54" s="5">
        <f>HYPERLINK("http://www.eum.go.kr/web/ar/lu/luLandDet.jsp?pnu=3611010700108290000&amp;isNoScr=script&amp;mode=search", "토지이음")</f>
        <v/>
      </c>
      <c r="P54" s="3" t="inlineStr">
        <is>
          <t>LBA리치아노합동사무소</t>
        </is>
      </c>
      <c r="Q54" s="3" t="n">
        <v>1</v>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498</v>
      </c>
      <c r="J55" s="3" t="inlineStr">
        <is>
          <t>1</t>
        </is>
      </c>
      <c r="K55" s="3" t="inlineStr">
        <is>
          <t>-</t>
        </is>
      </c>
      <c r="L55" s="3" t="inlineStr">
        <is>
          <t>실내 낚시터 매매</t>
        </is>
      </c>
      <c r="M55" s="5">
        <f>HYPERLINK("https://fin.land.naver.com/articles/2648906972", "매물Link")</f>
        <v/>
      </c>
      <c r="N55" s="5">
        <f>HYPERLINK("https://map.naver.com/p/search/나성동 829", "지도Link")</f>
        <v/>
      </c>
      <c r="O55" s="5">
        <f>HYPERLINK("http://www.eum.go.kr/web/ar/lu/luLandDet.jsp?pnu=3611010700108290000&amp;isNoScr=script&amp;mode=search", "토지이음")</f>
        <v/>
      </c>
      <c r="P55" s="3" t="inlineStr">
        <is>
          <t>사거리</t>
        </is>
      </c>
      <c r="Q55" s="3" t="n">
        <v>1</v>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251</v>
      </c>
      <c r="J56" s="3" t="inlineStr">
        <is>
          <t>1</t>
        </is>
      </c>
      <c r="K56" s="3" t="inlineStr">
        <is>
          <t>-</t>
        </is>
      </c>
      <c r="L56" s="3" t="inlineStr">
        <is>
          <t>nan</t>
        </is>
      </c>
      <c r="M56" s="5">
        <f>HYPERLINK("https://fin.land.naver.com/articles/2649234524", "매물Link")</f>
        <v/>
      </c>
      <c r="N56" s="5">
        <f>HYPERLINK("https://map.naver.com/p/search/나성동 829", "지도Link")</f>
        <v/>
      </c>
      <c r="O56" s="5">
        <f>HYPERLINK("http://www.eum.go.kr/web/ar/lu/luLandDet.jsp?pnu=3611010700108290000&amp;isNoScr=script&amp;mode=search", "토지이음")</f>
        <v/>
      </c>
      <c r="P56" s="3" t="inlineStr">
        <is>
          <t>청주합동</t>
        </is>
      </c>
      <c r="Q56" s="3" t="n">
        <v>1</v>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624</v>
      </c>
      <c r="J57" s="3" t="inlineStr">
        <is>
          <t>1</t>
        </is>
      </c>
      <c r="K57" s="3" t="inlineStr">
        <is>
          <t>-</t>
        </is>
      </c>
      <c r="L57" s="3" t="inlineStr">
        <is>
          <t>SK하이닉스인근,단독,제조업소및창고,냉온풍기설치완료</t>
        </is>
      </c>
      <c r="M57" s="5">
        <f>HYPERLINK("https://fin.land.naver.com/articles/2649533301", "매물Link")</f>
        <v/>
      </c>
      <c r="N57" s="5">
        <f>HYPERLINK("https://map.naver.com/p/search/나성동 829", "지도Link")</f>
        <v/>
      </c>
      <c r="O57" s="5">
        <f>HYPERLINK("http://www.eum.go.kr/web/ar/lu/luLandDet.jsp?pnu=3611010700108290000&amp;isNoScr=script&amp;mode=search", "토지이음")</f>
        <v/>
      </c>
      <c r="P57" s="3" t="inlineStr">
        <is>
          <t>LBA리치아노합동사무소</t>
        </is>
      </c>
      <c r="Q57" s="3" t="n">
        <v>1</v>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329</v>
      </c>
      <c r="J58" s="3" t="inlineStr">
        <is>
          <t>1</t>
        </is>
      </c>
      <c r="K58" s="3" t="inlineStr">
        <is>
          <t>-</t>
        </is>
      </c>
      <c r="L58" s="3" t="inlineStr">
        <is>
          <t>nan</t>
        </is>
      </c>
      <c r="M58" s="5">
        <f>HYPERLINK("https://fin.land.naver.com/articles/2648235864", "매물Link")</f>
        <v/>
      </c>
      <c r="N58" s="5">
        <f>HYPERLINK("https://map.naver.com/p/search/나성동 829", "지도Link")</f>
        <v/>
      </c>
      <c r="O58" s="5">
        <f>HYPERLINK("http://www.eum.go.kr/web/ar/lu/luLandDet.jsp?pnu=3611010700108290000&amp;isNoScr=script&amp;mode=search", "토지이음")</f>
        <v/>
      </c>
      <c r="P58" s="3" t="inlineStr">
        <is>
          <t>청와대합동사무소</t>
        </is>
      </c>
      <c r="Q58" s="3" t="n">
        <v>1</v>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122</v>
      </c>
      <c r="J59" s="3" t="inlineStr">
        <is>
          <t>1</t>
        </is>
      </c>
      <c r="K59" s="3" t="inlineStr">
        <is>
          <t>-</t>
        </is>
      </c>
      <c r="L59" s="3" t="inlineStr">
        <is>
          <t>sk하이닉스 15분거리,임대,창고</t>
        </is>
      </c>
      <c r="M59" s="5">
        <f>HYPERLINK("https://fin.land.naver.com/articles/2648846365", "매물Link")</f>
        <v/>
      </c>
      <c r="N59" s="5">
        <f>HYPERLINK("https://map.naver.com/p/search/나성동 829", "지도Link")</f>
        <v/>
      </c>
      <c r="O59" s="5">
        <f>HYPERLINK("http://www.eum.go.kr/web/ar/lu/luLandDet.jsp?pnu=3611010700108290000&amp;isNoScr=script&amp;mode=search", "토지이음")</f>
        <v/>
      </c>
      <c r="P59" s="3" t="inlineStr">
        <is>
          <t>LBA리치아노합동사무소</t>
        </is>
      </c>
      <c r="Q59" s="3" t="n">
        <v>1</v>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324</v>
      </c>
      <c r="J60" s="3" t="inlineStr">
        <is>
          <t>1</t>
        </is>
      </c>
      <c r="K60" s="3" t="inlineStr">
        <is>
          <t>-</t>
        </is>
      </c>
      <c r="L60" s="3" t="inlineStr">
        <is>
          <t>청주역,2층,냉온풍기설치완료,신축,창고및사무실</t>
        </is>
      </c>
      <c r="M60" s="5">
        <f>HYPERLINK("https://fin.land.naver.com/articles/2649540285", "매물Link")</f>
        <v/>
      </c>
      <c r="N60" s="5">
        <f>HYPERLINK("https://map.naver.com/p/search/나성동 829", "지도Link")</f>
        <v/>
      </c>
      <c r="O60" s="5">
        <f>HYPERLINK("http://www.eum.go.kr/web/ar/lu/luLandDet.jsp?pnu=3611010700108290000&amp;isNoScr=script&amp;mode=search", "토지이음")</f>
        <v/>
      </c>
      <c r="P60" s="3" t="inlineStr">
        <is>
          <t>LBA리치아노합동사무소</t>
        </is>
      </c>
      <c r="Q60" s="3" t="n">
        <v>1</v>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199</v>
      </c>
      <c r="J61" s="3" t="inlineStr">
        <is>
          <t>2</t>
        </is>
      </c>
      <c r="K61" s="3" t="inlineStr">
        <is>
          <t>-</t>
        </is>
      </c>
      <c r="L61" s="3" t="inlineStr">
        <is>
          <t>nan</t>
        </is>
      </c>
      <c r="M61" s="5">
        <f>HYPERLINK("https://fin.land.naver.com/articles/2646730962", "매물Link")</f>
        <v/>
      </c>
      <c r="N61" s="5">
        <f>HYPERLINK("https://map.naver.com/p/search/나성동 829", "지도Link")</f>
        <v/>
      </c>
      <c r="O61" s="5">
        <f>HYPERLINK("http://www.eum.go.kr/web/ar/lu/luLandDet.jsp?pnu=3611010700108290000&amp;isNoScr=script&amp;mode=search", "토지이음")</f>
        <v/>
      </c>
      <c r="P61" s="3" t="inlineStr">
        <is>
          <t>동행사무소</t>
        </is>
      </c>
      <c r="Q61" s="3" t="n">
        <v>1</v>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396</v>
      </c>
      <c r="J62" s="3" t="inlineStr">
        <is>
          <t>1</t>
        </is>
      </c>
      <c r="K62" s="3" t="inlineStr">
        <is>
          <t>-</t>
        </is>
      </c>
      <c r="L62" s="3" t="inlineStr">
        <is>
          <t>단독공장 임대 사무실있음 전력50kw</t>
        </is>
      </c>
      <c r="M62" s="5">
        <f>HYPERLINK("https://fin.land.naver.com/articles/2649664849", "매물Link")</f>
        <v/>
      </c>
      <c r="N62" s="5">
        <f>HYPERLINK("https://map.naver.com/p/search/나성동 829", "지도Link")</f>
        <v/>
      </c>
      <c r="O62" s="5">
        <f>HYPERLINK("http://www.eum.go.kr/web/ar/lu/luLandDet.jsp?pnu=3611010700108290000&amp;isNoScr=script&amp;mode=search", "토지이음")</f>
        <v/>
      </c>
      <c r="P62" s="3" t="inlineStr">
        <is>
          <t>더원</t>
        </is>
      </c>
      <c r="Q62" s="3" t="n">
        <v>1</v>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640</v>
      </c>
      <c r="J63" s="3" t="inlineStr">
        <is>
          <t>1</t>
        </is>
      </c>
      <c r="K63" s="3" t="inlineStr">
        <is>
          <t>-</t>
        </is>
      </c>
      <c r="L63" s="3" t="inlineStr">
        <is>
          <t>오송 산업단지  야드 넓은 단독 공장 호이스트 5톤 설치  전력140kw</t>
        </is>
      </c>
      <c r="M63" s="5">
        <f>HYPERLINK("https://fin.land.naver.com/articles/2646501320", "매물Link")</f>
        <v/>
      </c>
      <c r="N63" s="5">
        <f>HYPERLINK("https://map.naver.com/p/search/나성동 829", "지도Link")</f>
        <v/>
      </c>
      <c r="O63" s="5">
        <f>HYPERLINK("http://www.eum.go.kr/web/ar/lu/luLandDet.jsp?pnu=3611010700108290000&amp;isNoScr=script&amp;mode=search", "토지이음")</f>
        <v/>
      </c>
      <c r="P63" s="3" t="inlineStr">
        <is>
          <t>더원</t>
        </is>
      </c>
      <c r="Q63" s="3" t="n">
        <v>1</v>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3062</v>
      </c>
      <c r="J64" s="3" t="inlineStr">
        <is>
          <t>1</t>
        </is>
      </c>
      <c r="K64" s="3" t="inlineStr">
        <is>
          <t>-</t>
        </is>
      </c>
      <c r="L64" s="3" t="inlineStr">
        <is>
          <t>nan</t>
        </is>
      </c>
      <c r="M64" s="5">
        <f>HYPERLINK("https://fin.land.naver.com/articles/2648268088", "매물Link")</f>
        <v/>
      </c>
      <c r="N64" s="5">
        <f>HYPERLINK("https://map.naver.com/p/search/나성동 829", "지도Link")</f>
        <v/>
      </c>
      <c r="O64" s="5">
        <f>HYPERLINK("http://www.eum.go.kr/web/ar/lu/luLandDet.jsp?pnu=3611010700108290000&amp;isNoScr=script&amp;mode=search", "토지이음")</f>
        <v/>
      </c>
      <c r="P64" s="3" t="inlineStr">
        <is>
          <t>더원</t>
        </is>
      </c>
      <c r="Q64" s="3" t="n">
        <v>1</v>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696</v>
      </c>
      <c r="J65" s="3" t="inlineStr">
        <is>
          <t>1</t>
        </is>
      </c>
      <c r="K65" s="3" t="inlineStr">
        <is>
          <t>B1</t>
        </is>
      </c>
      <c r="L65" s="3" t="inlineStr">
        <is>
          <t>창고,공장,6미터도로접,다세대,다가구주택,주택지인접</t>
        </is>
      </c>
      <c r="M65" s="5">
        <f>HYPERLINK("https://fin.land.naver.com/articles/2649051596", "매물Link")</f>
        <v/>
      </c>
      <c r="N65" s="5">
        <f>HYPERLINK("https://map.naver.com/p/search/나성동 829", "지도Link")</f>
        <v/>
      </c>
      <c r="O65" s="5">
        <f>HYPERLINK("http://www.eum.go.kr/web/ar/lu/luLandDet.jsp?pnu=3611010700108290000&amp;isNoScr=script&amp;mode=search", "토지이음")</f>
        <v/>
      </c>
      <c r="P65" s="3" t="inlineStr">
        <is>
          <t>이박사</t>
        </is>
      </c>
      <c r="Q65" s="3" t="n">
        <v>1</v>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501</v>
      </c>
      <c r="J66" s="3" t="inlineStr">
        <is>
          <t>1</t>
        </is>
      </c>
      <c r="K66" s="3" t="inlineStr">
        <is>
          <t>-</t>
        </is>
      </c>
      <c r="L66" s="3" t="inlineStr">
        <is>
          <t>오송2산단 금속가공제품등 첨단관련업종 입주가능한 소형 공장매매</t>
        </is>
      </c>
      <c r="M66" s="5">
        <f>HYPERLINK("https://fin.land.naver.com/articles/2649475819", "매물Link")</f>
        <v/>
      </c>
      <c r="N66" s="5">
        <f>HYPERLINK("https://map.naver.com/p/search/나성동 829", "지도Link")</f>
        <v/>
      </c>
      <c r="O66" s="5">
        <f>HYPERLINK("http://www.eum.go.kr/web/ar/lu/luLandDet.jsp?pnu=3611010700108290000&amp;isNoScr=script&amp;mode=search", "토지이음")</f>
        <v/>
      </c>
      <c r="P66" s="3" t="inlineStr">
        <is>
          <t>더원</t>
        </is>
      </c>
      <c r="Q66" s="3" t="n">
        <v>1</v>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128</v>
      </c>
      <c r="J67" s="3" t="inlineStr">
        <is>
          <t>1</t>
        </is>
      </c>
      <c r="K67" s="3" t="inlineStr">
        <is>
          <t>-</t>
        </is>
      </c>
      <c r="L67" s="3" t="inlineStr">
        <is>
          <t>상정리 농업용창고및 인근 답 일괄매매 1차선 도로접함</t>
        </is>
      </c>
      <c r="M67" s="5">
        <f>HYPERLINK("https://fin.land.naver.com/articles/2649736654", "매물Link")</f>
        <v/>
      </c>
      <c r="N67" s="5">
        <f>HYPERLINK("https://map.naver.com/p/search/나성동 829", "지도Link")</f>
        <v/>
      </c>
      <c r="O67" s="5">
        <f>HYPERLINK("http://www.eum.go.kr/web/ar/lu/luLandDet.jsp?pnu=3611010700108290000&amp;isNoScr=script&amp;mode=search", "토지이음")</f>
        <v/>
      </c>
      <c r="P67" s="3" t="inlineStr">
        <is>
          <t>오송휴먼캐슬</t>
        </is>
      </c>
      <c r="Q67" s="3" t="n">
        <v>1</v>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128</v>
      </c>
      <c r="J68" s="3" t="inlineStr">
        <is>
          <t>1</t>
        </is>
      </c>
      <c r="K68" s="3" t="inlineStr">
        <is>
          <t>-</t>
        </is>
      </c>
      <c r="L68" s="3" t="inlineStr">
        <is>
          <t>상정리 창고용지및 답 일괄매매 상세설명참조</t>
        </is>
      </c>
      <c r="M68" s="5">
        <f>HYPERLINK("https://fin.land.naver.com/articles/2649755622", "매물Link")</f>
        <v/>
      </c>
      <c r="N68" s="5">
        <f>HYPERLINK("https://map.naver.com/p/search/나성동 829", "지도Link")</f>
        <v/>
      </c>
      <c r="O68" s="5">
        <f>HYPERLINK("http://www.eum.go.kr/web/ar/lu/luLandDet.jsp?pnu=3611010700108290000&amp;isNoScr=script&amp;mode=search", "토지이음")</f>
        <v/>
      </c>
      <c r="P68" s="3" t="inlineStr">
        <is>
          <t>자이원</t>
        </is>
      </c>
      <c r="Q68" s="3" t="n">
        <v>1</v>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171</v>
      </c>
      <c r="J69" s="3" t="inlineStr">
        <is>
          <t>1</t>
        </is>
      </c>
      <c r="K69" s="3" t="inlineStr">
        <is>
          <t>-</t>
        </is>
      </c>
      <c r="L69" s="3" t="inlineStr">
        <is>
          <t>오송역 ktx 주차장 대로변 광고효과 좋은위치이며 전면주차가능</t>
        </is>
      </c>
      <c r="M69" s="5">
        <f>HYPERLINK("https://fin.land.naver.com/articles/2644707379", "매물Link")</f>
        <v/>
      </c>
      <c r="N69" s="5">
        <f>HYPERLINK("https://map.naver.com/p/search/나성동 829", "지도Link")</f>
        <v/>
      </c>
      <c r="O69" s="5">
        <f>HYPERLINK("http://www.eum.go.kr/web/ar/lu/luLandDet.jsp?pnu=3611010700108290000&amp;isNoScr=script&amp;mode=search", "토지이음")</f>
        <v/>
      </c>
      <c r="P69" s="3" t="inlineStr">
        <is>
          <t>더원</t>
        </is>
      </c>
      <c r="Q69" s="3" t="n">
        <v>1</v>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202</v>
      </c>
      <c r="J70" s="3" t="inlineStr">
        <is>
          <t>1</t>
        </is>
      </c>
      <c r="K70" s="3" t="inlineStr">
        <is>
          <t>-</t>
        </is>
      </c>
      <c r="L70" s="3" t="inlineStr">
        <is>
          <t>공장제조업소, 2차선에서 100m 거리라 이동시 편리</t>
        </is>
      </c>
      <c r="M70" s="5">
        <f>HYPERLINK("https://fin.land.naver.com/articles/2649696714", "매물Link")</f>
        <v/>
      </c>
      <c r="N70" s="5">
        <f>HYPERLINK("https://map.naver.com/p/search/나성동 829", "지도Link")</f>
        <v/>
      </c>
      <c r="O70" s="5">
        <f>HYPERLINK("http://www.eum.go.kr/web/ar/lu/luLandDet.jsp?pnu=3611010700108290000&amp;isNoScr=script&amp;mode=search", "토지이음")</f>
        <v/>
      </c>
      <c r="P70" s="3" t="inlineStr">
        <is>
          <t>하경</t>
        </is>
      </c>
      <c r="Q70" s="3" t="n">
        <v>1</v>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160</v>
      </c>
      <c r="J71" s="3" t="inlineStr">
        <is>
          <t>1</t>
        </is>
      </c>
      <c r="K71" s="3" t="inlineStr">
        <is>
          <t>-</t>
        </is>
      </c>
      <c r="L71" s="3" t="inlineStr">
        <is>
          <t>오송1산단 대로변가에 위치 (야적과 창고 겸용 사용 가능)</t>
        </is>
      </c>
      <c r="M71" s="5">
        <f>HYPERLINK("https://fin.land.naver.com/articles/2648981276", "매물Link")</f>
        <v/>
      </c>
      <c r="N71" s="5">
        <f>HYPERLINK("https://map.naver.com/p/search/나성동 829", "지도Link")</f>
        <v/>
      </c>
      <c r="O71" s="5">
        <f>HYPERLINK("http://www.eum.go.kr/web/ar/lu/luLandDet.jsp?pnu=3611010700108290000&amp;isNoScr=script&amp;mode=search", "토지이음")</f>
        <v/>
      </c>
      <c r="P71" s="3" t="inlineStr">
        <is>
          <t>오송랜드</t>
        </is>
      </c>
      <c r="Q71" s="3" t="n">
        <v>1</v>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1917</v>
      </c>
      <c r="J72" s="3" t="inlineStr">
        <is>
          <t>1</t>
        </is>
      </c>
      <c r="K72" s="3" t="inlineStr">
        <is>
          <t>-</t>
        </is>
      </c>
      <c r="L72" s="3" t="inlineStr">
        <is>
          <t>호이스트5톤1기,1.9톤1기 설치 전력300kw 물류창고로 추천</t>
        </is>
      </c>
      <c r="M72" s="5">
        <f>HYPERLINK("https://fin.land.naver.com/articles/2644022603", "매물Link")</f>
        <v/>
      </c>
      <c r="N72" s="5">
        <f>HYPERLINK("https://map.naver.com/p/search/나성동 829", "지도Link")</f>
        <v/>
      </c>
      <c r="O72" s="5">
        <f>HYPERLINK("http://www.eum.go.kr/web/ar/lu/luLandDet.jsp?pnu=3611010700108290000&amp;isNoScr=script&amp;mode=search", "토지이음")</f>
        <v/>
      </c>
      <c r="P72" s="3" t="inlineStr">
        <is>
          <t>더원</t>
        </is>
      </c>
      <c r="Q72" s="3" t="n">
        <v>1</v>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264</v>
      </c>
      <c r="J73" s="3" t="inlineStr">
        <is>
          <t>1</t>
        </is>
      </c>
      <c r="K73" s="3" t="inlineStr">
        <is>
          <t>-</t>
        </is>
      </c>
      <c r="L73" s="3" t="inlineStr">
        <is>
          <t>옥산 농수산물 시장 인근 사무실 완비된 소형공장 매매</t>
        </is>
      </c>
      <c r="M73" s="5">
        <f>HYPERLINK("https://fin.land.naver.com/articles/2645007250", "매물Link")</f>
        <v/>
      </c>
      <c r="N73" s="5">
        <f>HYPERLINK("https://map.naver.com/p/search/나성동 829", "지도Link")</f>
        <v/>
      </c>
      <c r="O73" s="5">
        <f>HYPERLINK("http://www.eum.go.kr/web/ar/lu/luLandDet.jsp?pnu=3611010700108290000&amp;isNoScr=script&amp;mode=search", "토지이음")</f>
        <v/>
      </c>
      <c r="P73" s="3" t="inlineStr">
        <is>
          <t>더원</t>
        </is>
      </c>
      <c r="Q73" s="3" t="n">
        <v>1</v>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396</v>
      </c>
      <c r="J74" s="3" t="inlineStr">
        <is>
          <t>1</t>
        </is>
      </c>
      <c r="K74" s="3" t="inlineStr">
        <is>
          <t>-</t>
        </is>
      </c>
      <c r="L74" s="3" t="inlineStr">
        <is>
          <t>청주역로 4차선대로변 인근 신축 소형 임대</t>
        </is>
      </c>
      <c r="M74" s="5">
        <f>HYPERLINK("https://fin.land.naver.com/articles/2646669540", "매물Link")</f>
        <v/>
      </c>
      <c r="N74" s="5">
        <f>HYPERLINK("https://map.naver.com/p/search/나성동 829", "지도Link")</f>
        <v/>
      </c>
      <c r="O74" s="5">
        <f>HYPERLINK("http://www.eum.go.kr/web/ar/lu/luLandDet.jsp?pnu=3611010700108290000&amp;isNoScr=script&amp;mode=search", "토지이음")</f>
        <v/>
      </c>
      <c r="P74" s="3" t="inlineStr">
        <is>
          <t>더원</t>
        </is>
      </c>
      <c r="Q74" s="3" t="n">
        <v>1</v>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330</v>
      </c>
      <c r="J75" s="3" t="inlineStr">
        <is>
          <t>1</t>
        </is>
      </c>
      <c r="K75" s="3" t="inlineStr">
        <is>
          <t>-</t>
        </is>
      </c>
      <c r="L75" s="3" t="inlineStr">
        <is>
          <t>개발예정지, 신축창고,투자용매입가능, 임대완료된 창고</t>
        </is>
      </c>
      <c r="M75" s="5">
        <f>HYPERLINK("https://fin.land.naver.com/articles/2647432677", "매물Link")</f>
        <v/>
      </c>
      <c r="N75" s="5">
        <f>HYPERLINK("https://map.naver.com/p/search/나성동 829", "지도Link")</f>
        <v/>
      </c>
      <c r="O75" s="5">
        <f>HYPERLINK("http://www.eum.go.kr/web/ar/lu/luLandDet.jsp?pnu=3611010700108290000&amp;isNoScr=script&amp;mode=search", "토지이음")</f>
        <v/>
      </c>
      <c r="P75" s="3" t="inlineStr">
        <is>
          <t>정</t>
        </is>
      </c>
      <c r="Q75" s="3" t="n">
        <v>1</v>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294</v>
      </c>
      <c r="J76" s="3" t="inlineStr">
        <is>
          <t>1</t>
        </is>
      </c>
      <c r="K76" s="3" t="inlineStr">
        <is>
          <t>-</t>
        </is>
      </c>
      <c r="L76" s="3" t="inlineStr">
        <is>
          <t>창고시설(농업용창고)</t>
        </is>
      </c>
      <c r="M76" s="5">
        <f>HYPERLINK("https://fin.land.naver.com/articles/2644882007", "매물Link")</f>
        <v/>
      </c>
      <c r="N76" s="5">
        <f>HYPERLINK("https://map.naver.com/p/search/나성동 829", "지도Link")</f>
        <v/>
      </c>
      <c r="O76" s="5">
        <f>HYPERLINK("http://www.eum.go.kr/web/ar/lu/luLandDet.jsp?pnu=3611010700108290000&amp;isNoScr=script&amp;mode=search", "토지이음")</f>
        <v/>
      </c>
      <c r="P76" s="3" t="inlineStr">
        <is>
          <t>문광</t>
        </is>
      </c>
      <c r="Q76" s="3" t="n">
        <v>1</v>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358</v>
      </c>
      <c r="J77" s="3" t="inlineStr">
        <is>
          <t>1</t>
        </is>
      </c>
      <c r="K77" s="3" t="inlineStr">
        <is>
          <t>-</t>
        </is>
      </c>
      <c r="L77" s="3" t="inlineStr">
        <is>
          <t>신대동 도로옆 접근성 좋은  공장 창고</t>
        </is>
      </c>
      <c r="M77" s="5">
        <f>HYPERLINK("https://fin.land.naver.com/articles/2646942477", "매물Link")</f>
        <v/>
      </c>
      <c r="N77" s="5">
        <f>HYPERLINK("https://map.naver.com/p/search/나성동 829", "지도Link")</f>
        <v/>
      </c>
      <c r="O77" s="5">
        <f>HYPERLINK("http://www.eum.go.kr/web/ar/lu/luLandDet.jsp?pnu=3611010700108290000&amp;isNoScr=script&amp;mode=search", "토지이음")</f>
        <v/>
      </c>
      <c r="P77" s="3" t="inlineStr">
        <is>
          <t>시티</t>
        </is>
      </c>
      <c r="Q77" s="3" t="n">
        <v>1</v>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495</v>
      </c>
      <c r="J78" s="3" t="inlineStr">
        <is>
          <t>1</t>
        </is>
      </c>
      <c r="K78" s="3" t="inlineStr">
        <is>
          <t>-</t>
        </is>
      </c>
      <c r="L78" s="3" t="inlineStr">
        <is>
          <t>상신대</t>
        </is>
      </c>
      <c r="M78" s="5">
        <f>HYPERLINK("https://fin.land.naver.com/articles/2647788454", "매물Link")</f>
        <v/>
      </c>
      <c r="N78" s="5">
        <f>HYPERLINK("https://map.naver.com/p/search/나성동 829", "지도Link")</f>
        <v/>
      </c>
      <c r="O78" s="5">
        <f>HYPERLINK("http://www.eum.go.kr/web/ar/lu/luLandDet.jsp?pnu=3611010700108290000&amp;isNoScr=script&amp;mode=search", "토지이음")</f>
        <v/>
      </c>
      <c r="P78" s="3" t="inlineStr">
        <is>
          <t>청주합동</t>
        </is>
      </c>
      <c r="Q78" s="3" t="n">
        <v>1</v>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196</v>
      </c>
      <c r="J79" s="3" t="inlineStr">
        <is>
          <t>1</t>
        </is>
      </c>
      <c r="K79" s="3" t="inlineStr">
        <is>
          <t>-</t>
        </is>
      </c>
      <c r="L79" s="3" t="inlineStr">
        <is>
          <t>nan</t>
        </is>
      </c>
      <c r="M79" s="5">
        <f>HYPERLINK("https://fin.land.naver.com/articles/2649788860", "매물Link")</f>
        <v/>
      </c>
      <c r="N79" s="5">
        <f>HYPERLINK("https://map.naver.com/p/search/나성동 829", "지도Link")</f>
        <v/>
      </c>
      <c r="O79" s="5">
        <f>HYPERLINK("http://www.eum.go.kr/web/ar/lu/luLandDet.jsp?pnu=3611010700108290000&amp;isNoScr=script&amp;mode=search", "토지이음")</f>
        <v/>
      </c>
      <c r="P79" s="3" t="inlineStr">
        <is>
          <t>바로</t>
        </is>
      </c>
      <c r="Q79" s="3" t="n">
        <v>1</v>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330</v>
      </c>
      <c r="J80" s="3" t="inlineStr">
        <is>
          <t>1</t>
        </is>
      </c>
      <c r="K80" s="3" t="inlineStr">
        <is>
          <t>-</t>
        </is>
      </c>
      <c r="L80" s="3" t="inlineStr">
        <is>
          <t>교통편리한 위치, 농수산물시장 가까움</t>
        </is>
      </c>
      <c r="M80" s="5">
        <f>HYPERLINK("https://fin.land.naver.com/articles/2649794100", "매물Link")</f>
        <v/>
      </c>
      <c r="N80" s="5">
        <f>HYPERLINK("https://map.naver.com/p/search/나성동 829", "지도Link")</f>
        <v/>
      </c>
      <c r="O80" s="5">
        <f>HYPERLINK("http://www.eum.go.kr/web/ar/lu/luLandDet.jsp?pnu=3611010700108290000&amp;isNoScr=script&amp;mode=search", "토지이음")</f>
        <v/>
      </c>
      <c r="P80" s="3" t="inlineStr">
        <is>
          <t>바로</t>
        </is>
      </c>
      <c r="Q80" s="3" t="n">
        <v>1</v>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166</v>
      </c>
      <c r="J81" s="3" t="inlineStr">
        <is>
          <t>1</t>
        </is>
      </c>
      <c r="K81" s="3" t="inlineStr">
        <is>
          <t>-</t>
        </is>
      </c>
      <c r="L81" s="3" t="inlineStr">
        <is>
          <t>청주역인근,창고</t>
        </is>
      </c>
      <c r="M81" s="5">
        <f>HYPERLINK("https://fin.land.naver.com/articles/2646724954", "매물Link")</f>
        <v/>
      </c>
      <c r="N81" s="5">
        <f>HYPERLINK("https://map.naver.com/p/search/나성동 829", "지도Link")</f>
        <v/>
      </c>
      <c r="O81" s="5">
        <f>HYPERLINK("http://www.eum.go.kr/web/ar/lu/luLandDet.jsp?pnu=3611010700108290000&amp;isNoScr=script&amp;mode=search", "토지이음")</f>
        <v/>
      </c>
      <c r="P81" s="3" t="inlineStr">
        <is>
          <t>LBA리치아노합동사무소</t>
        </is>
      </c>
      <c r="Q81" s="3" t="n">
        <v>1</v>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297</v>
      </c>
      <c r="J82" s="3" t="inlineStr">
        <is>
          <t>1</t>
        </is>
      </c>
      <c r="K82" s="3" t="inlineStr">
        <is>
          <t>-</t>
        </is>
      </c>
      <c r="L82" s="3" t="inlineStr">
        <is>
          <t>청주역인근,창고,2층사무실있음</t>
        </is>
      </c>
      <c r="M82" s="5">
        <f>HYPERLINK("https://fin.land.naver.com/articles/2649532930", "매물Link")</f>
        <v/>
      </c>
      <c r="N82" s="5">
        <f>HYPERLINK("https://map.naver.com/p/search/나성동 829", "지도Link")</f>
        <v/>
      </c>
      <c r="O82" s="5">
        <f>HYPERLINK("http://www.eum.go.kr/web/ar/lu/luLandDet.jsp?pnu=3611010700108290000&amp;isNoScr=script&amp;mode=search", "토지이음")</f>
        <v/>
      </c>
      <c r="P82" s="3" t="inlineStr">
        <is>
          <t>LBA리치아노합동사무소</t>
        </is>
      </c>
      <c r="Q82" s="3" t="n">
        <v>1</v>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231</v>
      </c>
      <c r="J83" s="3" t="inlineStr">
        <is>
          <t>1</t>
        </is>
      </c>
      <c r="K83" s="3" t="inlineStr">
        <is>
          <t>-</t>
        </is>
      </c>
      <c r="L83" s="3" t="inlineStr">
        <is>
          <t>흥덕구 봉명동과 송절동사이 송절중학교 옆에 위치한 신축건물</t>
        </is>
      </c>
      <c r="M83" s="5">
        <f>HYPERLINK("https://fin.land.naver.com/articles/2647078448", "매물Link")</f>
        <v/>
      </c>
      <c r="N83" s="5">
        <f>HYPERLINK("https://map.naver.com/p/search/나성동 829", "지도Link")</f>
        <v/>
      </c>
      <c r="O83" s="5">
        <f>HYPERLINK("http://www.eum.go.kr/web/ar/lu/luLandDet.jsp?pnu=3611010700108290000&amp;isNoScr=script&amp;mode=search", "토지이음")</f>
        <v/>
      </c>
      <c r="P83" s="3" t="inlineStr">
        <is>
          <t>지구촌무소</t>
        </is>
      </c>
      <c r="Q83" s="3" t="n">
        <v>1</v>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2188</v>
      </c>
      <c r="J84" s="3" t="inlineStr">
        <is>
          <t>3</t>
        </is>
      </c>
      <c r="K84" s="3" t="inlineStr">
        <is>
          <t>-</t>
        </is>
      </c>
      <c r="L84" s="3" t="inlineStr">
        <is>
          <t>옥산 농수산물 시장 접근성 좋은 위치의 물류창고 냉장시설도 있음</t>
        </is>
      </c>
      <c r="M84" s="5">
        <f>HYPERLINK("https://fin.land.naver.com/articles/2646667852", "매물Link")</f>
        <v/>
      </c>
      <c r="N84" s="5">
        <f>HYPERLINK("https://map.naver.com/p/search/나성동 829", "지도Link")</f>
        <v/>
      </c>
      <c r="O84" s="5">
        <f>HYPERLINK("http://www.eum.go.kr/web/ar/lu/luLandDet.jsp?pnu=3611010700108290000&amp;isNoScr=script&amp;mode=search", "토지이음")</f>
        <v/>
      </c>
      <c r="P84" s="3" t="inlineStr">
        <is>
          <t>더원</t>
        </is>
      </c>
      <c r="Q84" s="3" t="n">
        <v>1</v>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232</v>
      </c>
      <c r="J85" s="3" t="inlineStr">
        <is>
          <t>1</t>
        </is>
      </c>
      <c r="K85" s="3" t="inlineStr">
        <is>
          <t>-</t>
        </is>
      </c>
      <c r="L85" s="3" t="inlineStr">
        <is>
          <t>nan</t>
        </is>
      </c>
      <c r="M85" s="5">
        <f>HYPERLINK("https://fin.land.naver.com/articles/2647683698", "매물Link")</f>
        <v/>
      </c>
      <c r="N85" s="5">
        <f>HYPERLINK("https://map.naver.com/p/search/나성동 829", "지도Link")</f>
        <v/>
      </c>
      <c r="O85" s="5">
        <f>HYPERLINK("http://www.eum.go.kr/web/ar/lu/luLandDet.jsp?pnu=3611010700108290000&amp;isNoScr=script&amp;mode=search", "토지이음")</f>
        <v/>
      </c>
      <c r="P85" s="3" t="inlineStr">
        <is>
          <t>교차로</t>
        </is>
      </c>
      <c r="Q85" s="3" t="n">
        <v>1</v>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429</v>
      </c>
      <c r="J86" s="3" t="inlineStr">
        <is>
          <t>1</t>
        </is>
      </c>
      <c r="K86" s="3" t="inlineStr">
        <is>
          <t>-</t>
        </is>
      </c>
      <c r="L86" s="3" t="inlineStr">
        <is>
          <t>마당 넓은 준 신축 자원순환시설 매매 폐기물,재활용 업체 추천</t>
        </is>
      </c>
      <c r="M86" s="5">
        <f>HYPERLINK("https://fin.land.naver.com/articles/2648166118", "매물Link")</f>
        <v/>
      </c>
      <c r="N86" s="5">
        <f>HYPERLINK("https://map.naver.com/p/search/나성동 829", "지도Link")</f>
        <v/>
      </c>
      <c r="O86" s="5">
        <f>HYPERLINK("http://www.eum.go.kr/web/ar/lu/luLandDet.jsp?pnu=3611010700108290000&amp;isNoScr=script&amp;mode=search", "토지이음")</f>
        <v/>
      </c>
      <c r="P86" s="3" t="inlineStr">
        <is>
          <t>삼익</t>
        </is>
      </c>
      <c r="Q86" s="3" t="n">
        <v>1</v>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837</v>
      </c>
      <c r="J87" s="3" t="inlineStr">
        <is>
          <t>1</t>
        </is>
      </c>
      <c r="K87" s="3" t="inlineStr">
        <is>
          <t>-</t>
        </is>
      </c>
      <c r="L87" s="3" t="inlineStr">
        <is>
          <t>대형 창고 임대 넓은 창고 공간  압도적인 대지면적  여유로운 주차</t>
        </is>
      </c>
      <c r="M87" s="5">
        <f>HYPERLINK("https://fin.land.naver.com/articles/2648251738", "매물Link")</f>
        <v/>
      </c>
      <c r="N87" s="5">
        <f>HYPERLINK("https://map.naver.com/p/search/나성동 829", "지도Link")</f>
        <v/>
      </c>
      <c r="O87" s="5">
        <f>HYPERLINK("http://www.eum.go.kr/web/ar/lu/luLandDet.jsp?pnu=3611010700108290000&amp;isNoScr=script&amp;mode=search", "토지이음")</f>
        <v/>
      </c>
      <c r="P87" s="3" t="inlineStr">
        <is>
          <t>대소</t>
        </is>
      </c>
      <c r="Q87" s="3" t="n">
        <v>1</v>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7626</v>
      </c>
      <c r="J88" s="3" t="inlineStr">
        <is>
          <t>1</t>
        </is>
      </c>
      <c r="K88" s="3" t="inlineStr">
        <is>
          <t>-</t>
        </is>
      </c>
      <c r="L88" s="3" t="inlineStr">
        <is>
          <t>남청주 IC에서 가까워 대형차 진출입 용이, 대형공장층고 높고 깨끗함</t>
        </is>
      </c>
      <c r="M88" s="5">
        <f>HYPERLINK("https://fin.land.naver.com/articles/2649085211", "매물Link")</f>
        <v/>
      </c>
      <c r="N88" s="5">
        <f>HYPERLINK("https://map.naver.com/p/search/나성동 829", "지도Link")</f>
        <v/>
      </c>
      <c r="O88" s="5">
        <f>HYPERLINK("http://www.eum.go.kr/web/ar/lu/luLandDet.jsp?pnu=3611010700108290000&amp;isNoScr=script&amp;mode=search", "토지이음")</f>
        <v/>
      </c>
      <c r="P88" s="3" t="inlineStr">
        <is>
          <t>(주)미르</t>
        </is>
      </c>
      <c r="Q88" s="3" t="n">
        <v>1</v>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1500</v>
      </c>
      <c r="J89" s="3" t="inlineStr">
        <is>
          <t>1</t>
        </is>
      </c>
      <c r="K89" s="3" t="inlineStr">
        <is>
          <t>-</t>
        </is>
      </c>
      <c r="L89" s="3" t="inlineStr">
        <is>
          <t>남청주IC에서 가까워 대형차 진출입이 편리한 곳,왕복2차선 도로변</t>
        </is>
      </c>
      <c r="M89" s="5">
        <f>HYPERLINK("https://fin.land.naver.com/articles/2649271980", "매물Link")</f>
        <v/>
      </c>
      <c r="N89" s="5">
        <f>HYPERLINK("https://map.naver.com/p/search/나성동 829", "지도Link")</f>
        <v/>
      </c>
      <c r="O89" s="5">
        <f>HYPERLINK("http://www.eum.go.kr/web/ar/lu/luLandDet.jsp?pnu=3611010700108290000&amp;isNoScr=script&amp;mode=search", "토지이음")</f>
        <v/>
      </c>
      <c r="P89" s="3" t="inlineStr">
        <is>
          <t>(주)미르</t>
        </is>
      </c>
      <c r="Q89" s="3" t="n">
        <v>1</v>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6717</v>
      </c>
      <c r="J90" s="3" t="inlineStr">
        <is>
          <t>4</t>
        </is>
      </c>
      <c r="K90" s="3" t="inlineStr">
        <is>
          <t>-</t>
        </is>
      </c>
      <c r="L90" s="3" t="inlineStr">
        <is>
          <t>남청주ic 5분거리 호이스트 설치된 대형 공장 매매</t>
        </is>
      </c>
      <c r="M90" s="5">
        <f>HYPERLINK("https://fin.land.naver.com/articles/2649479706", "매물Link")</f>
        <v/>
      </c>
      <c r="N90" s="5">
        <f>HYPERLINK("https://map.naver.com/p/search/나성동 829", "지도Link")</f>
        <v/>
      </c>
      <c r="O90" s="5">
        <f>HYPERLINK("http://www.eum.go.kr/web/ar/lu/luLandDet.jsp?pnu=3611010700108290000&amp;isNoScr=script&amp;mode=search", "토지이음")</f>
        <v/>
      </c>
      <c r="P90" s="3" t="inlineStr">
        <is>
          <t>더원</t>
        </is>
      </c>
      <c r="Q90" s="3" t="n">
        <v>1</v>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1157</v>
      </c>
      <c r="J91" s="3" t="inlineStr">
        <is>
          <t>1</t>
        </is>
      </c>
      <c r="K91" s="3" t="inlineStr">
        <is>
          <t>-</t>
        </is>
      </c>
      <c r="L91" s="3" t="inlineStr">
        <is>
          <t>남청주IC 인근  대형창고 임대   층고높음  빠른 입주 가능</t>
        </is>
      </c>
      <c r="M91" s="5">
        <f>HYPERLINK("https://fin.land.naver.com/articles/2649606866", "매물Link")</f>
        <v/>
      </c>
      <c r="N91" s="5">
        <f>HYPERLINK("https://map.naver.com/p/search/나성동 829", "지도Link")</f>
        <v/>
      </c>
      <c r="O91" s="5">
        <f>HYPERLINK("http://www.eum.go.kr/web/ar/lu/luLandDet.jsp?pnu=3611010700108290000&amp;isNoScr=script&amp;mode=search", "토지이음")</f>
        <v/>
      </c>
      <c r="P91" s="3" t="inlineStr">
        <is>
          <t>삼익</t>
        </is>
      </c>
      <c r="Q91" s="3" t="n">
        <v>1</v>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787</v>
      </c>
      <c r="J92" s="3" t="inlineStr">
        <is>
          <t>1</t>
        </is>
      </c>
      <c r="K92" s="3" t="inlineStr">
        <is>
          <t>-</t>
        </is>
      </c>
      <c r="L92" s="3" t="inlineStr">
        <is>
          <t>남청주ic 접근성 좋은 위치의 공장 2차선도로진입</t>
        </is>
      </c>
      <c r="M92" s="5">
        <f>HYPERLINK("https://fin.land.naver.com/articles/2649677413", "매물Link")</f>
        <v/>
      </c>
      <c r="N92" s="5">
        <f>HYPERLINK("https://map.naver.com/p/search/나성동 829", "지도Link")</f>
        <v/>
      </c>
      <c r="O92" s="5">
        <f>HYPERLINK("http://www.eum.go.kr/web/ar/lu/luLandDet.jsp?pnu=3611010700108290000&amp;isNoScr=script&amp;mode=search", "토지이음")</f>
        <v/>
      </c>
      <c r="P92" s="3" t="inlineStr">
        <is>
          <t>더원</t>
        </is>
      </c>
      <c r="Q92" s="3" t="n">
        <v>1</v>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20328</v>
      </c>
      <c r="J93" s="3" t="inlineStr">
        <is>
          <t>1</t>
        </is>
      </c>
      <c r="K93" s="3" t="inlineStr">
        <is>
          <t>-</t>
        </is>
      </c>
      <c r="L93" s="3" t="inlineStr">
        <is>
          <t>남청주ic 접근성 좋은 위치의 중부권 공장 및 물류창고 최적 투자용추천</t>
        </is>
      </c>
      <c r="M93" s="5">
        <f>HYPERLINK("https://fin.land.naver.com/articles/2649685488", "매물Link")</f>
        <v/>
      </c>
      <c r="N93" s="5">
        <f>HYPERLINK("https://map.naver.com/p/search/나성동 829", "지도Link")</f>
        <v/>
      </c>
      <c r="O93" s="5">
        <f>HYPERLINK("http://www.eum.go.kr/web/ar/lu/luLandDet.jsp?pnu=3611010700108290000&amp;isNoScr=script&amp;mode=search", "토지이음")</f>
        <v/>
      </c>
      <c r="P93" s="3" t="inlineStr">
        <is>
          <t>더원</t>
        </is>
      </c>
      <c r="Q93" s="3" t="n">
        <v>1</v>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538</v>
      </c>
      <c r="J94" s="3" t="inlineStr">
        <is>
          <t>1</t>
        </is>
      </c>
      <c r="K94" s="3" t="inlineStr">
        <is>
          <t>-</t>
        </is>
      </c>
      <c r="L94" s="3" t="inlineStr">
        <is>
          <t>남청주ic 7분거리 공장2동 넓은 마당 호이스트설치 층고10.9m</t>
        </is>
      </c>
      <c r="M94" s="5">
        <f>HYPERLINK("https://fin.land.naver.com/articles/2649685703", "매물Link")</f>
        <v/>
      </c>
      <c r="N94" s="5">
        <f>HYPERLINK("https://map.naver.com/p/search/나성동 829", "지도Link")</f>
        <v/>
      </c>
      <c r="O94" s="5">
        <f>HYPERLINK("http://www.eum.go.kr/web/ar/lu/luLandDet.jsp?pnu=3611010700108290000&amp;isNoScr=script&amp;mode=search", "토지이음")</f>
        <v/>
      </c>
      <c r="P94" s="3" t="inlineStr">
        <is>
          <t>더원</t>
        </is>
      </c>
      <c r="Q94" s="3" t="n">
        <v>1</v>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176</v>
      </c>
      <c r="J95" s="3" t="inlineStr">
        <is>
          <t>1</t>
        </is>
      </c>
      <c r="K95" s="3" t="inlineStr">
        <is>
          <t>-</t>
        </is>
      </c>
      <c r="L95" s="3" t="inlineStr">
        <is>
          <t>현도면 소형 창고 단독사용, 야적및 주차공간 넉넉함.</t>
        </is>
      </c>
      <c r="M95" s="5">
        <f>HYPERLINK("https://fin.land.naver.com/articles/2649939223", "매물Link")</f>
        <v/>
      </c>
      <c r="N95" s="5">
        <f>HYPERLINK("https://map.naver.com/p/search/나성동 829", "지도Link")</f>
        <v/>
      </c>
      <c r="O95" s="5">
        <f>HYPERLINK("http://www.eum.go.kr/web/ar/lu/luLandDet.jsp?pnu=3611010700108290000&amp;isNoScr=script&amp;mode=search", "토지이음")</f>
        <v/>
      </c>
      <c r="P95" s="3" t="inlineStr">
        <is>
          <t>신탄진다온</t>
        </is>
      </c>
      <c r="Q95" s="3" t="n">
        <v>1</v>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960</v>
      </c>
      <c r="J96" s="3" t="inlineStr">
        <is>
          <t>1</t>
        </is>
      </c>
      <c r="K96" s="3" t="inlineStr">
        <is>
          <t>-</t>
        </is>
      </c>
      <c r="L96" s="3" t="inlineStr">
        <is>
          <t>남청주 톨게이트 인근 컨디션좋은 창고 매매</t>
        </is>
      </c>
      <c r="M96" s="5">
        <f>HYPERLINK("https://fin.land.naver.com/articles/2649941632", "매물Link")</f>
        <v/>
      </c>
      <c r="N96" s="5">
        <f>HYPERLINK("https://map.naver.com/p/search/나성동 829", "지도Link")</f>
        <v/>
      </c>
      <c r="O96" s="5">
        <f>HYPERLINK("http://www.eum.go.kr/web/ar/lu/luLandDet.jsp?pnu=3611010700108290000&amp;isNoScr=script&amp;mode=search", "토지이음")</f>
        <v/>
      </c>
      <c r="P96" s="3" t="inlineStr">
        <is>
          <t>신탄진다온</t>
        </is>
      </c>
      <c r="Q96" s="3" t="n">
        <v>1</v>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493</v>
      </c>
      <c r="J97" s="3" t="inlineStr">
        <is>
          <t>1</t>
        </is>
      </c>
      <c r="K97" s="3" t="inlineStr">
        <is>
          <t>-</t>
        </is>
      </c>
      <c r="L97" s="3" t="inlineStr">
        <is>
          <t>남청주ic 접근성좋음  2차선도로진입가능 공장창고임대</t>
        </is>
      </c>
      <c r="M97" s="5">
        <f>HYPERLINK("https://fin.land.naver.com/articles/2649685381", "매물Link")</f>
        <v/>
      </c>
      <c r="N97" s="5">
        <f>HYPERLINK("https://map.naver.com/p/search/나성동 829", "지도Link")</f>
        <v/>
      </c>
      <c r="O97" s="5">
        <f>HYPERLINK("http://www.eum.go.kr/web/ar/lu/luLandDet.jsp?pnu=3611010700108290000&amp;isNoScr=script&amp;mode=search", "토지이음")</f>
        <v/>
      </c>
      <c r="P97" s="3" t="inlineStr">
        <is>
          <t>더원</t>
        </is>
      </c>
      <c r="Q97" s="3" t="n">
        <v>1</v>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13463</v>
      </c>
      <c r="J98" s="3" t="inlineStr">
        <is>
          <t>3</t>
        </is>
      </c>
      <c r="K98" s="3" t="inlineStr">
        <is>
          <t>B1</t>
        </is>
      </c>
      <c r="L98" s="3" t="inlineStr">
        <is>
          <t>남청주ic 접근성 좋은 냉장.냉동 .상온 대형물류창고  도크시설완비</t>
        </is>
      </c>
      <c r="M98" s="5">
        <f>HYPERLINK("https://fin.land.naver.com/articles/2648089915", "매물Link")</f>
        <v/>
      </c>
      <c r="N98" s="5">
        <f>HYPERLINK("https://map.naver.com/p/search/나성동 829", "지도Link")</f>
        <v/>
      </c>
      <c r="O98" s="5">
        <f>HYPERLINK("http://www.eum.go.kr/web/ar/lu/luLandDet.jsp?pnu=3611010700108290000&amp;isNoScr=script&amp;mode=search", "토지이음")</f>
        <v/>
      </c>
      <c r="P98" s="3" t="inlineStr">
        <is>
          <t>더원</t>
        </is>
      </c>
      <c r="Q98" s="3" t="n">
        <v>1</v>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331</v>
      </c>
      <c r="J99" s="3" t="inlineStr">
        <is>
          <t>1</t>
        </is>
      </c>
      <c r="K99" s="3" t="inlineStr">
        <is>
          <t>-</t>
        </is>
      </c>
      <c r="L99" s="3" t="inlineStr">
        <is>
          <t>Point 계획관리 귀한 임대 매물, 지목 변경 없이 사용 가능</t>
        </is>
      </c>
      <c r="M99" s="5">
        <f>HYPERLINK("https://fin.land.naver.com/articles/2647900394", "매물Link")</f>
        <v/>
      </c>
      <c r="N99" s="5">
        <f>HYPERLINK("https://map.naver.com/p/search/나성동 829", "지도Link")</f>
        <v/>
      </c>
      <c r="O99" s="5">
        <f>HYPERLINK("http://www.eum.go.kr/web/ar/lu/luLandDet.jsp?pnu=3611010700108290000&amp;isNoScr=script&amp;mode=search", "토지이음")</f>
        <v/>
      </c>
      <c r="P99" s="3" t="inlineStr">
        <is>
          <t>도마호반</t>
        </is>
      </c>
      <c r="Q99" s="3" t="n">
        <v>1</v>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2555</v>
      </c>
      <c r="J100" s="3" t="inlineStr">
        <is>
          <t>1</t>
        </is>
      </c>
      <c r="K100" s="3" t="inlineStr">
        <is>
          <t>-</t>
        </is>
      </c>
      <c r="L100" s="3" t="inlineStr">
        <is>
          <t>단독 창고 임대  민원 없는 입지  마당 넓음  대형차 가능</t>
        </is>
      </c>
      <c r="M100" s="5">
        <f>HYPERLINK("https://fin.land.naver.com/articles/2646747760", "매물Link")</f>
        <v/>
      </c>
      <c r="N100" s="5">
        <f>HYPERLINK("https://map.naver.com/p/search/나성동 829", "지도Link")</f>
        <v/>
      </c>
      <c r="O100" s="5">
        <f>HYPERLINK("http://www.eum.go.kr/web/ar/lu/luLandDet.jsp?pnu=3611010700108290000&amp;isNoScr=script&amp;mode=search", "토지이음")</f>
        <v/>
      </c>
      <c r="P100" s="3" t="inlineStr">
        <is>
          <t>삼익</t>
        </is>
      </c>
      <c r="Q100" s="3" t="n">
        <v>1</v>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3550</v>
      </c>
      <c r="J101" s="3" t="inlineStr">
        <is>
          <t>3</t>
        </is>
      </c>
      <c r="K101" s="3" t="inlineStr">
        <is>
          <t>-</t>
        </is>
      </c>
      <c r="L101" s="3" t="inlineStr">
        <is>
          <t>nan</t>
        </is>
      </c>
      <c r="M101" s="5">
        <f>HYPERLINK("https://fin.land.naver.com/articles/2646774723", "매물Link")</f>
        <v/>
      </c>
      <c r="N101" s="5">
        <f>HYPERLINK("https://map.naver.com/p/search/나성동 829", "지도Link")</f>
        <v/>
      </c>
      <c r="O101" s="5">
        <f>HYPERLINK("http://www.eum.go.kr/web/ar/lu/luLandDet.jsp?pnu=3611010700108290000&amp;isNoScr=script&amp;mode=search", "토지이음")</f>
        <v/>
      </c>
      <c r="P101" s="3" t="inlineStr">
        <is>
          <t>미더스</t>
        </is>
      </c>
      <c r="Q101" s="3" t="n">
        <v>1</v>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453</v>
      </c>
      <c r="J102" s="3" t="inlineStr">
        <is>
          <t>2</t>
        </is>
      </c>
      <c r="K102" s="3" t="inlineStr">
        <is>
          <t>-</t>
        </is>
      </c>
      <c r="L102" s="3" t="inlineStr">
        <is>
          <t>준신축 공장매매  넓은 마당  빠른입주 가능</t>
        </is>
      </c>
      <c r="M102" s="5">
        <f>HYPERLINK("https://fin.land.naver.com/articles/2647589764", "매물Link")</f>
        <v/>
      </c>
      <c r="N102" s="5">
        <f>HYPERLINK("https://map.naver.com/p/search/나성동 829", "지도Link")</f>
        <v/>
      </c>
      <c r="O102" s="5">
        <f>HYPERLINK("http://www.eum.go.kr/web/ar/lu/luLandDet.jsp?pnu=3611010700108290000&amp;isNoScr=script&amp;mode=search", "토지이음")</f>
        <v/>
      </c>
      <c r="P102" s="3" t="inlineStr">
        <is>
          <t>삼익</t>
        </is>
      </c>
      <c r="Q102" s="3" t="n">
        <v>1</v>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979</v>
      </c>
      <c r="J103" s="3" t="inlineStr">
        <is>
          <t>1</t>
        </is>
      </c>
      <c r="K103" s="3" t="inlineStr">
        <is>
          <t>-</t>
        </is>
      </c>
      <c r="L103" s="3" t="inlineStr">
        <is>
          <t>사진, 남청주IC5분, 넓은마당, 호이스트있음, 2종근생제조, 대형차진입</t>
        </is>
      </c>
      <c r="M103" s="5">
        <f>HYPERLINK("https://fin.land.naver.com/articles/2645488436", "매물Link")</f>
        <v/>
      </c>
      <c r="N103" s="5">
        <f>HYPERLINK("https://map.naver.com/p/search/나성동 829", "지도Link")</f>
        <v/>
      </c>
      <c r="O103" s="5">
        <f>HYPERLINK("http://www.eum.go.kr/web/ar/lu/luLandDet.jsp?pnu=3611010700108290000&amp;isNoScr=script&amp;mode=search", "토지이음")</f>
        <v/>
      </c>
      <c r="P103" s="3" t="inlineStr">
        <is>
          <t>OK허니</t>
        </is>
      </c>
      <c r="Q103" s="3" t="n">
        <v>1</v>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677</v>
      </c>
      <c r="J104" s="3" t="inlineStr">
        <is>
          <t>1</t>
        </is>
      </c>
      <c r="K104" s="3" t="inlineStr">
        <is>
          <t>-</t>
        </is>
      </c>
      <c r="L104" s="3" t="inlineStr">
        <is>
          <t>마당넓은 주차하기좋은공장및창고입니다2층사무실완비</t>
        </is>
      </c>
      <c r="M104" s="5">
        <f>HYPERLINK("https://fin.land.naver.com/articles/2644475903", "매물Link")</f>
        <v/>
      </c>
      <c r="N104" s="5">
        <f>HYPERLINK("https://map.naver.com/p/search/나성동 829", "지도Link")</f>
        <v/>
      </c>
      <c r="O104" s="5">
        <f>HYPERLINK("http://www.eum.go.kr/web/ar/lu/luLandDet.jsp?pnu=3611010700108290000&amp;isNoScr=script&amp;mode=search", "토지이음")</f>
        <v/>
      </c>
      <c r="P104" s="3" t="inlineStr">
        <is>
          <t>남청주ic합동무소</t>
        </is>
      </c>
      <c r="Q104" s="3" t="n">
        <v>1</v>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216</v>
      </c>
      <c r="J105" s="3" t="inlineStr">
        <is>
          <t>1</t>
        </is>
      </c>
      <c r="K105" s="3" t="inlineStr">
        <is>
          <t>-</t>
        </is>
      </c>
      <c r="L105" s="3" t="inlineStr">
        <is>
          <t>신규창고공장입니다가격조절가능함</t>
        </is>
      </c>
      <c r="M105" s="5">
        <f>HYPERLINK("https://fin.land.naver.com/articles/2644476368", "매물Link")</f>
        <v/>
      </c>
      <c r="N105" s="5">
        <f>HYPERLINK("https://map.naver.com/p/search/나성동 829", "지도Link")</f>
        <v/>
      </c>
      <c r="O105" s="5">
        <f>HYPERLINK("http://www.eum.go.kr/web/ar/lu/luLandDet.jsp?pnu=3611010700108290000&amp;isNoScr=script&amp;mode=search", "토지이음")</f>
        <v/>
      </c>
      <c r="P105" s="3" t="inlineStr">
        <is>
          <t>남청주ic합동무소</t>
        </is>
      </c>
      <c r="Q105" s="3" t="n">
        <v>1</v>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998</v>
      </c>
      <c r="J106" s="3" t="inlineStr">
        <is>
          <t>1</t>
        </is>
      </c>
      <c r="K106" s="3" t="inlineStr">
        <is>
          <t>-</t>
        </is>
      </c>
      <c r="L106" s="3" t="inlineStr">
        <is>
          <t>접근성좋은 신축공장매매합니다</t>
        </is>
      </c>
      <c r="M106" s="5">
        <f>HYPERLINK("https://fin.land.naver.com/articles/2647822943", "매물Link")</f>
        <v/>
      </c>
      <c r="N106" s="5">
        <f>HYPERLINK("https://map.naver.com/p/search/나성동 829", "지도Link")</f>
        <v/>
      </c>
      <c r="O106" s="5">
        <f>HYPERLINK("http://www.eum.go.kr/web/ar/lu/luLandDet.jsp?pnu=3611010700108290000&amp;isNoScr=script&amp;mode=search", "토지이음")</f>
        <v/>
      </c>
      <c r="P106" s="3" t="inlineStr">
        <is>
          <t>복댕이무소</t>
        </is>
      </c>
      <c r="Q106" s="3" t="n">
        <v>1</v>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601</v>
      </c>
      <c r="J107" s="3" t="inlineStr">
        <is>
          <t>1</t>
        </is>
      </c>
      <c r="K107" s="3" t="inlineStr">
        <is>
          <t>-</t>
        </is>
      </c>
      <c r="L107" s="3" t="inlineStr">
        <is>
          <t>신축공장 매매2동</t>
        </is>
      </c>
      <c r="M107" s="5">
        <f>HYPERLINK("https://fin.land.naver.com/articles/2648000913", "매물Link")</f>
        <v/>
      </c>
      <c r="N107" s="5">
        <f>HYPERLINK("https://map.naver.com/p/search/나성동 829", "지도Link")</f>
        <v/>
      </c>
      <c r="O107" s="5">
        <f>HYPERLINK("http://www.eum.go.kr/web/ar/lu/luLandDet.jsp?pnu=3611010700108290000&amp;isNoScr=script&amp;mode=search", "토지이음")</f>
        <v/>
      </c>
      <c r="P107" s="3" t="inlineStr">
        <is>
          <t>정세영</t>
        </is>
      </c>
      <c r="Q107" s="3" t="n">
        <v>1</v>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475</v>
      </c>
      <c r="J108" s="3" t="inlineStr">
        <is>
          <t>2</t>
        </is>
      </c>
      <c r="K108" s="3" t="inlineStr">
        <is>
          <t>-</t>
        </is>
      </c>
      <c r="L108" s="3" t="inlineStr">
        <is>
          <t>nan</t>
        </is>
      </c>
      <c r="M108" s="5">
        <f>HYPERLINK("https://fin.land.naver.com/articles/2648272162", "매물Link")</f>
        <v/>
      </c>
      <c r="N108" s="5">
        <f>HYPERLINK("https://map.naver.com/p/search/나성동 829", "지도Link")</f>
        <v/>
      </c>
      <c r="O108" s="5">
        <f>HYPERLINK("http://www.eum.go.kr/web/ar/lu/luLandDet.jsp?pnu=3611010700108290000&amp;isNoScr=script&amp;mode=search", "토지이음")</f>
        <v/>
      </c>
      <c r="P108" s="3" t="inlineStr">
        <is>
          <t>신영</t>
        </is>
      </c>
      <c r="Q108" s="3" t="n">
        <v>1</v>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356</v>
      </c>
      <c r="J109" s="3" t="inlineStr">
        <is>
          <t>2</t>
        </is>
      </c>
      <c r="K109" s="3" t="inlineStr">
        <is>
          <t>-</t>
        </is>
      </c>
      <c r="L109" s="3" t="inlineStr">
        <is>
          <t>남이면 외천리는 청주 중심가는 물론, 세종시 및 대전과의 접근성이 매우</t>
        </is>
      </c>
      <c r="M109" s="5">
        <f>HYPERLINK("https://fin.land.naver.com/articles/2648272377", "매물Link")</f>
        <v/>
      </c>
      <c r="N109" s="5">
        <f>HYPERLINK("https://map.naver.com/p/search/나성동 829", "지도Link")</f>
        <v/>
      </c>
      <c r="O109" s="5">
        <f>HYPERLINK("http://www.eum.go.kr/web/ar/lu/luLandDet.jsp?pnu=3611010700108290000&amp;isNoScr=script&amp;mode=search", "토지이음")</f>
        <v/>
      </c>
      <c r="P109" s="3" t="inlineStr">
        <is>
          <t>신영</t>
        </is>
      </c>
      <c r="Q109" s="3" t="n">
        <v>1</v>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987</v>
      </c>
      <c r="J110" s="3" t="inlineStr">
        <is>
          <t>1</t>
        </is>
      </c>
      <c r="K110" s="3" t="inlineStr">
        <is>
          <t>-</t>
        </is>
      </c>
      <c r="L110" s="3" t="inlineStr">
        <is>
          <t>nan</t>
        </is>
      </c>
      <c r="M110" s="5">
        <f>HYPERLINK("https://fin.land.naver.com/articles/2648338776", "매물Link")</f>
        <v/>
      </c>
      <c r="N110" s="5">
        <f>HYPERLINK("https://map.naver.com/p/search/나성동 829", "지도Link")</f>
        <v/>
      </c>
      <c r="O110" s="5">
        <f>HYPERLINK("http://www.eum.go.kr/web/ar/lu/luLandDet.jsp?pnu=3611010700108290000&amp;isNoScr=script&amp;mode=search", "토지이음")</f>
        <v/>
      </c>
      <c r="P110" s="3" t="inlineStr">
        <is>
          <t>오너스</t>
        </is>
      </c>
      <c r="Q110" s="3" t="n">
        <v>1</v>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1100</v>
      </c>
      <c r="J111" s="3" t="inlineStr">
        <is>
          <t>1</t>
        </is>
      </c>
      <c r="K111" s="3" t="inlineStr">
        <is>
          <t>-</t>
        </is>
      </c>
      <c r="L111" s="3" t="inlineStr">
        <is>
          <t>척산에 있는공장 2층사무실있슴</t>
        </is>
      </c>
      <c r="M111" s="5">
        <f>HYPERLINK("https://fin.land.naver.com/articles/2644476801", "매물Link")</f>
        <v/>
      </c>
      <c r="N111" s="5">
        <f>HYPERLINK("https://map.naver.com/p/search/나성동 829", "지도Link")</f>
        <v/>
      </c>
      <c r="O111" s="5">
        <f>HYPERLINK("http://www.eum.go.kr/web/ar/lu/luLandDet.jsp?pnu=3611010700108290000&amp;isNoScr=script&amp;mode=search", "토지이음")</f>
        <v/>
      </c>
      <c r="P111" s="3" t="inlineStr">
        <is>
          <t>남청주ic합동무소</t>
        </is>
      </c>
      <c r="Q111" s="3" t="n">
        <v>1</v>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925</v>
      </c>
      <c r="J112" s="3" t="inlineStr">
        <is>
          <t>1</t>
        </is>
      </c>
      <c r="K112" s="3" t="inlineStr">
        <is>
          <t>-</t>
        </is>
      </c>
      <c r="L112" s="3" t="inlineStr">
        <is>
          <t>신축입니다</t>
        </is>
      </c>
      <c r="M112" s="5">
        <f>HYPERLINK("https://fin.land.naver.com/articles/2644477624", "매물Link")</f>
        <v/>
      </c>
      <c r="N112" s="5">
        <f>HYPERLINK("https://map.naver.com/p/search/나성동 829", "지도Link")</f>
        <v/>
      </c>
      <c r="O112" s="5">
        <f>HYPERLINK("http://www.eum.go.kr/web/ar/lu/luLandDet.jsp?pnu=3611010700108290000&amp;isNoScr=script&amp;mode=search", "토지이음")</f>
        <v/>
      </c>
      <c r="P112" s="3" t="inlineStr">
        <is>
          <t>남청주ic합동무소</t>
        </is>
      </c>
      <c r="Q112" s="3" t="n">
        <v>1</v>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165</v>
      </c>
      <c r="J113" s="3" t="inlineStr">
        <is>
          <t>1</t>
        </is>
      </c>
      <c r="K113" s="3" t="inlineStr">
        <is>
          <t>-</t>
        </is>
      </c>
      <c r="L113" s="3" t="inlineStr">
        <is>
          <t>nan</t>
        </is>
      </c>
      <c r="M113" s="5">
        <f>HYPERLINK("https://fin.land.naver.com/articles/2645313546", "매물Link")</f>
        <v/>
      </c>
      <c r="N113" s="5">
        <f>HYPERLINK("https://map.naver.com/p/search/나성동 829", "지도Link")</f>
        <v/>
      </c>
      <c r="O113" s="5">
        <f>HYPERLINK("http://www.eum.go.kr/web/ar/lu/luLandDet.jsp?pnu=3611010700108290000&amp;isNoScr=script&amp;mode=search", "토지이음")</f>
        <v/>
      </c>
      <c r="P113" s="3" t="inlineStr">
        <is>
          <t>사랑</t>
        </is>
      </c>
      <c r="Q113" s="3" t="n">
        <v>1</v>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330</v>
      </c>
      <c r="J114" s="3" t="inlineStr">
        <is>
          <t>1</t>
        </is>
      </c>
      <c r="K114" s="3" t="inlineStr">
        <is>
          <t>-</t>
        </is>
      </c>
      <c r="L114" s="3" t="inlineStr">
        <is>
          <t>nan</t>
        </is>
      </c>
      <c r="M114" s="5">
        <f>HYPERLINK("https://fin.land.naver.com/articles/2645348021", "매물Link")</f>
        <v/>
      </c>
      <c r="N114" s="5">
        <f>HYPERLINK("https://map.naver.com/p/search/나성동 829", "지도Link")</f>
        <v/>
      </c>
      <c r="O114" s="5">
        <f>HYPERLINK("http://www.eum.go.kr/web/ar/lu/luLandDet.jsp?pnu=3611010700108290000&amp;isNoScr=script&amp;mode=search", "토지이음")</f>
        <v/>
      </c>
      <c r="P114" s="3" t="inlineStr">
        <is>
          <t>명품 사무소</t>
        </is>
      </c>
      <c r="Q114" s="3" t="n">
        <v>1</v>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382</v>
      </c>
      <c r="J115" s="3" t="inlineStr">
        <is>
          <t>1</t>
        </is>
      </c>
      <c r="K115" s="3" t="inlineStr">
        <is>
          <t>-</t>
        </is>
      </c>
      <c r="L115" s="3" t="inlineStr">
        <is>
          <t>nan</t>
        </is>
      </c>
      <c r="M115" s="5">
        <f>HYPERLINK("https://fin.land.naver.com/articles/2645777001", "매물Link")</f>
        <v/>
      </c>
      <c r="N115" s="5">
        <f>HYPERLINK("https://map.naver.com/p/search/나성동 829", "지도Link")</f>
        <v/>
      </c>
      <c r="O115" s="5">
        <f>HYPERLINK("http://www.eum.go.kr/web/ar/lu/luLandDet.jsp?pnu=3611010700108290000&amp;isNoScr=script&amp;mode=search", "토지이음")</f>
        <v/>
      </c>
      <c r="P115" s="3" t="inlineStr">
        <is>
          <t>오너스</t>
        </is>
      </c>
      <c r="Q115" s="3" t="n">
        <v>1</v>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1665</v>
      </c>
      <c r="J116" s="3" t="inlineStr">
        <is>
          <t>3</t>
        </is>
      </c>
      <c r="K116" s="3" t="inlineStr">
        <is>
          <t>-</t>
        </is>
      </c>
      <c r="L116" s="3" t="inlineStr">
        <is>
          <t>3층2종근생2동 전체매각 접근성편리</t>
        </is>
      </c>
      <c r="M116" s="5">
        <f>HYPERLINK("https://fin.land.naver.com/articles/2646702778", "매물Link")</f>
        <v/>
      </c>
      <c r="N116" s="5">
        <f>HYPERLINK("https://map.naver.com/p/search/나성동 829", "지도Link")</f>
        <v/>
      </c>
      <c r="O116" s="5">
        <f>HYPERLINK("http://www.eum.go.kr/web/ar/lu/luLandDet.jsp?pnu=3611010700108290000&amp;isNoScr=script&amp;mode=search", "토지이음")</f>
        <v/>
      </c>
      <c r="P116" s="3" t="inlineStr">
        <is>
          <t>정세영</t>
        </is>
      </c>
      <c r="Q116" s="3" t="n">
        <v>1</v>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453</v>
      </c>
      <c r="J117" s="3" t="inlineStr">
        <is>
          <t>2</t>
        </is>
      </c>
      <c r="K117" s="3" t="inlineStr">
        <is>
          <t>-</t>
        </is>
      </c>
      <c r="L117" s="3" t="inlineStr">
        <is>
          <t>건축2년생 남청주 톨게이트 3분거리</t>
        </is>
      </c>
      <c r="M117" s="5">
        <f>HYPERLINK("https://fin.land.naver.com/articles/2644737236", "매물Link")</f>
        <v/>
      </c>
      <c r="N117" s="5">
        <f>HYPERLINK("https://map.naver.com/p/search/나성동 829", "지도Link")</f>
        <v/>
      </c>
      <c r="O117" s="5">
        <f>HYPERLINK("http://www.eum.go.kr/web/ar/lu/luLandDet.jsp?pnu=3611010700108290000&amp;isNoScr=script&amp;mode=search", "토지이음")</f>
        <v/>
      </c>
      <c r="P117" s="3" t="inlineStr">
        <is>
          <t>태영컨설팅</t>
        </is>
      </c>
      <c r="Q117" s="3" t="n">
        <v>1</v>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297</v>
      </c>
      <c r="J118" s="3" t="inlineStr">
        <is>
          <t>1</t>
        </is>
      </c>
      <c r="K118" s="3" t="inlineStr">
        <is>
          <t>-</t>
        </is>
      </c>
      <c r="L118" s="3" t="inlineStr">
        <is>
          <t>봉명동 하이닉스 인근 300㎡ 창고·공장 임대 (호이스트 전기40kw)</t>
        </is>
      </c>
      <c r="M118" s="5">
        <f>HYPERLINK("https://fin.land.naver.com/articles/2647115221", "매물Link")</f>
        <v/>
      </c>
      <c r="N118" s="5">
        <f>HYPERLINK("https://map.naver.com/p/search/나성동 829", "지도Link")</f>
        <v/>
      </c>
      <c r="O118" s="5">
        <f>HYPERLINK("http://www.eum.go.kr/web/ar/lu/luLandDet.jsp?pnu=3611010700108290000&amp;isNoScr=script&amp;mode=search", "토지이음")</f>
        <v/>
      </c>
      <c r="P118" s="3" t="inlineStr">
        <is>
          <t>삼성사무소</t>
        </is>
      </c>
      <c r="Q118" s="3" t="n">
        <v>1</v>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1053</v>
      </c>
      <c r="J119" s="3" t="inlineStr">
        <is>
          <t>1</t>
        </is>
      </c>
      <c r="K119" s="3" t="inlineStr">
        <is>
          <t>-</t>
        </is>
      </c>
      <c r="L119" s="3" t="inlineStr">
        <is>
          <t>1815 청주산업단지내 공장전체, 흥덕경찰서앞쪽, 공장내철거예정</t>
        </is>
      </c>
      <c r="M119" s="5">
        <f>HYPERLINK("https://fin.land.naver.com/articles/2650054302", "매물Link")</f>
        <v/>
      </c>
      <c r="N119" s="5">
        <f>HYPERLINK("https://map.naver.com/p/search/나성동 829", "지도Link")</f>
        <v/>
      </c>
      <c r="O119" s="5">
        <f>HYPERLINK("http://www.eum.go.kr/web/ar/lu/luLandDet.jsp?pnu=3611010700108290000&amp;isNoScr=script&amp;mode=search", "토지이음")</f>
        <v/>
      </c>
      <c r="P119" s="3" t="inlineStr">
        <is>
          <t>길</t>
        </is>
      </c>
      <c r="Q119" s="3" t="n">
        <v>1</v>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130</v>
      </c>
      <c r="J120" s="3" t="inlineStr">
        <is>
          <t>1</t>
        </is>
      </c>
      <c r="K120" s="3" t="inlineStr">
        <is>
          <t>-</t>
        </is>
      </c>
      <c r="L120" s="3" t="inlineStr">
        <is>
          <t>4차선 대로변 코너 2종근린생활시설 단층건뭃 매매</t>
        </is>
      </c>
      <c r="M120" s="5">
        <f>HYPERLINK("https://fin.land.naver.com/articles/2645008229", "매물Link")</f>
        <v/>
      </c>
      <c r="N120" s="5">
        <f>HYPERLINK("https://map.naver.com/p/search/나성동 829", "지도Link")</f>
        <v/>
      </c>
      <c r="O120" s="5">
        <f>HYPERLINK("http://www.eum.go.kr/web/ar/lu/luLandDet.jsp?pnu=3611010700108290000&amp;isNoScr=script&amp;mode=search", "토지이음")</f>
        <v/>
      </c>
      <c r="P120" s="3" t="inlineStr">
        <is>
          <t>더원</t>
        </is>
      </c>
      <c r="Q120" s="3" t="n">
        <v>1</v>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2778</v>
      </c>
      <c r="J121" s="3" t="inlineStr">
        <is>
          <t>2</t>
        </is>
      </c>
      <c r="K121" s="3" t="inlineStr">
        <is>
          <t>B1</t>
        </is>
      </c>
      <c r="L121" s="3" t="inlineStr">
        <is>
          <t>nan</t>
        </is>
      </c>
      <c r="M121" s="5">
        <f>HYPERLINK("https://fin.land.naver.com/articles/2646432468", "매물Link")</f>
        <v/>
      </c>
      <c r="N121" s="5">
        <f>HYPERLINK("https://map.naver.com/p/search/나성동 829", "지도Link")</f>
        <v/>
      </c>
      <c r="O121" s="5">
        <f>HYPERLINK("http://www.eum.go.kr/web/ar/lu/luLandDet.jsp?pnu=3611010700108290000&amp;isNoScr=script&amp;mode=search", "토지이음")</f>
        <v/>
      </c>
      <c r="P121" s="3" t="inlineStr">
        <is>
          <t>대영</t>
        </is>
      </c>
      <c r="Q121" s="3" t="n">
        <v>1</v>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958</v>
      </c>
      <c r="J122" s="3" t="inlineStr">
        <is>
          <t>1</t>
        </is>
      </c>
      <c r="K122" s="3" t="inlineStr">
        <is>
          <t>-</t>
        </is>
      </c>
      <c r="L122" s="3" t="inlineStr">
        <is>
          <t>청주산업단지 인접하고 2순환로접근성좋은위치 층고9m</t>
        </is>
      </c>
      <c r="M122" s="5">
        <f>HYPERLINK("https://fin.land.naver.com/articles/2644497795", "매물Link")</f>
        <v/>
      </c>
      <c r="N122" s="5">
        <f>HYPERLINK("https://map.naver.com/p/search/나성동 829", "지도Link")</f>
        <v/>
      </c>
      <c r="O122" s="5">
        <f>HYPERLINK("http://www.eum.go.kr/web/ar/lu/luLandDet.jsp?pnu=3611010700108290000&amp;isNoScr=script&amp;mode=search", "토지이음")</f>
        <v/>
      </c>
      <c r="P122" s="3" t="inlineStr">
        <is>
          <t>더원</t>
        </is>
      </c>
      <c r="Q122" s="3" t="n">
        <v>1</v>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130</v>
      </c>
      <c r="J123" s="3" t="inlineStr">
        <is>
          <t>1</t>
        </is>
      </c>
      <c r="K123" s="3" t="inlineStr">
        <is>
          <t>-</t>
        </is>
      </c>
      <c r="L123" s="3" t="inlineStr">
        <is>
          <t>청주산업단지 인근 이며 관공서및 주택밀집지역 소규모창고사무실 소매점등가능</t>
        </is>
      </c>
      <c r="M123" s="5">
        <f>HYPERLINK("https://fin.land.naver.com/articles/2646668854", "매물Link")</f>
        <v/>
      </c>
      <c r="N123" s="5">
        <f>HYPERLINK("https://map.naver.com/p/search/나성동 829", "지도Link")</f>
        <v/>
      </c>
      <c r="O123" s="5">
        <f>HYPERLINK("http://www.eum.go.kr/web/ar/lu/luLandDet.jsp?pnu=3611010700108290000&amp;isNoScr=script&amp;mode=search", "토지이음")</f>
        <v/>
      </c>
      <c r="P123" s="3" t="inlineStr">
        <is>
          <t>더원</t>
        </is>
      </c>
      <c r="Q123" s="3" t="n">
        <v>1</v>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81</v>
      </c>
      <c r="J124" s="3" t="inlineStr">
        <is>
          <t>15</t>
        </is>
      </c>
      <c r="K124" s="3" t="inlineStr">
        <is>
          <t>B3</t>
        </is>
      </c>
      <c r="L124" s="3" t="inlineStr">
        <is>
          <t>아파트형공장 드라이브인형 공장 저렴한 가격에 임대 화물차 진입가능 층고6</t>
        </is>
      </c>
      <c r="M124" s="5">
        <f>HYPERLINK("https://fin.land.naver.com/articles/2649111237", "매물Link")</f>
        <v/>
      </c>
      <c r="N124" s="5">
        <f>HYPERLINK("https://map.naver.com/p/search/나성동 829", "지도Link")</f>
        <v/>
      </c>
      <c r="O124" s="5">
        <f>HYPERLINK("http://www.eum.go.kr/web/ar/lu/luLandDet.jsp?pnu=3611010700108290000&amp;isNoScr=script&amp;mode=search", "토지이음")</f>
        <v/>
      </c>
      <c r="P124" s="3" t="inlineStr">
        <is>
          <t>옥산리버자이</t>
        </is>
      </c>
      <c r="Q124" s="3" t="n">
        <v>1</v>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1544</v>
      </c>
      <c r="J125" s="3" t="inlineStr">
        <is>
          <t>1</t>
        </is>
      </c>
      <c r="K125" s="3" t="inlineStr">
        <is>
          <t>-</t>
        </is>
      </c>
      <c r="L125" s="3" t="inlineStr">
        <is>
          <t>흥덕구 제2운천교 옆 신봉사거리 부근에 위치한 교통 좋은 공장입니다</t>
        </is>
      </c>
      <c r="M125" s="5">
        <f>HYPERLINK("https://fin.land.naver.com/articles/2647080320", "매물Link")</f>
        <v/>
      </c>
      <c r="N125" s="5">
        <f>HYPERLINK("https://map.naver.com/p/search/나성동 829", "지도Link")</f>
        <v/>
      </c>
      <c r="O125" s="5">
        <f>HYPERLINK("http://www.eum.go.kr/web/ar/lu/luLandDet.jsp?pnu=3611010700108290000&amp;isNoScr=script&amp;mode=search", "토지이음")</f>
        <v/>
      </c>
      <c r="P125" s="3" t="inlineStr">
        <is>
          <t>지구촌무소</t>
        </is>
      </c>
      <c r="Q125" s="3" t="n">
        <v>1</v>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1190</v>
      </c>
      <c r="J126" s="3" t="inlineStr">
        <is>
          <t>1</t>
        </is>
      </c>
      <c r="K126" s="3" t="inlineStr">
        <is>
          <t>-</t>
        </is>
      </c>
      <c r="L126" s="3" t="inlineStr">
        <is>
          <t>청주 일반산업단지 저렴한 창고 임대 7월중순경 협의가능</t>
        </is>
      </c>
      <c r="M126" s="5">
        <f>HYPERLINK("https://fin.land.naver.com/articles/2649657100", "매물Link")</f>
        <v/>
      </c>
      <c r="N126" s="5">
        <f>HYPERLINK("https://map.naver.com/p/search/나성동 829", "지도Link")</f>
        <v/>
      </c>
      <c r="O126" s="5">
        <f>HYPERLINK("http://www.eum.go.kr/web/ar/lu/luLandDet.jsp?pnu=3611010700108290000&amp;isNoScr=script&amp;mode=search", "토지이음")</f>
        <v/>
      </c>
      <c r="P126" s="3" t="inlineStr">
        <is>
          <t>더원</t>
        </is>
      </c>
      <c r="Q126" s="3" t="n">
        <v>1</v>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1192</v>
      </c>
      <c r="J127" s="3" t="inlineStr">
        <is>
          <t>2</t>
        </is>
      </c>
      <c r="K127" s="3" t="inlineStr">
        <is>
          <t>-</t>
        </is>
      </c>
      <c r="L127" s="3" t="inlineStr">
        <is>
          <t>서청주ic 하이닉스 인접한 청주일반산업단지  공장매매 입주협의</t>
        </is>
      </c>
      <c r="M127" s="5">
        <f>HYPERLINK("https://fin.land.naver.com/articles/2646993787", "매물Link")</f>
        <v/>
      </c>
      <c r="N127" s="5">
        <f>HYPERLINK("https://map.naver.com/p/search/나성동 829", "지도Link")</f>
        <v/>
      </c>
      <c r="O127" s="5">
        <f>HYPERLINK("http://www.eum.go.kr/web/ar/lu/luLandDet.jsp?pnu=3611010700108290000&amp;isNoScr=script&amp;mode=search", "토지이음")</f>
        <v/>
      </c>
      <c r="P127" s="3" t="inlineStr">
        <is>
          <t>더원</t>
        </is>
      </c>
      <c r="Q127" s="3" t="n">
        <v>1</v>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637</v>
      </c>
      <c r="J128" s="3" t="inlineStr">
        <is>
          <t>2</t>
        </is>
      </c>
      <c r="K128" s="3" t="inlineStr">
        <is>
          <t>-</t>
        </is>
      </c>
      <c r="L128" s="3" t="inlineStr">
        <is>
          <t>석곡교차로 인근 2차선 도로접한 공장</t>
        </is>
      </c>
      <c r="M128" s="5">
        <f>HYPERLINK("https://fin.land.naver.com/articles/2648082267", "매물Link")</f>
        <v/>
      </c>
      <c r="N128" s="5">
        <f>HYPERLINK("https://map.naver.com/p/search/나성동 829", "지도Link")</f>
        <v/>
      </c>
      <c r="O128" s="5">
        <f>HYPERLINK("http://www.eum.go.kr/web/ar/lu/luLandDet.jsp?pnu=3611010700108290000&amp;isNoScr=script&amp;mode=search", "토지이음")</f>
        <v/>
      </c>
      <c r="P128" s="3" t="inlineStr">
        <is>
          <t>좋은터</t>
        </is>
      </c>
      <c r="Q128" s="3" t="n">
        <v>1</v>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490</v>
      </c>
      <c r="J129" s="3" t="inlineStr">
        <is>
          <t>1</t>
        </is>
      </c>
      <c r="K129" s="3" t="inlineStr">
        <is>
          <t>-</t>
        </is>
      </c>
      <c r="L129" s="3" t="inlineStr">
        <is>
          <t>nan</t>
        </is>
      </c>
      <c r="M129" s="5">
        <f>HYPERLINK("https://fin.land.naver.com/articles/2647472758", "매물Link")</f>
        <v/>
      </c>
      <c r="N129" s="5">
        <f>HYPERLINK("https://map.naver.com/p/search/나성동 829", "지도Link")</f>
        <v/>
      </c>
      <c r="O129" s="5">
        <f>HYPERLINK("http://www.eum.go.kr/web/ar/lu/luLandDet.jsp?pnu=3611010700108290000&amp;isNoScr=script&amp;mode=search", "토지이음")</f>
        <v/>
      </c>
      <c r="P129" s="3" t="inlineStr">
        <is>
          <t>좋은터</t>
        </is>
      </c>
      <c r="Q129" s="3" t="n">
        <v>1</v>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933</v>
      </c>
      <c r="J130" s="3" t="inlineStr">
        <is>
          <t>1</t>
        </is>
      </c>
      <c r="K130" s="3" t="inlineStr">
        <is>
          <t>-</t>
        </is>
      </c>
      <c r="L130" s="3" t="inlineStr">
        <is>
          <t>청주,제조업소및창고,광고효과좋음</t>
        </is>
      </c>
      <c r="M130" s="5">
        <f>HYPERLINK("https://fin.land.naver.com/articles/2646121745", "매물Link")</f>
        <v/>
      </c>
      <c r="N130" s="5">
        <f>HYPERLINK("https://map.naver.com/p/search/나성동 829", "지도Link")</f>
        <v/>
      </c>
      <c r="O130" s="5">
        <f>HYPERLINK("http://www.eum.go.kr/web/ar/lu/luLandDet.jsp?pnu=3611010700108290000&amp;isNoScr=script&amp;mode=search", "토지이음")</f>
        <v/>
      </c>
      <c r="P130" s="3" t="inlineStr">
        <is>
          <t>LBA리치아노합동사무소</t>
        </is>
      </c>
      <c r="Q130" s="3" t="n">
        <v>1</v>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160</v>
      </c>
      <c r="J131" s="3" t="inlineStr">
        <is>
          <t>1</t>
        </is>
      </c>
      <c r="K131" s="3" t="inlineStr">
        <is>
          <t>-</t>
        </is>
      </c>
      <c r="L131" s="3" t="inlineStr">
        <is>
          <t>강서하이패스 IC접근성편리</t>
        </is>
      </c>
      <c r="M131" s="5">
        <f>HYPERLINK("https://fin.land.naver.com/articles/2644882634", "매물Link")</f>
        <v/>
      </c>
      <c r="N131" s="5">
        <f>HYPERLINK("https://map.naver.com/p/search/나성동 829", "지도Link")</f>
        <v/>
      </c>
      <c r="O131" s="5">
        <f>HYPERLINK("http://www.eum.go.kr/web/ar/lu/luLandDet.jsp?pnu=3611010700108290000&amp;isNoScr=script&amp;mode=search", "토지이음")</f>
        <v/>
      </c>
      <c r="P131" s="3" t="inlineStr">
        <is>
          <t>문광</t>
        </is>
      </c>
      <c r="Q131" s="3" t="n">
        <v>1</v>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265</v>
      </c>
      <c r="J132" s="3" t="inlineStr">
        <is>
          <t>2</t>
        </is>
      </c>
      <c r="K132" s="3" t="inlineStr">
        <is>
          <t>-</t>
        </is>
      </c>
      <c r="L132" s="3" t="inlineStr">
        <is>
          <t>석곡사거리 접근성좋은 위치의 1.2층상가,창고 ,매장등 가능</t>
        </is>
      </c>
      <c r="M132" s="5">
        <f>HYPERLINK("https://fin.land.naver.com/articles/2644663688", "매물Link")</f>
        <v/>
      </c>
      <c r="N132" s="5">
        <f>HYPERLINK("https://map.naver.com/p/search/나성동 829", "지도Link")</f>
        <v/>
      </c>
      <c r="O132" s="5">
        <f>HYPERLINK("http://www.eum.go.kr/web/ar/lu/luLandDet.jsp?pnu=3611010700108290000&amp;isNoScr=script&amp;mode=search", "토지이음")</f>
        <v/>
      </c>
      <c r="P132" s="3" t="inlineStr">
        <is>
          <t>더원</t>
        </is>
      </c>
      <c r="Q132" s="3" t="n">
        <v>1</v>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390</v>
      </c>
      <c r="J133" s="3" t="inlineStr">
        <is>
          <t>1</t>
        </is>
      </c>
      <c r="K133" s="3" t="inlineStr">
        <is>
          <t>-</t>
        </is>
      </c>
      <c r="L133" s="3" t="inlineStr">
        <is>
          <t>석곡동 제조업 공장 매매</t>
        </is>
      </c>
      <c r="M133" s="5">
        <f>HYPERLINK("https://fin.land.naver.com/articles/2648732228", "매물Link")</f>
        <v/>
      </c>
      <c r="N133" s="5">
        <f>HYPERLINK("https://map.naver.com/p/search/나성동 829", "지도Link")</f>
        <v/>
      </c>
      <c r="O133" s="5">
        <f>HYPERLINK("http://www.eum.go.kr/web/ar/lu/luLandDet.jsp?pnu=3611010700108290000&amp;isNoScr=script&amp;mode=search", "토지이음")</f>
        <v/>
      </c>
      <c r="P133" s="3" t="inlineStr">
        <is>
          <t>사거리</t>
        </is>
      </c>
      <c r="Q133" s="3" t="n">
        <v>1</v>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529</v>
      </c>
      <c r="J134" s="3" t="inlineStr">
        <is>
          <t>1</t>
        </is>
      </c>
      <c r="K134" s="3" t="inlineStr">
        <is>
          <t>-</t>
        </is>
      </c>
      <c r="L134" s="3" t="inlineStr">
        <is>
          <t>접근성이 아주 좋은 단독 공장임.</t>
        </is>
      </c>
      <c r="M134" s="5">
        <f>HYPERLINK("https://fin.land.naver.com/articles/2647681474", "매물Link")</f>
        <v/>
      </c>
      <c r="N134" s="5">
        <f>HYPERLINK("https://map.naver.com/p/search/나성동 829", "지도Link")</f>
        <v/>
      </c>
      <c r="O134" s="5">
        <f>HYPERLINK("http://www.eum.go.kr/web/ar/lu/luLandDet.jsp?pnu=3611010700108290000&amp;isNoScr=script&amp;mode=search", "토지이음")</f>
        <v/>
      </c>
      <c r="P134" s="3" t="inlineStr">
        <is>
          <t>교차로</t>
        </is>
      </c>
      <c r="Q134" s="3" t="n">
        <v>1</v>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21516</v>
      </c>
      <c r="J135" s="3" t="inlineStr">
        <is>
          <t>1</t>
        </is>
      </c>
      <c r="K135" s="3" t="inlineStr">
        <is>
          <t>-</t>
        </is>
      </c>
      <c r="L135" s="3" t="inlineStr">
        <is>
          <t>청주산단 내 하이닉스 인근  공장,창고,제조시설</t>
        </is>
      </c>
      <c r="M135" s="5">
        <f>HYPERLINK("https://fin.land.naver.com/articles/2644809753", "매물Link")</f>
        <v/>
      </c>
      <c r="N135" s="5">
        <f>HYPERLINK("https://map.naver.com/p/search/나성동 829", "지도Link")</f>
        <v/>
      </c>
      <c r="O135" s="5">
        <f>HYPERLINK("http://www.eum.go.kr/web/ar/lu/luLandDet.jsp?pnu=3611010700108290000&amp;isNoScr=script&amp;mode=search", "토지이음")</f>
        <v/>
      </c>
      <c r="P135" s="3" t="inlineStr">
        <is>
          <t>공장365</t>
        </is>
      </c>
      <c r="Q135" s="3" t="n">
        <v>1</v>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8749</v>
      </c>
      <c r="J136" s="3" t="inlineStr">
        <is>
          <t>3</t>
        </is>
      </c>
      <c r="K136" s="3" t="inlineStr">
        <is>
          <t>B1</t>
        </is>
      </c>
      <c r="L136" s="3" t="inlineStr">
        <is>
          <t>서청주ic및 청주ic 접근성 좋은 청주산업단지 물류창고매매</t>
        </is>
      </c>
      <c r="M136" s="5">
        <f>HYPERLINK("https://fin.land.naver.com/articles/2646668128", "매물Link")</f>
        <v/>
      </c>
      <c r="N136" s="5">
        <f>HYPERLINK("https://map.naver.com/p/search/나성동 829", "지도Link")</f>
        <v/>
      </c>
      <c r="O136" s="5">
        <f>HYPERLINK("http://www.eum.go.kr/web/ar/lu/luLandDet.jsp?pnu=3611010700108290000&amp;isNoScr=script&amp;mode=search", "토지이음")</f>
        <v/>
      </c>
      <c r="P136" s="3" t="inlineStr">
        <is>
          <t>더원</t>
        </is>
      </c>
      <c r="Q136" s="3" t="n">
        <v>1</v>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429</v>
      </c>
      <c r="J137" s="3" t="inlineStr">
        <is>
          <t>2</t>
        </is>
      </c>
      <c r="K137" s="3" t="inlineStr">
        <is>
          <t>-</t>
        </is>
      </c>
      <c r="L137" s="3" t="inlineStr">
        <is>
          <t>청주산단내 임대공장 하이닉스인근 일반제조 조립 창고 가능</t>
        </is>
      </c>
      <c r="M137" s="5">
        <f>HYPERLINK("https://fin.land.naver.com/articles/2646742737", "매물Link")</f>
        <v/>
      </c>
      <c r="N137" s="5">
        <f>HYPERLINK("https://map.naver.com/p/search/나성동 829", "지도Link")</f>
        <v/>
      </c>
      <c r="O137" s="5">
        <f>HYPERLINK("http://www.eum.go.kr/web/ar/lu/luLandDet.jsp?pnu=3611010700108290000&amp;isNoScr=script&amp;mode=search", "토지이음")</f>
        <v/>
      </c>
      <c r="P137" s="3" t="inlineStr">
        <is>
          <t>공장365</t>
        </is>
      </c>
      <c r="Q137" s="3" t="n">
        <v>1</v>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1190</v>
      </c>
      <c r="J138" s="3" t="inlineStr">
        <is>
          <t>1</t>
        </is>
      </c>
      <c r="K138" s="3" t="inlineStr">
        <is>
          <t>-</t>
        </is>
      </c>
      <c r="L138" s="3" t="inlineStr">
        <is>
          <t>청주하이닉스인근 산단 창고 제조 저렴한 층고4미터</t>
        </is>
      </c>
      <c r="M138" s="5">
        <f>HYPERLINK("https://fin.land.naver.com/articles/2649557299", "매물Link")</f>
        <v/>
      </c>
      <c r="N138" s="5">
        <f>HYPERLINK("https://map.naver.com/p/search/나성동 829", "지도Link")</f>
        <v/>
      </c>
      <c r="O138" s="5">
        <f>HYPERLINK("http://www.eum.go.kr/web/ar/lu/luLandDet.jsp?pnu=3611010700108290000&amp;isNoScr=script&amp;mode=search", "토지이음")</f>
        <v/>
      </c>
      <c r="P138" s="3" t="inlineStr">
        <is>
          <t>공장365</t>
        </is>
      </c>
      <c r="Q138" s="3" t="n">
        <v>1</v>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116</v>
      </c>
      <c r="J139" s="3" t="inlineStr">
        <is>
          <t>1</t>
        </is>
      </c>
      <c r="K139" s="3" t="inlineStr">
        <is>
          <t>B1</t>
        </is>
      </c>
      <c r="L139" s="3" t="inlineStr">
        <is>
          <t>nan</t>
        </is>
      </c>
      <c r="M139" s="5">
        <f>HYPERLINK("https://fin.land.naver.com/articles/2644908744", "매물Link")</f>
        <v/>
      </c>
      <c r="N139" s="5">
        <f>HYPERLINK("https://map.naver.com/p/search/나성동 829", "지도Link")</f>
        <v/>
      </c>
      <c r="O139" s="5">
        <f>HYPERLINK("http://www.eum.go.kr/web/ar/lu/luLandDet.jsp?pnu=3611010700108290000&amp;isNoScr=script&amp;mode=search", "토지이음")</f>
        <v/>
      </c>
      <c r="P139" s="3" t="inlineStr">
        <is>
          <t>금룡</t>
        </is>
      </c>
      <c r="Q139" s="3" t="n">
        <v>1</v>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979</v>
      </c>
      <c r="J140" s="3" t="inlineStr">
        <is>
          <t>1</t>
        </is>
      </c>
      <c r="K140" s="3" t="inlineStr">
        <is>
          <t>-</t>
        </is>
      </c>
      <c r="L140" s="3" t="inlineStr">
        <is>
          <t>깔끔한  대형창고 임대  빠른입주 가능</t>
        </is>
      </c>
      <c r="M140" s="5">
        <f>HYPERLINK("https://fin.land.naver.com/articles/2644394002", "매물Link")</f>
        <v/>
      </c>
      <c r="N140" s="5">
        <f>HYPERLINK("https://map.naver.com/p/search/나성동 829", "지도Link")</f>
        <v/>
      </c>
      <c r="O140" s="5">
        <f>HYPERLINK("http://www.eum.go.kr/web/ar/lu/luLandDet.jsp?pnu=3611010700108290000&amp;isNoScr=script&amp;mode=search", "토지이음")</f>
        <v/>
      </c>
      <c r="P140" s="3" t="inlineStr">
        <is>
          <t>삼익</t>
        </is>
      </c>
      <c r="Q140" s="3" t="n">
        <v>1</v>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1373</v>
      </c>
      <c r="J141" s="3" t="inlineStr">
        <is>
          <t>3</t>
        </is>
      </c>
      <c r="K141" s="3" t="inlineStr">
        <is>
          <t>B1</t>
        </is>
      </c>
      <c r="L141" s="3" t="inlineStr">
        <is>
          <t>남청주ic인근 냉동냉장창고 임대 대형차 진출입 용이</t>
        </is>
      </c>
      <c r="M141" s="5">
        <f>HYPERLINK("https://fin.land.naver.com/articles/2644663645", "매물Link")</f>
        <v/>
      </c>
      <c r="N141" s="5">
        <f>HYPERLINK("https://map.naver.com/p/search/나성동 829", "지도Link")</f>
        <v/>
      </c>
      <c r="O141" s="5">
        <f>HYPERLINK("http://www.eum.go.kr/web/ar/lu/luLandDet.jsp?pnu=3611010700108290000&amp;isNoScr=script&amp;mode=search", "토지이음")</f>
        <v/>
      </c>
      <c r="P141" s="3" t="inlineStr">
        <is>
          <t>더원</t>
        </is>
      </c>
      <c r="Q141" s="3" t="n">
        <v>1</v>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812</v>
      </c>
      <c r="J142" s="3" t="inlineStr">
        <is>
          <t>2</t>
        </is>
      </c>
      <c r="K142" s="3" t="inlineStr">
        <is>
          <t>-</t>
        </is>
      </c>
      <c r="L142" s="3" t="inlineStr">
        <is>
          <t>신탄진IC차량시간 약 10분대접근가능위치</t>
        </is>
      </c>
      <c r="M142" s="5">
        <f>HYPERLINK("https://fin.land.naver.com/articles/2645568759", "매물Link")</f>
        <v/>
      </c>
      <c r="N142" s="5">
        <f>HYPERLINK("https://map.naver.com/p/search/나성동 829", "지도Link")</f>
        <v/>
      </c>
      <c r="O142" s="5">
        <f>HYPERLINK("http://www.eum.go.kr/web/ar/lu/luLandDet.jsp?pnu=3611010700108290000&amp;isNoScr=script&amp;mode=search", "토지이음")</f>
        <v/>
      </c>
      <c r="P142" s="3" t="inlineStr">
        <is>
          <t>미래로</t>
        </is>
      </c>
      <c r="Q142" s="3" t="n">
        <v>1</v>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2300</v>
      </c>
      <c r="J143" s="3" t="inlineStr">
        <is>
          <t>1</t>
        </is>
      </c>
      <c r="K143" s="3" t="inlineStr">
        <is>
          <t>-</t>
        </is>
      </c>
      <c r="L143" s="3" t="inlineStr">
        <is>
          <t>신축공장입니다 4개동으로되었는귀한물건.</t>
        </is>
      </c>
      <c r="M143" s="5">
        <f>HYPERLINK("https://fin.land.naver.com/articles/2644476234", "매물Link")</f>
        <v/>
      </c>
      <c r="N143" s="5">
        <f>HYPERLINK("https://map.naver.com/p/search/나성동 829", "지도Link")</f>
        <v/>
      </c>
      <c r="O143" s="5">
        <f>HYPERLINK("http://www.eum.go.kr/web/ar/lu/luLandDet.jsp?pnu=3611010700108290000&amp;isNoScr=script&amp;mode=search", "토지이음")</f>
        <v/>
      </c>
      <c r="P143" s="3" t="inlineStr">
        <is>
          <t>남청주ic합동무소</t>
        </is>
      </c>
      <c r="Q143" s="3" t="n">
        <v>1</v>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3466</v>
      </c>
      <c r="J144" s="3" t="inlineStr">
        <is>
          <t>1</t>
        </is>
      </c>
      <c r="K144" s="3" t="inlineStr">
        <is>
          <t>-</t>
        </is>
      </c>
      <c r="L144" s="3" t="inlineStr">
        <is>
          <t>창고전용분할임대가능합니다</t>
        </is>
      </c>
      <c r="M144" s="5">
        <f>HYPERLINK("https://fin.land.naver.com/articles/2644476481", "매물Link")</f>
        <v/>
      </c>
      <c r="N144" s="5">
        <f>HYPERLINK("https://map.naver.com/p/search/나성동 829", "지도Link")</f>
        <v/>
      </c>
      <c r="O144" s="5">
        <f>HYPERLINK("http://www.eum.go.kr/web/ar/lu/luLandDet.jsp?pnu=3611010700108290000&amp;isNoScr=script&amp;mode=search", "토지이음")</f>
        <v/>
      </c>
      <c r="P144" s="3" t="inlineStr">
        <is>
          <t>남청주ic합동무소</t>
        </is>
      </c>
      <c r="Q144" s="3" t="n">
        <v>1</v>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1700</v>
      </c>
      <c r="J145" s="3" t="inlineStr">
        <is>
          <t>1</t>
        </is>
      </c>
      <c r="K145" s="3" t="inlineStr">
        <is>
          <t>-</t>
        </is>
      </c>
      <c r="L145" s="3" t="inlineStr">
        <is>
          <t>nan</t>
        </is>
      </c>
      <c r="M145" s="5">
        <f>HYPERLINK("https://fin.land.naver.com/articles/2644476662", "매물Link")</f>
        <v/>
      </c>
      <c r="N145" s="5">
        <f>HYPERLINK("https://map.naver.com/p/search/나성동 829", "지도Link")</f>
        <v/>
      </c>
      <c r="O145" s="5">
        <f>HYPERLINK("http://www.eum.go.kr/web/ar/lu/luLandDet.jsp?pnu=3611010700108290000&amp;isNoScr=script&amp;mode=search", "토지이음")</f>
        <v/>
      </c>
      <c r="P145" s="3" t="inlineStr">
        <is>
          <t>남청주ic합동무소</t>
        </is>
      </c>
      <c r="Q145" s="3" t="n">
        <v>1</v>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449</v>
      </c>
      <c r="J146" s="3" t="inlineStr">
        <is>
          <t>1</t>
        </is>
      </c>
      <c r="K146" s="3" t="inlineStr">
        <is>
          <t>-</t>
        </is>
      </c>
      <c r="L146" s="3" t="inlineStr">
        <is>
          <t>nan</t>
        </is>
      </c>
      <c r="M146" s="5">
        <f>HYPERLINK("https://fin.land.naver.com/articles/2644477398", "매물Link")</f>
        <v/>
      </c>
      <c r="N146" s="5">
        <f>HYPERLINK("https://map.naver.com/p/search/나성동 829", "지도Link")</f>
        <v/>
      </c>
      <c r="O146" s="5">
        <f>HYPERLINK("http://www.eum.go.kr/web/ar/lu/luLandDet.jsp?pnu=3611010700108290000&amp;isNoScr=script&amp;mode=search", "토지이음")</f>
        <v/>
      </c>
      <c r="P146" s="3" t="inlineStr">
        <is>
          <t>남청주ic합동무소</t>
        </is>
      </c>
      <c r="Q146" s="3" t="n">
        <v>1</v>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1810</v>
      </c>
      <c r="J147" s="3" t="inlineStr">
        <is>
          <t>1</t>
        </is>
      </c>
      <c r="K147" s="3" t="inlineStr">
        <is>
          <t>-</t>
        </is>
      </c>
      <c r="L147" s="3" t="inlineStr">
        <is>
          <t>도장부스,폐수처리장,  
 7m, 넓은 마당,및 야적장, 임대가능</t>
        </is>
      </c>
      <c r="M147" s="5">
        <f>HYPERLINK("https://fin.land.naver.com/articles/2644486810", "매물Link")</f>
        <v/>
      </c>
      <c r="N147" s="5">
        <f>HYPERLINK("https://map.naver.com/p/search/나성동 829", "지도Link")</f>
        <v/>
      </c>
      <c r="O147" s="5">
        <f>HYPERLINK("http://www.eum.go.kr/web/ar/lu/luLandDet.jsp?pnu=3611010700108290000&amp;isNoScr=script&amp;mode=search", "토지이음")</f>
        <v/>
      </c>
      <c r="P147" s="3" t="inlineStr">
        <is>
          <t>산업</t>
        </is>
      </c>
      <c r="Q147" s="3" t="n">
        <v>1</v>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3" t="inlineStr">
        <is>
          <t>1</t>
        </is>
      </c>
      <c r="K148" s="3" t="inlineStr">
        <is>
          <t>-</t>
        </is>
      </c>
      <c r="L148" s="3" t="inlineStr">
        <is>
          <t>남청주 톨게이트 3분거리 2차선 접</t>
        </is>
      </c>
      <c r="M148" s="5">
        <f>HYPERLINK("https://fin.land.naver.com/articles/2645274516", "매물Link")</f>
        <v/>
      </c>
      <c r="N148" s="5">
        <f>HYPERLINK("https://map.naver.com/p/search/나성동 829", "지도Link")</f>
        <v/>
      </c>
      <c r="O148" s="5">
        <f>HYPERLINK("http://www.eum.go.kr/web/ar/lu/luLandDet.jsp?pnu=3611010700108290000&amp;isNoScr=script&amp;mode=search", "토지이음")</f>
        <v/>
      </c>
      <c r="P148" s="3" t="inlineStr">
        <is>
          <t>태영컨설팅</t>
        </is>
      </c>
      <c r="Q148" s="3" t="n">
        <v>1</v>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3300</v>
      </c>
      <c r="J149" s="3" t="inlineStr">
        <is>
          <t>1</t>
        </is>
      </c>
      <c r="K149" s="3" t="inlineStr">
        <is>
          <t>-</t>
        </is>
      </c>
      <c r="L149" s="3" t="inlineStr">
        <is>
          <t>넓은 마당 및 주차장 확보</t>
        </is>
      </c>
      <c r="M149" s="5">
        <f>HYPERLINK("https://fin.land.naver.com/articles/2647350075", "매물Link")</f>
        <v/>
      </c>
      <c r="N149" s="5">
        <f>HYPERLINK("https://map.naver.com/p/search/나성동 829", "지도Link")</f>
        <v/>
      </c>
      <c r="O149" s="5">
        <f>HYPERLINK("http://www.eum.go.kr/web/ar/lu/luLandDet.jsp?pnu=3611010700108290000&amp;isNoScr=script&amp;mode=search", "토지이음")</f>
        <v/>
      </c>
      <c r="P149" s="3" t="inlineStr">
        <is>
          <t>산업</t>
        </is>
      </c>
      <c r="Q149" s="3" t="n">
        <v>1</v>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450</v>
      </c>
      <c r="J150" s="3" t="inlineStr">
        <is>
          <t>1</t>
        </is>
      </c>
      <c r="K150" s="3" t="inlineStr">
        <is>
          <t>-</t>
        </is>
      </c>
      <c r="L150" s="3" t="inlineStr">
        <is>
          <t>nan</t>
        </is>
      </c>
      <c r="M150" s="5">
        <f>HYPERLINK("https://fin.land.naver.com/articles/2649270524", "매물Link")</f>
        <v/>
      </c>
      <c r="N150" s="5">
        <f>HYPERLINK("https://map.naver.com/p/search/나성동 829", "지도Link")</f>
        <v/>
      </c>
      <c r="O150" s="5">
        <f>HYPERLINK("http://www.eum.go.kr/web/ar/lu/luLandDet.jsp?pnu=3611010700108290000&amp;isNoScr=script&amp;mode=search", "토지이음")</f>
        <v/>
      </c>
      <c r="P150" s="3" t="inlineStr">
        <is>
          <t>태영컨설팅</t>
        </is>
      </c>
      <c r="Q150" s="3" t="n">
        <v>1</v>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315</v>
      </c>
      <c r="J151" s="3" t="inlineStr">
        <is>
          <t>1</t>
        </is>
      </c>
      <c r="K151" s="3" t="inlineStr">
        <is>
          <t>-</t>
        </is>
      </c>
      <c r="L151" s="3" t="inlineStr">
        <is>
          <t>육가공시설  즉시입주가능</t>
        </is>
      </c>
      <c r="M151" s="5">
        <f>HYPERLINK("https://fin.land.naver.com/articles/2650159376", "매물Link")</f>
        <v/>
      </c>
      <c r="N151" s="5">
        <f>HYPERLINK("https://map.naver.com/p/search/나성동 829", "지도Link")</f>
        <v/>
      </c>
      <c r="O151" s="5">
        <f>HYPERLINK("http://www.eum.go.kr/web/ar/lu/luLandDet.jsp?pnu=3611010700108290000&amp;isNoScr=script&amp;mode=search", "토지이음")</f>
        <v/>
      </c>
      <c r="P151" s="3" t="inlineStr">
        <is>
          <t>현대</t>
        </is>
      </c>
      <c r="Q151" s="3" t="n">
        <v>1</v>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315</v>
      </c>
      <c r="J152" s="3" t="inlineStr">
        <is>
          <t>1</t>
        </is>
      </c>
      <c r="K152" s="3" t="inlineStr">
        <is>
          <t>B1</t>
        </is>
      </c>
      <c r="L152" s="3" t="inlineStr">
        <is>
          <t>해썹시설완비, 태양광시설, 정육식당및 육가공시설완비</t>
        </is>
      </c>
      <c r="M152" s="5">
        <f>HYPERLINK("https://fin.land.naver.com/articles/2645295478", "매물Link")</f>
        <v/>
      </c>
      <c r="N152" s="5">
        <f>HYPERLINK("https://map.naver.com/p/search/나성동 829", "지도Link")</f>
        <v/>
      </c>
      <c r="O152" s="5">
        <f>HYPERLINK("http://www.eum.go.kr/web/ar/lu/luLandDet.jsp?pnu=3611010700108290000&amp;isNoScr=script&amp;mode=search", "토지이음")</f>
        <v/>
      </c>
      <c r="P152" s="3" t="inlineStr">
        <is>
          <t>현대</t>
        </is>
      </c>
      <c r="Q152" s="3" t="n">
        <v>1</v>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492</v>
      </c>
      <c r="J153" s="3" t="inlineStr">
        <is>
          <t>1</t>
        </is>
      </c>
      <c r="K153" s="3" t="inlineStr">
        <is>
          <t>-</t>
        </is>
      </c>
      <c r="L153" s="3" t="inlineStr">
        <is>
          <t>nan</t>
        </is>
      </c>
      <c r="M153" s="5">
        <f>HYPERLINK("https://fin.land.naver.com/articles/2647431516", "매물Link")</f>
        <v/>
      </c>
      <c r="N153" s="5">
        <f>HYPERLINK("https://map.naver.com/p/search/나성동 829", "지도Link")</f>
        <v/>
      </c>
      <c r="O153" s="5">
        <f>HYPERLINK("http://www.eum.go.kr/web/ar/lu/luLandDet.jsp?pnu=3611010700108290000&amp;isNoScr=script&amp;mode=search", "토지이음")</f>
        <v/>
      </c>
      <c r="P153" s="3" t="inlineStr">
        <is>
          <t>운산</t>
        </is>
      </c>
      <c r="Q153" s="3" t="n">
        <v>1</v>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3676</v>
      </c>
      <c r="J154" s="3" t="inlineStr">
        <is>
          <t>1</t>
        </is>
      </c>
      <c r="K154" s="3" t="inlineStr">
        <is>
          <t>-</t>
        </is>
      </c>
      <c r="L154" s="3" t="inlineStr">
        <is>
          <t>세종시 대형공장임대 호이스트 2차선대로변 전력약500kw</t>
        </is>
      </c>
      <c r="M154" s="5">
        <f>HYPERLINK("https://fin.land.naver.com/articles/2649677690", "매물Link")</f>
        <v/>
      </c>
      <c r="N154" s="5">
        <f>HYPERLINK("https://map.naver.com/p/search/나성동 829", "지도Link")</f>
        <v/>
      </c>
      <c r="O154" s="5">
        <f>HYPERLINK("http://www.eum.go.kr/web/ar/lu/luLandDet.jsp?pnu=3611010700108290000&amp;isNoScr=script&amp;mode=search", "토지이음")</f>
        <v/>
      </c>
      <c r="P154" s="3" t="inlineStr">
        <is>
          <t>더원</t>
        </is>
      </c>
      <c r="Q154" s="3" t="n">
        <v>1</v>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198</v>
      </c>
      <c r="J155" s="3" t="inlineStr">
        <is>
          <t>1</t>
        </is>
      </c>
      <c r="K155" s="3" t="inlineStr">
        <is>
          <t>-</t>
        </is>
      </c>
      <c r="L155" s="3" t="inlineStr">
        <is>
          <t>세종시 소정면 공장및창고임대</t>
        </is>
      </c>
      <c r="M155" s="5">
        <f>HYPERLINK("https://fin.land.naver.com/articles/2648608833", "매물Link")</f>
        <v/>
      </c>
      <c r="N155" s="5">
        <f>HYPERLINK("https://map.naver.com/p/search/나성동 829", "지도Link")</f>
        <v/>
      </c>
      <c r="O155" s="5">
        <f>HYPERLINK("http://www.eum.go.kr/web/ar/lu/luLandDet.jsp?pnu=3611010700108290000&amp;isNoScr=script&amp;mode=search", "토지이음")</f>
        <v/>
      </c>
      <c r="P155" s="3" t="inlineStr">
        <is>
          <t>컨설팅박사</t>
        </is>
      </c>
      <c r="Q155" s="3" t="n">
        <v>1</v>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396</v>
      </c>
      <c r="J156" s="3" t="inlineStr">
        <is>
          <t>1</t>
        </is>
      </c>
      <c r="K156" s="3" t="inlineStr">
        <is>
          <t>-</t>
        </is>
      </c>
      <c r="L156" s="3" t="inlineStr">
        <is>
          <t>세종특별자치시 소정면 창고임대</t>
        </is>
      </c>
      <c r="M156" s="5">
        <f>HYPERLINK("https://fin.land.naver.com/articles/2648591582", "매물Link")</f>
        <v/>
      </c>
      <c r="N156" s="5">
        <f>HYPERLINK("https://map.naver.com/p/search/나성동 829", "지도Link")</f>
        <v/>
      </c>
      <c r="O156" s="5">
        <f>HYPERLINK("http://www.eum.go.kr/web/ar/lu/luLandDet.jsp?pnu=3611010700108290000&amp;isNoScr=script&amp;mode=search", "토지이음")</f>
        <v/>
      </c>
      <c r="P156" s="3" t="inlineStr">
        <is>
          <t>컨설팅박사</t>
        </is>
      </c>
      <c r="Q156" s="3" t="n">
        <v>1</v>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2399</v>
      </c>
      <c r="J157" s="3" t="inlineStr">
        <is>
          <t>2</t>
        </is>
      </c>
      <c r="K157" s="3" t="inlineStr">
        <is>
          <t>-</t>
        </is>
      </c>
      <c r="L157" s="3" t="inlineStr">
        <is>
          <t>nan</t>
        </is>
      </c>
      <c r="M157" s="5">
        <f>HYPERLINK("https://fin.land.naver.com/articles/2648340722", "매물Link")</f>
        <v/>
      </c>
      <c r="N157" s="5">
        <f>HYPERLINK("https://map.naver.com/p/search/나성동 829", "지도Link")</f>
        <v/>
      </c>
      <c r="O157" s="5">
        <f>HYPERLINK("http://www.eum.go.kr/web/ar/lu/luLandDet.jsp?pnu=3611010700108290000&amp;isNoScr=script&amp;mode=search", "토지이음")</f>
        <v/>
      </c>
      <c r="P157" s="3" t="inlineStr">
        <is>
          <t>컨설팅박사</t>
        </is>
      </c>
      <c r="Q157" s="3" t="n">
        <v>1</v>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991</v>
      </c>
      <c r="J158" s="3" t="inlineStr">
        <is>
          <t>1</t>
        </is>
      </c>
      <c r="K158" s="3" t="inlineStr">
        <is>
          <t>-</t>
        </is>
      </c>
      <c r="L158" s="3" t="inlineStr">
        <is>
          <t>nan</t>
        </is>
      </c>
      <c r="M158" s="5">
        <f>HYPERLINK("https://fin.land.naver.com/articles/2648076258", "매물Link")</f>
        <v/>
      </c>
      <c r="N158" s="5">
        <f>HYPERLINK("https://map.naver.com/p/search/나성동 829", "지도Link")</f>
        <v/>
      </c>
      <c r="O158" s="5">
        <f>HYPERLINK("http://www.eum.go.kr/web/ar/lu/luLandDet.jsp?pnu=3611010700108290000&amp;isNoScr=script&amp;mode=search", "토지이음")</f>
        <v/>
      </c>
      <c r="P158" s="3" t="inlineStr">
        <is>
          <t>맨하탄</t>
        </is>
      </c>
      <c r="Q158" s="3" t="n">
        <v>1</v>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3305</v>
      </c>
      <c r="J159" s="3" t="inlineStr">
        <is>
          <t>2</t>
        </is>
      </c>
      <c r="K159" s="3" t="inlineStr">
        <is>
          <t>-</t>
        </is>
      </c>
      <c r="L159" s="3" t="inlineStr">
        <is>
          <t>nan</t>
        </is>
      </c>
      <c r="M159" s="5">
        <f>HYPERLINK("https://fin.land.naver.com/articles/2647972201", "매물Link")</f>
        <v/>
      </c>
      <c r="N159" s="5">
        <f>HYPERLINK("https://map.naver.com/p/search/나성동 829", "지도Link")</f>
        <v/>
      </c>
      <c r="O159" s="5">
        <f>HYPERLINK("http://www.eum.go.kr/web/ar/lu/luLandDet.jsp?pnu=3611010700108290000&amp;isNoScr=script&amp;mode=search", "토지이음")</f>
        <v/>
      </c>
      <c r="P159" s="3" t="inlineStr">
        <is>
          <t>컨설팅박사</t>
        </is>
      </c>
      <c r="Q159" s="3" t="n">
        <v>1</v>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396</v>
      </c>
      <c r="J160" s="3" t="inlineStr">
        <is>
          <t>1</t>
        </is>
      </c>
      <c r="K160" s="3" t="inlineStr">
        <is>
          <t>-</t>
        </is>
      </c>
      <c r="L160" s="3" t="inlineStr">
        <is>
          <t>세종시 소정면 공장임대</t>
        </is>
      </c>
      <c r="M160" s="5">
        <f>HYPERLINK("https://fin.land.naver.com/articles/2647876788", "매물Link")</f>
        <v/>
      </c>
      <c r="N160" s="5">
        <f>HYPERLINK("https://map.naver.com/p/search/나성동 829", "지도Link")</f>
        <v/>
      </c>
      <c r="O160" s="5">
        <f>HYPERLINK("http://www.eum.go.kr/web/ar/lu/luLandDet.jsp?pnu=3611010700108290000&amp;isNoScr=script&amp;mode=search", "토지이음")</f>
        <v/>
      </c>
      <c r="P160" s="3" t="inlineStr">
        <is>
          <t>컨설팅박사</t>
        </is>
      </c>
      <c r="Q160" s="3" t="n">
        <v>1</v>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300</v>
      </c>
      <c r="J161" s="3" t="inlineStr">
        <is>
          <t>1</t>
        </is>
      </c>
      <c r="K161" s="3" t="inlineStr">
        <is>
          <t>-</t>
        </is>
      </c>
      <c r="L161" s="3" t="inlineStr">
        <is>
          <t>세종시 소정면 공장임대</t>
        </is>
      </c>
      <c r="M161" s="5">
        <f>HYPERLINK("https://fin.land.naver.com/articles/2647876747", "매물Link")</f>
        <v/>
      </c>
      <c r="N161" s="5">
        <f>HYPERLINK("https://map.naver.com/p/search/나성동 829", "지도Link")</f>
        <v/>
      </c>
      <c r="O161" s="5">
        <f>HYPERLINK("http://www.eum.go.kr/web/ar/lu/luLandDet.jsp?pnu=3611010700108290000&amp;isNoScr=script&amp;mode=search", "토지이음")</f>
        <v/>
      </c>
      <c r="P161" s="3" t="inlineStr">
        <is>
          <t>컨설팅박사</t>
        </is>
      </c>
      <c r="Q161" s="3" t="n">
        <v>1</v>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1993</v>
      </c>
      <c r="J162" s="3" t="inlineStr">
        <is>
          <t>2</t>
        </is>
      </c>
      <c r="K162" s="3" t="inlineStr">
        <is>
          <t>-</t>
        </is>
      </c>
      <c r="L162" s="3" t="inlineStr">
        <is>
          <t>소정공장매매</t>
        </is>
      </c>
      <c r="M162" s="5">
        <f>HYPERLINK("https://fin.land.naver.com/articles/2646869131", "매물Link")</f>
        <v/>
      </c>
      <c r="N162" s="5">
        <f>HYPERLINK("https://map.naver.com/p/search/나성동 829", "지도Link")</f>
        <v/>
      </c>
      <c r="O162" s="5">
        <f>HYPERLINK("http://www.eum.go.kr/web/ar/lu/luLandDet.jsp?pnu=3611010700108290000&amp;isNoScr=script&amp;mode=search", "토지이음")</f>
        <v/>
      </c>
      <c r="P162" s="3" t="inlineStr">
        <is>
          <t>컨설팅박사</t>
        </is>
      </c>
      <c r="Q162" s="3" t="n">
        <v>1</v>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396</v>
      </c>
      <c r="J163" s="3" t="inlineStr">
        <is>
          <t>1</t>
        </is>
      </c>
      <c r="K163" s="3" t="inlineStr">
        <is>
          <t>-</t>
        </is>
      </c>
      <c r="L163" s="3" t="inlineStr">
        <is>
          <t>세종특별자치시 소정면 창고임대</t>
        </is>
      </c>
      <c r="M163" s="5">
        <f>HYPERLINK("https://fin.land.naver.com/articles/2644748695", "매물Link")</f>
        <v/>
      </c>
      <c r="N163" s="5">
        <f>HYPERLINK("https://map.naver.com/p/search/나성동 829", "지도Link")</f>
        <v/>
      </c>
      <c r="O163" s="5">
        <f>HYPERLINK("http://www.eum.go.kr/web/ar/lu/luLandDet.jsp?pnu=3611010700108290000&amp;isNoScr=script&amp;mode=search", "토지이음")</f>
        <v/>
      </c>
      <c r="P163" s="3" t="inlineStr">
        <is>
          <t>컨설팅박사</t>
        </is>
      </c>
      <c r="Q163" s="3" t="n">
        <v>1</v>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1357</v>
      </c>
      <c r="J164" s="3" t="inlineStr">
        <is>
          <t>2</t>
        </is>
      </c>
      <c r="K164" s="3" t="inlineStr">
        <is>
          <t>-</t>
        </is>
      </c>
      <c r="L164" s="3" t="inlineStr">
        <is>
          <t>nan</t>
        </is>
      </c>
      <c r="M164" s="5">
        <f>HYPERLINK("https://fin.land.naver.com/articles/2649731814", "매물Link")</f>
        <v/>
      </c>
      <c r="N164" s="5">
        <f>HYPERLINK("https://map.naver.com/p/search/나성동 829", "지도Link")</f>
        <v/>
      </c>
      <c r="O164" s="5">
        <f>HYPERLINK("http://www.eum.go.kr/web/ar/lu/luLandDet.jsp?pnu=3611010700108290000&amp;isNoScr=script&amp;mode=search", "토지이음")</f>
        <v/>
      </c>
      <c r="P164" s="3" t="inlineStr">
        <is>
          <t>더책임</t>
        </is>
      </c>
      <c r="Q164" s="3" t="n">
        <v>1</v>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211</v>
      </c>
      <c r="J165" s="3" t="inlineStr">
        <is>
          <t>1</t>
        </is>
      </c>
      <c r="K165" s="3" t="inlineStr">
        <is>
          <t>-</t>
        </is>
      </c>
      <c r="L165" s="3" t="inlineStr">
        <is>
          <t>코너각지 계획관리 창고 다용도 토지</t>
        </is>
      </c>
      <c r="M165" s="5">
        <f>HYPERLINK("https://fin.land.naver.com/articles/2648936171", "매물Link")</f>
        <v/>
      </c>
      <c r="N165" s="5">
        <f>HYPERLINK("https://map.naver.com/p/search/나성동 829", "지도Link")</f>
        <v/>
      </c>
      <c r="O165" s="5">
        <f>HYPERLINK("http://www.eum.go.kr/web/ar/lu/luLandDet.jsp?pnu=3611010700108290000&amp;isNoScr=script&amp;mode=search", "토지이음")</f>
        <v/>
      </c>
      <c r="P165" s="3" t="inlineStr">
        <is>
          <t>우리동네</t>
        </is>
      </c>
      <c r="Q165" s="3" t="n">
        <v>1</v>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1357</v>
      </c>
      <c r="J166" s="3" t="inlineStr">
        <is>
          <t>2</t>
        </is>
      </c>
      <c r="K166" s="3" t="inlineStr">
        <is>
          <t>-</t>
        </is>
      </c>
      <c r="L166" s="3" t="inlineStr">
        <is>
          <t>식품공장가능 청주시 상당구 미원면 공장 임대, 즉시 입주 가능</t>
        </is>
      </c>
      <c r="M166" s="5">
        <f>HYPERLINK("https://fin.land.naver.com/articles/2646697243", "매물Link")</f>
        <v/>
      </c>
      <c r="N166" s="5">
        <f>HYPERLINK("https://map.naver.com/p/search/나성동 829", "지도Link")</f>
        <v/>
      </c>
      <c r="O166" s="5">
        <f>HYPERLINK("http://www.eum.go.kr/web/ar/lu/luLandDet.jsp?pnu=3611010700108290000&amp;isNoScr=script&amp;mode=search", "토지이음")</f>
        <v/>
      </c>
      <c r="P166" s="3" t="inlineStr">
        <is>
          <t>왕중왕기업</t>
        </is>
      </c>
      <c r="Q166" s="3" t="n">
        <v>1</v>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8830</v>
      </c>
      <c r="J167" s="3" t="inlineStr">
        <is>
          <t>4</t>
        </is>
      </c>
      <c r="K167" s="3" t="inlineStr">
        <is>
          <t>-</t>
        </is>
      </c>
      <c r="L167" s="3" t="inlineStr">
        <is>
          <t>테이터센터부지,지구단위계획구역,계획관리,개발부담금없음,임차가능,현재공장</t>
        </is>
      </c>
      <c r="M167" s="5">
        <f>HYPERLINK("https://fin.land.naver.com/articles/2646405957", "매물Link")</f>
        <v/>
      </c>
      <c r="N167" s="5">
        <f>HYPERLINK("https://map.naver.com/p/search/나성동 829", "지도Link")</f>
        <v/>
      </c>
      <c r="O167" s="5">
        <f>HYPERLINK("http://www.eum.go.kr/web/ar/lu/luLandDet.jsp?pnu=3611010700108290000&amp;isNoScr=script&amp;mode=search", "토지이음")</f>
        <v/>
      </c>
      <c r="P167" s="3" t="inlineStr">
        <is>
          <t>명동</t>
        </is>
      </c>
      <c r="Q167" s="3" t="n">
        <v>1</v>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655</v>
      </c>
      <c r="J168" s="3" t="inlineStr">
        <is>
          <t>1</t>
        </is>
      </c>
      <c r="K168" s="3" t="inlineStr">
        <is>
          <t>-</t>
        </is>
      </c>
      <c r="L168" s="3" t="inlineStr">
        <is>
          <t>세종시에서 조치원쪽 주차공간 넓은 창고</t>
        </is>
      </c>
      <c r="M168" s="5">
        <f>HYPERLINK("https://fin.land.naver.com/articles/2647495827", "매물Link")</f>
        <v/>
      </c>
      <c r="N168" s="5">
        <f>HYPERLINK("https://map.naver.com/p/search/나성동 829", "지도Link")</f>
        <v/>
      </c>
      <c r="O168" s="5">
        <f>HYPERLINK("http://www.eum.go.kr/web/ar/lu/luLandDet.jsp?pnu=3611010700108290000&amp;isNoScr=script&amp;mode=search", "토지이음")</f>
        <v/>
      </c>
      <c r="P168" s="3" t="inlineStr">
        <is>
          <t>호반114</t>
        </is>
      </c>
      <c r="Q168" s="3" t="n">
        <v>1</v>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10430</v>
      </c>
      <c r="J169" s="3" t="inlineStr">
        <is>
          <t>2</t>
        </is>
      </c>
      <c r="K169" s="3" t="inlineStr">
        <is>
          <t>B1</t>
        </is>
      </c>
      <c r="L169" s="3" t="inlineStr">
        <is>
          <t>nan</t>
        </is>
      </c>
      <c r="M169" s="5">
        <f>HYPERLINK("https://fin.land.naver.com/articles/2645282260", "매물Link")</f>
        <v/>
      </c>
      <c r="N169" s="5">
        <f>HYPERLINK("https://map.naver.com/p/search/나성동 829", "지도Link")</f>
        <v/>
      </c>
      <c r="O169" s="5">
        <f>HYPERLINK("http://www.eum.go.kr/web/ar/lu/luLandDet.jsp?pnu=3611010700108290000&amp;isNoScr=script&amp;mode=search", "토지이음")</f>
        <v/>
      </c>
      <c r="P169" s="3" t="inlineStr">
        <is>
          <t>운산</t>
        </is>
      </c>
      <c r="Q169" s="3" t="n">
        <v>1</v>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6915</v>
      </c>
      <c r="J170" s="3" t="inlineStr">
        <is>
          <t>2</t>
        </is>
      </c>
      <c r="K170" s="3" t="inlineStr">
        <is>
          <t>-</t>
        </is>
      </c>
      <c r="L170" s="3" t="inlineStr">
        <is>
          <t>공장및창고</t>
        </is>
      </c>
      <c r="M170" s="5">
        <f>HYPERLINK("https://fin.land.naver.com/articles/2645396873", "매물Link")</f>
        <v/>
      </c>
      <c r="N170" s="5">
        <f>HYPERLINK("https://map.naver.com/p/search/나성동 829", "지도Link")</f>
        <v/>
      </c>
      <c r="O170" s="5">
        <f>HYPERLINK("http://www.eum.go.kr/web/ar/lu/luLandDet.jsp?pnu=3611010700108290000&amp;isNoScr=script&amp;mode=search", "토지이음")</f>
        <v/>
      </c>
      <c r="P170" s="3" t="inlineStr">
        <is>
          <t>운산</t>
        </is>
      </c>
      <c r="Q170" s="3" t="n">
        <v>1</v>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1989</v>
      </c>
      <c r="J171" s="3" t="inlineStr">
        <is>
          <t>2</t>
        </is>
      </c>
      <c r="K171" s="3" t="inlineStr">
        <is>
          <t>-</t>
        </is>
      </c>
      <c r="L171" s="3" t="inlineStr">
        <is>
          <t>진출입최고</t>
        </is>
      </c>
      <c r="M171" s="5">
        <f>HYPERLINK("https://fin.land.naver.com/articles/2645322969", "매물Link")</f>
        <v/>
      </c>
      <c r="N171" s="5">
        <f>HYPERLINK("https://map.naver.com/p/search/나성동 829", "지도Link")</f>
        <v/>
      </c>
      <c r="O171" s="5">
        <f>HYPERLINK("http://www.eum.go.kr/web/ar/lu/luLandDet.jsp?pnu=3611010700108290000&amp;isNoScr=script&amp;mode=search", "토지이음")</f>
        <v/>
      </c>
      <c r="P171" s="3" t="inlineStr">
        <is>
          <t>북세종</t>
        </is>
      </c>
      <c r="Q171" s="3" t="n">
        <v>1</v>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1094</v>
      </c>
      <c r="J172" s="3" t="inlineStr">
        <is>
          <t>1</t>
        </is>
      </c>
      <c r="K172" s="3" t="inlineStr">
        <is>
          <t>-</t>
        </is>
      </c>
      <c r="L172" s="3" t="inlineStr">
        <is>
          <t>nan</t>
        </is>
      </c>
      <c r="M172" s="5">
        <f>HYPERLINK("https://fin.land.naver.com/articles/2645322900", "매물Link")</f>
        <v/>
      </c>
      <c r="N172" s="5">
        <f>HYPERLINK("https://map.naver.com/p/search/나성동 829", "지도Link")</f>
        <v/>
      </c>
      <c r="O172" s="5">
        <f>HYPERLINK("http://www.eum.go.kr/web/ar/lu/luLandDet.jsp?pnu=3611010700108290000&amp;isNoScr=script&amp;mode=search", "토지이음")</f>
        <v/>
      </c>
      <c r="P172" s="3" t="inlineStr">
        <is>
          <t>북세종</t>
        </is>
      </c>
      <c r="Q172" s="3" t="n">
        <v>1</v>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7947</v>
      </c>
      <c r="J173" s="3" t="inlineStr">
        <is>
          <t>1</t>
        </is>
      </c>
      <c r="K173" s="3" t="inlineStr">
        <is>
          <t>-</t>
        </is>
      </c>
      <c r="L173" s="3" t="inlineStr">
        <is>
          <t>nan</t>
        </is>
      </c>
      <c r="M173" s="5">
        <f>HYPERLINK("https://fin.land.naver.com/articles/2644683671", "매물Link")</f>
        <v/>
      </c>
      <c r="N173" s="5">
        <f>HYPERLINK("https://map.naver.com/p/search/나성동 829", "지도Link")</f>
        <v/>
      </c>
      <c r="O173" s="5">
        <f>HYPERLINK("http://www.eum.go.kr/web/ar/lu/luLandDet.jsp?pnu=3611010700108290000&amp;isNoScr=script&amp;mode=search", "토지이음")</f>
        <v/>
      </c>
      <c r="P173" s="3" t="inlineStr">
        <is>
          <t>운산</t>
        </is>
      </c>
      <c r="Q173" s="3" t="n">
        <v>1</v>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198</v>
      </c>
      <c r="J174" s="3" t="inlineStr">
        <is>
          <t>1</t>
        </is>
      </c>
      <c r="K174" s="3" t="inlineStr">
        <is>
          <t>-</t>
        </is>
      </c>
      <c r="L174" s="3" t="inlineStr">
        <is>
          <t>nan</t>
        </is>
      </c>
      <c r="M174" s="5">
        <f>HYPERLINK("https://fin.land.naver.com/articles/2649461453", "매물Link")</f>
        <v/>
      </c>
      <c r="N174" s="5">
        <f>HYPERLINK("https://map.naver.com/p/search/나성동 829", "지도Link")</f>
        <v/>
      </c>
      <c r="O174" s="5">
        <f>HYPERLINK("http://www.eum.go.kr/web/ar/lu/luLandDet.jsp?pnu=3611010700108290000&amp;isNoScr=script&amp;mode=search", "토지이음")</f>
        <v/>
      </c>
      <c r="P174" s="3" t="inlineStr">
        <is>
          <t>컨설팅박사</t>
        </is>
      </c>
      <c r="Q174" s="3" t="n">
        <v>1</v>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198</v>
      </c>
      <c r="J175" s="3" t="inlineStr">
        <is>
          <t>1</t>
        </is>
      </c>
      <c r="K175" s="3" t="inlineStr">
        <is>
          <t>-</t>
        </is>
      </c>
      <c r="L175" s="3" t="inlineStr">
        <is>
          <t>사진, 남풍세IC10분, 넓은마당 단독사용, 2종제조용도, 민원소지업음</t>
        </is>
      </c>
      <c r="M175" s="5">
        <f>HYPERLINK("https://fin.land.naver.com/articles/2646860851", "매물Link")</f>
        <v/>
      </c>
      <c r="N175" s="5">
        <f>HYPERLINK("https://map.naver.com/p/search/나성동 829", "지도Link")</f>
        <v/>
      </c>
      <c r="O175" s="5">
        <f>HYPERLINK("http://www.eum.go.kr/web/ar/lu/luLandDet.jsp?pnu=3611010700108290000&amp;isNoScr=script&amp;mode=search", "토지이음")</f>
        <v/>
      </c>
      <c r="P175" s="3" t="inlineStr">
        <is>
          <t>OK허니</t>
        </is>
      </c>
      <c r="Q175" s="3" t="n">
        <v>1</v>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889</v>
      </c>
      <c r="J176" s="3" t="inlineStr">
        <is>
          <t>2</t>
        </is>
      </c>
      <c r="K176" s="3" t="inlineStr">
        <is>
          <t>B1</t>
        </is>
      </c>
      <c r="L176" s="3" t="inlineStr">
        <is>
          <t>세종시전동면석곡리공장매매</t>
        </is>
      </c>
      <c r="M176" s="5">
        <f>HYPERLINK("https://fin.land.naver.com/articles/2648597983", "매물Link")</f>
        <v/>
      </c>
      <c r="N176" s="5">
        <f>HYPERLINK("https://map.naver.com/p/search/나성동 829", "지도Link")</f>
        <v/>
      </c>
      <c r="O176" s="5">
        <f>HYPERLINK("http://www.eum.go.kr/web/ar/lu/luLandDet.jsp?pnu=3611010700108290000&amp;isNoScr=script&amp;mode=search", "토지이음")</f>
        <v/>
      </c>
      <c r="P176" s="3" t="inlineStr">
        <is>
          <t>컨설팅박사</t>
        </is>
      </c>
      <c r="Q176" s="3" t="n">
        <v>1</v>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3487</v>
      </c>
      <c r="J177" s="3" t="inlineStr">
        <is>
          <t>2</t>
        </is>
      </c>
      <c r="K177" s="3" t="inlineStr">
        <is>
          <t>B1</t>
        </is>
      </c>
      <c r="L177" s="3" t="inlineStr">
        <is>
          <t>세종시전동면송성리공장매매</t>
        </is>
      </c>
      <c r="M177" s="5">
        <f>HYPERLINK("https://fin.land.naver.com/articles/2648597650", "매물Link")</f>
        <v/>
      </c>
      <c r="N177" s="5">
        <f>HYPERLINK("https://map.naver.com/p/search/나성동 829", "지도Link")</f>
        <v/>
      </c>
      <c r="O177" s="5">
        <f>HYPERLINK("http://www.eum.go.kr/web/ar/lu/luLandDet.jsp?pnu=3611010700108290000&amp;isNoScr=script&amp;mode=search", "토지이음")</f>
        <v/>
      </c>
      <c r="P177" s="3" t="inlineStr">
        <is>
          <t>컨설팅박사</t>
        </is>
      </c>
      <c r="Q177" s="3" t="n">
        <v>1</v>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1119</v>
      </c>
      <c r="J178" s="3" t="inlineStr">
        <is>
          <t>1</t>
        </is>
      </c>
      <c r="K178" s="3" t="inlineStr">
        <is>
          <t>-</t>
        </is>
      </c>
      <c r="L178" s="3" t="inlineStr">
        <is>
          <t>전동면 송곡리 공장 매매, 벤처밸리산단 및 고속도로개발 인근, 급매</t>
        </is>
      </c>
      <c r="M178" s="5">
        <f>HYPERLINK("https://fin.land.naver.com/articles/2648566678", "매물Link")</f>
        <v/>
      </c>
      <c r="N178" s="5">
        <f>HYPERLINK("https://map.naver.com/p/search/나성동 829", "지도Link")</f>
        <v/>
      </c>
      <c r="O178" s="5">
        <f>HYPERLINK("http://www.eum.go.kr/web/ar/lu/luLandDet.jsp?pnu=3611010700108290000&amp;isNoScr=script&amp;mode=search", "토지이음")</f>
        <v/>
      </c>
      <c r="P178" s="3" t="inlineStr">
        <is>
          <t>스카이</t>
        </is>
      </c>
      <c r="Q178" s="3" t="n">
        <v>1</v>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2314</v>
      </c>
      <c r="J179" s="3" t="inlineStr">
        <is>
          <t>2</t>
        </is>
      </c>
      <c r="K179" s="3" t="inlineStr">
        <is>
          <t>-</t>
        </is>
      </c>
      <c r="L179" s="3" t="inlineStr">
        <is>
          <t>nan</t>
        </is>
      </c>
      <c r="M179" s="5">
        <f>HYPERLINK("https://fin.land.naver.com/articles/2646609380", "매물Link")</f>
        <v/>
      </c>
      <c r="N179" s="5">
        <f>HYPERLINK("https://map.naver.com/p/search/나성동 829", "지도Link")</f>
        <v/>
      </c>
      <c r="O179" s="5">
        <f>HYPERLINK("http://www.eum.go.kr/web/ar/lu/luLandDet.jsp?pnu=3611010700108290000&amp;isNoScr=script&amp;mode=search", "토지이음")</f>
        <v/>
      </c>
      <c r="P179" s="3" t="inlineStr">
        <is>
          <t>컨설팅박사</t>
        </is>
      </c>
      <c r="Q179" s="3" t="n">
        <v>1</v>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3169</v>
      </c>
      <c r="J180" s="3" t="inlineStr">
        <is>
          <t>2</t>
        </is>
      </c>
      <c r="K180" s="3" t="inlineStr">
        <is>
          <t>-</t>
        </is>
      </c>
      <c r="L180" s="3" t="inlineStr">
        <is>
          <t>전의면 관정리 계획관리 공장 매매, 조립 및 제조, 건물 3동</t>
        </is>
      </c>
      <c r="M180" s="5">
        <f>HYPERLINK("https://fin.land.naver.com/articles/2648712727", "매물Link")</f>
        <v/>
      </c>
      <c r="N180" s="5">
        <f>HYPERLINK("https://map.naver.com/p/search/나성동 829", "지도Link")</f>
        <v/>
      </c>
      <c r="O180" s="5">
        <f>HYPERLINK("http://www.eum.go.kr/web/ar/lu/luLandDet.jsp?pnu=3611010700108290000&amp;isNoScr=script&amp;mode=search", "토지이음")</f>
        <v/>
      </c>
      <c r="P180" s="3" t="inlineStr">
        <is>
          <t>스카이</t>
        </is>
      </c>
      <c r="Q180" s="3" t="n">
        <v>1</v>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336</v>
      </c>
      <c r="J181" s="3" t="inlineStr">
        <is>
          <t>1</t>
        </is>
      </c>
      <c r="K181" s="3" t="inlineStr">
        <is>
          <t>-</t>
        </is>
      </c>
      <c r="L181" s="3" t="inlineStr">
        <is>
          <t>사진,2종근생제조,사무실있음,대형차량진입,마당넓음,컨테이너있음,12월협의</t>
        </is>
      </c>
      <c r="M181" s="5">
        <f>HYPERLINK("https://fin.land.naver.com/articles/2648425736", "매물Link")</f>
        <v/>
      </c>
      <c r="N181" s="5">
        <f>HYPERLINK("https://map.naver.com/p/search/나성동 829", "지도Link")</f>
        <v/>
      </c>
      <c r="O181" s="5">
        <f>HYPERLINK("http://www.eum.go.kr/web/ar/lu/luLandDet.jsp?pnu=3611010700108290000&amp;isNoScr=script&amp;mode=search", "토지이음")</f>
        <v/>
      </c>
      <c r="P181" s="3" t="inlineStr">
        <is>
          <t>OK허니</t>
        </is>
      </c>
      <c r="Q181" s="3" t="n">
        <v>1</v>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276</v>
      </c>
      <c r="J182" s="3" t="inlineStr">
        <is>
          <t>1</t>
        </is>
      </c>
      <c r="K182" s="3" t="inlineStr">
        <is>
          <t>-</t>
        </is>
      </c>
      <c r="L182" s="3" t="inlineStr">
        <is>
          <t>사진, 단순창고용도, 바닥에폭시, 층고7m, 민원없음, 대형차진입</t>
        </is>
      </c>
      <c r="M182" s="5">
        <f>HYPERLINK("https://fin.land.naver.com/articles/2648425213", "매물Link")</f>
        <v/>
      </c>
      <c r="N182" s="5">
        <f>HYPERLINK("https://map.naver.com/p/search/나성동 829", "지도Link")</f>
        <v/>
      </c>
      <c r="O182" s="5">
        <f>HYPERLINK("http://www.eum.go.kr/web/ar/lu/luLandDet.jsp?pnu=3611010700108290000&amp;isNoScr=script&amp;mode=search", "토지이음")</f>
        <v/>
      </c>
      <c r="P182" s="3" t="inlineStr">
        <is>
          <t>OK허니</t>
        </is>
      </c>
      <c r="Q182" s="3" t="n">
        <v>1</v>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136</v>
      </c>
      <c r="J183" s="3" t="inlineStr">
        <is>
          <t>1</t>
        </is>
      </c>
      <c r="K183" s="3" t="inlineStr">
        <is>
          <t>-</t>
        </is>
      </c>
      <c r="L183" s="3" t="inlineStr">
        <is>
          <t>2차선도로접 미래산단인근 주차공간 넑고 제조업 물류창고 가능 민원발생없음</t>
        </is>
      </c>
      <c r="M183" s="5">
        <f>HYPERLINK("https://fin.land.naver.com/articles/2646413629", "매물Link")</f>
        <v/>
      </c>
      <c r="N183" s="5">
        <f>HYPERLINK("https://map.naver.com/p/search/나성동 829", "지도Link")</f>
        <v/>
      </c>
      <c r="O183" s="5">
        <f>HYPERLINK("http://www.eum.go.kr/web/ar/lu/luLandDet.jsp?pnu=3611010700108290000&amp;isNoScr=script&amp;mode=search", "토지이음")</f>
        <v/>
      </c>
      <c r="P183" s="3" t="inlineStr">
        <is>
          <t>세종OK</t>
        </is>
      </c>
      <c r="Q183" s="3" t="n">
        <v>1</v>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1603</v>
      </c>
      <c r="J184" s="3" t="inlineStr">
        <is>
          <t>2</t>
        </is>
      </c>
      <c r="K184" s="3" t="inlineStr">
        <is>
          <t>-</t>
        </is>
      </c>
      <c r="L184" s="3" t="inlineStr">
        <is>
          <t>전의공장매매</t>
        </is>
      </c>
      <c r="M184" s="5">
        <f>HYPERLINK("https://fin.land.naver.com/articles/2647971678", "매물Link")</f>
        <v/>
      </c>
      <c r="N184" s="5">
        <f>HYPERLINK("https://map.naver.com/p/search/나성동 829", "지도Link")</f>
        <v/>
      </c>
      <c r="O184" s="5">
        <f>HYPERLINK("http://www.eum.go.kr/web/ar/lu/luLandDet.jsp?pnu=3611010700108290000&amp;isNoScr=script&amp;mode=search", "토지이음")</f>
        <v/>
      </c>
      <c r="P184" s="3" t="inlineStr">
        <is>
          <t>컨설팅박사</t>
        </is>
      </c>
      <c r="Q184" s="3" t="n">
        <v>1</v>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3169</v>
      </c>
      <c r="J185" s="3" t="inlineStr">
        <is>
          <t>2</t>
        </is>
      </c>
      <c r="K185" s="3" t="inlineStr">
        <is>
          <t>-</t>
        </is>
      </c>
      <c r="L185" s="3" t="inlineStr">
        <is>
          <t>대로변에 접한 자동차부품공장 700kw 사무실 완비</t>
        </is>
      </c>
      <c r="M185" s="5">
        <f>HYPERLINK("https://fin.land.naver.com/articles/2644285696", "매물Link")</f>
        <v/>
      </c>
      <c r="N185" s="5">
        <f>HYPERLINK("https://map.naver.com/p/search/나성동 829", "지도Link")</f>
        <v/>
      </c>
      <c r="O185" s="5">
        <f>HYPERLINK("http://www.eum.go.kr/web/ar/lu/luLandDet.jsp?pnu=3611010700108290000&amp;isNoScr=script&amp;mode=search", "토지이음")</f>
        <v/>
      </c>
      <c r="P185" s="3" t="inlineStr">
        <is>
          <t>위드</t>
        </is>
      </c>
      <c r="Q185" s="3" t="n">
        <v>1</v>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136</v>
      </c>
      <c r="J186" s="3" t="inlineStr">
        <is>
          <t>1</t>
        </is>
      </c>
      <c r="K186" s="3" t="inlineStr">
        <is>
          <t>-</t>
        </is>
      </c>
      <c r="L186" s="3" t="inlineStr">
        <is>
          <t>2차선도로접 미래산단인근 주차공간 넑고 제조업 물류창고 가능 민원발생없음</t>
        </is>
      </c>
      <c r="M186" s="5">
        <f>HYPERLINK("https://fin.land.naver.com/articles/2648444110", "매물Link")</f>
        <v/>
      </c>
      <c r="N186" s="5">
        <f>HYPERLINK("https://map.naver.com/p/search/나성동 829", "지도Link")</f>
        <v/>
      </c>
      <c r="O186" s="5">
        <f>HYPERLINK("http://www.eum.go.kr/web/ar/lu/luLandDet.jsp?pnu=3611010700108290000&amp;isNoScr=script&amp;mode=search", "토지이음")</f>
        <v/>
      </c>
      <c r="P186" s="3" t="inlineStr">
        <is>
          <t>세종OK</t>
        </is>
      </c>
      <c r="Q186" s="3" t="n">
        <v>1</v>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1603</v>
      </c>
      <c r="J187" s="3" t="inlineStr">
        <is>
          <t>2</t>
        </is>
      </c>
      <c r="K187" s="3" t="inlineStr">
        <is>
          <t>-</t>
        </is>
      </c>
      <c r="L187" s="3" t="inlineStr">
        <is>
          <t>세종시전의면유천리공장매매</t>
        </is>
      </c>
      <c r="M187" s="5">
        <f>HYPERLINK("https://fin.land.naver.com/articles/2647971785", "매물Link")</f>
        <v/>
      </c>
      <c r="N187" s="5">
        <f>HYPERLINK("https://map.naver.com/p/search/나성동 829", "지도Link")</f>
        <v/>
      </c>
      <c r="O187" s="5">
        <f>HYPERLINK("http://www.eum.go.kr/web/ar/lu/luLandDet.jsp?pnu=3611010700108290000&amp;isNoScr=script&amp;mode=search", "토지이음")</f>
        <v/>
      </c>
      <c r="P187" s="3" t="inlineStr">
        <is>
          <t>컨설팅박사</t>
        </is>
      </c>
      <c r="Q187" s="3" t="n">
        <v>1</v>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704</v>
      </c>
      <c r="J188" s="3" t="inlineStr">
        <is>
          <t>1</t>
        </is>
      </c>
      <c r="K188" s="3" t="inlineStr">
        <is>
          <t>-</t>
        </is>
      </c>
      <c r="L188" s="3" t="inlineStr">
        <is>
          <t>남이면 공장 임대</t>
        </is>
      </c>
      <c r="M188" s="5">
        <f>HYPERLINK("https://fin.land.naver.com/articles/2649150743", "매물Link")</f>
        <v/>
      </c>
      <c r="N188" s="5">
        <f>HYPERLINK("https://map.naver.com/p/search/나성동 829", "지도Link")</f>
        <v/>
      </c>
      <c r="O188" s="5">
        <f>HYPERLINK("http://www.eum.go.kr/web/ar/lu/luLandDet.jsp?pnu=3611010700108290000&amp;isNoScr=script&amp;mode=search", "토지이음")</f>
        <v/>
      </c>
      <c r="P188" s="3" t="inlineStr">
        <is>
          <t>사거리</t>
        </is>
      </c>
      <c r="Q188" s="3" t="n">
        <v>1</v>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996</v>
      </c>
      <c r="J189" s="3" t="inlineStr">
        <is>
          <t>1</t>
        </is>
      </c>
      <c r="K189" s="3" t="inlineStr">
        <is>
          <t>-</t>
        </is>
      </c>
      <c r="L189" s="3" t="inlineStr">
        <is>
          <t>nan</t>
        </is>
      </c>
      <c r="M189" s="5">
        <f>HYPERLINK("https://fin.land.naver.com/articles/2649100064", "매물Link")</f>
        <v/>
      </c>
      <c r="N189" s="5">
        <f>HYPERLINK("https://map.naver.com/p/search/나성동 829", "지도Link")</f>
        <v/>
      </c>
      <c r="O189" s="5">
        <f>HYPERLINK("http://www.eum.go.kr/web/ar/lu/luLandDet.jsp?pnu=3611010700108290000&amp;isNoScr=script&amp;mode=search", "토지이음")</f>
        <v/>
      </c>
      <c r="P189" s="3" t="inlineStr">
        <is>
          <t>왕중왕기업</t>
        </is>
      </c>
      <c r="Q189" s="3" t="n">
        <v>1</v>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640</v>
      </c>
      <c r="J190" s="3" t="inlineStr">
        <is>
          <t>1</t>
        </is>
      </c>
      <c r="K190" s="3" t="inlineStr">
        <is>
          <t>-</t>
        </is>
      </c>
      <c r="L190" s="3" t="inlineStr">
        <is>
          <t>청주시 서원구 창고매매 2023년 사용승인된 신축 창고</t>
        </is>
      </c>
      <c r="M190" s="5">
        <f>HYPERLINK("https://fin.land.naver.com/articles/2649099391", "매물Link")</f>
        <v/>
      </c>
      <c r="N190" s="5">
        <f>HYPERLINK("https://map.naver.com/p/search/나성동 829", "지도Link")</f>
        <v/>
      </c>
      <c r="O190" s="5">
        <f>HYPERLINK("http://www.eum.go.kr/web/ar/lu/luLandDet.jsp?pnu=3611010700108290000&amp;isNoScr=script&amp;mode=search", "토지이음")</f>
        <v/>
      </c>
      <c r="P190" s="3" t="inlineStr">
        <is>
          <t>왕중왕기업</t>
        </is>
      </c>
      <c r="Q190" s="3" t="n">
        <v>1</v>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747</v>
      </c>
      <c r="J191" s="3" t="inlineStr">
        <is>
          <t>3</t>
        </is>
      </c>
      <c r="K191" s="3" t="inlineStr">
        <is>
          <t>-</t>
        </is>
      </c>
      <c r="L191" s="3" t="inlineStr">
        <is>
          <t>2차선도로변 남청주ic 및 강서하이패스ic 접근성 좋은 위치의 공장</t>
        </is>
      </c>
      <c r="M191" s="5">
        <f>HYPERLINK("https://fin.land.naver.com/articles/2649015887", "매물Link")</f>
        <v/>
      </c>
      <c r="N191" s="5">
        <f>HYPERLINK("https://map.naver.com/p/search/나성동 829", "지도Link")</f>
        <v/>
      </c>
      <c r="O191" s="5">
        <f>HYPERLINK("http://www.eum.go.kr/web/ar/lu/luLandDet.jsp?pnu=3611010700108290000&amp;isNoScr=script&amp;mode=search", "토지이음")</f>
        <v/>
      </c>
      <c r="P191" s="3" t="inlineStr">
        <is>
          <t>더원</t>
        </is>
      </c>
      <c r="Q191" s="3" t="n">
        <v>1</v>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1239</v>
      </c>
      <c r="J192" s="3" t="inlineStr">
        <is>
          <t>1</t>
        </is>
      </c>
      <c r="K192" s="3" t="inlineStr">
        <is>
          <t>-</t>
        </is>
      </c>
      <c r="L192" s="3" t="inlineStr">
        <is>
          <t>2차선도로접 대형차 진출입 가능 야적면적 넓음</t>
        </is>
      </c>
      <c r="M192" s="5">
        <f>HYPERLINK("https://fin.land.naver.com/articles/2649015321", "매물Link")</f>
        <v/>
      </c>
      <c r="N192" s="5">
        <f>HYPERLINK("https://map.naver.com/p/search/나성동 829", "지도Link")</f>
        <v/>
      </c>
      <c r="O192" s="5">
        <f>HYPERLINK("http://www.eum.go.kr/web/ar/lu/luLandDet.jsp?pnu=3611010700108290000&amp;isNoScr=script&amp;mode=search", "토지이음")</f>
        <v/>
      </c>
      <c r="P192" s="3" t="inlineStr">
        <is>
          <t>더원</t>
        </is>
      </c>
      <c r="Q192" s="3" t="n">
        <v>1</v>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20806</v>
      </c>
      <c r="J193" s="3" t="inlineStr">
        <is>
          <t>1</t>
        </is>
      </c>
      <c r="K193" s="3" t="inlineStr">
        <is>
          <t>-</t>
        </is>
      </c>
      <c r="L193" s="3" t="inlineStr">
        <is>
          <t>남청주IC에서 가까워대형차 진출입이 편리한곳,대형 물류창고,층고14m</t>
        </is>
      </c>
      <c r="M193" s="5">
        <f>HYPERLINK("https://fin.land.naver.com/articles/2648734082", "매물Link")</f>
        <v/>
      </c>
      <c r="N193" s="5">
        <f>HYPERLINK("https://map.naver.com/p/search/나성동 829", "지도Link")</f>
        <v/>
      </c>
      <c r="O193" s="5">
        <f>HYPERLINK("http://www.eum.go.kr/web/ar/lu/luLandDet.jsp?pnu=3611010700108290000&amp;isNoScr=script&amp;mode=search", "토지이음")</f>
        <v/>
      </c>
      <c r="P193" s="3" t="inlineStr">
        <is>
          <t>(주)미르</t>
        </is>
      </c>
      <c r="Q193" s="3" t="n">
        <v>1</v>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2124</v>
      </c>
      <c r="J194" s="3" t="inlineStr">
        <is>
          <t>1</t>
        </is>
      </c>
      <c r="K194" s="3" t="inlineStr">
        <is>
          <t>-</t>
        </is>
      </c>
      <c r="L194" s="3" t="inlineStr">
        <is>
          <t>남청주IC와 가까워 대형차 진출입이 편리하며 접근성이 좋은 공장</t>
        </is>
      </c>
      <c r="M194" s="5">
        <f>HYPERLINK("https://fin.land.naver.com/articles/2648354710", "매물Link")</f>
        <v/>
      </c>
      <c r="N194" s="5">
        <f>HYPERLINK("https://map.naver.com/p/search/나성동 829", "지도Link")</f>
        <v/>
      </c>
      <c r="O194" s="5">
        <f>HYPERLINK("http://www.eum.go.kr/web/ar/lu/luLandDet.jsp?pnu=3611010700108290000&amp;isNoScr=script&amp;mode=search", "토지이음")</f>
        <v/>
      </c>
      <c r="P194" s="3" t="inlineStr">
        <is>
          <t>(주)미르</t>
        </is>
      </c>
      <c r="Q194" s="3" t="n">
        <v>1</v>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1040</v>
      </c>
      <c r="J195" s="3" t="inlineStr">
        <is>
          <t>1</t>
        </is>
      </c>
      <c r="K195" s="3" t="inlineStr">
        <is>
          <t>-</t>
        </is>
      </c>
      <c r="L195" s="3" t="inlineStr">
        <is>
          <t>층고높고 빠른입주가능한 마당넓은 공장입니다.</t>
        </is>
      </c>
      <c r="M195" s="5">
        <f>HYPERLINK("https://fin.land.naver.com/articles/2647792489", "매물Link")</f>
        <v/>
      </c>
      <c r="N195" s="5">
        <f>HYPERLINK("https://map.naver.com/p/search/나성동 829", "지도Link")</f>
        <v/>
      </c>
      <c r="O195" s="5">
        <f>HYPERLINK("http://www.eum.go.kr/web/ar/lu/luLandDet.jsp?pnu=3611010700108290000&amp;isNoScr=script&amp;mode=search", "토지이음")</f>
        <v/>
      </c>
      <c r="P195" s="3" t="inlineStr">
        <is>
          <t>삼익</t>
        </is>
      </c>
      <c r="Q195" s="3" t="n">
        <v>1</v>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1998</v>
      </c>
      <c r="J196" s="3" t="inlineStr">
        <is>
          <t>2</t>
        </is>
      </c>
      <c r="K196" s="3" t="inlineStr">
        <is>
          <t>-</t>
        </is>
      </c>
      <c r="L196" s="3" t="inlineStr">
        <is>
          <t>nan</t>
        </is>
      </c>
      <c r="M196" s="5">
        <f>HYPERLINK("https://fin.land.naver.com/articles/2647425844", "매물Link")</f>
        <v/>
      </c>
      <c r="N196" s="5">
        <f>HYPERLINK("https://map.naver.com/p/search/나성동 829", "지도Link")</f>
        <v/>
      </c>
      <c r="O196" s="5">
        <f>HYPERLINK("http://www.eum.go.kr/web/ar/lu/luLandDet.jsp?pnu=3611010700108290000&amp;isNoScr=script&amp;mode=search", "토지이음")</f>
        <v/>
      </c>
      <c r="P196" s="3" t="inlineStr">
        <is>
          <t>왕중왕기업</t>
        </is>
      </c>
      <c r="Q196" s="3" t="n">
        <v>1</v>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987</v>
      </c>
      <c r="J197" s="3" t="inlineStr">
        <is>
          <t>1</t>
        </is>
      </c>
      <c r="K197" s="3" t="inlineStr">
        <is>
          <t>-</t>
        </is>
      </c>
      <c r="L197" s="3" t="inlineStr">
        <is>
          <t>nan</t>
        </is>
      </c>
      <c r="M197" s="5">
        <f>HYPERLINK("https://fin.land.naver.com/articles/2647423936", "매물Link")</f>
        <v/>
      </c>
      <c r="N197" s="5">
        <f>HYPERLINK("https://map.naver.com/p/search/나성동 829", "지도Link")</f>
        <v/>
      </c>
      <c r="O197" s="5">
        <f>HYPERLINK("http://www.eum.go.kr/web/ar/lu/luLandDet.jsp?pnu=3611010700108290000&amp;isNoScr=script&amp;mode=search", "토지이음")</f>
        <v/>
      </c>
      <c r="P197" s="3" t="inlineStr">
        <is>
          <t>왕중왕기업</t>
        </is>
      </c>
      <c r="Q197" s="3" t="n">
        <v>1</v>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469</v>
      </c>
      <c r="J198" s="3" t="inlineStr">
        <is>
          <t>1</t>
        </is>
      </c>
      <c r="K198" s="3" t="inlineStr">
        <is>
          <t>-</t>
        </is>
      </c>
      <c r="L198" s="3" t="inlineStr">
        <is>
          <t>Point 남청주IC 약 10분, 주변 지가 상승,개발 호재,투자용 추천</t>
        </is>
      </c>
      <c r="M198" s="5">
        <f>HYPERLINK("https://fin.land.naver.com/articles/2645152402", "매물Link")</f>
        <v/>
      </c>
      <c r="N198" s="5">
        <f>HYPERLINK("https://map.naver.com/p/search/나성동 829", "지도Link")</f>
        <v/>
      </c>
      <c r="O198" s="5">
        <f>HYPERLINK("http://www.eum.go.kr/web/ar/lu/luLandDet.jsp?pnu=3611010700108290000&amp;isNoScr=script&amp;mode=search", "토지이음")</f>
        <v/>
      </c>
      <c r="P198" s="3" t="inlineStr">
        <is>
          <t>도마호반</t>
        </is>
      </c>
      <c r="Q198" s="3" t="n">
        <v>1</v>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493</v>
      </c>
      <c r="J199" s="3" t="inlineStr">
        <is>
          <t>1</t>
        </is>
      </c>
      <c r="K199" s="3" t="inlineStr">
        <is>
          <t>B1</t>
        </is>
      </c>
      <c r="L199" s="3" t="inlineStr">
        <is>
          <t>척산리 공장 매매</t>
        </is>
      </c>
      <c r="M199" s="5">
        <f>HYPERLINK("https://fin.land.naver.com/articles/2647130460", "매물Link")</f>
        <v/>
      </c>
      <c r="N199" s="5">
        <f>HYPERLINK("https://map.naver.com/p/search/나성동 829", "지도Link")</f>
        <v/>
      </c>
      <c r="O199" s="5">
        <f>HYPERLINK("http://www.eum.go.kr/web/ar/lu/luLandDet.jsp?pnu=3611010700108290000&amp;isNoScr=script&amp;mode=search", "토지이음")</f>
        <v/>
      </c>
      <c r="P199" s="3" t="inlineStr">
        <is>
          <t>사거리</t>
        </is>
      </c>
      <c r="Q199" s="3" t="n">
        <v>1</v>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295</v>
      </c>
      <c r="J200" s="3" t="inlineStr">
        <is>
          <t>1</t>
        </is>
      </c>
      <c r="K200" s="3" t="inlineStr">
        <is>
          <t>-</t>
        </is>
      </c>
      <c r="L200" s="3" t="inlineStr">
        <is>
          <t>진입 원할하고 도로 접합 신축 창고 임대</t>
        </is>
      </c>
      <c r="M200" s="5">
        <f>HYPERLINK("https://fin.land.naver.com/articles/2649240940", "매물Link")</f>
        <v/>
      </c>
      <c r="N200" s="5">
        <f>HYPERLINK("https://map.naver.com/p/search/나성동 829", "지도Link")</f>
        <v/>
      </c>
      <c r="O200" s="5">
        <f>HYPERLINK("http://www.eum.go.kr/web/ar/lu/luLandDet.jsp?pnu=3611010700108290000&amp;isNoScr=script&amp;mode=search", "토지이음")</f>
        <v/>
      </c>
      <c r="P200" s="3" t="inlineStr">
        <is>
          <t>한방</t>
        </is>
      </c>
      <c r="Q200" s="3" t="n">
        <v>1</v>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850</v>
      </c>
      <c r="J201" s="3" t="inlineStr">
        <is>
          <t>1</t>
        </is>
      </c>
      <c r="K201" s="3" t="inlineStr">
        <is>
          <t>-</t>
        </is>
      </c>
      <c r="L201" s="3" t="inlineStr">
        <is>
          <t>사진, 남청주IC10분, 마당넓음, 트레일러진입, 내부사무실, 층고8m</t>
        </is>
      </c>
      <c r="M201" s="5">
        <f>HYPERLINK("https://fin.land.naver.com/articles/2646858380", "매물Link")</f>
        <v/>
      </c>
      <c r="N201" s="5">
        <f>HYPERLINK("https://map.naver.com/p/search/나성동 829", "지도Link")</f>
        <v/>
      </c>
      <c r="O201" s="5">
        <f>HYPERLINK("http://www.eum.go.kr/web/ar/lu/luLandDet.jsp?pnu=3611010700108290000&amp;isNoScr=script&amp;mode=search", "토지이음")</f>
        <v/>
      </c>
      <c r="P201" s="3" t="inlineStr">
        <is>
          <t>OK허니</t>
        </is>
      </c>
      <c r="Q201" s="3" t="n">
        <v>2</v>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395</v>
      </c>
      <c r="J202" s="3" t="inlineStr">
        <is>
          <t>2</t>
        </is>
      </c>
      <c r="K202" s="3" t="inlineStr">
        <is>
          <t>-</t>
        </is>
      </c>
      <c r="L202" s="3" t="inlineStr">
        <is>
          <t>남청주ic 접근성 좋은 위치의 사무실완비된 공장</t>
        </is>
      </c>
      <c r="M202" s="5">
        <f>HYPERLINK("https://fin.land.naver.com/articles/2646990954", "매물Link")</f>
        <v/>
      </c>
      <c r="N202" s="5">
        <f>HYPERLINK("https://map.naver.com/p/search/나성동 829", "지도Link")</f>
        <v/>
      </c>
      <c r="O202" s="5">
        <f>HYPERLINK("http://www.eum.go.kr/web/ar/lu/luLandDet.jsp?pnu=3611010700108290000&amp;isNoScr=script&amp;mode=search", "토지이음")</f>
        <v/>
      </c>
      <c r="P202" s="3" t="inlineStr">
        <is>
          <t>더원</t>
        </is>
      </c>
      <c r="Q202" s="3" t="n">
        <v>1</v>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324</v>
      </c>
      <c r="J203" s="3" t="inlineStr">
        <is>
          <t>1</t>
        </is>
      </c>
      <c r="K203" s="3" t="inlineStr">
        <is>
          <t>-</t>
        </is>
      </c>
      <c r="L203" s="3" t="inlineStr">
        <is>
          <t>매매가능 대지,평200만</t>
        </is>
      </c>
      <c r="M203" s="5">
        <f>HYPERLINK("https://fin.land.naver.com/articles/2649459058", "매물Link")</f>
        <v/>
      </c>
      <c r="N203" s="5">
        <f>HYPERLINK("https://map.naver.com/p/search/나성동 829", "지도Link")</f>
        <v/>
      </c>
      <c r="O203" s="5">
        <f>HYPERLINK("http://www.eum.go.kr/web/ar/lu/luLandDet.jsp?pnu=3611010700108290000&amp;isNoScr=script&amp;mode=search", "토지이음")</f>
        <v/>
      </c>
      <c r="P203" s="3" t="inlineStr">
        <is>
          <t>청주합동</t>
        </is>
      </c>
      <c r="Q203" s="3" t="n">
        <v>1</v>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330</v>
      </c>
      <c r="J204" s="3" t="inlineStr">
        <is>
          <t>1</t>
        </is>
      </c>
      <c r="K204" s="3" t="inlineStr">
        <is>
          <t>-</t>
        </is>
      </c>
      <c r="L204" s="3" t="inlineStr">
        <is>
          <t>nan</t>
        </is>
      </c>
      <c r="M204" s="5">
        <f>HYPERLINK("https://fin.land.naver.com/articles/2647068125", "매물Link")</f>
        <v/>
      </c>
      <c r="N204" s="5">
        <f>HYPERLINK("https://map.naver.com/p/search/나성동 829", "지도Link")</f>
        <v/>
      </c>
      <c r="O204" s="5">
        <f>HYPERLINK("http://www.eum.go.kr/web/ar/lu/luLandDet.jsp?pnu=3611010700108290000&amp;isNoScr=script&amp;mode=search", "토지이음")</f>
        <v/>
      </c>
      <c r="P204" s="3" t="inlineStr">
        <is>
          <t>방서비타민</t>
        </is>
      </c>
      <c r="Q204" s="3" t="n">
        <v>1</v>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21249</v>
      </c>
      <c r="J205" s="3" t="inlineStr">
        <is>
          <t>1</t>
        </is>
      </c>
      <c r="K205" s="3" t="inlineStr">
        <is>
          <t>-</t>
        </is>
      </c>
      <c r="L205" s="3" t="inlineStr">
        <is>
          <t>대형차 진출입이 편리한 남청주IC와도 가까운 대형 물류창고</t>
        </is>
      </c>
      <c r="M205" s="5">
        <f>HYPERLINK("https://fin.land.naver.com/articles/2649989570", "매물Link")</f>
        <v/>
      </c>
      <c r="N205" s="5">
        <f>HYPERLINK("https://map.naver.com/p/search/나성동 829", "지도Link")</f>
        <v/>
      </c>
      <c r="O205" s="5">
        <f>HYPERLINK("http://www.eum.go.kr/web/ar/lu/luLandDet.jsp?pnu=3611010700108290000&amp;isNoScr=script&amp;mode=search", "토지이음")</f>
        <v/>
      </c>
      <c r="P205" s="3" t="inlineStr">
        <is>
          <t>(주)미르</t>
        </is>
      </c>
      <c r="Q205" s="3" t="n">
        <v>1</v>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198</v>
      </c>
      <c r="J206" s="3" t="inlineStr">
        <is>
          <t>1</t>
        </is>
      </c>
      <c r="K206" s="3" t="inlineStr">
        <is>
          <t>-</t>
        </is>
      </c>
      <c r="L206" s="3" t="inlineStr">
        <is>
          <t>석실리 청주 도심 인접 소형 창고 2차선도로에서 진입</t>
        </is>
      </c>
      <c r="M206" s="5">
        <f>HYPERLINK("https://fin.land.naver.com/articles/2649676040", "매물Link")</f>
        <v/>
      </c>
      <c r="N206" s="5">
        <f>HYPERLINK("https://map.naver.com/p/search/나성동 829", "지도Link")</f>
        <v/>
      </c>
      <c r="O206" s="5">
        <f>HYPERLINK("http://www.eum.go.kr/web/ar/lu/luLandDet.jsp?pnu=3611010700108290000&amp;isNoScr=script&amp;mode=search", "토지이음")</f>
        <v/>
      </c>
      <c r="P206" s="3" t="inlineStr">
        <is>
          <t>더원</t>
        </is>
      </c>
      <c r="Q206" s="3" t="n">
        <v>1</v>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2796</v>
      </c>
      <c r="J207" s="3" t="inlineStr">
        <is>
          <t>4</t>
        </is>
      </c>
      <c r="K207" s="3" t="inlineStr">
        <is>
          <t>B1</t>
        </is>
      </c>
      <c r="L207" s="3" t="inlineStr">
        <is>
          <t>남청주i,c 10분 흥덕구청15분 위치 단독공장 바이오,전자,반도체</t>
        </is>
      </c>
      <c r="M207" s="5">
        <f>HYPERLINK("https://fin.land.naver.com/articles/2649559210", "매물Link")</f>
        <v/>
      </c>
      <c r="N207" s="5">
        <f>HYPERLINK("https://map.naver.com/p/search/나성동 829", "지도Link")</f>
        <v/>
      </c>
      <c r="O207" s="5">
        <f>HYPERLINK("http://www.eum.go.kr/web/ar/lu/luLandDet.jsp?pnu=3611010700108290000&amp;isNoScr=script&amp;mode=search", "토지이음")</f>
        <v/>
      </c>
      <c r="P207" s="3" t="inlineStr">
        <is>
          <t>공장365</t>
        </is>
      </c>
      <c r="Q207" s="3" t="n">
        <v>1</v>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495</v>
      </c>
      <c r="J208" s="3" t="inlineStr">
        <is>
          <t>1</t>
        </is>
      </c>
      <c r="K208" s="3" t="inlineStr">
        <is>
          <t>-</t>
        </is>
      </c>
      <c r="L208" s="3" t="inlineStr">
        <is>
          <t>사진, 남청주IC10분,신축,1종근생,단독사용,마당넓음,사무실,매매임대</t>
        </is>
      </c>
      <c r="M208" s="5">
        <f>HYPERLINK("https://fin.land.naver.com/articles/2646856004", "매물Link")</f>
        <v/>
      </c>
      <c r="N208" s="5">
        <f>HYPERLINK("https://map.naver.com/p/search/나성동 829", "지도Link")</f>
        <v/>
      </c>
      <c r="O208" s="5">
        <f>HYPERLINK("http://www.eum.go.kr/web/ar/lu/luLandDet.jsp?pnu=3611010700108290000&amp;isNoScr=script&amp;mode=search", "토지이음")</f>
        <v/>
      </c>
      <c r="P208" s="3" t="inlineStr">
        <is>
          <t>OK허니</t>
        </is>
      </c>
      <c r="Q208" s="3" t="n">
        <v>1</v>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1691</v>
      </c>
      <c r="J209" s="3" t="inlineStr">
        <is>
          <t>1</t>
        </is>
      </c>
      <c r="K209" s="3" t="inlineStr">
        <is>
          <t>-</t>
        </is>
      </c>
      <c r="L209" s="3" t="inlineStr">
        <is>
          <t>청주도심 인근 상수도 오폐수직관 식품업종도 가능한 공장</t>
        </is>
      </c>
      <c r="M209" s="5">
        <f>HYPERLINK("https://fin.land.naver.com/articles/2645434611", "매물Link")</f>
        <v/>
      </c>
      <c r="N209" s="5">
        <f>HYPERLINK("https://map.naver.com/p/search/나성동 829", "지도Link")</f>
        <v/>
      </c>
      <c r="O209" s="5">
        <f>HYPERLINK("http://www.eum.go.kr/web/ar/lu/luLandDet.jsp?pnu=3611010700108290000&amp;isNoScr=script&amp;mode=search", "토지이음")</f>
        <v/>
      </c>
      <c r="P209" s="3" t="inlineStr">
        <is>
          <t>더원</t>
        </is>
      </c>
      <c r="Q209" s="3" t="n">
        <v>1</v>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1541</v>
      </c>
      <c r="J210" s="3" t="inlineStr">
        <is>
          <t>2</t>
        </is>
      </c>
      <c r="K210" s="3" t="inlineStr">
        <is>
          <t>-</t>
        </is>
      </c>
      <c r="L210" s="3" t="inlineStr">
        <is>
          <t>직물건 급 공장상태 최상 IC 주변 위치 최고의 공장 매 주인과 사촌</t>
        </is>
      </c>
      <c r="M210" s="5">
        <f>HYPERLINK("https://fin.land.naver.com/articles/2645373464", "매물Link")</f>
        <v/>
      </c>
      <c r="N210" s="5">
        <f>HYPERLINK("https://map.naver.com/p/search/나성동 829", "지도Link")</f>
        <v/>
      </c>
      <c r="O210" s="5">
        <f>HYPERLINK("http://www.eum.go.kr/web/ar/lu/luLandDet.jsp?pnu=3611010700108290000&amp;isNoScr=script&amp;mode=search", "토지이음")</f>
        <v/>
      </c>
      <c r="P210" s="3" t="inlineStr">
        <is>
          <t>(주)정민근</t>
        </is>
      </c>
      <c r="Q210" s="3" t="n">
        <v>1</v>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4247</v>
      </c>
      <c r="J211" s="3" t="inlineStr">
        <is>
          <t>8</t>
        </is>
      </c>
      <c r="K211" s="3" t="inlineStr">
        <is>
          <t>B1</t>
        </is>
      </c>
      <c r="L211" s="3" t="inlineStr">
        <is>
          <t>초급매 남청주IC 2분, 월1,300만 확정수익 승계 냉동 물류 빌딩</t>
        </is>
      </c>
      <c r="M211" s="5">
        <f>HYPERLINK("https://fin.land.naver.com/articles/2645327142", "매물Link")</f>
        <v/>
      </c>
      <c r="N211" s="5">
        <f>HYPERLINK("https://map.naver.com/p/search/나성동 829", "지도Link")</f>
        <v/>
      </c>
      <c r="O211" s="5">
        <f>HYPERLINK("http://www.eum.go.kr/web/ar/lu/luLandDet.jsp?pnu=3611010700108290000&amp;isNoScr=script&amp;mode=search", "토지이음")</f>
        <v/>
      </c>
      <c r="P211" s="3" t="inlineStr">
        <is>
          <t>월정</t>
        </is>
      </c>
      <c r="Q211" s="3" t="n">
        <v>1</v>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311</v>
      </c>
      <c r="J212" s="3" t="inlineStr">
        <is>
          <t>2</t>
        </is>
      </c>
      <c r="K212" s="3" t="inlineStr">
        <is>
          <t>-</t>
        </is>
      </c>
      <c r="L212" s="3" t="inlineStr">
        <is>
          <t>3순환로 진출입로 입구 접근성 최고</t>
        </is>
      </c>
      <c r="M212" s="5">
        <f>HYPERLINK("https://fin.land.naver.com/articles/2645321540", "매물Link")</f>
        <v/>
      </c>
      <c r="N212" s="5">
        <f>HYPERLINK("https://map.naver.com/p/search/나성동 829", "지도Link")</f>
        <v/>
      </c>
      <c r="O212" s="5">
        <f>HYPERLINK("http://www.eum.go.kr/web/ar/lu/luLandDet.jsp?pnu=3611010700108290000&amp;isNoScr=script&amp;mode=search", "토지이음")</f>
        <v/>
      </c>
      <c r="P212" s="3" t="inlineStr">
        <is>
          <t>좋은터</t>
        </is>
      </c>
      <c r="Q212" s="3" t="n">
        <v>1</v>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600</v>
      </c>
      <c r="J213" s="3" t="inlineStr">
        <is>
          <t>1</t>
        </is>
      </c>
      <c r="K213" s="3" t="inlineStr">
        <is>
          <t>-</t>
        </is>
      </c>
      <c r="L213" s="3" t="inlineStr">
        <is>
          <t>남청주ic 인접 세종청주로 인근 세종 오송 석곡교차로 접근성 좋음</t>
        </is>
      </c>
      <c r="M213" s="5">
        <f>HYPERLINK("https://fin.land.naver.com/articles/2645311843", "매물Link")</f>
        <v/>
      </c>
      <c r="N213" s="5">
        <f>HYPERLINK("https://map.naver.com/p/search/나성동 829", "지도Link")</f>
        <v/>
      </c>
      <c r="O213" s="5">
        <f>HYPERLINK("http://www.eum.go.kr/web/ar/lu/luLandDet.jsp?pnu=3611010700108290000&amp;isNoScr=script&amp;mode=search", "토지이음")</f>
        <v/>
      </c>
      <c r="P213" s="3" t="inlineStr">
        <is>
          <t>더원</t>
        </is>
      </c>
      <c r="Q213" s="3" t="n">
        <v>1</v>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990</v>
      </c>
      <c r="J214" s="3" t="inlineStr">
        <is>
          <t>1</t>
        </is>
      </c>
      <c r="K214" s="3" t="inlineStr">
        <is>
          <t>-</t>
        </is>
      </c>
      <c r="L214" s="3" t="inlineStr">
        <is>
          <t>남청주ic 접근성 좋고 야드 넓어 야적 및 적재 공간 충분</t>
        </is>
      </c>
      <c r="M214" s="5">
        <f>HYPERLINK("https://fin.land.naver.com/articles/2645311811", "매물Link")</f>
        <v/>
      </c>
      <c r="N214" s="5">
        <f>HYPERLINK("https://map.naver.com/p/search/나성동 829", "지도Link")</f>
        <v/>
      </c>
      <c r="O214" s="5">
        <f>HYPERLINK("http://www.eum.go.kr/web/ar/lu/luLandDet.jsp?pnu=3611010700108290000&amp;isNoScr=script&amp;mode=search", "토지이음")</f>
        <v/>
      </c>
      <c r="P214" s="3" t="inlineStr">
        <is>
          <t>더원</t>
        </is>
      </c>
      <c r="Q214" s="3" t="n">
        <v>1</v>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1025</v>
      </c>
      <c r="J215" s="3" t="inlineStr">
        <is>
          <t>1</t>
        </is>
      </c>
      <c r="K215" s="3" t="inlineStr">
        <is>
          <t>-</t>
        </is>
      </c>
      <c r="L215" s="3" t="inlineStr">
        <is>
          <t>남청주ic 8분  창고 임대 냉동창고 4개설치 청주도심인접</t>
        </is>
      </c>
      <c r="M215" s="5">
        <f>HYPERLINK("https://fin.land.naver.com/articles/2645311628", "매물Link")</f>
        <v/>
      </c>
      <c r="N215" s="5">
        <f>HYPERLINK("https://map.naver.com/p/search/나성동 829", "지도Link")</f>
        <v/>
      </c>
      <c r="O215" s="5">
        <f>HYPERLINK("http://www.eum.go.kr/web/ar/lu/luLandDet.jsp?pnu=3611010700108290000&amp;isNoScr=script&amp;mode=search", "토지이음")</f>
        <v/>
      </c>
      <c r="P215" s="3" t="inlineStr">
        <is>
          <t>더원</t>
        </is>
      </c>
      <c r="Q215" s="3" t="n">
        <v>1</v>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827</v>
      </c>
      <c r="J216" s="3" t="inlineStr">
        <is>
          <t>1</t>
        </is>
      </c>
      <c r="K216" s="3" t="inlineStr">
        <is>
          <t>-</t>
        </is>
      </c>
      <c r="L216" s="3" t="inlineStr">
        <is>
          <t>세종청주로 인근 석곡사거리 5분거리 층고11m 입주협의</t>
        </is>
      </c>
      <c r="M216" s="5">
        <f>HYPERLINK("https://fin.land.naver.com/articles/2645311246", "매물Link")</f>
        <v/>
      </c>
      <c r="N216" s="5">
        <f>HYPERLINK("https://map.naver.com/p/search/나성동 829", "지도Link")</f>
        <v/>
      </c>
      <c r="O216" s="5">
        <f>HYPERLINK("http://www.eum.go.kr/web/ar/lu/luLandDet.jsp?pnu=3611010700108290000&amp;isNoScr=script&amp;mode=search", "토지이음")</f>
        <v/>
      </c>
      <c r="P216" s="3" t="inlineStr">
        <is>
          <t>더원</t>
        </is>
      </c>
      <c r="Q216" s="3" t="n">
        <v>1</v>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704</v>
      </c>
      <c r="J217" s="3" t="inlineStr">
        <is>
          <t>1</t>
        </is>
      </c>
      <c r="K217" s="3" t="inlineStr">
        <is>
          <t>-</t>
        </is>
      </c>
      <c r="L217" s="3" t="inlineStr">
        <is>
          <t>남청주ic 9분  2차선도로 상수도 하수종말처리장 직관 식품업종도 가능</t>
        </is>
      </c>
      <c r="M217" s="5">
        <f>HYPERLINK("https://fin.land.naver.com/articles/2645311157", "매물Link")</f>
        <v/>
      </c>
      <c r="N217" s="5">
        <f>HYPERLINK("https://map.naver.com/p/search/나성동 829", "지도Link")</f>
        <v/>
      </c>
      <c r="O217" s="5">
        <f>HYPERLINK("http://www.eum.go.kr/web/ar/lu/luLandDet.jsp?pnu=3611010700108290000&amp;isNoScr=script&amp;mode=search", "토지이음")</f>
        <v/>
      </c>
      <c r="P217" s="3" t="inlineStr">
        <is>
          <t>더원</t>
        </is>
      </c>
      <c r="Q217" s="3" t="n">
        <v>1</v>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747</v>
      </c>
      <c r="J218" s="3" t="inlineStr">
        <is>
          <t>3</t>
        </is>
      </c>
      <c r="K218" s="3" t="inlineStr">
        <is>
          <t>-</t>
        </is>
      </c>
      <c r="L218" s="3" t="inlineStr">
        <is>
          <t>남이면 물류 창고형 공장 매매</t>
        </is>
      </c>
      <c r="M218" s="5">
        <f>HYPERLINK("https://fin.land.naver.com/articles/2645096153", "매물Link")</f>
        <v/>
      </c>
      <c r="N218" s="5">
        <f>HYPERLINK("https://map.naver.com/p/search/나성동 829", "지도Link")</f>
        <v/>
      </c>
      <c r="O218" s="5">
        <f>HYPERLINK("http://www.eum.go.kr/web/ar/lu/luLandDet.jsp?pnu=3611010700108290000&amp;isNoScr=script&amp;mode=search", "토지이음")</f>
        <v/>
      </c>
      <c r="P218" s="3" t="inlineStr">
        <is>
          <t>사거리</t>
        </is>
      </c>
      <c r="Q218" s="3" t="n">
        <v>1</v>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1443</v>
      </c>
      <c r="J219" s="3" t="inlineStr">
        <is>
          <t>2</t>
        </is>
      </c>
      <c r="K219" s="3" t="inlineStr">
        <is>
          <t>-</t>
        </is>
      </c>
      <c r="L219" s="3" t="inlineStr">
        <is>
          <t>강서IC 근처 위치좋고 차량진출입 용이, 인근 추후 개발 가능성 큰 위치</t>
        </is>
      </c>
      <c r="M219" s="5">
        <f>HYPERLINK("https://fin.land.naver.com/articles/2644730231", "매물Link")</f>
        <v/>
      </c>
      <c r="N219" s="5">
        <f>HYPERLINK("https://map.naver.com/p/search/나성동 829", "지도Link")</f>
        <v/>
      </c>
      <c r="O219" s="5">
        <f>HYPERLINK("http://www.eum.go.kr/web/ar/lu/luLandDet.jsp?pnu=3611010700108290000&amp;isNoScr=script&amp;mode=search", "토지이음")</f>
        <v/>
      </c>
      <c r="P219" s="3" t="inlineStr">
        <is>
          <t>금강로하스</t>
        </is>
      </c>
      <c r="Q219" s="3" t="n">
        <v>1</v>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21249</v>
      </c>
      <c r="J220" s="3" t="inlineStr">
        <is>
          <t>1</t>
        </is>
      </c>
      <c r="K220" s="3" t="inlineStr">
        <is>
          <t>-</t>
        </is>
      </c>
      <c r="L220" s="3" t="inlineStr">
        <is>
          <t>남청주ic 10분거리로 고속도로접근성 좋은 위치의 대형물류창고매매</t>
        </is>
      </c>
      <c r="M220" s="5">
        <f>HYPERLINK("https://fin.land.naver.com/articles/2644664343", "매물Link")</f>
        <v/>
      </c>
      <c r="N220" s="5">
        <f>HYPERLINK("https://map.naver.com/p/search/나성동 829", "지도Link")</f>
        <v/>
      </c>
      <c r="O220" s="5">
        <f>HYPERLINK("http://www.eum.go.kr/web/ar/lu/luLandDet.jsp?pnu=3611010700108290000&amp;isNoScr=script&amp;mode=search", "토지이음")</f>
        <v/>
      </c>
      <c r="P220" s="3" t="inlineStr">
        <is>
          <t>더원</t>
        </is>
      </c>
      <c r="Q220" s="3" t="n">
        <v>1</v>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985</v>
      </c>
      <c r="J221" s="3" t="inlineStr">
        <is>
          <t>1</t>
        </is>
      </c>
      <c r="K221" s="3" t="inlineStr">
        <is>
          <t>-</t>
        </is>
      </c>
      <c r="L221" s="3" t="inlineStr">
        <is>
          <t>마당넓은 위험물 저장및 처리시설 현임대중 입주 8월말경</t>
        </is>
      </c>
      <c r="M221" s="5">
        <f>HYPERLINK("https://fin.land.naver.com/articles/2644664272", "매물Link")</f>
        <v/>
      </c>
      <c r="N221" s="5">
        <f>HYPERLINK("https://map.naver.com/p/search/나성동 829", "지도Link")</f>
        <v/>
      </c>
      <c r="O221" s="5">
        <f>HYPERLINK("http://www.eum.go.kr/web/ar/lu/luLandDet.jsp?pnu=3611010700108290000&amp;isNoScr=script&amp;mode=search", "토지이음")</f>
        <v/>
      </c>
      <c r="P221" s="3" t="inlineStr">
        <is>
          <t>더원</t>
        </is>
      </c>
      <c r="Q221" s="3" t="n">
        <v>1</v>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1581</v>
      </c>
      <c r="J222" s="3" t="inlineStr">
        <is>
          <t>2</t>
        </is>
      </c>
      <c r="K222" s="3" t="inlineStr">
        <is>
          <t>-</t>
        </is>
      </c>
      <c r="L222" s="3" t="inlineStr">
        <is>
          <t>남청주ic 5분거리 청주시내권 접근성좋음 호이스트설치</t>
        </is>
      </c>
      <c r="M222" s="5">
        <f>HYPERLINK("https://fin.land.naver.com/articles/2644663834", "매물Link")</f>
        <v/>
      </c>
      <c r="N222" s="5">
        <f>HYPERLINK("https://map.naver.com/p/search/나성동 829", "지도Link")</f>
        <v/>
      </c>
      <c r="O222" s="5">
        <f>HYPERLINK("http://www.eum.go.kr/web/ar/lu/luLandDet.jsp?pnu=3611010700108290000&amp;isNoScr=script&amp;mode=search", "토지이음")</f>
        <v/>
      </c>
      <c r="P222" s="3" t="inlineStr">
        <is>
          <t>더원</t>
        </is>
      </c>
      <c r="Q222" s="3" t="n">
        <v>1</v>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1405</v>
      </c>
      <c r="J223" s="3" t="inlineStr">
        <is>
          <t>2</t>
        </is>
      </c>
      <c r="K223" s="3" t="inlineStr">
        <is>
          <t>-</t>
        </is>
      </c>
      <c r="L223" s="3" t="inlineStr">
        <is>
          <t>청주세종간 도로에서 접근성이 용이한 공장임</t>
        </is>
      </c>
      <c r="M223" s="5">
        <f>HYPERLINK("https://fin.land.naver.com/articles/2645626712", "매물Link")</f>
        <v/>
      </c>
      <c r="N223" s="5">
        <f>HYPERLINK("https://map.naver.com/p/search/나성동 829", "지도Link")</f>
        <v/>
      </c>
      <c r="O223" s="5">
        <f>HYPERLINK("http://www.eum.go.kr/web/ar/lu/luLandDet.jsp?pnu=3611010700108290000&amp;isNoScr=script&amp;mode=search", "토지이음")</f>
        <v/>
      </c>
      <c r="P223" s="3" t="inlineStr">
        <is>
          <t>교차로</t>
        </is>
      </c>
      <c r="Q223" s="3" t="n">
        <v>1</v>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270</v>
      </c>
      <c r="J224" s="3" t="inlineStr">
        <is>
          <t>1</t>
        </is>
      </c>
      <c r="K224" s="3" t="inlineStr">
        <is>
          <t>-</t>
        </is>
      </c>
      <c r="L224" s="3" t="inlineStr">
        <is>
          <t>청주,창고,마당넓음</t>
        </is>
      </c>
      <c r="M224" s="5">
        <f>HYPERLINK("https://fin.land.naver.com/articles/2646709876", "매물Link")</f>
        <v/>
      </c>
      <c r="N224" s="5">
        <f>HYPERLINK("https://map.naver.com/p/search/나성동 829", "지도Link")</f>
        <v/>
      </c>
      <c r="O224" s="5">
        <f>HYPERLINK("http://www.eum.go.kr/web/ar/lu/luLandDet.jsp?pnu=3611010700108290000&amp;isNoScr=script&amp;mode=search", "토지이음")</f>
        <v/>
      </c>
      <c r="P224" s="3" t="inlineStr">
        <is>
          <t>LBA리치아노합동사무소</t>
        </is>
      </c>
      <c r="Q224" s="3" t="n">
        <v>1</v>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6751</v>
      </c>
      <c r="J225" s="3" t="inlineStr">
        <is>
          <t>1</t>
        </is>
      </c>
      <c r="K225" s="3" t="inlineStr">
        <is>
          <t>-</t>
        </is>
      </c>
      <c r="L225" s="3" t="inlineStr">
        <is>
          <t>nan</t>
        </is>
      </c>
      <c r="M225" s="5">
        <f>HYPERLINK("https://fin.land.naver.com/articles/2646697529", "매물Link")</f>
        <v/>
      </c>
      <c r="N225" s="5">
        <f>HYPERLINK("https://map.naver.com/p/search/나성동 829", "지도Link")</f>
        <v/>
      </c>
      <c r="O225" s="5">
        <f>HYPERLINK("http://www.eum.go.kr/web/ar/lu/luLandDet.jsp?pnu=3611010700108290000&amp;isNoScr=script&amp;mode=search", "토지이음")</f>
        <v/>
      </c>
      <c r="P225" s="3" t="inlineStr">
        <is>
          <t>왕중왕기업</t>
        </is>
      </c>
      <c r="Q225" s="3" t="n">
        <v>1</v>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1734</v>
      </c>
      <c r="J226" s="3" t="inlineStr">
        <is>
          <t>1</t>
        </is>
      </c>
      <c r="K226" s="3" t="inlineStr">
        <is>
          <t>-</t>
        </is>
      </c>
      <c r="L226" s="3" t="inlineStr">
        <is>
          <t>남청주ic 10분 수도권 전국 물류이동 편리 도크시설 완비 냉동 냉장 창</t>
        </is>
      </c>
      <c r="M226" s="5">
        <f>HYPERLINK("https://fin.land.naver.com/articles/2646670247", "매물Link")</f>
        <v/>
      </c>
      <c r="N226" s="5">
        <f>HYPERLINK("https://map.naver.com/p/search/나성동 829", "지도Link")</f>
        <v/>
      </c>
      <c r="O226" s="5">
        <f>HYPERLINK("http://www.eum.go.kr/web/ar/lu/luLandDet.jsp?pnu=3611010700108290000&amp;isNoScr=script&amp;mode=search", "토지이음")</f>
        <v/>
      </c>
      <c r="P226" s="3" t="inlineStr">
        <is>
          <t>더원</t>
        </is>
      </c>
      <c r="Q226" s="3" t="n">
        <v>1</v>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1743</v>
      </c>
      <c r="J227" s="3" t="inlineStr">
        <is>
          <t>1</t>
        </is>
      </c>
      <c r="K227" s="3" t="inlineStr">
        <is>
          <t>-</t>
        </is>
      </c>
      <c r="L227" s="3" t="inlineStr">
        <is>
          <t>남청주ic 10분 대형차 진출입 가능 청주 시내권 접근성 좋음</t>
        </is>
      </c>
      <c r="M227" s="5">
        <f>HYPERLINK("https://fin.land.naver.com/articles/2646670209", "매물Link")</f>
        <v/>
      </c>
      <c r="N227" s="5">
        <f>HYPERLINK("https://map.naver.com/p/search/나성동 829", "지도Link")</f>
        <v/>
      </c>
      <c r="O227" s="5">
        <f>HYPERLINK("http://www.eum.go.kr/web/ar/lu/luLandDet.jsp?pnu=3611010700108290000&amp;isNoScr=script&amp;mode=search", "토지이음")</f>
        <v/>
      </c>
      <c r="P227" s="3" t="inlineStr">
        <is>
          <t>더원</t>
        </is>
      </c>
      <c r="Q227" s="3" t="n">
        <v>1</v>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276</v>
      </c>
      <c r="J228" s="3" t="inlineStr">
        <is>
          <t>1</t>
        </is>
      </c>
      <c r="K228" s="3" t="inlineStr">
        <is>
          <t>-</t>
        </is>
      </c>
      <c r="L228" s="3" t="inlineStr">
        <is>
          <t>남청주ic 8분거리이며 신축 공장 2종근린생활시설 제조업이나 창고가능</t>
        </is>
      </c>
      <c r="M228" s="5">
        <f>HYPERLINK("https://fin.land.naver.com/articles/2646670122", "매물Link")</f>
        <v/>
      </c>
      <c r="N228" s="5">
        <f>HYPERLINK("https://map.naver.com/p/search/나성동 829", "지도Link")</f>
        <v/>
      </c>
      <c r="O228" s="5">
        <f>HYPERLINK("http://www.eum.go.kr/web/ar/lu/luLandDet.jsp?pnu=3611010700108290000&amp;isNoScr=script&amp;mode=search", "토지이음")</f>
        <v/>
      </c>
      <c r="P228" s="3" t="inlineStr">
        <is>
          <t>더원</t>
        </is>
      </c>
      <c r="Q228" s="3" t="n">
        <v>1</v>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212</v>
      </c>
      <c r="J229" s="3" t="inlineStr">
        <is>
          <t>1</t>
        </is>
      </c>
      <c r="K229" s="3" t="inlineStr">
        <is>
          <t>-</t>
        </is>
      </c>
      <c r="L229" s="3" t="inlineStr">
        <is>
          <t>2차선도로변 소형 공장 매매 서청주ic 접근성 최상</t>
        </is>
      </c>
      <c r="M229" s="5">
        <f>HYPERLINK("https://fin.land.naver.com/articles/2646670050", "매물Link")</f>
        <v/>
      </c>
      <c r="N229" s="5">
        <f>HYPERLINK("https://map.naver.com/p/search/나성동 829", "지도Link")</f>
        <v/>
      </c>
      <c r="O229" s="5">
        <f>HYPERLINK("http://www.eum.go.kr/web/ar/lu/luLandDet.jsp?pnu=3611010700108290000&amp;isNoScr=script&amp;mode=search", "토지이음")</f>
        <v/>
      </c>
      <c r="P229" s="3" t="inlineStr">
        <is>
          <t>더원</t>
        </is>
      </c>
      <c r="Q229" s="3" t="n">
        <v>1</v>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291</v>
      </c>
      <c r="J230" s="3" t="inlineStr">
        <is>
          <t>1</t>
        </is>
      </c>
      <c r="K230" s="3" t="inlineStr">
        <is>
          <t>-</t>
        </is>
      </c>
      <c r="L230" s="3" t="inlineStr">
        <is>
          <t>남청주ic 8분거리 신축 2종근린생활시설 제조업이나 창고가능</t>
        </is>
      </c>
      <c r="M230" s="5">
        <f>HYPERLINK("https://fin.land.naver.com/articles/2646669993", "매물Link")</f>
        <v/>
      </c>
      <c r="N230" s="5">
        <f>HYPERLINK("https://map.naver.com/p/search/나성동 829", "지도Link")</f>
        <v/>
      </c>
      <c r="O230" s="5">
        <f>HYPERLINK("http://www.eum.go.kr/web/ar/lu/luLandDet.jsp?pnu=3611010700108290000&amp;isNoScr=script&amp;mode=search", "토지이음")</f>
        <v/>
      </c>
      <c r="P230" s="3" t="inlineStr">
        <is>
          <t>더원</t>
        </is>
      </c>
      <c r="Q230" s="3" t="n">
        <v>1</v>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1544</v>
      </c>
      <c r="J231" s="3" t="inlineStr">
        <is>
          <t>1</t>
        </is>
      </c>
      <c r="K231" s="3" t="inlineStr">
        <is>
          <t>-</t>
        </is>
      </c>
      <c r="L231" s="3" t="inlineStr">
        <is>
          <t>남청주ic 6분거리의 신축공장매매 대형차진출입원활</t>
        </is>
      </c>
      <c r="M231" s="5">
        <f>HYPERLINK("https://fin.land.naver.com/articles/2646669665", "매물Link")</f>
        <v/>
      </c>
      <c r="N231" s="5">
        <f>HYPERLINK("https://map.naver.com/p/search/나성동 829", "지도Link")</f>
        <v/>
      </c>
      <c r="O231" s="5">
        <f>HYPERLINK("http://www.eum.go.kr/web/ar/lu/luLandDet.jsp?pnu=3611010700108290000&amp;isNoScr=script&amp;mode=search", "토지이음")</f>
        <v/>
      </c>
      <c r="P231" s="3" t="inlineStr">
        <is>
          <t>더원</t>
        </is>
      </c>
      <c r="Q231" s="3" t="n">
        <v>1</v>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250</v>
      </c>
      <c r="J232" s="3" t="inlineStr">
        <is>
          <t>1</t>
        </is>
      </c>
      <c r="K232" s="3" t="inlineStr">
        <is>
          <t>-</t>
        </is>
      </c>
      <c r="L232" s="3" t="inlineStr">
        <is>
          <t>남청주IC 8분거리이며 2차선도로에 접근성 좋음 신축 공장이나 창고가능</t>
        </is>
      </c>
      <c r="M232" s="5">
        <f>HYPERLINK("https://fin.land.naver.com/articles/2646669652", "매물Link")</f>
        <v/>
      </c>
      <c r="N232" s="5">
        <f>HYPERLINK("https://map.naver.com/p/search/나성동 829", "지도Link")</f>
        <v/>
      </c>
      <c r="O232" s="5">
        <f>HYPERLINK("http://www.eum.go.kr/web/ar/lu/luLandDet.jsp?pnu=3611010700108290000&amp;isNoScr=script&amp;mode=search", "토지이음")</f>
        <v/>
      </c>
      <c r="P232" s="3" t="inlineStr">
        <is>
          <t>더원</t>
        </is>
      </c>
      <c r="Q232" s="3" t="n">
        <v>1</v>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182</v>
      </c>
      <c r="J233" s="3" t="inlineStr">
        <is>
          <t>1</t>
        </is>
      </c>
      <c r="K233" s="3" t="inlineStr">
        <is>
          <t>-</t>
        </is>
      </c>
      <c r="L233" s="3" t="inlineStr">
        <is>
          <t>상발리 2차선도로 접 단독 마당 소규모창고 임대</t>
        </is>
      </c>
      <c r="M233" s="5">
        <f>HYPERLINK("https://fin.land.naver.com/articles/2646669626", "매물Link")</f>
        <v/>
      </c>
      <c r="N233" s="5">
        <f>HYPERLINK("https://map.naver.com/p/search/나성동 829", "지도Link")</f>
        <v/>
      </c>
      <c r="O233" s="5">
        <f>HYPERLINK("http://www.eum.go.kr/web/ar/lu/luLandDet.jsp?pnu=3611010700108290000&amp;isNoScr=script&amp;mode=search", "토지이음")</f>
        <v/>
      </c>
      <c r="P233" s="3" t="inlineStr">
        <is>
          <t>더원</t>
        </is>
      </c>
      <c r="Q233" s="3" t="n">
        <v>1</v>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818</v>
      </c>
      <c r="J234" s="3" t="inlineStr">
        <is>
          <t>1</t>
        </is>
      </c>
      <c r="K234" s="3" t="inlineStr">
        <is>
          <t>-</t>
        </is>
      </c>
      <c r="L234" s="3" t="inlineStr">
        <is>
          <t>남청주ic 8분거리 신축 2종근린생활시설 제조업이나 창고가능</t>
        </is>
      </c>
      <c r="M234" s="5">
        <f>HYPERLINK("https://fin.land.naver.com/articles/2646669600", "매물Link")</f>
        <v/>
      </c>
      <c r="N234" s="5">
        <f>HYPERLINK("https://map.naver.com/p/search/나성동 829", "지도Link")</f>
        <v/>
      </c>
      <c r="O234" s="5">
        <f>HYPERLINK("http://www.eum.go.kr/web/ar/lu/luLandDet.jsp?pnu=3611010700108290000&amp;isNoScr=script&amp;mode=search", "토지이음")</f>
        <v/>
      </c>
      <c r="P234" s="3" t="inlineStr">
        <is>
          <t>더원</t>
        </is>
      </c>
      <c r="Q234" s="3" t="n">
        <v>1</v>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2126</v>
      </c>
      <c r="J235" s="3" t="inlineStr">
        <is>
          <t>1</t>
        </is>
      </c>
      <c r="K235" s="3" t="inlineStr">
        <is>
          <t>-</t>
        </is>
      </c>
      <c r="L235" s="3" t="inlineStr">
        <is>
          <t>남청주ic 6분거리로 고속도로 접근성 좋으며 대형차 진출입원활</t>
        </is>
      </c>
      <c r="M235" s="5">
        <f>HYPERLINK("https://fin.land.naver.com/articles/2646669406", "매물Link")</f>
        <v/>
      </c>
      <c r="N235" s="5">
        <f>HYPERLINK("https://map.naver.com/p/search/나성동 829", "지도Link")</f>
        <v/>
      </c>
      <c r="O235" s="5">
        <f>HYPERLINK("http://www.eum.go.kr/web/ar/lu/luLandDet.jsp?pnu=3611010700108290000&amp;isNoScr=script&amp;mode=search", "토지이음")</f>
        <v/>
      </c>
      <c r="P235" s="3" t="inlineStr">
        <is>
          <t>더원</t>
        </is>
      </c>
      <c r="Q235" s="3" t="n">
        <v>1</v>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526</v>
      </c>
      <c r="J236" s="3" t="inlineStr">
        <is>
          <t>1</t>
        </is>
      </c>
      <c r="K236" s="3" t="inlineStr">
        <is>
          <t>-</t>
        </is>
      </c>
      <c r="L236" s="3" t="inlineStr">
        <is>
          <t>남청주ic 8분거리 2차선도로에 접근성 좋은 신축 공장이나 창고가능</t>
        </is>
      </c>
      <c r="M236" s="5">
        <f>HYPERLINK("https://fin.land.naver.com/articles/2646669326", "매물Link")</f>
        <v/>
      </c>
      <c r="N236" s="5">
        <f>HYPERLINK("https://map.naver.com/p/search/나성동 829", "지도Link")</f>
        <v/>
      </c>
      <c r="O236" s="5">
        <f>HYPERLINK("http://www.eum.go.kr/web/ar/lu/luLandDet.jsp?pnu=3611010700108290000&amp;isNoScr=script&amp;mode=search", "토지이음")</f>
        <v/>
      </c>
      <c r="P236" s="3" t="inlineStr">
        <is>
          <t>더원</t>
        </is>
      </c>
      <c r="Q236" s="3" t="n">
        <v>1</v>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20776</v>
      </c>
      <c r="J237" s="3" t="inlineStr">
        <is>
          <t>1</t>
        </is>
      </c>
      <c r="K237" s="3" t="inlineStr">
        <is>
          <t>-</t>
        </is>
      </c>
      <c r="L237" s="3" t="inlineStr">
        <is>
          <t>남청주ic 10분거리 대형물류창고매매 투자용으로 최적 현임대중</t>
        </is>
      </c>
      <c r="M237" s="5">
        <f>HYPERLINK("https://fin.land.naver.com/articles/2646668095", "매물Link")</f>
        <v/>
      </c>
      <c r="N237" s="5">
        <f>HYPERLINK("https://map.naver.com/p/search/나성동 829", "지도Link")</f>
        <v/>
      </c>
      <c r="O237" s="5">
        <f>HYPERLINK("http://www.eum.go.kr/web/ar/lu/luLandDet.jsp?pnu=3611010700108290000&amp;isNoScr=script&amp;mode=search", "토지이음")</f>
        <v/>
      </c>
      <c r="P237" s="3" t="inlineStr">
        <is>
          <t>더원</t>
        </is>
      </c>
      <c r="Q237" s="3" t="n">
        <v>1</v>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1451</v>
      </c>
      <c r="J238" s="3" t="inlineStr">
        <is>
          <t>1</t>
        </is>
      </c>
      <c r="K238" s="3" t="inlineStr">
        <is>
          <t>-</t>
        </is>
      </c>
      <c r="L238" s="3" t="inlineStr">
        <is>
          <t>남청주ic 접근성 좋은 위치의 단독신축공장 대형차량진출입가능 민원소지없음</t>
        </is>
      </c>
      <c r="M238" s="5">
        <f>HYPERLINK("https://fin.land.naver.com/articles/2646668065", "매물Link")</f>
        <v/>
      </c>
      <c r="N238" s="5">
        <f>HYPERLINK("https://map.naver.com/p/search/나성동 829", "지도Link")</f>
        <v/>
      </c>
      <c r="O238" s="5">
        <f>HYPERLINK("http://www.eum.go.kr/web/ar/lu/luLandDet.jsp?pnu=3611010700108290000&amp;isNoScr=script&amp;mode=search", "토지이음")</f>
        <v/>
      </c>
      <c r="P238" s="3" t="inlineStr">
        <is>
          <t>더원</t>
        </is>
      </c>
      <c r="Q238" s="3" t="n">
        <v>1</v>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990</v>
      </c>
      <c r="J239" s="3" t="inlineStr">
        <is>
          <t>1</t>
        </is>
      </c>
      <c r="K239" s="3" t="inlineStr">
        <is>
          <t>-</t>
        </is>
      </c>
      <c r="L239" s="3" t="inlineStr">
        <is>
          <t>남청주ic 및 청주ic 접근성 좋은 위치 마당넓고 트레일러진출입가능</t>
        </is>
      </c>
      <c r="M239" s="5">
        <f>HYPERLINK("https://fin.land.naver.com/articles/2646667871", "매물Link")</f>
        <v/>
      </c>
      <c r="N239" s="5">
        <f>HYPERLINK("https://map.naver.com/p/search/나성동 829", "지도Link")</f>
        <v/>
      </c>
      <c r="O239" s="5">
        <f>HYPERLINK("http://www.eum.go.kr/web/ar/lu/luLandDet.jsp?pnu=3611010700108290000&amp;isNoScr=script&amp;mode=search", "토지이음")</f>
        <v/>
      </c>
      <c r="P239" s="3" t="inlineStr">
        <is>
          <t>더원</t>
        </is>
      </c>
      <c r="Q239" s="3" t="n">
        <v>1</v>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475</v>
      </c>
      <c r="J240" s="3" t="inlineStr">
        <is>
          <t>2</t>
        </is>
      </c>
      <c r="K240" s="3" t="inlineStr">
        <is>
          <t>-</t>
        </is>
      </c>
      <c r="L240" s="3" t="inlineStr">
        <is>
          <t>nan</t>
        </is>
      </c>
      <c r="M240" s="5">
        <f>HYPERLINK("https://fin.land.naver.com/articles/2646605800", "매물Link")</f>
        <v/>
      </c>
      <c r="N240" s="5">
        <f>HYPERLINK("https://map.naver.com/p/search/나성동 829", "지도Link")</f>
        <v/>
      </c>
      <c r="O240" s="5">
        <f>HYPERLINK("http://www.eum.go.kr/web/ar/lu/luLandDet.jsp?pnu=3611010700108290000&amp;isNoScr=script&amp;mode=search", "토지이음")</f>
        <v/>
      </c>
      <c r="P240" s="3" t="inlineStr">
        <is>
          <t>청주합동</t>
        </is>
      </c>
      <c r="Q240" s="3" t="n">
        <v>1</v>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440</v>
      </c>
      <c r="J241" s="3" t="inlineStr">
        <is>
          <t>2</t>
        </is>
      </c>
      <c r="K241" s="3" t="inlineStr">
        <is>
          <t>-</t>
        </is>
      </c>
      <c r="L241" s="3" t="inlineStr">
        <is>
          <t>남청주ic 8분  제조업소 운영과 거주가 가능한 공장</t>
        </is>
      </c>
      <c r="M241" s="5">
        <f>HYPERLINK("https://fin.land.naver.com/articles/2646501328", "매물Link")</f>
        <v/>
      </c>
      <c r="N241" s="5">
        <f>HYPERLINK("https://map.naver.com/p/search/나성동 829", "지도Link")</f>
        <v/>
      </c>
      <c r="O241" s="5">
        <f>HYPERLINK("http://www.eum.go.kr/web/ar/lu/luLandDet.jsp?pnu=3611010700108290000&amp;isNoScr=script&amp;mode=search", "토지이음")</f>
        <v/>
      </c>
      <c r="P241" s="3" t="inlineStr">
        <is>
          <t>더원</t>
        </is>
      </c>
      <c r="Q241" s="3" t="n">
        <v>1</v>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1988</v>
      </c>
      <c r="J242" s="3" t="inlineStr">
        <is>
          <t>1</t>
        </is>
      </c>
      <c r="K242" s="3" t="inlineStr">
        <is>
          <t>-</t>
        </is>
      </c>
      <c r="L242" s="3" t="inlineStr">
        <is>
          <t>2차선도로 접 남청주 ic 15분 세종 청주로 접근성 좋은 신축공장</t>
        </is>
      </c>
      <c r="M242" s="5">
        <f>HYPERLINK("https://fin.land.naver.com/articles/2646422858", "매물Link")</f>
        <v/>
      </c>
      <c r="N242" s="5">
        <f>HYPERLINK("https://map.naver.com/p/search/나성동 829", "지도Link")</f>
        <v/>
      </c>
      <c r="O242" s="5">
        <f>HYPERLINK("http://www.eum.go.kr/web/ar/lu/luLandDet.jsp?pnu=3611010700108290000&amp;isNoScr=script&amp;mode=search", "토지이음")</f>
        <v/>
      </c>
      <c r="P242" s="3" t="inlineStr">
        <is>
          <t>더원</t>
        </is>
      </c>
      <c r="Q242" s="3" t="n">
        <v>1</v>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488</v>
      </c>
      <c r="J243" s="3" t="inlineStr">
        <is>
          <t>1</t>
        </is>
      </c>
      <c r="K243" s="3" t="inlineStr">
        <is>
          <t>-</t>
        </is>
      </c>
      <c r="L243" s="3" t="inlineStr">
        <is>
          <t>청주,저렴한창고</t>
        </is>
      </c>
      <c r="M243" s="5">
        <f>HYPERLINK("https://fin.land.naver.com/articles/2646106600", "매물Link")</f>
        <v/>
      </c>
      <c r="N243" s="5">
        <f>HYPERLINK("https://map.naver.com/p/search/나성동 829", "지도Link")</f>
        <v/>
      </c>
      <c r="O243" s="5">
        <f>HYPERLINK("http://www.eum.go.kr/web/ar/lu/luLandDet.jsp?pnu=3611010700108290000&amp;isNoScr=script&amp;mode=search", "토지이음")</f>
        <v/>
      </c>
      <c r="P243" s="3" t="inlineStr">
        <is>
          <t>LBA리치아노합동사무소</t>
        </is>
      </c>
      <c r="Q243" s="3" t="n">
        <v>1</v>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987</v>
      </c>
      <c r="J244" s="3" t="inlineStr">
        <is>
          <t>1</t>
        </is>
      </c>
      <c r="K244" s="3" t="inlineStr">
        <is>
          <t>-</t>
        </is>
      </c>
      <c r="L244" s="3" t="inlineStr">
        <is>
          <t>남청주ic 9분 청주시내권 접근성 좋아 물류이동 편리</t>
        </is>
      </c>
      <c r="M244" s="5">
        <f>HYPERLINK("https://fin.land.naver.com/articles/2646022592", "매물Link")</f>
        <v/>
      </c>
      <c r="N244" s="5">
        <f>HYPERLINK("https://map.naver.com/p/search/나성동 829", "지도Link")</f>
        <v/>
      </c>
      <c r="O244" s="5">
        <f>HYPERLINK("http://www.eum.go.kr/web/ar/lu/luLandDet.jsp?pnu=3611010700108290000&amp;isNoScr=script&amp;mode=search", "토지이음")</f>
        <v/>
      </c>
      <c r="P244" s="3" t="inlineStr">
        <is>
          <t>더원</t>
        </is>
      </c>
      <c r="Q244" s="3" t="n">
        <v>1</v>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704</v>
      </c>
      <c r="J245" s="3" t="inlineStr">
        <is>
          <t>1</t>
        </is>
      </c>
      <c r="K245" s="3" t="inlineStr">
        <is>
          <t>-</t>
        </is>
      </c>
      <c r="L245" s="3" t="inlineStr">
        <is>
          <t>급매 상수도 오폐수직관 석곡사거리 9분 남청주ic 9분 접근성 좋음</t>
        </is>
      </c>
      <c r="M245" s="5">
        <f>HYPERLINK("https://fin.land.naver.com/articles/2646022354", "매물Link")</f>
        <v/>
      </c>
      <c r="N245" s="5">
        <f>HYPERLINK("https://map.naver.com/p/search/나성동 829", "지도Link")</f>
        <v/>
      </c>
      <c r="O245" s="5">
        <f>HYPERLINK("http://www.eum.go.kr/web/ar/lu/luLandDet.jsp?pnu=3611010700108290000&amp;isNoScr=script&amp;mode=search", "토지이음")</f>
        <v/>
      </c>
      <c r="P245" s="3" t="inlineStr">
        <is>
          <t>더원</t>
        </is>
      </c>
      <c r="Q245" s="3" t="n">
        <v>1</v>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1980</v>
      </c>
      <c r="J246" s="3" t="inlineStr">
        <is>
          <t>1</t>
        </is>
      </c>
      <c r="K246" s="3" t="inlineStr">
        <is>
          <t>-</t>
        </is>
      </c>
      <c r="L246" s="3" t="inlineStr">
        <is>
          <t>남청주ic 인접한 위치의 대형토지면적의 물류창고 임대</t>
        </is>
      </c>
      <c r="M246" s="5">
        <f>HYPERLINK("https://fin.land.naver.com/articles/2646667898", "매물Link")</f>
        <v/>
      </c>
      <c r="N246" s="5">
        <f>HYPERLINK("https://map.naver.com/p/search/나성동 829", "지도Link")</f>
        <v/>
      </c>
      <c r="O246" s="5">
        <f>HYPERLINK("http://www.eum.go.kr/web/ar/lu/luLandDet.jsp?pnu=3611010700108290000&amp;isNoScr=script&amp;mode=search", "토지이음")</f>
        <v/>
      </c>
      <c r="P246" s="3" t="inlineStr">
        <is>
          <t>더원</t>
        </is>
      </c>
      <c r="Q246" s="3" t="n">
        <v>1</v>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830</v>
      </c>
      <c r="J247" s="3" t="inlineStr">
        <is>
          <t>1</t>
        </is>
      </c>
      <c r="K247" s="3" t="inlineStr">
        <is>
          <t>-</t>
        </is>
      </c>
      <c r="L247" s="3" t="inlineStr">
        <is>
          <t>nan</t>
        </is>
      </c>
      <c r="M247" s="5">
        <f>HYPERLINK("https://fin.land.naver.com/articles/2647028897", "매물Link")</f>
        <v/>
      </c>
      <c r="N247" s="5">
        <f>HYPERLINK("https://map.naver.com/p/search/나성동 829", "지도Link")</f>
        <v/>
      </c>
      <c r="O247" s="5">
        <f>HYPERLINK("http://www.eum.go.kr/web/ar/lu/luLandDet.jsp?pnu=3611010700108290000&amp;isNoScr=script&amp;mode=search", "토지이음")</f>
        <v/>
      </c>
      <c r="P247" s="3" t="inlineStr">
        <is>
          <t>강남</t>
        </is>
      </c>
      <c r="Q247" s="3" t="n">
        <v>1</v>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198</v>
      </c>
      <c r="J248" s="3" t="inlineStr">
        <is>
          <t>1</t>
        </is>
      </c>
      <c r="K248" s="3" t="inlineStr">
        <is>
          <t>-</t>
        </is>
      </c>
      <c r="L248" s="3" t="inlineStr">
        <is>
          <t>청주 공장제조업소 가덕면 병암리 대로변 공장 창고 매매</t>
        </is>
      </c>
      <c r="M248" s="5">
        <f>HYPERLINK("https://fin.land.naver.com/articles/2647016765", "매물Link")</f>
        <v/>
      </c>
      <c r="N248" s="5">
        <f>HYPERLINK("https://map.naver.com/p/search/나성동 829", "지도Link")</f>
        <v/>
      </c>
      <c r="O248" s="5">
        <f>HYPERLINK("http://www.eum.go.kr/web/ar/lu/luLandDet.jsp?pnu=3611010700108290000&amp;isNoScr=script&amp;mode=search", "토지이음")</f>
        <v/>
      </c>
      <c r="P248" s="3" t="inlineStr">
        <is>
          <t>삼성사무소</t>
        </is>
      </c>
      <c r="Q248" s="3" t="n">
        <v>1</v>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11239</v>
      </c>
      <c r="J249" s="3" t="inlineStr">
        <is>
          <t>3</t>
        </is>
      </c>
      <c r="K249" s="3" t="inlineStr">
        <is>
          <t>-</t>
        </is>
      </c>
      <c r="L249" s="3" t="inlineStr">
        <is>
          <t>일반대형공장 부지10,000매매</t>
        </is>
      </c>
      <c r="M249" s="5">
        <f>HYPERLINK("https://fin.land.naver.com/articles/2644929519", "매물Link")</f>
        <v/>
      </c>
      <c r="N249" s="5">
        <f>HYPERLINK("https://map.naver.com/p/search/나성동 829", "지도Link")</f>
        <v/>
      </c>
      <c r="O249" s="5">
        <f>HYPERLINK("http://www.eum.go.kr/web/ar/lu/luLandDet.jsp?pnu=3611010700108290000&amp;isNoScr=script&amp;mode=search", "토지이음")</f>
        <v/>
      </c>
      <c r="P249" s="3" t="inlineStr">
        <is>
          <t>세종</t>
        </is>
      </c>
      <c r="Q249" s="3" t="n">
        <v>1</v>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1296</v>
      </c>
      <c r="J250" s="3" t="inlineStr">
        <is>
          <t>1</t>
        </is>
      </c>
      <c r="K250" s="3" t="inlineStr">
        <is>
          <t>-</t>
        </is>
      </c>
      <c r="L250" s="3" t="inlineStr">
        <is>
          <t>nan</t>
        </is>
      </c>
      <c r="M250" s="5">
        <f>HYPERLINK("https://fin.land.naver.com/articles/2648076294", "매물Link")</f>
        <v/>
      </c>
      <c r="N250" s="5">
        <f>HYPERLINK("https://map.naver.com/p/search/나성동 829", "지도Link")</f>
        <v/>
      </c>
      <c r="O250" s="5">
        <f>HYPERLINK("http://www.eum.go.kr/web/ar/lu/luLandDet.jsp?pnu=3611010700108290000&amp;isNoScr=script&amp;mode=search", "토지이음")</f>
        <v/>
      </c>
      <c r="P250" s="3" t="inlineStr">
        <is>
          <t>청주모충주공사모1·2재개발명성</t>
        </is>
      </c>
      <c r="Q250" s="3" t="n">
        <v>1</v>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214</v>
      </c>
      <c r="J251" s="3" t="inlineStr">
        <is>
          <t>1</t>
        </is>
      </c>
      <c r="K251" s="3" t="inlineStr">
        <is>
          <t>-</t>
        </is>
      </c>
      <c r="L251" s="3" t="inlineStr">
        <is>
          <t>nan</t>
        </is>
      </c>
      <c r="M251" s="5">
        <f>HYPERLINK("https://fin.land.naver.com/articles/2647114582", "매물Link")</f>
        <v/>
      </c>
      <c r="N251" s="5">
        <f>HYPERLINK("https://map.naver.com/p/search/나성동 829", "지도Link")</f>
        <v/>
      </c>
      <c r="O251" s="5">
        <f>HYPERLINK("http://www.eum.go.kr/web/ar/lu/luLandDet.jsp?pnu=3611010700108290000&amp;isNoScr=script&amp;mode=search", "토지이음")</f>
        <v/>
      </c>
      <c r="P251" s="3" t="inlineStr">
        <is>
          <t>삼성사무소</t>
        </is>
      </c>
      <c r="Q251" s="3" t="n">
        <v>1</v>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1080</v>
      </c>
      <c r="J252" s="3" t="inlineStr">
        <is>
          <t>1</t>
        </is>
      </c>
      <c r="K252" s="3" t="inlineStr">
        <is>
          <t>-</t>
        </is>
      </c>
      <c r="L252" s="3" t="inlineStr">
        <is>
          <t>논산IC, 연무IC 차량시간 약 15분, 신축 대형건물</t>
        </is>
      </c>
      <c r="M252" s="5">
        <f>HYPERLINK("https://fin.land.naver.com/articles/2650151211", "매물Link")</f>
        <v/>
      </c>
      <c r="N252" s="5">
        <f>HYPERLINK("https://map.naver.com/p/search/나성동 829", "지도Link")</f>
        <v/>
      </c>
      <c r="O252" s="5">
        <f>HYPERLINK("http://www.eum.go.kr/web/ar/lu/luLandDet.jsp?pnu=3611010700108290000&amp;isNoScr=script&amp;mode=search", "토지이음")</f>
        <v/>
      </c>
      <c r="P252" s="3" t="inlineStr">
        <is>
          <t>미래로</t>
        </is>
      </c>
      <c r="Q252" s="3" t="n">
        <v>1</v>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336</v>
      </c>
      <c r="J253" s="3" t="inlineStr">
        <is>
          <t>1</t>
        </is>
      </c>
      <c r="K253" s="3" t="inlineStr">
        <is>
          <t>-</t>
        </is>
      </c>
      <c r="L253" s="3" t="inlineStr">
        <is>
          <t>논산IC 인근 준신축 근생형 공장, 호이스트 보유</t>
        </is>
      </c>
      <c r="M253" s="5">
        <f>HYPERLINK("https://fin.land.naver.com/articles/2645788151", "매물Link")</f>
        <v/>
      </c>
      <c r="N253" s="5">
        <f>HYPERLINK("https://map.naver.com/p/search/나성동 829", "지도Link")</f>
        <v/>
      </c>
      <c r="O253" s="5">
        <f>HYPERLINK("http://www.eum.go.kr/web/ar/lu/luLandDet.jsp?pnu=3611010700108290000&amp;isNoScr=script&amp;mode=search", "토지이음")</f>
        <v/>
      </c>
      <c r="P253" s="3" t="inlineStr">
        <is>
          <t>SK랜드</t>
        </is>
      </c>
      <c r="Q253" s="3" t="n">
        <v>1</v>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2264</v>
      </c>
      <c r="J254" s="3" t="inlineStr">
        <is>
          <t>1</t>
        </is>
      </c>
      <c r="K254" s="3" t="inlineStr">
        <is>
          <t>-</t>
        </is>
      </c>
      <c r="L254" s="3" t="inlineStr">
        <is>
          <t>사진, 연무,논산IC10분, 도크시설, 4단렉설치,층고10M,신축급</t>
        </is>
      </c>
      <c r="M254" s="5">
        <f>HYPERLINK("https://fin.land.naver.com/articles/2646860841", "매물Link")</f>
        <v/>
      </c>
      <c r="N254" s="5">
        <f>HYPERLINK("https://map.naver.com/p/search/나성동 829", "지도Link")</f>
        <v/>
      </c>
      <c r="O254" s="5">
        <f>HYPERLINK("http://www.eum.go.kr/web/ar/lu/luLandDet.jsp?pnu=3611010700108290000&amp;isNoScr=script&amp;mode=search", "토지이음")</f>
        <v/>
      </c>
      <c r="P254" s="3" t="inlineStr">
        <is>
          <t>OK허니</t>
        </is>
      </c>
      <c r="Q254" s="3" t="n">
        <v>1</v>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1170</v>
      </c>
      <c r="J255" s="3" t="inlineStr">
        <is>
          <t>1</t>
        </is>
      </c>
      <c r="K255" s="3" t="inlineStr">
        <is>
          <t>-</t>
        </is>
      </c>
      <c r="L255" s="3" t="inlineStr">
        <is>
          <t>사진, 연무,논산IC10분, 도크시설, 4단렉설치,층고10M,신축급</t>
        </is>
      </c>
      <c r="M255" s="5">
        <f>HYPERLINK("https://fin.land.naver.com/articles/2646861195", "매물Link")</f>
        <v/>
      </c>
      <c r="N255" s="5">
        <f>HYPERLINK("https://map.naver.com/p/search/나성동 829", "지도Link")</f>
        <v/>
      </c>
      <c r="O255" s="5">
        <f>HYPERLINK("http://www.eum.go.kr/web/ar/lu/luLandDet.jsp?pnu=3611010700108290000&amp;isNoScr=script&amp;mode=search", "토지이음")</f>
        <v/>
      </c>
      <c r="P255" s="3" t="inlineStr">
        <is>
          <t>OK허니</t>
        </is>
      </c>
      <c r="Q255" s="3" t="n">
        <v>1</v>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21500</v>
      </c>
      <c r="J256" s="3" t="inlineStr">
        <is>
          <t>1</t>
        </is>
      </c>
      <c r="K256" s="3" t="inlineStr">
        <is>
          <t>-</t>
        </is>
      </c>
      <c r="L256" s="3" t="inlineStr">
        <is>
          <t>nan</t>
        </is>
      </c>
      <c r="M256" s="5">
        <f>HYPERLINK("https://fin.land.naver.com/articles/2647097064", "매물Link")</f>
        <v/>
      </c>
      <c r="N256" s="5">
        <f>HYPERLINK("https://map.naver.com/p/search/나성동 829", "지도Link")</f>
        <v/>
      </c>
      <c r="O256" s="5">
        <f>HYPERLINK("http://www.eum.go.kr/web/ar/lu/luLandDet.jsp?pnu=3611010700108290000&amp;isNoScr=script&amp;mode=search", "토지이음")</f>
        <v/>
      </c>
      <c r="P256" s="3" t="inlineStr">
        <is>
          <t>유한회사대덕중개법인사무소</t>
        </is>
      </c>
      <c r="Q256" s="3" t="n">
        <v>1</v>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1080</v>
      </c>
      <c r="J257" s="3" t="inlineStr">
        <is>
          <t>1</t>
        </is>
      </c>
      <c r="K257" s="3" t="inlineStr">
        <is>
          <t>-</t>
        </is>
      </c>
      <c r="L257" s="3" t="inlineStr">
        <is>
          <t>사진,  도크시설, 4단렉설치,연무,논산IC10분,층고10M,신축급</t>
        </is>
      </c>
      <c r="M257" s="5">
        <f>HYPERLINK("https://fin.land.naver.com/articles/2648415540", "매물Link")</f>
        <v/>
      </c>
      <c r="N257" s="5">
        <f>HYPERLINK("https://map.naver.com/p/search/나성동 829", "지도Link")</f>
        <v/>
      </c>
      <c r="O257" s="5">
        <f>HYPERLINK("http://www.eum.go.kr/web/ar/lu/luLandDet.jsp?pnu=3611010700108290000&amp;isNoScr=script&amp;mode=search", "토지이음")</f>
        <v/>
      </c>
      <c r="P257" s="3" t="inlineStr">
        <is>
          <t>OK허니</t>
        </is>
      </c>
      <c r="Q257" s="3" t="n">
        <v>1</v>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79</v>
      </c>
      <c r="J258" s="3" t="inlineStr">
        <is>
          <t>1</t>
        </is>
      </c>
      <c r="K258" s="3" t="inlineStr">
        <is>
          <t>-</t>
        </is>
      </c>
      <c r="L258" s="3" t="inlineStr">
        <is>
          <t>사무실겸용</t>
        </is>
      </c>
      <c r="M258" s="5">
        <f>HYPERLINK("https://fin.land.naver.com/articles/2650175179", "매물Link")</f>
        <v/>
      </c>
      <c r="N258" s="5">
        <f>HYPERLINK("https://map.naver.com/p/search/나성동 829", "지도Link")</f>
        <v/>
      </c>
      <c r="O258" s="5">
        <f>HYPERLINK("http://www.eum.go.kr/web/ar/lu/luLandDet.jsp?pnu=3611010700108290000&amp;isNoScr=script&amp;mode=search", "토지이음")</f>
        <v/>
      </c>
      <c r="P258" s="3" t="inlineStr">
        <is>
          <t>대림모닝</t>
        </is>
      </c>
      <c r="Q258" s="3" t="n">
        <v>1</v>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330</v>
      </c>
      <c r="J259" s="3" t="inlineStr">
        <is>
          <t>1</t>
        </is>
      </c>
      <c r="K259" s="3" t="inlineStr">
        <is>
          <t>B1</t>
        </is>
      </c>
      <c r="L259" s="3" t="inlineStr">
        <is>
          <t>IC이동 가까운 곳으로 현 창고로 임대중  주변 농지와 창고용지</t>
        </is>
      </c>
      <c r="M259" s="5">
        <f>HYPERLINK("https://fin.land.naver.com/articles/2645166884", "매물Link")</f>
        <v/>
      </c>
      <c r="N259" s="5">
        <f>HYPERLINK("https://map.naver.com/p/search/나성동 829", "지도Link")</f>
        <v/>
      </c>
      <c r="O259" s="5">
        <f>HYPERLINK("http://www.eum.go.kr/web/ar/lu/luLandDet.jsp?pnu=3611010700108290000&amp;isNoScr=script&amp;mode=search", "토지이음")</f>
        <v/>
      </c>
      <c r="P259" s="3" t="inlineStr">
        <is>
          <t>해들마루</t>
        </is>
      </c>
      <c r="Q259" s="3" t="n">
        <v>1</v>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588</v>
      </c>
      <c r="J260" s="3" t="inlineStr">
        <is>
          <t>1</t>
        </is>
      </c>
      <c r="K260" s="3" t="inlineStr">
        <is>
          <t>-</t>
        </is>
      </c>
      <c r="L260" s="3" t="inlineStr">
        <is>
          <t>2차선 도로변에 접한 2016년 준공된 공장</t>
        </is>
      </c>
      <c r="M260" s="5">
        <f>HYPERLINK("https://fin.land.naver.com/articles/2646695339", "매물Link")</f>
        <v/>
      </c>
      <c r="N260" s="5">
        <f>HYPERLINK("https://map.naver.com/p/search/나성동 829", "지도Link")</f>
        <v/>
      </c>
      <c r="O260" s="5">
        <f>HYPERLINK("http://www.eum.go.kr/web/ar/lu/luLandDet.jsp?pnu=3611010700108290000&amp;isNoScr=script&amp;mode=search", "토지이음")</f>
        <v/>
      </c>
      <c r="P260" s="3" t="inlineStr">
        <is>
          <t>왕중왕기업</t>
        </is>
      </c>
      <c r="Q260" s="3" t="n">
        <v>1</v>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2057</v>
      </c>
      <c r="J261" s="3" t="inlineStr">
        <is>
          <t>1</t>
        </is>
      </c>
      <c r="K261" s="3" t="inlineStr">
        <is>
          <t>-</t>
        </is>
      </c>
      <c r="L261" s="3" t="inlineStr">
        <is>
          <t>논산 공장매매, 논산 ic  1km 이내의 거리</t>
        </is>
      </c>
      <c r="M261" s="5">
        <f>HYPERLINK("https://fin.land.naver.com/articles/2646694991", "매물Link")</f>
        <v/>
      </c>
      <c r="N261" s="5">
        <f>HYPERLINK("https://map.naver.com/p/search/나성동 829", "지도Link")</f>
        <v/>
      </c>
      <c r="O261" s="5">
        <f>HYPERLINK("http://www.eum.go.kr/web/ar/lu/luLandDet.jsp?pnu=3611010700108290000&amp;isNoScr=script&amp;mode=search", "토지이음")</f>
        <v/>
      </c>
      <c r="P261" s="3" t="inlineStr">
        <is>
          <t>왕중왕기업</t>
        </is>
      </c>
      <c r="Q261" s="3" t="n">
        <v>1</v>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198</v>
      </c>
      <c r="J262" s="3" t="inlineStr">
        <is>
          <t>1</t>
        </is>
      </c>
      <c r="K262" s="3" t="inlineStr">
        <is>
          <t>-</t>
        </is>
      </c>
      <c r="L262" s="3" t="inlineStr">
        <is>
          <t>사진, 전기30k,마당있음, 서논산IC2분, 신축, 층고6m, 대형차가능</t>
        </is>
      </c>
      <c r="M262" s="5">
        <f>HYPERLINK("https://fin.land.naver.com/articles/2648411475", "매물Link")</f>
        <v/>
      </c>
      <c r="N262" s="5">
        <f>HYPERLINK("https://map.naver.com/p/search/나성동 829", "지도Link")</f>
        <v/>
      </c>
      <c r="O262" s="5">
        <f>HYPERLINK("http://www.eum.go.kr/web/ar/lu/luLandDet.jsp?pnu=3611010700108290000&amp;isNoScr=script&amp;mode=search", "토지이음")</f>
        <v/>
      </c>
      <c r="P262" s="3" t="inlineStr">
        <is>
          <t>OK허니</t>
        </is>
      </c>
      <c r="Q262" s="3" t="n">
        <v>1</v>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807</v>
      </c>
      <c r="J263" s="3" t="inlineStr">
        <is>
          <t>1</t>
        </is>
      </c>
      <c r="K263" s="3" t="inlineStr">
        <is>
          <t>-</t>
        </is>
      </c>
      <c r="L263" s="3" t="inlineStr">
        <is>
          <t>폐기물재활용업허가 공장</t>
        </is>
      </c>
      <c r="M263" s="5">
        <f>HYPERLINK("https://fin.land.naver.com/articles/2648470888", "매물Link")</f>
        <v/>
      </c>
      <c r="N263" s="5">
        <f>HYPERLINK("https://map.naver.com/p/search/나성동 829", "지도Link")</f>
        <v/>
      </c>
      <c r="O263" s="5">
        <f>HYPERLINK("http://www.eum.go.kr/web/ar/lu/luLandDet.jsp?pnu=3611010700108290000&amp;isNoScr=script&amp;mode=search", "토지이음")</f>
        <v/>
      </c>
      <c r="P263" s="3" t="inlineStr">
        <is>
          <t>미래로</t>
        </is>
      </c>
      <c r="Q263" s="3" t="n">
        <v>1</v>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449</v>
      </c>
      <c r="J264" s="3" t="inlineStr">
        <is>
          <t>1</t>
        </is>
      </c>
      <c r="K264" s="3" t="inlineStr">
        <is>
          <t>-</t>
        </is>
      </c>
      <c r="L264" s="3" t="inlineStr">
        <is>
          <t>2차선 인접, 단독건물 1동,2동으로 구성, 용도는 공장등록가능,</t>
        </is>
      </c>
      <c r="M264" s="5">
        <f>HYPERLINK("https://fin.land.naver.com/articles/2645721086", "매물Link")</f>
        <v/>
      </c>
      <c r="N264" s="5">
        <f>HYPERLINK("https://map.naver.com/p/search/나성동 829", "지도Link")</f>
        <v/>
      </c>
      <c r="O264" s="5">
        <f>HYPERLINK("http://www.eum.go.kr/web/ar/lu/luLandDet.jsp?pnu=3611010700108290000&amp;isNoScr=script&amp;mode=search", "토지이음")</f>
        <v/>
      </c>
      <c r="P264" s="3" t="inlineStr">
        <is>
          <t>대승</t>
        </is>
      </c>
      <c r="Q264" s="3" t="n">
        <v>1</v>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449</v>
      </c>
      <c r="J265" s="3" t="inlineStr">
        <is>
          <t>1</t>
        </is>
      </c>
      <c r="K265" s="3" t="inlineStr">
        <is>
          <t>-</t>
        </is>
      </c>
      <c r="L265" s="3" t="inlineStr">
        <is>
          <t>상월면 2차선에 근접해 있는 공장 매매</t>
        </is>
      </c>
      <c r="M265" s="5">
        <f>HYPERLINK("https://fin.land.naver.com/articles/2646285925", "매물Link")</f>
        <v/>
      </c>
      <c r="N265" s="5">
        <f>HYPERLINK("https://map.naver.com/p/search/나성동 829", "지도Link")</f>
        <v/>
      </c>
      <c r="O265" s="5">
        <f>HYPERLINK("http://www.eum.go.kr/web/ar/lu/luLandDet.jsp?pnu=3611010700108290000&amp;isNoScr=script&amp;mode=search", "토지이음")</f>
        <v/>
      </c>
      <c r="P265" s="3" t="inlineStr">
        <is>
          <t>왕중왕기업</t>
        </is>
      </c>
      <c r="Q265" s="3" t="n">
        <v>1</v>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992</v>
      </c>
      <c r="J266" s="3" t="inlineStr">
        <is>
          <t>1</t>
        </is>
      </c>
      <c r="K266" s="3" t="inlineStr">
        <is>
          <t>-</t>
        </is>
      </c>
      <c r="L266" s="3" t="inlineStr">
        <is>
          <t>서논산IC15분거리,2차선도로변, 넓은창고,대형차가능,시세대비저렴</t>
        </is>
      </c>
      <c r="M266" s="5">
        <f>HYPERLINK("https://fin.land.naver.com/articles/2646861510", "매물Link")</f>
        <v/>
      </c>
      <c r="N266" s="5">
        <f>HYPERLINK("https://map.naver.com/p/search/나성동 829", "지도Link")</f>
        <v/>
      </c>
      <c r="O266" s="5">
        <f>HYPERLINK("http://www.eum.go.kr/web/ar/lu/luLandDet.jsp?pnu=3611010700108290000&amp;isNoScr=script&amp;mode=search", "토지이음")</f>
        <v/>
      </c>
      <c r="P266" s="3" t="inlineStr">
        <is>
          <t>OK허니</t>
        </is>
      </c>
      <c r="Q266" s="3" t="n">
        <v>1</v>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807</v>
      </c>
      <c r="J267" s="3" t="inlineStr">
        <is>
          <t>1</t>
        </is>
      </c>
      <c r="K267" s="3" t="inlineStr">
        <is>
          <t>-</t>
        </is>
      </c>
      <c r="L267" s="3" t="inlineStr">
        <is>
          <t>폐기물종합재활용업 및 일반 공장</t>
        </is>
      </c>
      <c r="M267" s="5">
        <f>HYPERLINK("https://fin.land.naver.com/articles/2646926333", "매물Link")</f>
        <v/>
      </c>
      <c r="N267" s="5">
        <f>HYPERLINK("https://map.naver.com/p/search/나성동 829", "지도Link")</f>
        <v/>
      </c>
      <c r="O267" s="5">
        <f>HYPERLINK("http://www.eum.go.kr/web/ar/lu/luLandDet.jsp?pnu=3611010700108290000&amp;isNoScr=script&amp;mode=search", "토지이음")</f>
        <v/>
      </c>
      <c r="P267" s="3" t="inlineStr">
        <is>
          <t>미래로</t>
        </is>
      </c>
      <c r="Q267" s="3" t="n">
        <v>1</v>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686</v>
      </c>
      <c r="J268" s="3" t="inlineStr">
        <is>
          <t>1</t>
        </is>
      </c>
      <c r="K268" s="3" t="inlineStr">
        <is>
          <t>-</t>
        </is>
      </c>
      <c r="L268" s="3" t="inlineStr">
        <is>
          <t>공장매매.현 임대중으로 임차인안고 매매.접근성.위치아주좋음</t>
        </is>
      </c>
      <c r="M268" s="5">
        <f>HYPERLINK("https://fin.land.naver.com/articles/2647539984", "매물Link")</f>
        <v/>
      </c>
      <c r="N268" s="5">
        <f>HYPERLINK("https://map.naver.com/p/search/나성동 829", "지도Link")</f>
        <v/>
      </c>
      <c r="O268" s="5">
        <f>HYPERLINK("http://www.eum.go.kr/web/ar/lu/luLandDet.jsp?pnu=3611010700108290000&amp;isNoScr=script&amp;mode=search", "토지이음")</f>
        <v/>
      </c>
      <c r="P268" s="3" t="inlineStr">
        <is>
          <t>대풍</t>
        </is>
      </c>
      <c r="Q268" s="3" t="n">
        <v>1</v>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276</v>
      </c>
      <c r="J269" s="3" t="inlineStr">
        <is>
          <t>1</t>
        </is>
      </c>
      <c r="K269" s="3" t="inlineStr">
        <is>
          <t>-</t>
        </is>
      </c>
      <c r="L269" s="3" t="inlineStr">
        <is>
          <t>연산 논산간 4차선 국도변 계획관리지역 창고시설로 활용도 최고 물건이예요</t>
        </is>
      </c>
      <c r="M269" s="5">
        <f>HYPERLINK("https://fin.land.naver.com/articles/2647753875", "매물Link")</f>
        <v/>
      </c>
      <c r="N269" s="5">
        <f>HYPERLINK("https://map.naver.com/p/search/나성동 829", "지도Link")</f>
        <v/>
      </c>
      <c r="O269" s="5">
        <f>HYPERLINK("http://www.eum.go.kr/web/ar/lu/luLandDet.jsp?pnu=3611010700108290000&amp;isNoScr=script&amp;mode=search", "토지이음")</f>
        <v/>
      </c>
      <c r="P269" s="3" t="inlineStr">
        <is>
          <t>에이스</t>
        </is>
      </c>
      <c r="Q269" s="3" t="n">
        <v>1</v>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8193</v>
      </c>
      <c r="J270" s="3" t="inlineStr">
        <is>
          <t>1</t>
        </is>
      </c>
      <c r="K270" s="3" t="inlineStr">
        <is>
          <t>-</t>
        </is>
      </c>
      <c r="L270" s="3" t="inlineStr">
        <is>
          <t>서논산IC에서 9분</t>
        </is>
      </c>
      <c r="M270" s="5">
        <f>HYPERLINK("https://fin.land.naver.com/articles/2648178318", "매물Link")</f>
        <v/>
      </c>
      <c r="N270" s="5">
        <f>HYPERLINK("https://map.naver.com/p/search/나성동 829", "지도Link")</f>
        <v/>
      </c>
      <c r="O270" s="5">
        <f>HYPERLINK("http://www.eum.go.kr/web/ar/lu/luLandDet.jsp?pnu=3611010700108290000&amp;isNoScr=script&amp;mode=search", "토지이음")</f>
        <v/>
      </c>
      <c r="P270" s="3" t="inlineStr">
        <is>
          <t>미더스</t>
        </is>
      </c>
      <c r="Q270" s="3" t="n">
        <v>1</v>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198</v>
      </c>
      <c r="J271" s="3" t="inlineStr">
        <is>
          <t>1</t>
        </is>
      </c>
      <c r="K271" s="3" t="inlineStr">
        <is>
          <t>-</t>
        </is>
      </c>
      <c r="L271" s="3" t="inlineStr">
        <is>
          <t>사진, 단독사용, 2종근생제조,마당넓음,2차선변,트레일러진입,층고6m</t>
        </is>
      </c>
      <c r="M271" s="5">
        <f>HYPERLINK("https://fin.land.naver.com/articles/2648429384", "매물Link")</f>
        <v/>
      </c>
      <c r="N271" s="5">
        <f>HYPERLINK("https://map.naver.com/p/search/나성동 829", "지도Link")</f>
        <v/>
      </c>
      <c r="O271" s="5">
        <f>HYPERLINK("http://www.eum.go.kr/web/ar/lu/luLandDet.jsp?pnu=3611010700108290000&amp;isNoScr=script&amp;mode=search", "토지이음")</f>
        <v/>
      </c>
      <c r="P271" s="3" t="inlineStr">
        <is>
          <t>OK허니</t>
        </is>
      </c>
      <c r="Q271" s="3" t="n">
        <v>1</v>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343</v>
      </c>
      <c r="J272" s="3" t="inlineStr">
        <is>
          <t>1</t>
        </is>
      </c>
      <c r="K272" s="3" t="inlineStr">
        <is>
          <t>-</t>
        </is>
      </c>
      <c r="L272" s="3" t="inlineStr">
        <is>
          <t>2차선 국도변으로 교통조건 및 위치 최상의 높이 약7m인 창고물건</t>
        </is>
      </c>
      <c r="M272" s="5">
        <f>HYPERLINK("https://fin.land.naver.com/articles/2648934892", "매물Link")</f>
        <v/>
      </c>
      <c r="N272" s="5">
        <f>HYPERLINK("https://map.naver.com/p/search/나성동 829", "지도Link")</f>
        <v/>
      </c>
      <c r="O272" s="5">
        <f>HYPERLINK("http://www.eum.go.kr/web/ar/lu/luLandDet.jsp?pnu=3611010700108290000&amp;isNoScr=script&amp;mode=search", "토지이음")</f>
        <v/>
      </c>
      <c r="P272" s="3" t="inlineStr">
        <is>
          <t>신평</t>
        </is>
      </c>
      <c r="Q272" s="3" t="n">
        <v>1</v>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198</v>
      </c>
      <c r="J273" s="3" t="inlineStr">
        <is>
          <t>1</t>
        </is>
      </c>
      <c r="K273" s="3" t="inlineStr">
        <is>
          <t>-</t>
        </is>
      </c>
      <c r="L273" s="3" t="inlineStr">
        <is>
          <t>사진, 서논산IC2분, 신축, 층고6m, 대형차가능</t>
        </is>
      </c>
      <c r="M273" s="5">
        <f>HYPERLINK("https://fin.land.naver.com/articles/2645488419", "매물Link")</f>
        <v/>
      </c>
      <c r="N273" s="5">
        <f>HYPERLINK("https://map.naver.com/p/search/나성동 829", "지도Link")</f>
        <v/>
      </c>
      <c r="O273" s="5">
        <f>HYPERLINK("http://www.eum.go.kr/web/ar/lu/luLandDet.jsp?pnu=3611010700108290000&amp;isNoScr=script&amp;mode=search", "토지이음")</f>
        <v/>
      </c>
      <c r="P273" s="3" t="inlineStr">
        <is>
          <t>OK허니</t>
        </is>
      </c>
      <c r="Q273" s="3" t="n">
        <v>1</v>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199</v>
      </c>
      <c r="J274" s="3" t="inlineStr">
        <is>
          <t>1</t>
        </is>
      </c>
      <c r="K274" s="3" t="inlineStr">
        <is>
          <t>-</t>
        </is>
      </c>
      <c r="L274" s="3" t="inlineStr">
        <is>
          <t>사진, 서논산IC2분, 신축,매매임대, 층고6m, 대형차진입, 다양한면적</t>
        </is>
      </c>
      <c r="M274" s="5">
        <f>HYPERLINK("https://fin.land.naver.com/articles/2645488420", "매물Link")</f>
        <v/>
      </c>
      <c r="N274" s="5">
        <f>HYPERLINK("https://map.naver.com/p/search/나성동 829", "지도Link")</f>
        <v/>
      </c>
      <c r="O274" s="5">
        <f>HYPERLINK("http://www.eum.go.kr/web/ar/lu/luLandDet.jsp?pnu=3611010700108290000&amp;isNoScr=script&amp;mode=search", "토지이음")</f>
        <v/>
      </c>
      <c r="P274" s="3" t="inlineStr">
        <is>
          <t>OK허니</t>
        </is>
      </c>
      <c r="Q274" s="3" t="n">
        <v>1</v>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198</v>
      </c>
      <c r="J275" s="3" t="inlineStr">
        <is>
          <t>1</t>
        </is>
      </c>
      <c r="K275" s="3" t="inlineStr">
        <is>
          <t>-</t>
        </is>
      </c>
      <c r="L275" s="3" t="inlineStr">
        <is>
          <t>사진, 서논산IC2분, 신축,야적마당있음, 층고6m, 대형차가능</t>
        </is>
      </c>
      <c r="M275" s="5">
        <f>HYPERLINK("https://fin.land.naver.com/articles/2645488421", "매물Link")</f>
        <v/>
      </c>
      <c r="N275" s="5">
        <f>HYPERLINK("https://map.naver.com/p/search/나성동 829", "지도Link")</f>
        <v/>
      </c>
      <c r="O275" s="5">
        <f>HYPERLINK("http://www.eum.go.kr/web/ar/lu/luLandDet.jsp?pnu=3611010700108290000&amp;isNoScr=script&amp;mode=search", "토지이음")</f>
        <v/>
      </c>
      <c r="P275" s="3" t="inlineStr">
        <is>
          <t>OK허니</t>
        </is>
      </c>
      <c r="Q275" s="3" t="n">
        <v>1</v>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1044</v>
      </c>
      <c r="J276" s="3" t="inlineStr">
        <is>
          <t>1</t>
        </is>
      </c>
      <c r="K276" s="3" t="inlineStr">
        <is>
          <t>-</t>
        </is>
      </c>
      <c r="L276" s="3" t="inlineStr">
        <is>
          <t>사진有 창고 매매</t>
        </is>
      </c>
      <c r="M276" s="5">
        <f>HYPERLINK("https://fin.land.naver.com/articles/2649610894", "매물Link")</f>
        <v/>
      </c>
      <c r="N276" s="5">
        <f>HYPERLINK("https://map.naver.com/p/search/나성동 829", "지도Link")</f>
        <v/>
      </c>
      <c r="O276" s="5">
        <f>HYPERLINK("http://www.eum.go.kr/web/ar/lu/luLandDet.jsp?pnu=3611010700108290000&amp;isNoScr=script&amp;mode=search", "토지이음")</f>
        <v/>
      </c>
      <c r="P276" s="3" t="inlineStr">
        <is>
          <t>월드</t>
        </is>
      </c>
      <c r="Q276" s="3" t="n">
        <v>1</v>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1135</v>
      </c>
      <c r="J277" s="3" t="inlineStr">
        <is>
          <t>1</t>
        </is>
      </c>
      <c r="K277" s="3" t="inlineStr">
        <is>
          <t>-</t>
        </is>
      </c>
      <c r="L277" s="3" t="inlineStr">
        <is>
          <t>성동면 정지리 평당 임대가 1만원 공장임대</t>
        </is>
      </c>
      <c r="M277" s="5">
        <f>HYPERLINK("https://fin.land.naver.com/articles/2646695077", "매물Link")</f>
        <v/>
      </c>
      <c r="N277" s="5">
        <f>HYPERLINK("https://map.naver.com/p/search/나성동 829", "지도Link")</f>
        <v/>
      </c>
      <c r="O277" s="5">
        <f>HYPERLINK("http://www.eum.go.kr/web/ar/lu/luLandDet.jsp?pnu=3611010700108290000&amp;isNoScr=script&amp;mode=search", "토지이음")</f>
        <v/>
      </c>
      <c r="P277" s="3" t="inlineStr">
        <is>
          <t>왕중왕기업</t>
        </is>
      </c>
      <c r="Q277" s="3" t="n">
        <v>1</v>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1871</v>
      </c>
      <c r="J278" s="3" t="inlineStr">
        <is>
          <t>2</t>
        </is>
      </c>
      <c r="K278" s="3" t="inlineStr">
        <is>
          <t>-</t>
        </is>
      </c>
      <c r="L278" s="3" t="inlineStr">
        <is>
          <t>서논산IC 인근 일반산업단지 내 논산 공장매매</t>
        </is>
      </c>
      <c r="M278" s="5">
        <f>HYPERLINK("https://fin.land.naver.com/articles/2646694372", "매물Link")</f>
        <v/>
      </c>
      <c r="N278" s="5">
        <f>HYPERLINK("https://map.naver.com/p/search/나성동 829", "지도Link")</f>
        <v/>
      </c>
      <c r="O278" s="5">
        <f>HYPERLINK("http://www.eum.go.kr/web/ar/lu/luLandDet.jsp?pnu=3611010700108290000&amp;isNoScr=script&amp;mode=search", "토지이음")</f>
        <v/>
      </c>
      <c r="P278" s="3" t="inlineStr">
        <is>
          <t>왕중왕기업</t>
        </is>
      </c>
      <c r="Q278" s="3" t="n">
        <v>1</v>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1780</v>
      </c>
      <c r="J279" s="3" t="inlineStr">
        <is>
          <t>1</t>
        </is>
      </c>
      <c r="K279" s="3" t="inlineStr">
        <is>
          <t>-</t>
        </is>
      </c>
      <c r="L279" s="3" t="inlineStr">
        <is>
          <t>남세종I.C차량시간5분대, 대형물류창고</t>
        </is>
      </c>
      <c r="M279" s="5">
        <f>HYPERLINK("https://fin.land.naver.com/articles/2647253573", "매물Link")</f>
        <v/>
      </c>
      <c r="N279" s="5">
        <f>HYPERLINK("https://map.naver.com/p/search/나성동 829", "지도Link")</f>
        <v/>
      </c>
      <c r="O279" s="5">
        <f>HYPERLINK("http://www.eum.go.kr/web/ar/lu/luLandDet.jsp?pnu=3611010700108290000&amp;isNoScr=script&amp;mode=search", "토지이음")</f>
        <v/>
      </c>
      <c r="P279" s="3" t="inlineStr">
        <is>
          <t>미래로</t>
        </is>
      </c>
      <c r="Q279" s="3" t="n">
        <v>1</v>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1283</v>
      </c>
      <c r="J280" s="3" t="inlineStr">
        <is>
          <t>2</t>
        </is>
      </c>
      <c r="K280" s="3" t="inlineStr">
        <is>
          <t>-</t>
        </is>
      </c>
      <c r="L280" s="3" t="inlineStr">
        <is>
          <t>nan</t>
        </is>
      </c>
      <c r="M280" s="5">
        <f>HYPERLINK("https://fin.land.naver.com/articles/2645104604", "매물Link")</f>
        <v/>
      </c>
      <c r="N280" s="5">
        <f>HYPERLINK("https://map.naver.com/p/search/나성동 829", "지도Link")</f>
        <v/>
      </c>
      <c r="O280" s="5">
        <f>HYPERLINK("http://www.eum.go.kr/web/ar/lu/luLandDet.jsp?pnu=3611010700108290000&amp;isNoScr=script&amp;mode=search", "토지이음")</f>
        <v/>
      </c>
      <c r="P280" s="3" t="inlineStr">
        <is>
          <t>명성</t>
        </is>
      </c>
      <c r="Q280" s="3" t="n">
        <v>1</v>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1071</v>
      </c>
      <c r="J281" s="3" t="inlineStr">
        <is>
          <t>1</t>
        </is>
      </c>
      <c r="K281" s="3" t="inlineStr">
        <is>
          <t>-</t>
        </is>
      </c>
      <c r="L281" s="3" t="inlineStr">
        <is>
          <t>2차선 국도변 교통조건 및 위치 최상,공장용도 최상,서논산IC10여분이내</t>
        </is>
      </c>
      <c r="M281" s="5">
        <f>HYPERLINK("https://fin.land.naver.com/articles/2646530538", "매물Link")</f>
        <v/>
      </c>
      <c r="N281" s="5">
        <f>HYPERLINK("https://map.naver.com/p/search/나성동 829", "지도Link")</f>
        <v/>
      </c>
      <c r="O281" s="5">
        <f>HYPERLINK("http://www.eum.go.kr/web/ar/lu/luLandDet.jsp?pnu=3611010700108290000&amp;isNoScr=script&amp;mode=search", "토지이음")</f>
        <v/>
      </c>
      <c r="P281" s="3" t="inlineStr">
        <is>
          <t>에이스</t>
        </is>
      </c>
      <c r="Q281" s="3" t="n">
        <v>1</v>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1062</v>
      </c>
      <c r="J282" s="3" t="inlineStr">
        <is>
          <t>1</t>
        </is>
      </c>
      <c r="K282" s="3" t="inlineStr">
        <is>
          <t>-</t>
        </is>
      </c>
      <c r="L282" s="3" t="inlineStr">
        <is>
          <t>공주IC에서 7분</t>
        </is>
      </c>
      <c r="M282" s="5">
        <f>HYPERLINK("https://fin.land.naver.com/articles/2648918805", "매물Link")</f>
        <v/>
      </c>
      <c r="N282" s="5">
        <f>HYPERLINK("https://map.naver.com/p/search/나성동 829", "지도Link")</f>
        <v/>
      </c>
      <c r="O282" s="5">
        <f>HYPERLINK("http://www.eum.go.kr/web/ar/lu/luLandDet.jsp?pnu=3611010700108290000&amp;isNoScr=script&amp;mode=search", "토지이음")</f>
        <v/>
      </c>
      <c r="P282" s="3" t="inlineStr">
        <is>
          <t>미더스</t>
        </is>
      </c>
      <c r="Q282" s="3" t="n">
        <v>1</v>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1056</v>
      </c>
      <c r="J283" s="3" t="inlineStr">
        <is>
          <t>1</t>
        </is>
      </c>
      <c r="K283" s="3" t="inlineStr">
        <is>
          <t>-</t>
        </is>
      </c>
      <c r="L283" s="3" t="inlineStr">
        <is>
          <t>현재는  밤 관련 업무를 하며 매매시 1월이내  철수</t>
        </is>
      </c>
      <c r="M283" s="5">
        <f>HYPERLINK("https://fin.land.naver.com/articles/2648764433", "매물Link")</f>
        <v/>
      </c>
      <c r="N283" s="5">
        <f>HYPERLINK("https://map.naver.com/p/search/나성동 829", "지도Link")</f>
        <v/>
      </c>
      <c r="O283" s="5">
        <f>HYPERLINK("http://www.eum.go.kr/web/ar/lu/luLandDet.jsp?pnu=3611010700108290000&amp;isNoScr=script&amp;mode=search", "토지이음")</f>
        <v/>
      </c>
      <c r="P283" s="3" t="inlineStr">
        <is>
          <t>다  사무소</t>
        </is>
      </c>
      <c r="Q283" s="3" t="n">
        <v>1</v>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197</v>
      </c>
      <c r="J284" s="3" t="inlineStr">
        <is>
          <t>1</t>
        </is>
      </c>
      <c r="K284" s="3" t="inlineStr">
        <is>
          <t>-</t>
        </is>
      </c>
      <c r="L284" s="3" t="inlineStr">
        <is>
          <t>2차선 도로변 소형창고</t>
        </is>
      </c>
      <c r="M284" s="5">
        <f>HYPERLINK("https://fin.land.naver.com/articles/2645525886", "매물Link")</f>
        <v/>
      </c>
      <c r="N284" s="5">
        <f>HYPERLINK("https://map.naver.com/p/search/나성동 829", "지도Link")</f>
        <v/>
      </c>
      <c r="O284" s="5">
        <f>HYPERLINK("http://www.eum.go.kr/web/ar/lu/luLandDet.jsp?pnu=3611010700108290000&amp;isNoScr=script&amp;mode=search", "토지이음")</f>
        <v/>
      </c>
      <c r="P284" s="3" t="inlineStr">
        <is>
          <t>랜드맥스</t>
        </is>
      </c>
      <c r="Q284" s="3" t="n">
        <v>1</v>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1171</v>
      </c>
      <c r="J285" s="3" t="inlineStr">
        <is>
          <t>1</t>
        </is>
      </c>
      <c r="K285" s="3" t="inlineStr">
        <is>
          <t>-</t>
        </is>
      </c>
      <c r="L285" s="3" t="inlineStr">
        <is>
          <t>7개동 태양광설치된 버섯재배사 왕복2차로접 매12억</t>
        </is>
      </c>
      <c r="M285" s="5">
        <f>HYPERLINK("https://fin.land.naver.com/articles/2648078582", "매물Link")</f>
        <v/>
      </c>
      <c r="N285" s="5">
        <f>HYPERLINK("https://map.naver.com/p/search/나성동 829", "지도Link")</f>
        <v/>
      </c>
      <c r="O285" s="5">
        <f>HYPERLINK("http://www.eum.go.kr/web/ar/lu/luLandDet.jsp?pnu=3611010700108290000&amp;isNoScr=script&amp;mode=search", "토지이음")</f>
        <v/>
      </c>
      <c r="P285" s="3" t="inlineStr">
        <is>
          <t>불당대원</t>
        </is>
      </c>
      <c r="Q285" s="3" t="n">
        <v>1</v>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627</v>
      </c>
      <c r="J286" s="3" t="inlineStr">
        <is>
          <t>1</t>
        </is>
      </c>
      <c r="K286" s="3" t="inlineStr">
        <is>
          <t>-</t>
        </is>
      </c>
      <c r="L286" s="3" t="inlineStr">
        <is>
          <t>부지가 넓어 야적하기좋은 공장 또는 창고용도</t>
        </is>
      </c>
      <c r="M286" s="5">
        <f>HYPERLINK("https://fin.land.naver.com/articles/2646256144", "매물Link")</f>
        <v/>
      </c>
      <c r="N286" s="5">
        <f>HYPERLINK("https://map.naver.com/p/search/나성동 829", "지도Link")</f>
        <v/>
      </c>
      <c r="O286" s="5">
        <f>HYPERLINK("http://www.eum.go.kr/web/ar/lu/luLandDet.jsp?pnu=3611010700108290000&amp;isNoScr=script&amp;mode=search", "토지이음")</f>
        <v/>
      </c>
      <c r="P286" s="3" t="inlineStr">
        <is>
          <t>미래로</t>
        </is>
      </c>
      <c r="Q286" s="3" t="n">
        <v>1</v>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1118</v>
      </c>
      <c r="J287" s="3" t="inlineStr">
        <is>
          <t>2</t>
        </is>
      </c>
      <c r="K287" s="3" t="inlineStr">
        <is>
          <t>-</t>
        </is>
      </c>
      <c r="L287" s="3" t="inlineStr">
        <is>
          <t>마당넓어 야적, 주차시설넉넉, 2차선접, 상태좋은공장, 매매도가능</t>
        </is>
      </c>
      <c r="M287" s="5">
        <f>HYPERLINK("https://fin.land.naver.com/articles/2645719556", "매물Link")</f>
        <v/>
      </c>
      <c r="N287" s="5">
        <f>HYPERLINK("https://map.naver.com/p/search/나성동 829", "지도Link")</f>
        <v/>
      </c>
      <c r="O287" s="5">
        <f>HYPERLINK("http://www.eum.go.kr/web/ar/lu/luLandDet.jsp?pnu=3611010700108290000&amp;isNoScr=script&amp;mode=search", "토지이음")</f>
        <v/>
      </c>
      <c r="P287" s="3" t="inlineStr">
        <is>
          <t>대승</t>
        </is>
      </c>
      <c r="Q287" s="3" t="n">
        <v>1</v>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493</v>
      </c>
      <c r="J288" s="3" t="inlineStr">
        <is>
          <t>1</t>
        </is>
      </c>
      <c r="K288" s="3" t="inlineStr">
        <is>
          <t>-</t>
        </is>
      </c>
      <c r="L288" s="3" t="inlineStr">
        <is>
          <t>마당넓음, 진입도로5톤가능, 화장실, 2층 근생, 화물엘베있음,</t>
        </is>
      </c>
      <c r="M288" s="5">
        <f>HYPERLINK("https://fin.land.naver.com/articles/2645720812", "매물Link")</f>
        <v/>
      </c>
      <c r="N288" s="5">
        <f>HYPERLINK("https://map.naver.com/p/search/나성동 829", "지도Link")</f>
        <v/>
      </c>
      <c r="O288" s="5">
        <f>HYPERLINK("http://www.eum.go.kr/web/ar/lu/luLandDet.jsp?pnu=3611010700108290000&amp;isNoScr=script&amp;mode=search", "토지이음")</f>
        <v/>
      </c>
      <c r="P288" s="3" t="inlineStr">
        <is>
          <t>대승</t>
        </is>
      </c>
      <c r="Q288" s="3" t="n">
        <v>1</v>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791</v>
      </c>
      <c r="J289" s="3" t="inlineStr">
        <is>
          <t>1</t>
        </is>
      </c>
      <c r="K289" s="3" t="inlineStr">
        <is>
          <t>-</t>
        </is>
      </c>
      <c r="L289" s="3" t="inlineStr">
        <is>
          <t>nan</t>
        </is>
      </c>
      <c r="M289" s="5">
        <f>HYPERLINK("https://fin.land.naver.com/articles/2649584947", "매물Link")</f>
        <v/>
      </c>
      <c r="N289" s="5">
        <f>HYPERLINK("https://map.naver.com/p/search/나성동 829", "지도Link")</f>
        <v/>
      </c>
      <c r="O289" s="5">
        <f>HYPERLINK("http://www.eum.go.kr/web/ar/lu/luLandDet.jsp?pnu=3611010700108290000&amp;isNoScr=script&amp;mode=search", "토지이음")</f>
        <v/>
      </c>
      <c r="P289" s="3" t="inlineStr">
        <is>
          <t>삼보</t>
        </is>
      </c>
      <c r="Q289" s="3" t="n">
        <v>1</v>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128</v>
      </c>
      <c r="J290" s="3" t="inlineStr">
        <is>
          <t>1</t>
        </is>
      </c>
      <c r="K290" s="3" t="inlineStr">
        <is>
          <t>-</t>
        </is>
      </c>
      <c r="L290" s="3" t="inlineStr">
        <is>
          <t>창고시설 안에 찜질방이 있음. 2차선 도로변. 자연녹지지역.</t>
        </is>
      </c>
      <c r="M290" s="5">
        <f>HYPERLINK("https://fin.land.naver.com/articles/2649595361", "매물Link")</f>
        <v/>
      </c>
      <c r="N290" s="5">
        <f>HYPERLINK("https://map.naver.com/p/search/나성동 829", "지도Link")</f>
        <v/>
      </c>
      <c r="O290" s="5">
        <f>HYPERLINK("http://www.eum.go.kr/web/ar/lu/luLandDet.jsp?pnu=3611010700108290000&amp;isNoScr=script&amp;mode=search", "토지이음")</f>
        <v/>
      </c>
      <c r="P290" s="3" t="inlineStr">
        <is>
          <t>삼보</t>
        </is>
      </c>
      <c r="Q290" s="3" t="n">
        <v>1</v>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439</v>
      </c>
      <c r="J291" s="3" t="inlineStr">
        <is>
          <t>1</t>
        </is>
      </c>
      <c r="K291" s="3" t="inlineStr">
        <is>
          <t>-</t>
        </is>
      </c>
      <c r="L291" s="3" t="inlineStr">
        <is>
          <t>nan</t>
        </is>
      </c>
      <c r="M291" s="5">
        <f>HYPERLINK("https://fin.land.naver.com/articles/2648534137", "매물Link")</f>
        <v/>
      </c>
      <c r="N291" s="5">
        <f>HYPERLINK("https://map.naver.com/p/search/나성동 829", "지도Link")</f>
        <v/>
      </c>
      <c r="O291" s="5">
        <f>HYPERLINK("http://www.eum.go.kr/web/ar/lu/luLandDet.jsp?pnu=3611010700108290000&amp;isNoScr=script&amp;mode=search", "토지이음")</f>
        <v/>
      </c>
      <c r="P291" s="3" t="inlineStr">
        <is>
          <t>스카이</t>
        </is>
      </c>
      <c r="Q291" s="3" t="n">
        <v>1</v>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8930</v>
      </c>
      <c r="J292" s="3" t="inlineStr">
        <is>
          <t>2</t>
        </is>
      </c>
      <c r="K292" s="3" t="inlineStr">
        <is>
          <t>-</t>
        </is>
      </c>
      <c r="L292" s="3" t="inlineStr">
        <is>
          <t>계룡시 공장 급매 95억 에서 20억 내립니다.</t>
        </is>
      </c>
      <c r="M292" s="5">
        <f>HYPERLINK("https://fin.land.naver.com/articles/2646040415", "매물Link")</f>
        <v/>
      </c>
      <c r="N292" s="5">
        <f>HYPERLINK("https://map.naver.com/p/search/나성동 829", "지도Link")</f>
        <v/>
      </c>
      <c r="O292" s="5">
        <f>HYPERLINK("http://www.eum.go.kr/web/ar/lu/luLandDet.jsp?pnu=3611010700108290000&amp;isNoScr=script&amp;mode=search", "토지이음")</f>
        <v/>
      </c>
      <c r="P292" s="3" t="inlineStr">
        <is>
          <t>왕중왕기업</t>
        </is>
      </c>
      <c r="Q292" s="3" t="n">
        <v>1</v>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870</v>
      </c>
      <c r="J293" s="3" t="inlineStr">
        <is>
          <t>1</t>
        </is>
      </c>
      <c r="K293" s="3" t="inlineStr">
        <is>
          <t>-</t>
        </is>
      </c>
      <c r="L293" s="3" t="inlineStr">
        <is>
          <t>소재지  충청남도 계룡시 두마면 입암리  거래형태  공장 매매  매</t>
        </is>
      </c>
      <c r="M293" s="5">
        <f>HYPERLINK("https://fin.land.naver.com/articles/2646605058", "매물Link")</f>
        <v/>
      </c>
      <c r="N293" s="5">
        <f>HYPERLINK("https://map.naver.com/p/search/나성동 829", "지도Link")</f>
        <v/>
      </c>
      <c r="O293" s="5">
        <f>HYPERLINK("http://www.eum.go.kr/web/ar/lu/luLandDet.jsp?pnu=3611010700108290000&amp;isNoScr=script&amp;mode=search", "토지이음")</f>
        <v/>
      </c>
      <c r="P293" s="3" t="inlineStr">
        <is>
          <t>미우</t>
        </is>
      </c>
      <c r="Q293" s="3" t="n">
        <v>1</v>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398</v>
      </c>
      <c r="J294" s="3" t="inlineStr">
        <is>
          <t>1</t>
        </is>
      </c>
      <c r="K294" s="3" t="inlineStr">
        <is>
          <t>-</t>
        </is>
      </c>
      <c r="L294" s="3" t="inlineStr">
        <is>
          <t>논산IC8분거리, 2차선도로변, 층고높음,렉선반협의,대형차진입,주차편리</t>
        </is>
      </c>
      <c r="M294" s="5">
        <f>HYPERLINK("https://fin.land.naver.com/articles/2645493131", "매물Link")</f>
        <v/>
      </c>
      <c r="N294" s="5">
        <f>HYPERLINK("https://map.naver.com/p/search/나성동 829", "지도Link")</f>
        <v/>
      </c>
      <c r="O294" s="5">
        <f>HYPERLINK("http://www.eum.go.kr/web/ar/lu/luLandDet.jsp?pnu=3611010700108290000&amp;isNoScr=script&amp;mode=search", "토지이음")</f>
        <v/>
      </c>
      <c r="P294" s="3" t="inlineStr">
        <is>
          <t>OK허니</t>
        </is>
      </c>
      <c r="Q294" s="3" t="n">
        <v>1</v>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689</v>
      </c>
      <c r="J295" s="3" t="inlineStr">
        <is>
          <t>1</t>
        </is>
      </c>
      <c r="K295" s="3" t="inlineStr">
        <is>
          <t>-</t>
        </is>
      </c>
      <c r="L295" s="3" t="inlineStr">
        <is>
          <t>공장동과 생활공간으로 방2,거실,사무실 별도로 마련되어 있음</t>
        </is>
      </c>
      <c r="M295" s="5">
        <f>HYPERLINK("https://fin.land.naver.com/articles/2649701138", "매물Link")</f>
        <v/>
      </c>
      <c r="N295" s="5">
        <f>HYPERLINK("https://map.naver.com/p/search/나성동 829", "지도Link")</f>
        <v/>
      </c>
      <c r="O295" s="5">
        <f>HYPERLINK("http://www.eum.go.kr/web/ar/lu/luLandDet.jsp?pnu=3611010700108290000&amp;isNoScr=script&amp;mode=search", "토지이음")</f>
        <v/>
      </c>
      <c r="P295" s="3" t="inlineStr">
        <is>
          <t>모두무소</t>
        </is>
      </c>
      <c r="Q295" s="3" t="n">
        <v>1</v>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492</v>
      </c>
      <c r="J296" s="3" t="inlineStr">
        <is>
          <t>2</t>
        </is>
      </c>
      <c r="K296" s="3" t="inlineStr">
        <is>
          <t>-</t>
        </is>
      </c>
      <c r="L296" s="3" t="inlineStr">
        <is>
          <t>nan</t>
        </is>
      </c>
      <c r="M296" s="5">
        <f>HYPERLINK("https://fin.land.naver.com/articles/2650061990", "매물Link")</f>
        <v/>
      </c>
      <c r="N296" s="5">
        <f>HYPERLINK("https://map.naver.com/p/search/나성동 829", "지도Link")</f>
        <v/>
      </c>
      <c r="O296" s="5">
        <f>HYPERLINK("http://www.eum.go.kr/web/ar/lu/luLandDet.jsp?pnu=3611010700108290000&amp;isNoScr=script&amp;mode=search", "토지이음")</f>
        <v/>
      </c>
      <c r="P296" s="3" t="inlineStr">
        <is>
          <t>에이스</t>
        </is>
      </c>
      <c r="Q296" s="3" t="n">
        <v>1</v>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1453</v>
      </c>
      <c r="J297" s="3" t="inlineStr">
        <is>
          <t>1</t>
        </is>
      </c>
      <c r="K297" s="3" t="inlineStr">
        <is>
          <t>-</t>
        </is>
      </c>
      <c r="L297" s="3" t="inlineStr">
        <is>
          <t>nan</t>
        </is>
      </c>
      <c r="M297" s="5">
        <f>HYPERLINK("https://fin.land.naver.com/articles/2650062910", "매물Link")</f>
        <v/>
      </c>
      <c r="N297" s="5">
        <f>HYPERLINK("https://map.naver.com/p/search/나성동 829", "지도Link")</f>
        <v/>
      </c>
      <c r="O297" s="5">
        <f>HYPERLINK("http://www.eum.go.kr/web/ar/lu/luLandDet.jsp?pnu=3611010700108290000&amp;isNoScr=script&amp;mode=search", "토지이음")</f>
        <v/>
      </c>
      <c r="P297" s="3" t="inlineStr">
        <is>
          <t>에이스</t>
        </is>
      </c>
      <c r="Q297" s="3" t="n">
        <v>2</v>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165</v>
      </c>
      <c r="J298" s="3" t="inlineStr">
        <is>
          <t>1</t>
        </is>
      </c>
      <c r="K298" s="3" t="inlineStr">
        <is>
          <t>-</t>
        </is>
      </c>
      <c r="L298" s="3" t="inlineStr">
        <is>
          <t>즉시입주가능,공장등록 가능한 소규모 공장 임대,전기5kw사용중</t>
        </is>
      </c>
      <c r="M298" s="5">
        <f>HYPERLINK("https://fin.land.naver.com/articles/2650063473", "매물Link")</f>
        <v/>
      </c>
      <c r="N298" s="5">
        <f>HYPERLINK("https://map.naver.com/p/search/나성동 829", "지도Link")</f>
        <v/>
      </c>
      <c r="O298" s="5">
        <f>HYPERLINK("http://www.eum.go.kr/web/ar/lu/luLandDet.jsp?pnu=3611010700108290000&amp;isNoScr=script&amp;mode=search", "토지이음")</f>
        <v/>
      </c>
      <c r="P298" s="3" t="inlineStr">
        <is>
          <t>에이스</t>
        </is>
      </c>
      <c r="Q298" s="3" t="n">
        <v>1</v>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263</v>
      </c>
      <c r="J299" s="3" t="inlineStr">
        <is>
          <t>1</t>
        </is>
      </c>
      <c r="K299" s="3" t="inlineStr">
        <is>
          <t>-</t>
        </is>
      </c>
      <c r="L299" s="3" t="inlineStr">
        <is>
          <t>사진, 계룡IC5분, 공장용도, 물류창고가능, 사무실휴게실, 즉시입주</t>
        </is>
      </c>
      <c r="M299" s="5">
        <f>HYPERLINK("https://fin.land.naver.com/articles/2646859954", "매물Link")</f>
        <v/>
      </c>
      <c r="N299" s="5">
        <f>HYPERLINK("https://map.naver.com/p/search/나성동 829", "지도Link")</f>
        <v/>
      </c>
      <c r="O299" s="5">
        <f>HYPERLINK("http://www.eum.go.kr/web/ar/lu/luLandDet.jsp?pnu=3611010700108290000&amp;isNoScr=script&amp;mode=search", "토지이음")</f>
        <v/>
      </c>
      <c r="P299" s="3" t="inlineStr">
        <is>
          <t>OK허니</t>
        </is>
      </c>
      <c r="Q299" s="3" t="n">
        <v>1</v>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1145</v>
      </c>
      <c r="J300" s="3" t="inlineStr">
        <is>
          <t>1</t>
        </is>
      </c>
      <c r="K300" s="3" t="inlineStr">
        <is>
          <t>-</t>
        </is>
      </c>
      <c r="L300" s="3" t="inlineStr">
        <is>
          <t>계룡IC에서 12분</t>
        </is>
      </c>
      <c r="M300" s="5">
        <f>HYPERLINK("https://fin.land.naver.com/articles/2649496572", "매물Link")</f>
        <v/>
      </c>
      <c r="N300" s="5">
        <f>HYPERLINK("https://map.naver.com/p/search/나성동 829", "지도Link")</f>
        <v/>
      </c>
      <c r="O300" s="5">
        <f>HYPERLINK("http://www.eum.go.kr/web/ar/lu/luLandDet.jsp?pnu=3611010700108290000&amp;isNoScr=script&amp;mode=search", "토지이음")</f>
        <v/>
      </c>
      <c r="P300" s="3" t="inlineStr">
        <is>
          <t>미더스</t>
        </is>
      </c>
      <c r="Q300" s="3" t="n">
        <v>1</v>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330</v>
      </c>
      <c r="J301" s="3" t="inlineStr">
        <is>
          <t>1</t>
        </is>
      </c>
      <c r="K301" s="3" t="inlineStr">
        <is>
          <t>-</t>
        </is>
      </c>
      <c r="L301" s="3" t="inlineStr">
        <is>
          <t>연산시장 주변 층고높은 냉동창고 임대,일반창고도 가능,부가세별도</t>
        </is>
      </c>
      <c r="M301" s="5">
        <f>HYPERLINK("https://fin.land.naver.com/articles/2645548421", "매물Link")</f>
        <v/>
      </c>
      <c r="N301" s="5">
        <f>HYPERLINK("https://map.naver.com/p/search/나성동 829", "지도Link")</f>
        <v/>
      </c>
      <c r="O301" s="5">
        <f>HYPERLINK("http://www.eum.go.kr/web/ar/lu/luLandDet.jsp?pnu=3611010700108290000&amp;isNoScr=script&amp;mode=search", "토지이음")</f>
        <v/>
      </c>
      <c r="P301" s="3" t="inlineStr">
        <is>
          <t>에이스</t>
        </is>
      </c>
      <c r="Q301" s="3" t="n">
        <v>1</v>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1299</v>
      </c>
      <c r="J302" s="3" t="inlineStr">
        <is>
          <t>2</t>
        </is>
      </c>
      <c r="K302" s="3" t="inlineStr">
        <is>
          <t>-</t>
        </is>
      </c>
      <c r="L302" s="3" t="inlineStr">
        <is>
          <t>nan</t>
        </is>
      </c>
      <c r="M302" s="5">
        <f>HYPERLINK("https://fin.land.naver.com/articles/2645840786", "매물Link")</f>
        <v/>
      </c>
      <c r="N302" s="5">
        <f>HYPERLINK("https://map.naver.com/p/search/나성동 829", "지도Link")</f>
        <v/>
      </c>
      <c r="O302" s="5">
        <f>HYPERLINK("http://www.eum.go.kr/web/ar/lu/luLandDet.jsp?pnu=3611010700108290000&amp;isNoScr=script&amp;mode=search", "토지이음")</f>
        <v/>
      </c>
      <c r="P302" s="3" t="inlineStr">
        <is>
          <t>에이스</t>
        </is>
      </c>
      <c r="Q302" s="3" t="n">
        <v>1</v>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559</v>
      </c>
      <c r="J303" s="3" t="inlineStr">
        <is>
          <t>1</t>
        </is>
      </c>
      <c r="K303" s="3" t="inlineStr">
        <is>
          <t>-</t>
        </is>
      </c>
      <c r="L303" s="3" t="inlineStr">
        <is>
          <t>2차선 도로에 접해있는 깔끔한 창고</t>
        </is>
      </c>
      <c r="M303" s="5">
        <f>HYPERLINK("https://fin.land.naver.com/articles/2644758168", "매물Link")</f>
        <v/>
      </c>
      <c r="N303" s="5">
        <f>HYPERLINK("https://map.naver.com/p/search/나성동 829", "지도Link")</f>
        <v/>
      </c>
      <c r="O303" s="5">
        <f>HYPERLINK("http://www.eum.go.kr/web/ar/lu/luLandDet.jsp?pnu=3611010700108290000&amp;isNoScr=script&amp;mode=search", "토지이음")</f>
        <v/>
      </c>
      <c r="P303" s="3" t="inlineStr">
        <is>
          <t>뉴계룡</t>
        </is>
      </c>
      <c r="Q303" s="3" t="n">
        <v>1</v>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1098</v>
      </c>
      <c r="J304" s="3" t="inlineStr">
        <is>
          <t>1</t>
        </is>
      </c>
      <c r="K304" s="3" t="inlineStr">
        <is>
          <t>-</t>
        </is>
      </c>
      <c r="L304" s="3" t="inlineStr">
        <is>
          <t>급매,넓은 부지의 계획관리지역,공장및창고,대전접근성 양호,</t>
        </is>
      </c>
      <c r="M304" s="5">
        <f>HYPERLINK("https://fin.land.naver.com/articles/2649735036", "매물Link")</f>
        <v/>
      </c>
      <c r="N304" s="5">
        <f>HYPERLINK("https://map.naver.com/p/search/나성동 829", "지도Link")</f>
        <v/>
      </c>
      <c r="O304" s="5">
        <f>HYPERLINK("http://www.eum.go.kr/web/ar/lu/luLandDet.jsp?pnu=3611010700108290000&amp;isNoScr=script&amp;mode=search", "토지이음")</f>
        <v/>
      </c>
      <c r="P304" s="3" t="inlineStr">
        <is>
          <t>더책임</t>
        </is>
      </c>
      <c r="Q304" s="3" t="n">
        <v>1</v>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767</v>
      </c>
      <c r="J305" s="3" t="inlineStr">
        <is>
          <t>1</t>
        </is>
      </c>
      <c r="K305" s="3" t="inlineStr">
        <is>
          <t>-</t>
        </is>
      </c>
      <c r="L305" s="3" t="inlineStr">
        <is>
          <t>자원순환시설 공장 급매,서대전에서30분내외,</t>
        </is>
      </c>
      <c r="M305" s="5">
        <f>HYPERLINK("https://fin.land.naver.com/articles/2649736839", "매물Link")</f>
        <v/>
      </c>
      <c r="N305" s="5">
        <f>HYPERLINK("https://map.naver.com/p/search/나성동 829", "지도Link")</f>
        <v/>
      </c>
      <c r="O305" s="5">
        <f>HYPERLINK("http://www.eum.go.kr/web/ar/lu/luLandDet.jsp?pnu=3611010700108290000&amp;isNoScr=script&amp;mode=search", "토지이음")</f>
        <v/>
      </c>
      <c r="P305" s="3" t="inlineStr">
        <is>
          <t>더책임</t>
        </is>
      </c>
      <c r="Q305" s="3" t="n">
        <v>1</v>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493</v>
      </c>
      <c r="J306" s="3" t="inlineStr">
        <is>
          <t>1</t>
        </is>
      </c>
      <c r="K306" s="3" t="inlineStr">
        <is>
          <t>-</t>
        </is>
      </c>
      <c r="L306" s="3" t="inlineStr">
        <is>
          <t>계룡IC8분, 호이스트2.8톤,사무실있음,마당넓음,대형차진입</t>
        </is>
      </c>
      <c r="M306" s="5">
        <f>HYPERLINK("https://fin.land.naver.com/articles/2648411477", "매물Link")</f>
        <v/>
      </c>
      <c r="N306" s="5">
        <f>HYPERLINK("https://map.naver.com/p/search/나성동 829", "지도Link")</f>
        <v/>
      </c>
      <c r="O306" s="5">
        <f>HYPERLINK("http://www.eum.go.kr/web/ar/lu/luLandDet.jsp?pnu=3611010700108290000&amp;isNoScr=script&amp;mode=search", "토지이음")</f>
        <v/>
      </c>
      <c r="P306" s="3" t="inlineStr">
        <is>
          <t>OK허니</t>
        </is>
      </c>
      <c r="Q306" s="3" t="n">
        <v>1</v>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528</v>
      </c>
      <c r="J307" s="3" t="inlineStr">
        <is>
          <t>1</t>
        </is>
      </c>
      <c r="K307" s="3" t="inlineStr">
        <is>
          <t>-</t>
        </is>
      </c>
      <c r="L307" s="3" t="inlineStr">
        <is>
          <t>연산농공단지내 공장등록가능한 공장</t>
        </is>
      </c>
      <c r="M307" s="5">
        <f>HYPERLINK("https://fin.land.naver.com/articles/2645576555", "매물Link")</f>
        <v/>
      </c>
      <c r="N307" s="5">
        <f>HYPERLINK("https://map.naver.com/p/search/나성동 829", "지도Link")</f>
        <v/>
      </c>
      <c r="O307" s="5">
        <f>HYPERLINK("http://www.eum.go.kr/web/ar/lu/luLandDet.jsp?pnu=3611010700108290000&amp;isNoScr=script&amp;mode=search", "토지이음")</f>
        <v/>
      </c>
      <c r="P307" s="3" t="inlineStr">
        <is>
          <t>미래로</t>
        </is>
      </c>
      <c r="Q307" s="3" t="n">
        <v>1</v>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566</v>
      </c>
      <c r="J308" s="3" t="inlineStr">
        <is>
          <t>1</t>
        </is>
      </c>
      <c r="K308" s="3" t="inlineStr">
        <is>
          <t>-</t>
        </is>
      </c>
      <c r="L308" s="3" t="inlineStr">
        <is>
          <t>1번국도변 인근 물건으로 광고효과,교통,도로조건 최상의 공장물건</t>
        </is>
      </c>
      <c r="M308" s="5">
        <f>HYPERLINK("https://fin.land.naver.com/articles/2645855872", "매물Link")</f>
        <v/>
      </c>
      <c r="N308" s="5">
        <f>HYPERLINK("https://map.naver.com/p/search/나성동 829", "지도Link")</f>
        <v/>
      </c>
      <c r="O308" s="5">
        <f>HYPERLINK("http://www.eum.go.kr/web/ar/lu/luLandDet.jsp?pnu=3611010700108290000&amp;isNoScr=script&amp;mode=search", "토지이음")</f>
        <v/>
      </c>
      <c r="P308" s="3" t="inlineStr">
        <is>
          <t>신평</t>
        </is>
      </c>
      <c r="Q308" s="3" t="n">
        <v>1</v>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731</v>
      </c>
      <c r="J309" s="3" t="inlineStr">
        <is>
          <t>1</t>
        </is>
      </c>
      <c r="K309" s="3" t="inlineStr">
        <is>
          <t>-</t>
        </is>
      </c>
      <c r="L309" s="3" t="inlineStr">
        <is>
          <t>연산 상월간 2차선 도로인근,교통 및 위치좋고 마당넓어 사용편리한 공장매</t>
        </is>
      </c>
      <c r="M309" s="5">
        <f>HYPERLINK("https://fin.land.naver.com/articles/2647046185", "매물Link")</f>
        <v/>
      </c>
      <c r="N309" s="5">
        <f>HYPERLINK("https://map.naver.com/p/search/나성동 829", "지도Link")</f>
        <v/>
      </c>
      <c r="O309" s="5">
        <f>HYPERLINK("http://www.eum.go.kr/web/ar/lu/luLandDet.jsp?pnu=3611010700108290000&amp;isNoScr=script&amp;mode=search", "토지이음")</f>
        <v/>
      </c>
      <c r="P309" s="3" t="inlineStr">
        <is>
          <t>신평</t>
        </is>
      </c>
      <c r="Q309" s="3" t="n">
        <v>1</v>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1143</v>
      </c>
      <c r="J310" s="3" t="inlineStr">
        <is>
          <t>1</t>
        </is>
      </c>
      <c r="K310" s="3" t="inlineStr">
        <is>
          <t>-</t>
        </is>
      </c>
      <c r="L310" s="3" t="inlineStr">
        <is>
          <t>청암산업단지내 공장물건으로 공장,사무실,숙소 등 완비,1톤 호이스트 설치</t>
        </is>
      </c>
      <c r="M310" s="5">
        <f>HYPERLINK("https://fin.land.naver.com/articles/2647148758", "매물Link")</f>
        <v/>
      </c>
      <c r="N310" s="5">
        <f>HYPERLINK("https://map.naver.com/p/search/나성동 829", "지도Link")</f>
        <v/>
      </c>
      <c r="O310" s="5">
        <f>HYPERLINK("http://www.eum.go.kr/web/ar/lu/luLandDet.jsp?pnu=3611010700108290000&amp;isNoScr=script&amp;mode=search", "토지이음")</f>
        <v/>
      </c>
      <c r="P310" s="3" t="inlineStr">
        <is>
          <t>에이스</t>
        </is>
      </c>
      <c r="Q310" s="3" t="n">
        <v>1</v>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330</v>
      </c>
      <c r="J311" s="3" t="inlineStr">
        <is>
          <t>1</t>
        </is>
      </c>
      <c r="K311" s="3" t="inlineStr">
        <is>
          <t>-</t>
        </is>
      </c>
      <c r="L311" s="3" t="inlineStr">
        <is>
          <t>nan</t>
        </is>
      </c>
      <c r="M311" s="5">
        <f>HYPERLINK("https://fin.land.naver.com/articles/2648301879", "매물Link")</f>
        <v/>
      </c>
      <c r="N311" s="5">
        <f>HYPERLINK("https://map.naver.com/p/search/나성동 829", "지도Link")</f>
        <v/>
      </c>
      <c r="O311" s="5">
        <f>HYPERLINK("http://www.eum.go.kr/web/ar/lu/luLandDet.jsp?pnu=3611010700108290000&amp;isNoScr=script&amp;mode=search", "토지이음")</f>
        <v/>
      </c>
      <c r="P311" s="3" t="inlineStr">
        <is>
          <t>에이스</t>
        </is>
      </c>
      <c r="Q311" s="3" t="n">
        <v>1</v>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496</v>
      </c>
      <c r="J312" s="3" t="inlineStr">
        <is>
          <t>1</t>
        </is>
      </c>
      <c r="K312" s="3" t="inlineStr">
        <is>
          <t>-</t>
        </is>
      </c>
      <c r="L312" s="3" t="inlineStr">
        <is>
          <t>사진, 연산농공단지내, 공장, 사무실있음, 대형차가능, 야적가능</t>
        </is>
      </c>
      <c r="M312" s="5">
        <f>HYPERLINK("https://fin.land.naver.com/articles/2646860860", "매물Link")</f>
        <v/>
      </c>
      <c r="N312" s="5">
        <f>HYPERLINK("https://map.naver.com/p/search/나성동 829", "지도Link")</f>
        <v/>
      </c>
      <c r="O312" s="5">
        <f>HYPERLINK("http://www.eum.go.kr/web/ar/lu/luLandDet.jsp?pnu=3611010700108290000&amp;isNoScr=script&amp;mode=search", "토지이음")</f>
        <v/>
      </c>
      <c r="P312" s="3" t="inlineStr">
        <is>
          <t>OK허니</t>
        </is>
      </c>
      <c r="Q312" s="3" t="n">
        <v>1</v>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377</v>
      </c>
      <c r="J313" s="3" t="inlineStr">
        <is>
          <t>2</t>
        </is>
      </c>
      <c r="K313" s="3" t="inlineStr">
        <is>
          <t>-</t>
        </is>
      </c>
      <c r="L313" s="3" t="inlineStr">
        <is>
          <t>논산 부적면 임대 맞춰져 있는 근생창고 포함 2필지 매매</t>
        </is>
      </c>
      <c r="M313" s="5">
        <f>HYPERLINK("https://fin.land.naver.com/articles/2645788522", "매물Link")</f>
        <v/>
      </c>
      <c r="N313" s="5">
        <f>HYPERLINK("https://map.naver.com/p/search/나성동 829", "지도Link")</f>
        <v/>
      </c>
      <c r="O313" s="5">
        <f>HYPERLINK("http://www.eum.go.kr/web/ar/lu/luLandDet.jsp?pnu=3611010700108290000&amp;isNoScr=script&amp;mode=search", "토지이음")</f>
        <v/>
      </c>
      <c r="P313" s="3" t="inlineStr">
        <is>
          <t>SK랜드</t>
        </is>
      </c>
      <c r="Q313" s="3" t="n">
        <v>1</v>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3262</v>
      </c>
      <c r="J314" s="3" t="inlineStr">
        <is>
          <t>1</t>
        </is>
      </c>
      <c r="K314" s="3" t="inlineStr">
        <is>
          <t>-</t>
        </is>
      </c>
      <c r="L314" s="3" t="inlineStr">
        <is>
          <t>계룡IC에서 12분</t>
        </is>
      </c>
      <c r="M314" s="5">
        <f>HYPERLINK("https://fin.land.naver.com/articles/2644743313", "매물Link")</f>
        <v/>
      </c>
      <c r="N314" s="5">
        <f>HYPERLINK("https://map.naver.com/p/search/나성동 829", "지도Link")</f>
        <v/>
      </c>
      <c r="O314" s="5">
        <f>HYPERLINK("http://www.eum.go.kr/web/ar/lu/luLandDet.jsp?pnu=3611010700108290000&amp;isNoScr=script&amp;mode=search", "토지이음")</f>
        <v/>
      </c>
      <c r="P314" s="3" t="inlineStr">
        <is>
          <t>미더스</t>
        </is>
      </c>
      <c r="Q314" s="3" t="n">
        <v>1</v>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395</v>
      </c>
      <c r="J315" s="3" t="inlineStr">
        <is>
          <t>1</t>
        </is>
      </c>
      <c r="K315" s="3" t="inlineStr">
        <is>
          <t>-</t>
        </is>
      </c>
      <c r="L315" s="3" t="inlineStr">
        <is>
          <t>사진, 논산IC10분,2차선접,신축,2종근생제조,임대매매,민원없음</t>
        </is>
      </c>
      <c r="M315" s="5">
        <f>HYPERLINK("https://fin.land.naver.com/articles/2645488427", "매물Link")</f>
        <v/>
      </c>
      <c r="N315" s="5">
        <f>HYPERLINK("https://map.naver.com/p/search/나성동 829", "지도Link")</f>
        <v/>
      </c>
      <c r="O315" s="5">
        <f>HYPERLINK("http://www.eum.go.kr/web/ar/lu/luLandDet.jsp?pnu=3611010700108290000&amp;isNoScr=script&amp;mode=search", "토지이음")</f>
        <v/>
      </c>
      <c r="P315" s="3" t="inlineStr">
        <is>
          <t>OK허니</t>
        </is>
      </c>
      <c r="Q315" s="3" t="n">
        <v>2</v>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385</v>
      </c>
      <c r="J316" s="3" t="inlineStr">
        <is>
          <t>1</t>
        </is>
      </c>
      <c r="K316" s="3" t="inlineStr">
        <is>
          <t>-</t>
        </is>
      </c>
      <c r="L316" s="3" t="inlineStr">
        <is>
          <t>창고나 제조업으로 사용가능한 근생건물과 토지입니다</t>
        </is>
      </c>
      <c r="M316" s="5">
        <f>HYPERLINK("https://fin.land.naver.com/articles/2648054425", "매물Link")</f>
        <v/>
      </c>
      <c r="N316" s="5">
        <f>HYPERLINK("https://map.naver.com/p/search/나성동 829", "지도Link")</f>
        <v/>
      </c>
      <c r="O316" s="5">
        <f>HYPERLINK("http://www.eum.go.kr/web/ar/lu/luLandDet.jsp?pnu=3611010700108290000&amp;isNoScr=script&amp;mode=search", "토지이음")</f>
        <v/>
      </c>
      <c r="P316" s="3" t="inlineStr">
        <is>
          <t>우리</t>
        </is>
      </c>
      <c r="Q316" s="3" t="n">
        <v>1</v>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395</v>
      </c>
      <c r="J317" s="3" t="inlineStr">
        <is>
          <t>1</t>
        </is>
      </c>
      <c r="K317" s="3" t="inlineStr">
        <is>
          <t>-</t>
        </is>
      </c>
      <c r="L317" s="3" t="inlineStr">
        <is>
          <t>논산IC5분, 신축급, 1종근생, 대형차진입, 층고8m,9월입주협의</t>
        </is>
      </c>
      <c r="M317" s="5">
        <f>HYPERLINK("https://fin.land.naver.com/articles/2646861908", "매물Link")</f>
        <v/>
      </c>
      <c r="N317" s="5">
        <f>HYPERLINK("https://map.naver.com/p/search/나성동 829", "지도Link")</f>
        <v/>
      </c>
      <c r="O317" s="5">
        <f>HYPERLINK("http://www.eum.go.kr/web/ar/lu/luLandDet.jsp?pnu=3611010700108290000&amp;isNoScr=script&amp;mode=search", "토지이음")</f>
        <v/>
      </c>
      <c r="P317" s="3" t="inlineStr">
        <is>
          <t>OK허니</t>
        </is>
      </c>
      <c r="Q317" s="3" t="n">
        <v>1</v>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769</v>
      </c>
      <c r="J318" s="3" t="inlineStr">
        <is>
          <t>1</t>
        </is>
      </c>
      <c r="K318" s="3" t="inlineStr">
        <is>
          <t>-</t>
        </is>
      </c>
      <c r="L318" s="3" t="inlineStr">
        <is>
          <t>논산IC5분, 안정적수익형, 대기업월차임920만원,10년임대중</t>
        </is>
      </c>
      <c r="M318" s="5">
        <f>HYPERLINK("https://fin.land.naver.com/articles/2646866199", "매물Link")</f>
        <v/>
      </c>
      <c r="N318" s="5">
        <f>HYPERLINK("https://map.naver.com/p/search/나성동 829", "지도Link")</f>
        <v/>
      </c>
      <c r="O318" s="5">
        <f>HYPERLINK("http://www.eum.go.kr/web/ar/lu/luLandDet.jsp?pnu=3611010700108290000&amp;isNoScr=script&amp;mode=search", "토지이음")</f>
        <v/>
      </c>
      <c r="P318" s="3" t="inlineStr">
        <is>
          <t>OK허니</t>
        </is>
      </c>
      <c r="Q318" s="3" t="n">
        <v>1</v>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967</v>
      </c>
      <c r="J319" s="3" t="inlineStr">
        <is>
          <t>1</t>
        </is>
      </c>
      <c r="K319" s="3" t="inlineStr">
        <is>
          <t>-</t>
        </is>
      </c>
      <c r="L319" s="3" t="inlineStr">
        <is>
          <t>사진, 연무IC10분, 단독사용, 대형공장용지, 야적,공장매매, 임대가능</t>
        </is>
      </c>
      <c r="M319" s="5">
        <f>HYPERLINK("https://fin.land.naver.com/articles/2649562970", "매물Link")</f>
        <v/>
      </c>
      <c r="N319" s="5">
        <f>HYPERLINK("https://map.naver.com/p/search/나성동 829", "지도Link")</f>
        <v/>
      </c>
      <c r="O319" s="5">
        <f>HYPERLINK("http://www.eum.go.kr/web/ar/lu/luLandDet.jsp?pnu=3611010700108290000&amp;isNoScr=script&amp;mode=search", "토지이음")</f>
        <v/>
      </c>
      <c r="P319" s="3" t="inlineStr">
        <is>
          <t>OK허니</t>
        </is>
      </c>
      <c r="Q319" s="3" t="n">
        <v>1</v>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396</v>
      </c>
      <c r="J320" s="3" t="inlineStr">
        <is>
          <t>1</t>
        </is>
      </c>
      <c r="K320" s="3" t="inlineStr">
        <is>
          <t>-</t>
        </is>
      </c>
      <c r="L320" s="3" t="inlineStr">
        <is>
          <t>즉시입주,교환가능,2차선접,넓은주차장</t>
        </is>
      </c>
      <c r="M320" s="5">
        <f>HYPERLINK("https://fin.land.naver.com/articles/2648024362", "매물Link")</f>
        <v/>
      </c>
      <c r="N320" s="5">
        <f>HYPERLINK("https://map.naver.com/p/search/나성동 829", "지도Link")</f>
        <v/>
      </c>
      <c r="O320" s="5">
        <f>HYPERLINK("http://www.eum.go.kr/web/ar/lu/luLandDet.jsp?pnu=3611010700108290000&amp;isNoScr=script&amp;mode=search", "토지이음")</f>
        <v/>
      </c>
      <c r="P320" s="3" t="inlineStr">
        <is>
          <t>백억사사무소</t>
        </is>
      </c>
      <c r="Q320" s="3" t="n">
        <v>1</v>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330</v>
      </c>
      <c r="J321" s="3" t="inlineStr">
        <is>
          <t>1</t>
        </is>
      </c>
      <c r="K321" s="3" t="inlineStr">
        <is>
          <t>-</t>
        </is>
      </c>
      <c r="L321" s="3" t="inlineStr">
        <is>
          <t>사진, 양촌IC5분, 단독사용마당,층고6m,사무실있음,대형차가능</t>
        </is>
      </c>
      <c r="M321" s="5">
        <f>HYPERLINK("https://fin.land.naver.com/articles/2649568358", "매물Link")</f>
        <v/>
      </c>
      <c r="N321" s="5">
        <f>HYPERLINK("https://map.naver.com/p/search/나성동 829", "지도Link")</f>
        <v/>
      </c>
      <c r="O321" s="5">
        <f>HYPERLINK("http://www.eum.go.kr/web/ar/lu/luLandDet.jsp?pnu=3611010700108290000&amp;isNoScr=script&amp;mode=search", "토지이음")</f>
        <v/>
      </c>
      <c r="P321" s="3" t="inlineStr">
        <is>
          <t>OK허니</t>
        </is>
      </c>
      <c r="Q321" s="3" t="n">
        <v>1</v>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1157</v>
      </c>
      <c r="J322" s="3" t="inlineStr">
        <is>
          <t>1</t>
        </is>
      </c>
      <c r="K322" s="3" t="inlineStr">
        <is>
          <t>-</t>
        </is>
      </c>
      <c r="L322" s="3" t="inlineStr">
        <is>
          <t>nan</t>
        </is>
      </c>
      <c r="M322" s="5">
        <f>HYPERLINK("https://fin.land.naver.com/articles/2648416339", "매물Link")</f>
        <v/>
      </c>
      <c r="N322" s="5">
        <f>HYPERLINK("https://map.naver.com/p/search/나성동 829", "지도Link")</f>
        <v/>
      </c>
      <c r="O322" s="5">
        <f>HYPERLINK("http://www.eum.go.kr/web/ar/lu/luLandDet.jsp?pnu=3611010700108290000&amp;isNoScr=script&amp;mode=search", "토지이음")</f>
        <v/>
      </c>
      <c r="P322" s="3" t="inlineStr">
        <is>
          <t>신화  사무소</t>
        </is>
      </c>
      <c r="Q322" s="3" t="n">
        <v>1</v>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115</v>
      </c>
      <c r="J323" s="3" t="inlineStr">
        <is>
          <t>1</t>
        </is>
      </c>
      <c r="K323" s="3" t="inlineStr">
        <is>
          <t>-</t>
        </is>
      </c>
      <c r="L323" s="3" t="inlineStr">
        <is>
          <t>주중동,소형창고</t>
        </is>
      </c>
      <c r="M323" s="5">
        <f>HYPERLINK("https://fin.land.naver.com/articles/2646718219", "매물Link")</f>
        <v/>
      </c>
      <c r="N323" s="5">
        <f>HYPERLINK("https://map.naver.com/p/search/나성동 829", "지도Link")</f>
        <v/>
      </c>
      <c r="O323" s="5">
        <f>HYPERLINK("http://www.eum.go.kr/web/ar/lu/luLandDet.jsp?pnu=3611010700108290000&amp;isNoScr=script&amp;mode=search", "토지이음")</f>
        <v/>
      </c>
      <c r="P323" s="3" t="inlineStr">
        <is>
          <t>LBA리치아노합동사무소</t>
        </is>
      </c>
      <c r="Q323" s="3" t="n">
        <v>1</v>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149</v>
      </c>
      <c r="J324" s="3" t="inlineStr">
        <is>
          <t>1</t>
        </is>
      </c>
      <c r="K324" s="3" t="inlineStr">
        <is>
          <t>-</t>
        </is>
      </c>
      <c r="L324" s="3" t="inlineStr">
        <is>
          <t>주중동,창고,임대</t>
        </is>
      </c>
      <c r="M324" s="5">
        <f>HYPERLINK("https://fin.land.naver.com/articles/2647745106", "매물Link")</f>
        <v/>
      </c>
      <c r="N324" s="5">
        <f>HYPERLINK("https://map.naver.com/p/search/나성동 829", "지도Link")</f>
        <v/>
      </c>
      <c r="O324" s="5">
        <f>HYPERLINK("http://www.eum.go.kr/web/ar/lu/luLandDet.jsp?pnu=3611010700108290000&amp;isNoScr=script&amp;mode=search", "토지이음")</f>
        <v/>
      </c>
      <c r="P324" s="3" t="inlineStr">
        <is>
          <t>LBA리치아노합동사무소</t>
        </is>
      </c>
      <c r="Q324" s="3" t="n">
        <v>1</v>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183</v>
      </c>
      <c r="J325" s="3" t="inlineStr">
        <is>
          <t>2</t>
        </is>
      </c>
      <c r="K325" s="3" t="inlineStr">
        <is>
          <t>B1</t>
        </is>
      </c>
      <c r="L325" s="3" t="inlineStr">
        <is>
          <t>청주초입에 위치한 수름재부근 코너자리 광고효과 좋고 노출만점</t>
        </is>
      </c>
      <c r="M325" s="5">
        <f>HYPERLINK("https://fin.land.naver.com/articles/2644271197", "매물Link")</f>
        <v/>
      </c>
      <c r="N325" s="5">
        <f>HYPERLINK("https://map.naver.com/p/search/나성동 829", "지도Link")</f>
        <v/>
      </c>
      <c r="O325" s="5">
        <f>HYPERLINK("http://www.eum.go.kr/web/ar/lu/luLandDet.jsp?pnu=3611010700108290000&amp;isNoScr=script&amp;mode=search", "토지이음")</f>
        <v/>
      </c>
      <c r="P325" s="3" t="inlineStr">
        <is>
          <t>에이스</t>
        </is>
      </c>
      <c r="Q325" s="3" t="n">
        <v>1</v>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320</v>
      </c>
      <c r="J326" s="3" t="inlineStr">
        <is>
          <t>1</t>
        </is>
      </c>
      <c r="K326" s="3" t="inlineStr">
        <is>
          <t>-</t>
        </is>
      </c>
      <c r="L326" s="3" t="inlineStr">
        <is>
          <t>주성동 신축넓은 주차장 창고및 사무실등 추천</t>
        </is>
      </c>
      <c r="M326" s="5">
        <f>HYPERLINK("https://fin.land.naver.com/articles/2646668793", "매물Link")</f>
        <v/>
      </c>
      <c r="N326" s="5">
        <f>HYPERLINK("https://map.naver.com/p/search/나성동 829", "지도Link")</f>
        <v/>
      </c>
      <c r="O326" s="5">
        <f>HYPERLINK("http://www.eum.go.kr/web/ar/lu/luLandDet.jsp?pnu=3611010700108290000&amp;isNoScr=script&amp;mode=search", "토지이음")</f>
        <v/>
      </c>
      <c r="P326" s="3" t="inlineStr">
        <is>
          <t>더원</t>
        </is>
      </c>
      <c r="Q326" s="3" t="n">
        <v>1</v>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441</v>
      </c>
      <c r="J327" s="3" t="inlineStr">
        <is>
          <t>1</t>
        </is>
      </c>
      <c r="K327" s="3" t="inlineStr">
        <is>
          <t>-</t>
        </is>
      </c>
      <c r="L327" s="3" t="inlineStr">
        <is>
          <t>2.3순환로 인근으로 대형차 진출입 가능 2종근생 제조업허가</t>
        </is>
      </c>
      <c r="M327" s="5">
        <f>HYPERLINK("https://fin.land.naver.com/articles/2645942384", "매물Link")</f>
        <v/>
      </c>
      <c r="N327" s="5">
        <f>HYPERLINK("https://map.naver.com/p/search/나성동 829", "지도Link")</f>
        <v/>
      </c>
      <c r="O327" s="5">
        <f>HYPERLINK("http://www.eum.go.kr/web/ar/lu/luLandDet.jsp?pnu=3611010700108290000&amp;isNoScr=script&amp;mode=search", "토지이음")</f>
        <v/>
      </c>
      <c r="P327" s="3" t="inlineStr">
        <is>
          <t>더원</t>
        </is>
      </c>
      <c r="Q327" s="3" t="n">
        <v>1</v>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494</v>
      </c>
      <c r="J328" s="3" t="inlineStr">
        <is>
          <t>1</t>
        </is>
      </c>
      <c r="K328" s="3" t="inlineStr">
        <is>
          <t>-</t>
        </is>
      </c>
      <c r="L328" s="3" t="inlineStr">
        <is>
          <t>수름재삼거리 근거리에 위치한 제조업소이며, 2개 동으로 되어있습니다.</t>
        </is>
      </c>
      <c r="M328" s="5">
        <f>HYPERLINK("https://fin.land.naver.com/articles/2650140931", "매물Link")</f>
        <v/>
      </c>
      <c r="N328" s="5">
        <f>HYPERLINK("https://map.naver.com/p/search/나성동 829", "지도Link")</f>
        <v/>
      </c>
      <c r="O328" s="5">
        <f>HYPERLINK("http://www.eum.go.kr/web/ar/lu/luLandDet.jsp?pnu=3611010700108290000&amp;isNoScr=script&amp;mode=search", "토지이음")</f>
        <v/>
      </c>
      <c r="P328" s="3" t="inlineStr">
        <is>
          <t>정민</t>
        </is>
      </c>
      <c r="Q328" s="3" t="n">
        <v>2</v>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98</v>
      </c>
      <c r="J329" s="3" t="inlineStr">
        <is>
          <t>1</t>
        </is>
      </c>
      <c r="K329" s="3" t="inlineStr">
        <is>
          <t>-</t>
        </is>
      </c>
      <c r="L329" s="3" t="inlineStr">
        <is>
          <t>정북동 창고 매매, 위치 좋고 도로 진입 편리한 곳, 주차까지 편리</t>
        </is>
      </c>
      <c r="M329" s="5">
        <f>HYPERLINK("https://fin.land.naver.com/articles/2643943182", "매물Link")</f>
        <v/>
      </c>
      <c r="N329" s="5">
        <f>HYPERLINK("https://map.naver.com/p/search/나성동 829", "지도Link")</f>
        <v/>
      </c>
      <c r="O329" s="5">
        <f>HYPERLINK("http://www.eum.go.kr/web/ar/lu/luLandDet.jsp?pnu=3611010700108290000&amp;isNoScr=script&amp;mode=search", "토지이음")</f>
        <v/>
      </c>
      <c r="P329" s="3" t="inlineStr">
        <is>
          <t>진</t>
        </is>
      </c>
      <c r="Q329" s="3" t="n">
        <v>1</v>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132</v>
      </c>
      <c r="J330" s="3" t="inlineStr">
        <is>
          <t>1</t>
        </is>
      </c>
      <c r="K330" s="3" t="inlineStr">
        <is>
          <t>-</t>
        </is>
      </c>
      <c r="L330" s="3" t="inlineStr">
        <is>
          <t>정상동,창고</t>
        </is>
      </c>
      <c r="M330" s="5">
        <f>HYPERLINK("https://fin.land.naver.com/articles/2646715196", "매물Link")</f>
        <v/>
      </c>
      <c r="N330" s="5">
        <f>HYPERLINK("https://map.naver.com/p/search/나성동 829", "지도Link")</f>
        <v/>
      </c>
      <c r="O330" s="5">
        <f>HYPERLINK("http://www.eum.go.kr/web/ar/lu/luLandDet.jsp?pnu=3611010700108290000&amp;isNoScr=script&amp;mode=search", "토지이음")</f>
        <v/>
      </c>
      <c r="P330" s="3" t="inlineStr">
        <is>
          <t>LBA리치아노합동사무소</t>
        </is>
      </c>
      <c r="Q330" s="3" t="n">
        <v>1</v>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199</v>
      </c>
      <c r="J331" s="3" t="inlineStr">
        <is>
          <t>1</t>
        </is>
      </c>
      <c r="K331" s="3" t="inlineStr">
        <is>
          <t>-</t>
        </is>
      </c>
      <c r="L331" s="3" t="inlineStr">
        <is>
          <t>청주,농업용창고,임대</t>
        </is>
      </c>
      <c r="M331" s="5">
        <f>HYPERLINK("https://fin.land.naver.com/articles/2646792901", "매물Link")</f>
        <v/>
      </c>
      <c r="N331" s="5">
        <f>HYPERLINK("https://map.naver.com/p/search/나성동 829", "지도Link")</f>
        <v/>
      </c>
      <c r="O331" s="5">
        <f>HYPERLINK("http://www.eum.go.kr/web/ar/lu/luLandDet.jsp?pnu=3611010700108290000&amp;isNoScr=script&amp;mode=search", "토지이음")</f>
        <v/>
      </c>
      <c r="P331" s="3" t="inlineStr">
        <is>
          <t>LBA리치아노합동사무소</t>
        </is>
      </c>
      <c r="Q331" s="3" t="n">
        <v>1</v>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300</v>
      </c>
      <c r="J332" s="3" t="inlineStr">
        <is>
          <t>1</t>
        </is>
      </c>
      <c r="K332" s="3" t="inlineStr">
        <is>
          <t>-</t>
        </is>
      </c>
      <c r="L332" s="3" t="inlineStr">
        <is>
          <t>사천동 학생회관 뒤 사과나무 식당 인근에 자리하고 있는 창고 시설입니다</t>
        </is>
      </c>
      <c r="M332" s="5">
        <f>HYPERLINK("https://fin.land.naver.com/articles/2647073459", "매물Link")</f>
        <v/>
      </c>
      <c r="N332" s="5">
        <f>HYPERLINK("https://map.naver.com/p/search/나성동 829", "지도Link")</f>
        <v/>
      </c>
      <c r="O332" s="5">
        <f>HYPERLINK("http://www.eum.go.kr/web/ar/lu/luLandDet.jsp?pnu=3611010700108290000&amp;isNoScr=script&amp;mode=search", "토지이음")</f>
        <v/>
      </c>
      <c r="P332" s="3" t="inlineStr">
        <is>
          <t>지구촌무소</t>
        </is>
      </c>
      <c r="Q332" s="3" t="n">
        <v>1</v>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485</v>
      </c>
      <c r="J333" s="3" t="inlineStr">
        <is>
          <t>1</t>
        </is>
      </c>
      <c r="K333" s="3" t="inlineStr">
        <is>
          <t>-</t>
        </is>
      </c>
      <c r="L333" s="3" t="inlineStr">
        <is>
          <t>사천동 공장 매매</t>
        </is>
      </c>
      <c r="M333" s="5">
        <f>HYPERLINK("https://fin.land.naver.com/articles/2647118228", "매물Link")</f>
        <v/>
      </c>
      <c r="N333" s="5">
        <f>HYPERLINK("https://map.naver.com/p/search/나성동 829", "지도Link")</f>
        <v/>
      </c>
      <c r="O333" s="5">
        <f>HYPERLINK("http://www.eum.go.kr/web/ar/lu/luLandDet.jsp?pnu=3611010700108290000&amp;isNoScr=script&amp;mode=search", "토지이음")</f>
        <v/>
      </c>
      <c r="P333" s="3" t="inlineStr">
        <is>
          <t>삼성사무소</t>
        </is>
      </c>
      <c r="Q333" s="3" t="n">
        <v>1</v>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262</v>
      </c>
      <c r="J334" s="3" t="inlineStr">
        <is>
          <t>1</t>
        </is>
      </c>
      <c r="K334" s="3" t="inlineStr">
        <is>
          <t>-</t>
        </is>
      </c>
      <c r="L334" s="3" t="inlineStr">
        <is>
          <t>1동은 1991년 공장 신축하고 2동은 2025년12월 증축 함</t>
        </is>
      </c>
      <c r="M334" s="5">
        <f>HYPERLINK("https://fin.land.naver.com/articles/2644785379", "매물Link")</f>
        <v/>
      </c>
      <c r="N334" s="5">
        <f>HYPERLINK("https://map.naver.com/p/search/나성동 829", "지도Link")</f>
        <v/>
      </c>
      <c r="O334" s="5">
        <f>HYPERLINK("http://www.eum.go.kr/web/ar/lu/luLandDet.jsp?pnu=3611010700108290000&amp;isNoScr=script&amp;mode=search", "토지이음")</f>
        <v/>
      </c>
      <c r="P334" s="3" t="inlineStr">
        <is>
          <t>태평</t>
        </is>
      </c>
      <c r="Q334" s="3" t="n">
        <v>1</v>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345</v>
      </c>
      <c r="J335" s="3" t="inlineStr">
        <is>
          <t>1</t>
        </is>
      </c>
      <c r="K335" s="3" t="inlineStr">
        <is>
          <t>-</t>
        </is>
      </c>
      <c r="L335" s="3" t="inlineStr">
        <is>
          <t>2차선도로 접한 임대된 투자용공장</t>
        </is>
      </c>
      <c r="M335" s="5">
        <f>HYPERLINK("https://fin.land.naver.com/articles/2646712178", "매물Link")</f>
        <v/>
      </c>
      <c r="N335" s="5">
        <f>HYPERLINK("https://map.naver.com/p/search/나성동 829", "지도Link")</f>
        <v/>
      </c>
      <c r="O335" s="5">
        <f>HYPERLINK("http://www.eum.go.kr/web/ar/lu/luLandDet.jsp?pnu=3611010700108290000&amp;isNoScr=script&amp;mode=search", "토지이음")</f>
        <v/>
      </c>
      <c r="P335" s="3" t="inlineStr">
        <is>
          <t>빛나</t>
        </is>
      </c>
      <c r="Q335" s="3" t="n">
        <v>1</v>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331</v>
      </c>
      <c r="J336" s="3" t="inlineStr">
        <is>
          <t>1</t>
        </is>
      </c>
      <c r="K336" s="3" t="inlineStr">
        <is>
          <t>-</t>
        </is>
      </c>
      <c r="L336" s="3" t="inlineStr">
        <is>
          <t>3차우회도로10분 내수읍5분 오송,서청주 우회도로 바로 인접</t>
        </is>
      </c>
      <c r="M336" s="5">
        <f>HYPERLINK("https://fin.land.naver.com/articles/2646783751", "매물Link")</f>
        <v/>
      </c>
      <c r="N336" s="5">
        <f>HYPERLINK("https://map.naver.com/p/search/나성동 829", "지도Link")</f>
        <v/>
      </c>
      <c r="O336" s="5">
        <f>HYPERLINK("http://www.eum.go.kr/web/ar/lu/luLandDet.jsp?pnu=3611010700108290000&amp;isNoScr=script&amp;mode=search", "토지이음")</f>
        <v/>
      </c>
      <c r="P336" s="3" t="inlineStr">
        <is>
          <t>공장365</t>
        </is>
      </c>
      <c r="Q336" s="3" t="n">
        <v>1</v>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132</v>
      </c>
      <c r="J337" s="3" t="inlineStr">
        <is>
          <t>1</t>
        </is>
      </c>
      <c r="K337" s="3" t="inlineStr">
        <is>
          <t>-</t>
        </is>
      </c>
      <c r="L337" s="3" t="inlineStr">
        <is>
          <t>국사리 산업단징파
국사리 산업단지 앞쪽 저렴한 매물 창고</t>
        </is>
      </c>
      <c r="M337" s="5">
        <f>HYPERLINK("https://fin.land.naver.com/articles/2647523854", "매물Link")</f>
        <v/>
      </c>
      <c r="N337" s="5">
        <f>HYPERLINK("https://map.naver.com/p/search/나성동 829", "지도Link")</f>
        <v/>
      </c>
      <c r="O337" s="5">
        <f>HYPERLINK("http://www.eum.go.kr/web/ar/lu/luLandDet.jsp?pnu=3611010700108290000&amp;isNoScr=script&amp;mode=search", "토지이음")</f>
        <v/>
      </c>
      <c r="P337" s="3" t="inlineStr">
        <is>
          <t>옥산리버자이</t>
        </is>
      </c>
      <c r="Q337" s="3" t="n">
        <v>1</v>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2542</v>
      </c>
      <c r="J338" s="3" t="inlineStr">
        <is>
          <t>1</t>
        </is>
      </c>
      <c r="K338" s="3" t="inlineStr">
        <is>
          <t>-</t>
        </is>
      </c>
      <c r="L338" s="3" t="inlineStr">
        <is>
          <t>2차로 변 층고가 높은 공장매매</t>
        </is>
      </c>
      <c r="M338" s="5">
        <f>HYPERLINK("https://fin.land.naver.com/articles/2648904836", "매물Link")</f>
        <v/>
      </c>
      <c r="N338" s="5">
        <f>HYPERLINK("https://map.naver.com/p/search/나성동 829", "지도Link")</f>
        <v/>
      </c>
      <c r="O338" s="5">
        <f>HYPERLINK("http://www.eum.go.kr/web/ar/lu/luLandDet.jsp?pnu=3611010700108290000&amp;isNoScr=script&amp;mode=search", "토지이음")</f>
        <v/>
      </c>
      <c r="P338" s="3" t="inlineStr">
        <is>
          <t>황금알</t>
        </is>
      </c>
      <c r="Q338" s="3" t="n">
        <v>1</v>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390</v>
      </c>
      <c r="J339" s="3" t="inlineStr">
        <is>
          <t>1</t>
        </is>
      </c>
      <c r="K339" s="3" t="inlineStr">
        <is>
          <t>-</t>
        </is>
      </c>
      <c r="L339" s="3" t="inlineStr">
        <is>
          <t>사천동,제조업소및창고,별도사무동,입주협의</t>
        </is>
      </c>
      <c r="M339" s="5">
        <f>HYPERLINK("https://fin.land.naver.com/articles/2646102915", "매물Link")</f>
        <v/>
      </c>
      <c r="N339" s="5">
        <f>HYPERLINK("https://map.naver.com/p/search/나성동 829", "지도Link")</f>
        <v/>
      </c>
      <c r="O339" s="5">
        <f>HYPERLINK("http://www.eum.go.kr/web/ar/lu/luLandDet.jsp?pnu=3611010700108290000&amp;isNoScr=script&amp;mode=search", "토지이음")</f>
        <v/>
      </c>
      <c r="P339" s="3" t="inlineStr">
        <is>
          <t>LBA리치아노합동사무소</t>
        </is>
      </c>
      <c r="Q339" s="3" t="n">
        <v>1</v>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4307</v>
      </c>
      <c r="J340" s="3" t="inlineStr">
        <is>
          <t>1</t>
        </is>
      </c>
      <c r="K340" s="3" t="inlineStr">
        <is>
          <t>B1</t>
        </is>
      </c>
      <c r="L340" s="3" t="inlineStr">
        <is>
          <t>토지매매 공장,창고,판매물류시설 ,도로접</t>
        </is>
      </c>
      <c r="M340" s="5">
        <f>HYPERLINK("https://fin.land.naver.com/articles/2646288282", "매물Link")</f>
        <v/>
      </c>
      <c r="N340" s="5">
        <f>HYPERLINK("https://map.naver.com/p/search/나성동 829", "지도Link")</f>
        <v/>
      </c>
      <c r="O340" s="5">
        <f>HYPERLINK("http://www.eum.go.kr/web/ar/lu/luLandDet.jsp?pnu=3611010700108290000&amp;isNoScr=script&amp;mode=search", "토지이음")</f>
        <v/>
      </c>
      <c r="P340" s="3" t="inlineStr">
        <is>
          <t>투자</t>
        </is>
      </c>
      <c r="Q340" s="3" t="n">
        <v>1</v>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194</v>
      </c>
      <c r="J341" s="3" t="inlineStr">
        <is>
          <t>1</t>
        </is>
      </c>
      <c r="K341" s="3" t="inlineStr">
        <is>
          <t>-</t>
        </is>
      </c>
      <c r="L341" s="3" t="inlineStr">
        <is>
          <t>사천동 제조업소 및 창고 신축입주협의가능</t>
        </is>
      </c>
      <c r="M341" s="5">
        <f>HYPERLINK("https://fin.land.naver.com/articles/2646669188", "매물Link")</f>
        <v/>
      </c>
      <c r="N341" s="5">
        <f>HYPERLINK("https://map.naver.com/p/search/나성동 829", "지도Link")</f>
        <v/>
      </c>
      <c r="O341" s="5">
        <f>HYPERLINK("http://www.eum.go.kr/web/ar/lu/luLandDet.jsp?pnu=3611010700108290000&amp;isNoScr=script&amp;mode=search", "토지이음")</f>
        <v/>
      </c>
      <c r="P341" s="3" t="inlineStr">
        <is>
          <t>더원</t>
        </is>
      </c>
      <c r="Q341" s="3" t="n">
        <v>1</v>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294</v>
      </c>
      <c r="J342" s="3" t="inlineStr">
        <is>
          <t>1</t>
        </is>
      </c>
      <c r="K342" s="3" t="inlineStr">
        <is>
          <t>-</t>
        </is>
      </c>
      <c r="L342" s="3" t="inlineStr">
        <is>
          <t>사천동,1층45형,2층45형,제조업소및창고</t>
        </is>
      </c>
      <c r="M342" s="5">
        <f>HYPERLINK("https://fin.land.naver.com/articles/2646712515", "매물Link")</f>
        <v/>
      </c>
      <c r="N342" s="5">
        <f>HYPERLINK("https://map.naver.com/p/search/나성동 829", "지도Link")</f>
        <v/>
      </c>
      <c r="O342" s="5">
        <f>HYPERLINK("http://www.eum.go.kr/web/ar/lu/luLandDet.jsp?pnu=3611010700108290000&amp;isNoScr=script&amp;mode=search", "토지이음")</f>
        <v/>
      </c>
      <c r="P342" s="3" t="inlineStr">
        <is>
          <t>LBA리치아노합동사무소</t>
        </is>
      </c>
      <c r="Q342" s="3" t="n">
        <v>1</v>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222</v>
      </c>
      <c r="J343" s="3" t="inlineStr">
        <is>
          <t>1</t>
        </is>
      </c>
      <c r="K343" s="3" t="inlineStr">
        <is>
          <t>-</t>
        </is>
      </c>
      <c r="L343" s="3" t="inlineStr">
        <is>
          <t>사천동,제조업소및창고,2층사무실,입주협의</t>
        </is>
      </c>
      <c r="M343" s="5">
        <f>HYPERLINK("https://fin.land.naver.com/articles/2646733244", "매물Link")</f>
        <v/>
      </c>
      <c r="N343" s="5">
        <f>HYPERLINK("https://map.naver.com/p/search/나성동 829", "지도Link")</f>
        <v/>
      </c>
      <c r="O343" s="5">
        <f>HYPERLINK("http://www.eum.go.kr/web/ar/lu/luLandDet.jsp?pnu=3611010700108290000&amp;isNoScr=script&amp;mode=search", "토지이음")</f>
        <v/>
      </c>
      <c r="P343" s="3" t="inlineStr">
        <is>
          <t>LBA리치아노합동사무소</t>
        </is>
      </c>
      <c r="Q343" s="3" t="n">
        <v>1</v>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148</v>
      </c>
      <c r="J344" s="3" t="inlineStr">
        <is>
          <t>1</t>
        </is>
      </c>
      <c r="K344" s="3" t="inlineStr">
        <is>
          <t>-</t>
        </is>
      </c>
      <c r="L344" s="3" t="inlineStr">
        <is>
          <t>사천동,제조업소및창고</t>
        </is>
      </c>
      <c r="M344" s="5">
        <f>HYPERLINK("https://fin.land.naver.com/articles/2647435382", "매물Link")</f>
        <v/>
      </c>
      <c r="N344" s="5">
        <f>HYPERLINK("https://map.naver.com/p/search/나성동 829", "지도Link")</f>
        <v/>
      </c>
      <c r="O344" s="5">
        <f>HYPERLINK("http://www.eum.go.kr/web/ar/lu/luLandDet.jsp?pnu=3611010700108290000&amp;isNoScr=script&amp;mode=search", "토지이음")</f>
        <v/>
      </c>
      <c r="P344" s="3" t="inlineStr">
        <is>
          <t>LBA리치아노합동사무소</t>
        </is>
      </c>
      <c r="Q344" s="3" t="n">
        <v>1</v>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115</v>
      </c>
      <c r="J345" s="3" t="inlineStr">
        <is>
          <t>1</t>
        </is>
      </c>
      <c r="K345" s="3" t="inlineStr">
        <is>
          <t>-</t>
        </is>
      </c>
      <c r="L345" s="3" t="inlineStr">
        <is>
          <t>사천동,제조업소및창고</t>
        </is>
      </c>
      <c r="M345" s="5">
        <f>HYPERLINK("https://fin.land.naver.com/articles/2647456773", "매물Link")</f>
        <v/>
      </c>
      <c r="N345" s="5">
        <f>HYPERLINK("https://map.naver.com/p/search/나성동 829", "지도Link")</f>
        <v/>
      </c>
      <c r="O345" s="5">
        <f>HYPERLINK("http://www.eum.go.kr/web/ar/lu/luLandDet.jsp?pnu=3611010700108290000&amp;isNoScr=script&amp;mode=search", "토지이음")</f>
        <v/>
      </c>
      <c r="P345" s="3" t="inlineStr">
        <is>
          <t>LBA리치아노합동사무소</t>
        </is>
      </c>
      <c r="Q345" s="3" t="n">
        <v>1</v>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390</v>
      </c>
      <c r="J346" s="3" t="inlineStr">
        <is>
          <t>1</t>
        </is>
      </c>
      <c r="K346" s="3" t="inlineStr">
        <is>
          <t>-</t>
        </is>
      </c>
      <c r="L346" s="3" t="inlineStr">
        <is>
          <t>사천동,제조업소및창고,호이스트2톤,2층사무실</t>
        </is>
      </c>
      <c r="M346" s="5">
        <f>HYPERLINK("https://fin.land.naver.com/articles/2648842321", "매물Link")</f>
        <v/>
      </c>
      <c r="N346" s="5">
        <f>HYPERLINK("https://map.naver.com/p/search/나성동 829", "지도Link")</f>
        <v/>
      </c>
      <c r="O346" s="5">
        <f>HYPERLINK("http://www.eum.go.kr/web/ar/lu/luLandDet.jsp?pnu=3611010700108290000&amp;isNoScr=script&amp;mode=search", "토지이음")</f>
        <v/>
      </c>
      <c r="P346" s="3" t="inlineStr">
        <is>
          <t>LBA리치아노합동사무소</t>
        </is>
      </c>
      <c r="Q346" s="3" t="n">
        <v>1</v>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330</v>
      </c>
      <c r="J347" s="3" t="inlineStr">
        <is>
          <t>1</t>
        </is>
      </c>
      <c r="K347" s="3" t="inlineStr">
        <is>
          <t>-</t>
        </is>
      </c>
      <c r="L347" s="3" t="inlineStr">
        <is>
          <t>nan</t>
        </is>
      </c>
      <c r="M347" s="5">
        <f>HYPERLINK("https://fin.land.naver.com/articles/2649210236", "매물Link")</f>
        <v/>
      </c>
      <c r="N347" s="5">
        <f>HYPERLINK("https://map.naver.com/p/search/나성동 829", "지도Link")</f>
        <v/>
      </c>
      <c r="O347" s="5">
        <f>HYPERLINK("http://www.eum.go.kr/web/ar/lu/luLandDet.jsp?pnu=3611010700108290000&amp;isNoScr=script&amp;mode=search", "토지이음")</f>
        <v/>
      </c>
      <c r="P347" s="3" t="inlineStr">
        <is>
          <t>청주부부</t>
        </is>
      </c>
      <c r="Q347" s="3" t="n">
        <v>1</v>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331</v>
      </c>
      <c r="J348" s="3" t="inlineStr">
        <is>
          <t>1</t>
        </is>
      </c>
      <c r="K348" s="3" t="inlineStr">
        <is>
          <t>-</t>
        </is>
      </c>
      <c r="L348" s="3" t="inlineStr">
        <is>
          <t>율량동 상리에 위치한 제1종 근린생활시설의 건물입니다</t>
        </is>
      </c>
      <c r="M348" s="5">
        <f>HYPERLINK("https://fin.land.naver.com/articles/2647077655", "매물Link")</f>
        <v/>
      </c>
      <c r="N348" s="5">
        <f>HYPERLINK("https://map.naver.com/p/search/나성동 829", "지도Link")</f>
        <v/>
      </c>
      <c r="O348" s="5">
        <f>HYPERLINK("http://www.eum.go.kr/web/ar/lu/luLandDet.jsp?pnu=3611010700108290000&amp;isNoScr=script&amp;mode=search", "토지이음")</f>
        <v/>
      </c>
      <c r="P348" s="3" t="inlineStr">
        <is>
          <t>지구촌무소</t>
        </is>
      </c>
      <c r="Q348" s="3" t="n">
        <v>1</v>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650</v>
      </c>
      <c r="J349" s="3" t="inlineStr">
        <is>
          <t>1</t>
        </is>
      </c>
      <c r="K349" s="3" t="inlineStr">
        <is>
          <t>-</t>
        </is>
      </c>
      <c r="L349" s="3" t="inlineStr">
        <is>
          <t>투자  및 수익성 좋음 ,  월세는 태양광150만원 포함</t>
        </is>
      </c>
      <c r="M349" s="5">
        <f>HYPERLINK("https://fin.land.naver.com/articles/2647706710", "매물Link")</f>
        <v/>
      </c>
      <c r="N349" s="5">
        <f>HYPERLINK("https://map.naver.com/p/search/나성동 829", "지도Link")</f>
        <v/>
      </c>
      <c r="O349" s="5">
        <f>HYPERLINK("http://www.eum.go.kr/web/ar/lu/luLandDet.jsp?pnu=3611010700108290000&amp;isNoScr=script&amp;mode=search", "토지이음")</f>
        <v/>
      </c>
      <c r="P349" s="3" t="inlineStr">
        <is>
          <t>한우리</t>
        </is>
      </c>
      <c r="Q349" s="3" t="n">
        <v>1</v>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330</v>
      </c>
      <c r="J350" s="3" t="inlineStr">
        <is>
          <t>1</t>
        </is>
      </c>
      <c r="K350" s="3" t="inlineStr">
        <is>
          <t>-</t>
        </is>
      </c>
      <c r="L350" s="3" t="inlineStr">
        <is>
          <t>nan</t>
        </is>
      </c>
      <c r="M350" s="5">
        <f>HYPERLINK("https://fin.land.naver.com/articles/2647853795", "매물Link")</f>
        <v/>
      </c>
      <c r="N350" s="5">
        <f>HYPERLINK("https://map.naver.com/p/search/나성동 829", "지도Link")</f>
        <v/>
      </c>
      <c r="O350" s="5">
        <f>HYPERLINK("http://www.eum.go.kr/web/ar/lu/luLandDet.jsp?pnu=3611010700108290000&amp;isNoScr=script&amp;mode=search", "토지이음")</f>
        <v/>
      </c>
      <c r="P350" s="3" t="inlineStr">
        <is>
          <t>청주부부</t>
        </is>
      </c>
      <c r="Q350" s="3" t="n">
        <v>1</v>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190</v>
      </c>
      <c r="J351" s="3" t="inlineStr">
        <is>
          <t>1</t>
        </is>
      </c>
      <c r="K351" s="3" t="inlineStr">
        <is>
          <t>-</t>
        </is>
      </c>
      <c r="L351" s="3" t="inlineStr">
        <is>
          <t>3순환로인근,창고용도</t>
        </is>
      </c>
      <c r="M351" s="5">
        <f>HYPERLINK("https://fin.land.naver.com/articles/2649530998", "매물Link")</f>
        <v/>
      </c>
      <c r="N351" s="5">
        <f>HYPERLINK("https://map.naver.com/p/search/나성동 829", "지도Link")</f>
        <v/>
      </c>
      <c r="O351" s="5">
        <f>HYPERLINK("http://www.eum.go.kr/web/ar/lu/luLandDet.jsp?pnu=3611010700108290000&amp;isNoScr=script&amp;mode=search", "토지이음")</f>
        <v/>
      </c>
      <c r="P351" s="3" t="inlineStr">
        <is>
          <t>LBA리치아노합동사무소</t>
        </is>
      </c>
      <c r="Q351" s="3" t="n">
        <v>1</v>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330</v>
      </c>
      <c r="J352" s="3" t="inlineStr">
        <is>
          <t>1</t>
        </is>
      </c>
      <c r="K352" s="3" t="inlineStr">
        <is>
          <t>-</t>
        </is>
      </c>
      <c r="L352" s="3" t="inlineStr">
        <is>
          <t>외평동,제조업소및창고,단독</t>
        </is>
      </c>
      <c r="M352" s="5">
        <f>HYPERLINK("https://fin.land.naver.com/articles/2646795933", "매물Link")</f>
        <v/>
      </c>
      <c r="N352" s="5">
        <f>HYPERLINK("https://map.naver.com/p/search/나성동 829", "지도Link")</f>
        <v/>
      </c>
      <c r="O352" s="5">
        <f>HYPERLINK("http://www.eum.go.kr/web/ar/lu/luLandDet.jsp?pnu=3611010700108290000&amp;isNoScr=script&amp;mode=search", "토지이음")</f>
        <v/>
      </c>
      <c r="P352" s="3" t="inlineStr">
        <is>
          <t>LBA리치아노합동사무소</t>
        </is>
      </c>
      <c r="Q352" s="3" t="n">
        <v>1</v>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960</v>
      </c>
      <c r="J353" s="3" t="inlineStr">
        <is>
          <t>1</t>
        </is>
      </c>
      <c r="K353" s="3" t="inlineStr">
        <is>
          <t>-</t>
        </is>
      </c>
      <c r="L353" s="3" t="inlineStr">
        <is>
          <t>초급매 청주 외평동 3순환로 인접 신축급 공장</t>
        </is>
      </c>
      <c r="M353" s="5">
        <f>HYPERLINK("https://fin.land.naver.com/articles/2646669064", "매물Link")</f>
        <v/>
      </c>
      <c r="N353" s="5">
        <f>HYPERLINK("https://map.naver.com/p/search/나성동 829", "지도Link")</f>
        <v/>
      </c>
      <c r="O353" s="5">
        <f>HYPERLINK("http://www.eum.go.kr/web/ar/lu/luLandDet.jsp?pnu=3611010700108290000&amp;isNoScr=script&amp;mode=search", "토지이음")</f>
        <v/>
      </c>
      <c r="P353" s="3" t="inlineStr">
        <is>
          <t>더원</t>
        </is>
      </c>
      <c r="Q353" s="3" t="n">
        <v>1</v>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253</v>
      </c>
      <c r="J354" s="3" t="inlineStr">
        <is>
          <t>1</t>
        </is>
      </c>
      <c r="K354" s="3" t="inlineStr">
        <is>
          <t>-</t>
        </is>
      </c>
      <c r="L354" s="3" t="inlineStr">
        <is>
          <t>현재식품공장으로 사용중 .식품공장및 식품제조업으로 적극추천</t>
        </is>
      </c>
      <c r="M354" s="5">
        <f>HYPERLINK("https://fin.land.naver.com/articles/2649589126", "매물Link")</f>
        <v/>
      </c>
      <c r="N354" s="5">
        <f>HYPERLINK("https://map.naver.com/p/search/나성동 829", "지도Link")</f>
        <v/>
      </c>
      <c r="O354" s="5">
        <f>HYPERLINK("http://www.eum.go.kr/web/ar/lu/luLandDet.jsp?pnu=3611010700108290000&amp;isNoScr=script&amp;mode=search", "토지이음")</f>
        <v/>
      </c>
      <c r="P354" s="3" t="inlineStr">
        <is>
          <t>도원</t>
        </is>
      </c>
      <c r="Q354" s="3" t="n">
        <v>1</v>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987</v>
      </c>
      <c r="J355" s="3" t="inlineStr">
        <is>
          <t>2</t>
        </is>
      </c>
      <c r="K355" s="3" t="inlineStr">
        <is>
          <t>-</t>
        </is>
      </c>
      <c r="L355" s="3" t="inlineStr">
        <is>
          <t>화학업종가능 청주와 내수를 잇는 3순환도로 인근의 공장전력500kw</t>
        </is>
      </c>
      <c r="M355" s="5">
        <f>HYPERLINK("https://fin.land.naver.com/articles/2644663398", "매물Link")</f>
        <v/>
      </c>
      <c r="N355" s="5">
        <f>HYPERLINK("https://map.naver.com/p/search/나성동 829", "지도Link")</f>
        <v/>
      </c>
      <c r="O355" s="5">
        <f>HYPERLINK("http://www.eum.go.kr/web/ar/lu/luLandDet.jsp?pnu=3611010700108290000&amp;isNoScr=script&amp;mode=search", "토지이음")</f>
        <v/>
      </c>
      <c r="P355" s="3" t="inlineStr">
        <is>
          <t>더원</t>
        </is>
      </c>
      <c r="Q355" s="3" t="n">
        <v>1</v>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159</v>
      </c>
      <c r="J356" s="3" t="inlineStr">
        <is>
          <t>1</t>
        </is>
      </c>
      <c r="K356" s="3" t="inlineStr">
        <is>
          <t>-</t>
        </is>
      </c>
      <c r="L356" s="3" t="inlineStr">
        <is>
          <t>청주시내에서 10분. 증평 10분 소요됨 
나만의 독립된 건물</t>
        </is>
      </c>
      <c r="M356" s="5">
        <f>HYPERLINK("https://fin.land.naver.com/articles/2648891229", "매물Link")</f>
        <v/>
      </c>
      <c r="N356" s="5">
        <f>HYPERLINK("https://map.naver.com/p/search/나성동 829", "지도Link")</f>
        <v/>
      </c>
      <c r="O356" s="5">
        <f>HYPERLINK("http://www.eum.go.kr/web/ar/lu/luLandDet.jsp?pnu=3611010700108290000&amp;isNoScr=script&amp;mode=search", "토지이음")</f>
        <v/>
      </c>
      <c r="P356" s="3" t="inlineStr">
        <is>
          <t>도원</t>
        </is>
      </c>
      <c r="Q356" s="3" t="n">
        <v>1</v>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660</v>
      </c>
      <c r="J357" s="3" t="inlineStr">
        <is>
          <t>1</t>
        </is>
      </c>
      <c r="K357" s="3" t="inlineStr">
        <is>
          <t>-</t>
        </is>
      </c>
      <c r="L357" s="3" t="inlineStr">
        <is>
          <t>청주,층고낮은창고,임대</t>
        </is>
      </c>
      <c r="M357" s="5">
        <f>HYPERLINK("https://fin.land.naver.com/articles/2646051398", "매물Link")</f>
        <v/>
      </c>
      <c r="N357" s="5">
        <f>HYPERLINK("https://map.naver.com/p/search/나성동 829", "지도Link")</f>
        <v/>
      </c>
      <c r="O357" s="5">
        <f>HYPERLINK("http://www.eum.go.kr/web/ar/lu/luLandDet.jsp?pnu=3611010700108290000&amp;isNoScr=script&amp;mode=search", "토지이음")</f>
        <v/>
      </c>
      <c r="P357" s="3" t="inlineStr">
        <is>
          <t>LBA리치아노합동사무소</t>
        </is>
      </c>
      <c r="Q357" s="3" t="n">
        <v>1</v>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550</v>
      </c>
      <c r="J358" s="3" t="inlineStr">
        <is>
          <t>1</t>
        </is>
      </c>
      <c r="K358" s="3" t="inlineStr">
        <is>
          <t>-</t>
        </is>
      </c>
      <c r="L358" s="3" t="inlineStr">
        <is>
          <t>오창인근,공장및창고,별도천막동500㎡</t>
        </is>
      </c>
      <c r="M358" s="5">
        <f>HYPERLINK("https://fin.land.naver.com/articles/2646061391", "매물Link")</f>
        <v/>
      </c>
      <c r="N358" s="5">
        <f>HYPERLINK("https://map.naver.com/p/search/나성동 829", "지도Link")</f>
        <v/>
      </c>
      <c r="O358" s="5">
        <f>HYPERLINK("http://www.eum.go.kr/web/ar/lu/luLandDet.jsp?pnu=3611010700108290000&amp;isNoScr=script&amp;mode=search", "토지이음")</f>
        <v/>
      </c>
      <c r="P358" s="3" t="inlineStr">
        <is>
          <t>LBA리치아노합동사무소</t>
        </is>
      </c>
      <c r="Q358" s="3" t="n">
        <v>1</v>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384</v>
      </c>
      <c r="J359" s="3" t="inlineStr">
        <is>
          <t>1</t>
        </is>
      </c>
      <c r="K359" s="3" t="inlineStr">
        <is>
          <t>-</t>
        </is>
      </c>
      <c r="L359" s="3" t="inlineStr">
        <is>
          <t>학평리 풍정교차로인접 접근성좋음 소형공장 식품공장가능</t>
        </is>
      </c>
      <c r="M359" s="5">
        <f>HYPERLINK("https://fin.land.naver.com/articles/2646668607", "매물Link")</f>
        <v/>
      </c>
      <c r="N359" s="5">
        <f>HYPERLINK("https://map.naver.com/p/search/나성동 829", "지도Link")</f>
        <v/>
      </c>
      <c r="O359" s="5">
        <f>HYPERLINK("http://www.eum.go.kr/web/ar/lu/luLandDet.jsp?pnu=3611010700108290000&amp;isNoScr=script&amp;mode=search", "토지이음")</f>
        <v/>
      </c>
      <c r="P359" s="3" t="inlineStr">
        <is>
          <t>더원</t>
        </is>
      </c>
      <c r="Q359" s="3" t="n">
        <v>1</v>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196</v>
      </c>
      <c r="J360" s="3" t="inlineStr">
        <is>
          <t>1</t>
        </is>
      </c>
      <c r="K360" s="3" t="inlineStr">
        <is>
          <t>-</t>
        </is>
      </c>
      <c r="L360" s="3" t="inlineStr">
        <is>
          <t>청주 내수읍 묵방리 2종근생 건물 
매매 7억5,000만원</t>
        </is>
      </c>
      <c r="M360" s="5">
        <f>HYPERLINK("https://fin.land.naver.com/articles/2647066025", "매물Link")</f>
        <v/>
      </c>
      <c r="N360" s="5">
        <f>HYPERLINK("https://map.naver.com/p/search/나성동 829", "지도Link")</f>
        <v/>
      </c>
      <c r="O360" s="5">
        <f>HYPERLINK("http://www.eum.go.kr/web/ar/lu/luLandDet.jsp?pnu=3611010700108290000&amp;isNoScr=script&amp;mode=search", "토지이음")</f>
        <v/>
      </c>
      <c r="P360" s="3" t="inlineStr">
        <is>
          <t>가경</t>
        </is>
      </c>
      <c r="Q360" s="3" t="n">
        <v>1</v>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999</v>
      </c>
      <c r="J361" s="3" t="inlineStr">
        <is>
          <t>2</t>
        </is>
      </c>
      <c r="K361" s="3" t="inlineStr">
        <is>
          <t>-</t>
        </is>
      </c>
      <c r="L361" s="3" t="inlineStr">
        <is>
          <t>도원교차로 인근 .청주.증평 .오창 접근성이 좋음 .반도체업체 적극추천</t>
        </is>
      </c>
      <c r="M361" s="5">
        <f>HYPERLINK("https://fin.land.naver.com/articles/2647119328", "매물Link")</f>
        <v/>
      </c>
      <c r="N361" s="5">
        <f>HYPERLINK("https://map.naver.com/p/search/나성동 829", "지도Link")</f>
        <v/>
      </c>
      <c r="O361" s="5">
        <f>HYPERLINK("http://www.eum.go.kr/web/ar/lu/luLandDet.jsp?pnu=3611010700108290000&amp;isNoScr=script&amp;mode=search", "토지이음")</f>
        <v/>
      </c>
      <c r="P361" s="3" t="inlineStr">
        <is>
          <t>도원</t>
        </is>
      </c>
      <c r="Q361" s="3" t="n">
        <v>1</v>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464</v>
      </c>
      <c r="J362" s="3" t="inlineStr">
        <is>
          <t>1</t>
        </is>
      </c>
      <c r="K362" s="3" t="inlineStr">
        <is>
          <t>-</t>
        </is>
      </c>
      <c r="L362" s="3" t="inlineStr">
        <is>
          <t>내수읍 학평리 소재 제조업소 2종근린생활시설 2동중 1동입니다</t>
        </is>
      </c>
      <c r="M362" s="5">
        <f>HYPERLINK("https://fin.land.naver.com/articles/2647687136", "매물Link")</f>
        <v/>
      </c>
      <c r="N362" s="5">
        <f>HYPERLINK("https://map.naver.com/p/search/나성동 829", "지도Link")</f>
        <v/>
      </c>
      <c r="O362" s="5">
        <f>HYPERLINK("http://www.eum.go.kr/web/ar/lu/luLandDet.jsp?pnu=3611010700108290000&amp;isNoScr=script&amp;mode=search", "토지이음")</f>
        <v/>
      </c>
      <c r="P362" s="3" t="inlineStr">
        <is>
          <t>중앙</t>
        </is>
      </c>
      <c r="Q362" s="3" t="n">
        <v>1</v>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496</v>
      </c>
      <c r="J363" s="3" t="inlineStr">
        <is>
          <t>1</t>
        </is>
      </c>
      <c r="K363" s="3" t="inlineStr">
        <is>
          <t>-</t>
        </is>
      </c>
      <c r="L363" s="3" t="inlineStr">
        <is>
          <t>2종근생 제조 공장 마당넓고 2차선</t>
        </is>
      </c>
      <c r="M363" s="5">
        <f>HYPERLINK("https://fin.land.naver.com/articles/2647976477", "매물Link")</f>
        <v/>
      </c>
      <c r="N363" s="5">
        <f>HYPERLINK("https://map.naver.com/p/search/나성동 829", "지도Link")</f>
        <v/>
      </c>
      <c r="O363" s="5">
        <f>HYPERLINK("http://www.eum.go.kr/web/ar/lu/luLandDet.jsp?pnu=3611010700108290000&amp;isNoScr=script&amp;mode=search", "토지이음")</f>
        <v/>
      </c>
      <c r="P363" s="3" t="inlineStr">
        <is>
          <t>다음사무소</t>
        </is>
      </c>
      <c r="Q363" s="3" t="n">
        <v>1</v>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335</v>
      </c>
      <c r="J364" s="3" t="inlineStr">
        <is>
          <t>1</t>
        </is>
      </c>
      <c r="K364" s="3" t="inlineStr">
        <is>
          <t>-</t>
        </is>
      </c>
      <c r="L364" s="3" t="inlineStr">
        <is>
          <t>nan</t>
        </is>
      </c>
      <c r="M364" s="5">
        <f>HYPERLINK("https://fin.land.naver.com/articles/2648271499", "매물Link")</f>
        <v/>
      </c>
      <c r="N364" s="5">
        <f>HYPERLINK("https://map.naver.com/p/search/나성동 829", "지도Link")</f>
        <v/>
      </c>
      <c r="O364" s="5">
        <f>HYPERLINK("http://www.eum.go.kr/web/ar/lu/luLandDet.jsp?pnu=3611010700108290000&amp;isNoScr=script&amp;mode=search", "토지이음")</f>
        <v/>
      </c>
      <c r="P364" s="3" t="inlineStr">
        <is>
          <t>신영</t>
        </is>
      </c>
      <c r="Q364" s="3" t="n">
        <v>1</v>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738</v>
      </c>
      <c r="J365" s="3" t="inlineStr">
        <is>
          <t>1</t>
        </is>
      </c>
      <c r="K365" s="3" t="inlineStr">
        <is>
          <t>-</t>
        </is>
      </c>
      <c r="L365" s="3" t="inlineStr">
        <is>
          <t>신축마당넓어 야적장사용가능 호이스트2기 전력40kw 처마고10m현임대중</t>
        </is>
      </c>
      <c r="M365" s="5">
        <f>HYPERLINK("https://fin.land.naver.com/articles/2646668736", "매물Link")</f>
        <v/>
      </c>
      <c r="N365" s="5">
        <f>HYPERLINK("https://map.naver.com/p/search/나성동 829", "지도Link")</f>
        <v/>
      </c>
      <c r="O365" s="5">
        <f>HYPERLINK("http://www.eum.go.kr/web/ar/lu/luLandDet.jsp?pnu=3611010700108290000&amp;isNoScr=script&amp;mode=search", "토지이음")</f>
        <v/>
      </c>
      <c r="P365" s="3" t="inlineStr">
        <is>
          <t>더원</t>
        </is>
      </c>
      <c r="Q365" s="3" t="n">
        <v>1</v>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316</v>
      </c>
      <c r="J366" s="3" t="inlineStr">
        <is>
          <t>1</t>
        </is>
      </c>
      <c r="K366" s="3" t="inlineStr">
        <is>
          <t>-</t>
        </is>
      </c>
      <c r="L366" s="3" t="inlineStr">
        <is>
          <t>신축 단독공장임대 2차선도로제조업소 및 창고식품공장협의 오폐수직관</t>
        </is>
      </c>
      <c r="M366" s="5">
        <f>HYPERLINK("https://fin.land.naver.com/articles/2646668987", "매물Link")</f>
        <v/>
      </c>
      <c r="N366" s="5">
        <f>HYPERLINK("https://map.naver.com/p/search/나성동 829", "지도Link")</f>
        <v/>
      </c>
      <c r="O366" s="5">
        <f>HYPERLINK("http://www.eum.go.kr/web/ar/lu/luLandDet.jsp?pnu=3611010700108290000&amp;isNoScr=script&amp;mode=search", "토지이음")</f>
        <v/>
      </c>
      <c r="P366" s="3" t="inlineStr">
        <is>
          <t>더원</t>
        </is>
      </c>
      <c r="Q366" s="3" t="n">
        <v>1</v>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330</v>
      </c>
      <c r="J367" s="3" t="inlineStr">
        <is>
          <t>1</t>
        </is>
      </c>
      <c r="K367" s="3" t="inlineStr">
        <is>
          <t>-</t>
        </is>
      </c>
      <c r="L367" s="3" t="inlineStr">
        <is>
          <t>창고</t>
        </is>
      </c>
      <c r="M367" s="5">
        <f>HYPERLINK("https://fin.land.naver.com/articles/2646698349", "매물Link")</f>
        <v/>
      </c>
      <c r="N367" s="5">
        <f>HYPERLINK("https://map.naver.com/p/search/나성동 829", "지도Link")</f>
        <v/>
      </c>
      <c r="O367" s="5">
        <f>HYPERLINK("http://www.eum.go.kr/web/ar/lu/luLandDet.jsp?pnu=3611010700108290000&amp;isNoScr=script&amp;mode=search", "토지이음")</f>
        <v/>
      </c>
      <c r="P367" s="3" t="inlineStr">
        <is>
          <t>LBA리치아노합동사무소</t>
        </is>
      </c>
      <c r="Q367" s="3" t="n">
        <v>1</v>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658</v>
      </c>
      <c r="J368" s="3" t="inlineStr">
        <is>
          <t>1</t>
        </is>
      </c>
      <c r="K368" s="3" t="inlineStr">
        <is>
          <t>-</t>
        </is>
      </c>
      <c r="L368" s="3" t="inlineStr">
        <is>
          <t>2차선도로변 대형차 진출입원활 전력 170kw</t>
        </is>
      </c>
      <c r="M368" s="5">
        <f>HYPERLINK("https://fin.land.naver.com/articles/2646991351", "매물Link")</f>
        <v/>
      </c>
      <c r="N368" s="5">
        <f>HYPERLINK("https://map.naver.com/p/search/나성동 829", "지도Link")</f>
        <v/>
      </c>
      <c r="O368" s="5">
        <f>HYPERLINK("http://www.eum.go.kr/web/ar/lu/luLandDet.jsp?pnu=3611010700108290000&amp;isNoScr=script&amp;mode=search", "토지이음")</f>
        <v/>
      </c>
      <c r="P368" s="3" t="inlineStr">
        <is>
          <t>더원</t>
        </is>
      </c>
      <c r="Q368" s="3" t="n">
        <v>1</v>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993</v>
      </c>
      <c r="J369" s="3" t="inlineStr">
        <is>
          <t>1</t>
        </is>
      </c>
      <c r="K369" s="3" t="inlineStr">
        <is>
          <t>-</t>
        </is>
      </c>
      <c r="L369" s="3" t="inlineStr">
        <is>
          <t>내수,창고</t>
        </is>
      </c>
      <c r="M369" s="5">
        <f>HYPERLINK("https://fin.land.naver.com/articles/2649532587", "매물Link")</f>
        <v/>
      </c>
      <c r="N369" s="5">
        <f>HYPERLINK("https://map.naver.com/p/search/나성동 829", "지도Link")</f>
        <v/>
      </c>
      <c r="O369" s="5">
        <f>HYPERLINK("http://www.eum.go.kr/web/ar/lu/luLandDet.jsp?pnu=3611010700108290000&amp;isNoScr=script&amp;mode=search", "토지이음")</f>
        <v/>
      </c>
      <c r="P369" s="3" t="inlineStr">
        <is>
          <t>LBA리치아노합동사무소</t>
        </is>
      </c>
      <c r="Q369" s="3" t="n">
        <v>1</v>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130</v>
      </c>
      <c r="J370" s="3" t="inlineStr">
        <is>
          <t>1</t>
        </is>
      </c>
      <c r="K370" s="3" t="inlineStr">
        <is>
          <t>-</t>
        </is>
      </c>
      <c r="L370" s="3" t="inlineStr">
        <is>
          <t>내수,창고,임대</t>
        </is>
      </c>
      <c r="M370" s="5">
        <f>HYPERLINK("https://fin.land.naver.com/articles/2649534345", "매물Link")</f>
        <v/>
      </c>
      <c r="N370" s="5">
        <f>HYPERLINK("https://map.naver.com/p/search/나성동 829", "지도Link")</f>
        <v/>
      </c>
      <c r="O370" s="5">
        <f>HYPERLINK("http://www.eum.go.kr/web/ar/lu/luLandDet.jsp?pnu=3611010700108290000&amp;isNoScr=script&amp;mode=search", "토지이음")</f>
        <v/>
      </c>
      <c r="P370" s="3" t="inlineStr">
        <is>
          <t>LBA리치아노합동사무소</t>
        </is>
      </c>
      <c r="Q370" s="3" t="n">
        <v>1</v>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104</v>
      </c>
      <c r="J371" s="3" t="inlineStr">
        <is>
          <t>1</t>
        </is>
      </c>
      <c r="K371" s="3" t="inlineStr">
        <is>
          <t>-</t>
        </is>
      </c>
      <c r="L371" s="3" t="inlineStr">
        <is>
          <t>3순환로인근,창고및사무실,2층</t>
        </is>
      </c>
      <c r="M371" s="5">
        <f>HYPERLINK("https://fin.land.naver.com/articles/2649536716", "매물Link")</f>
        <v/>
      </c>
      <c r="N371" s="5">
        <f>HYPERLINK("https://map.naver.com/p/search/나성동 829", "지도Link")</f>
        <v/>
      </c>
      <c r="O371" s="5">
        <f>HYPERLINK("http://www.eum.go.kr/web/ar/lu/luLandDet.jsp?pnu=3611010700108290000&amp;isNoScr=script&amp;mode=search", "토지이음")</f>
        <v/>
      </c>
      <c r="P371" s="3" t="inlineStr">
        <is>
          <t>LBA리치아노합동사무소</t>
        </is>
      </c>
      <c r="Q371" s="3" t="n">
        <v>1</v>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97</v>
      </c>
      <c r="J372" s="3" t="inlineStr">
        <is>
          <t>1</t>
        </is>
      </c>
      <c r="K372" s="3" t="inlineStr">
        <is>
          <t>-</t>
        </is>
      </c>
      <c r="L372" s="3" t="inlineStr">
        <is>
          <t>소형창고,3순환로인근,마당넓음,신축</t>
        </is>
      </c>
      <c r="M372" s="5">
        <f>HYPERLINK("https://fin.land.naver.com/articles/2649537342", "매물Link")</f>
        <v/>
      </c>
      <c r="N372" s="5">
        <f>HYPERLINK("https://map.naver.com/p/search/나성동 829", "지도Link")</f>
        <v/>
      </c>
      <c r="O372" s="5">
        <f>HYPERLINK("http://www.eum.go.kr/web/ar/lu/luLandDet.jsp?pnu=3611010700108290000&amp;isNoScr=script&amp;mode=search", "토지이음")</f>
        <v/>
      </c>
      <c r="P372" s="3" t="inlineStr">
        <is>
          <t>LBA리치아노합동사무소</t>
        </is>
      </c>
      <c r="Q372" s="3" t="n">
        <v>1</v>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384</v>
      </c>
      <c r="J373" s="3" t="inlineStr">
        <is>
          <t>1</t>
        </is>
      </c>
      <c r="K373" s="3" t="inlineStr">
        <is>
          <t>-</t>
        </is>
      </c>
      <c r="L373" s="3" t="inlineStr">
        <is>
          <t>내수 소형식품공장가능 상수도 오폐수직관 입주협의가능</t>
        </is>
      </c>
      <c r="M373" s="5">
        <f>HYPERLINK("https://fin.land.naver.com/articles/2649657650", "매물Link")</f>
        <v/>
      </c>
      <c r="N373" s="5">
        <f>HYPERLINK("https://map.naver.com/p/search/나성동 829", "지도Link")</f>
        <v/>
      </c>
      <c r="O373" s="5">
        <f>HYPERLINK("http://www.eum.go.kr/web/ar/lu/luLandDet.jsp?pnu=3611010700108290000&amp;isNoScr=script&amp;mode=search", "토지이음")</f>
        <v/>
      </c>
      <c r="P373" s="3" t="inlineStr">
        <is>
          <t>더원</t>
        </is>
      </c>
      <c r="Q373" s="3" t="n">
        <v>1</v>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192</v>
      </c>
      <c r="J374" s="3" t="inlineStr">
        <is>
          <t>1</t>
        </is>
      </c>
      <c r="K374" s="3" t="inlineStr">
        <is>
          <t>-</t>
        </is>
      </c>
      <c r="L374" s="3" t="inlineStr">
        <is>
          <t>소형 식품공장 가능 상수도 오폐수직관 공장등록가능</t>
        </is>
      </c>
      <c r="M374" s="5">
        <f>HYPERLINK("https://fin.land.naver.com/articles/2649661360", "매물Link")</f>
        <v/>
      </c>
      <c r="N374" s="5">
        <f>HYPERLINK("https://map.naver.com/p/search/나성동 829", "지도Link")</f>
        <v/>
      </c>
      <c r="O374" s="5">
        <f>HYPERLINK("http://www.eum.go.kr/web/ar/lu/luLandDet.jsp?pnu=3611010700108290000&amp;isNoScr=script&amp;mode=search", "토지이음")</f>
        <v/>
      </c>
      <c r="P374" s="3" t="inlineStr">
        <is>
          <t>더원</t>
        </is>
      </c>
      <c r="Q374" s="3" t="n">
        <v>1</v>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623</v>
      </c>
      <c r="J375" s="3" t="inlineStr">
        <is>
          <t>1</t>
        </is>
      </c>
      <c r="K375" s="3" t="inlineStr">
        <is>
          <t>-</t>
        </is>
      </c>
      <c r="L375" s="3" t="inlineStr">
        <is>
          <t>3순환로 수반교차로5분 청주전지역 이동편리 소형 사옥형 공장</t>
        </is>
      </c>
      <c r="M375" s="5">
        <f>HYPERLINK("https://fin.land.naver.com/articles/2649672398", "매물Link")</f>
        <v/>
      </c>
      <c r="N375" s="5">
        <f>HYPERLINK("https://map.naver.com/p/search/나성동 829", "지도Link")</f>
        <v/>
      </c>
      <c r="O375" s="5">
        <f>HYPERLINK("http://www.eum.go.kr/web/ar/lu/luLandDet.jsp?pnu=3611010700108290000&amp;isNoScr=script&amp;mode=search", "토지이음")</f>
        <v/>
      </c>
      <c r="P375" s="3" t="inlineStr">
        <is>
          <t>더원</t>
        </is>
      </c>
      <c r="Q375" s="3" t="n">
        <v>1</v>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623</v>
      </c>
      <c r="J376" s="3" t="inlineStr">
        <is>
          <t>1</t>
        </is>
      </c>
      <c r="K376" s="3" t="inlineStr">
        <is>
          <t>-</t>
        </is>
      </c>
      <c r="L376" s="3" t="inlineStr">
        <is>
          <t>청주도심 10분이내 대형차 진출입가능 단독 공장 임대</t>
        </is>
      </c>
      <c r="M376" s="5">
        <f>HYPERLINK("https://fin.land.naver.com/articles/2649676909", "매물Link")</f>
        <v/>
      </c>
      <c r="N376" s="5">
        <f>HYPERLINK("https://map.naver.com/p/search/나성동 829", "지도Link")</f>
        <v/>
      </c>
      <c r="O376" s="5">
        <f>HYPERLINK("http://www.eum.go.kr/web/ar/lu/luLandDet.jsp?pnu=3611010700108290000&amp;isNoScr=script&amp;mode=search", "토지이음")</f>
        <v/>
      </c>
      <c r="P376" s="3" t="inlineStr">
        <is>
          <t>더원</t>
        </is>
      </c>
      <c r="Q376" s="3" t="n">
        <v>1</v>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464</v>
      </c>
      <c r="J377" s="3" t="inlineStr">
        <is>
          <t>1</t>
        </is>
      </c>
      <c r="K377" s="3" t="inlineStr">
        <is>
          <t>-</t>
        </is>
      </c>
      <c r="L377" s="3" t="inlineStr">
        <is>
          <t>내수교차로 ,풍정교차로 접근성 좋은 위치의 소형공장 식품공장가능</t>
        </is>
      </c>
      <c r="M377" s="5">
        <f>HYPERLINK("https://fin.land.naver.com/articles/2649678492", "매물Link")</f>
        <v/>
      </c>
      <c r="N377" s="5">
        <f>HYPERLINK("https://map.naver.com/p/search/나성동 829", "지도Link")</f>
        <v/>
      </c>
      <c r="O377" s="5">
        <f>HYPERLINK("http://www.eum.go.kr/web/ar/lu/luLandDet.jsp?pnu=3611010700108290000&amp;isNoScr=script&amp;mode=search", "토지이음")</f>
        <v/>
      </c>
      <c r="P377" s="3" t="inlineStr">
        <is>
          <t>더원</t>
        </is>
      </c>
      <c r="Q377" s="3" t="n">
        <v>1</v>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380</v>
      </c>
      <c r="J378" s="3" t="inlineStr">
        <is>
          <t>1</t>
        </is>
      </c>
      <c r="K378" s="3" t="inlineStr">
        <is>
          <t>-</t>
        </is>
      </c>
      <c r="L378" s="3" t="inlineStr">
        <is>
          <t>학평리 소형공장 식품공장가능 2종근린생활 제조업 입주협의</t>
        </is>
      </c>
      <c r="M378" s="5">
        <f>HYPERLINK("https://fin.land.naver.com/articles/2648230835", "매물Link")</f>
        <v/>
      </c>
      <c r="N378" s="5">
        <f>HYPERLINK("https://map.naver.com/p/search/나성동 829", "지도Link")</f>
        <v/>
      </c>
      <c r="O378" s="5">
        <f>HYPERLINK("http://www.eum.go.kr/web/ar/lu/luLandDet.jsp?pnu=3611010700108290000&amp;isNoScr=script&amp;mode=search", "토지이음")</f>
        <v/>
      </c>
      <c r="P378" s="3" t="inlineStr">
        <is>
          <t>더원</t>
        </is>
      </c>
      <c r="Q378" s="3" t="n">
        <v>1</v>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942</v>
      </c>
      <c r="J379" s="3" t="inlineStr">
        <is>
          <t>1</t>
        </is>
      </c>
      <c r="K379" s="3" t="inlineStr">
        <is>
          <t>-</t>
        </is>
      </c>
      <c r="L379" s="3" t="inlineStr">
        <is>
          <t>청주 외곽 3순환로 인근 외평동 공장 매매(가격조정가능)</t>
        </is>
      </c>
      <c r="M379" s="5">
        <f>HYPERLINK("https://fin.land.naver.com/articles/2647122351", "매물Link")</f>
        <v/>
      </c>
      <c r="N379" s="5">
        <f>HYPERLINK("https://map.naver.com/p/search/나성동 829", "지도Link")</f>
        <v/>
      </c>
      <c r="O379" s="5">
        <f>HYPERLINK("http://www.eum.go.kr/web/ar/lu/luLandDet.jsp?pnu=3611010700108290000&amp;isNoScr=script&amp;mode=search", "토지이음")</f>
        <v/>
      </c>
      <c r="P379" s="3" t="inlineStr">
        <is>
          <t>삼성사무소</t>
        </is>
      </c>
      <c r="Q379" s="3" t="n">
        <v>1</v>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654</v>
      </c>
      <c r="J380" s="3" t="inlineStr">
        <is>
          <t>1</t>
        </is>
      </c>
      <c r="K380" s="3" t="inlineStr">
        <is>
          <t>-</t>
        </is>
      </c>
      <c r="L380" s="3" t="inlineStr">
        <is>
          <t>초급매 청주3순환로 인접 신축급 공장 접근성 좋은 위치</t>
        </is>
      </c>
      <c r="M380" s="5">
        <f>HYPERLINK("https://fin.land.naver.com/articles/2646667941", "매물Link")</f>
        <v/>
      </c>
      <c r="N380" s="5">
        <f>HYPERLINK("https://map.naver.com/p/search/나성동 829", "지도Link")</f>
        <v/>
      </c>
      <c r="O380" s="5">
        <f>HYPERLINK("http://www.eum.go.kr/web/ar/lu/luLandDet.jsp?pnu=3611010700108290000&amp;isNoScr=script&amp;mode=search", "토지이음")</f>
        <v/>
      </c>
      <c r="P380" s="3" t="inlineStr">
        <is>
          <t>더원</t>
        </is>
      </c>
      <c r="Q380" s="3" t="n">
        <v>1</v>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722</v>
      </c>
      <c r="J381" s="3" t="inlineStr">
        <is>
          <t>1</t>
        </is>
      </c>
      <c r="K381" s="3" t="inlineStr">
        <is>
          <t>-</t>
        </is>
      </c>
      <c r="L381" s="3" t="inlineStr">
        <is>
          <t>2차선접.공장2동.접근성교통좋고 주변가까이에산업단지등</t>
        </is>
      </c>
      <c r="M381" s="5">
        <f>HYPERLINK("https://fin.land.naver.com/articles/2649900711", "매물Link")</f>
        <v/>
      </c>
      <c r="N381" s="5">
        <f>HYPERLINK("https://map.naver.com/p/search/나성동 829", "지도Link")</f>
        <v/>
      </c>
      <c r="O381" s="5">
        <f>HYPERLINK("http://www.eum.go.kr/web/ar/lu/luLandDet.jsp?pnu=3611010700108290000&amp;isNoScr=script&amp;mode=search", "토지이음")</f>
        <v/>
      </c>
      <c r="P381" s="3" t="inlineStr">
        <is>
          <t>정세영</t>
        </is>
      </c>
      <c r="Q381" s="3" t="n">
        <v>1</v>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304</v>
      </c>
      <c r="J382" s="3" t="inlineStr">
        <is>
          <t>1</t>
        </is>
      </c>
      <c r="K382" s="3" t="inlineStr">
        <is>
          <t>-</t>
        </is>
      </c>
      <c r="L382" s="3" t="inlineStr">
        <is>
          <t>3순환로인근,창고,임대</t>
        </is>
      </c>
      <c r="M382" s="5">
        <f>HYPERLINK("https://fin.land.naver.com/articles/2648885159", "매물Link")</f>
        <v/>
      </c>
      <c r="N382" s="5">
        <f>HYPERLINK("https://map.naver.com/p/search/나성동 829", "지도Link")</f>
        <v/>
      </c>
      <c r="O382" s="5">
        <f>HYPERLINK("http://www.eum.go.kr/web/ar/lu/luLandDet.jsp?pnu=3611010700108290000&amp;isNoScr=script&amp;mode=search", "토지이음")</f>
        <v/>
      </c>
      <c r="P382" s="3" t="inlineStr">
        <is>
          <t>LBA리치아노합동사무소</t>
        </is>
      </c>
      <c r="Q382" s="3" t="n">
        <v>1</v>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280</v>
      </c>
      <c r="J383" s="3" t="inlineStr">
        <is>
          <t>1</t>
        </is>
      </c>
      <c r="K383" s="3" t="inlineStr">
        <is>
          <t>-</t>
        </is>
      </c>
      <c r="L383" s="3" t="inlineStr">
        <is>
          <t>내수,공장및창고</t>
        </is>
      </c>
      <c r="M383" s="5">
        <f>HYPERLINK("https://fin.land.naver.com/articles/2646763572", "매물Link")</f>
        <v/>
      </c>
      <c r="N383" s="5">
        <f>HYPERLINK("https://map.naver.com/p/search/나성동 829", "지도Link")</f>
        <v/>
      </c>
      <c r="O383" s="5">
        <f>HYPERLINK("http://www.eum.go.kr/web/ar/lu/luLandDet.jsp?pnu=3611010700108290000&amp;isNoScr=script&amp;mode=search", "토지이음")</f>
        <v/>
      </c>
      <c r="P383" s="3" t="inlineStr">
        <is>
          <t>LBA리치아노합동사무소</t>
        </is>
      </c>
      <c r="Q383" s="3" t="n">
        <v>1</v>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267</v>
      </c>
      <c r="J384" s="3" t="inlineStr">
        <is>
          <t>1</t>
        </is>
      </c>
      <c r="K384" s="3" t="inlineStr">
        <is>
          <t>-</t>
        </is>
      </c>
      <c r="L384" s="3" t="inlineStr">
        <is>
          <t>1층창고,2층사무실,단독</t>
        </is>
      </c>
      <c r="M384" s="5">
        <f>HYPERLINK("https://fin.land.naver.com/articles/2646776473", "매물Link")</f>
        <v/>
      </c>
      <c r="N384" s="5">
        <f>HYPERLINK("https://map.naver.com/p/search/나성동 829", "지도Link")</f>
        <v/>
      </c>
      <c r="O384" s="5">
        <f>HYPERLINK("http://www.eum.go.kr/web/ar/lu/luLandDet.jsp?pnu=3611010700108290000&amp;isNoScr=script&amp;mode=search", "토지이음")</f>
        <v/>
      </c>
      <c r="P384" s="3" t="inlineStr">
        <is>
          <t>LBA리치아노합동사무소</t>
        </is>
      </c>
      <c r="Q384" s="3" t="n">
        <v>1</v>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267</v>
      </c>
      <c r="J385" s="3" t="inlineStr">
        <is>
          <t>1</t>
        </is>
      </c>
      <c r="K385" s="3" t="inlineStr">
        <is>
          <t>-</t>
        </is>
      </c>
      <c r="L385" s="3" t="inlineStr">
        <is>
          <t>청주,1층창고,2층사무실</t>
        </is>
      </c>
      <c r="M385" s="5">
        <f>HYPERLINK("https://fin.land.naver.com/articles/2646779840", "매물Link")</f>
        <v/>
      </c>
      <c r="N385" s="5">
        <f>HYPERLINK("https://map.naver.com/p/search/나성동 829", "지도Link")</f>
        <v/>
      </c>
      <c r="O385" s="5">
        <f>HYPERLINK("http://www.eum.go.kr/web/ar/lu/luLandDet.jsp?pnu=3611010700108290000&amp;isNoScr=script&amp;mode=search", "토지이음")</f>
        <v/>
      </c>
      <c r="P385" s="3" t="inlineStr">
        <is>
          <t>LBA리치아노합동사무소</t>
        </is>
      </c>
      <c r="Q385" s="3" t="n">
        <v>1</v>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495</v>
      </c>
      <c r="J386" s="3" t="inlineStr">
        <is>
          <t>1</t>
        </is>
      </c>
      <c r="K386" s="3" t="inlineStr">
        <is>
          <t>-</t>
        </is>
      </c>
      <c r="L386" s="3" t="inlineStr">
        <is>
          <t>호이스트3톤2기 마당야적가능 현,철강공장 공실 바로입주</t>
        </is>
      </c>
      <c r="M386" s="5">
        <f>HYPERLINK("https://fin.land.naver.com/articles/2647014189", "매물Link")</f>
        <v/>
      </c>
      <c r="N386" s="5">
        <f>HYPERLINK("https://map.naver.com/p/search/나성동 829", "지도Link")</f>
        <v/>
      </c>
      <c r="O386" s="5">
        <f>HYPERLINK("http://www.eum.go.kr/web/ar/lu/luLandDet.jsp?pnu=3611010700108290000&amp;isNoScr=script&amp;mode=search", "토지이음")</f>
        <v/>
      </c>
      <c r="P386" s="3" t="inlineStr">
        <is>
          <t>공장365</t>
        </is>
      </c>
      <c r="Q386" s="3" t="n">
        <v>1</v>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1068</v>
      </c>
      <c r="J387" s="3" t="inlineStr">
        <is>
          <t>2</t>
        </is>
      </c>
      <c r="K387" s="3" t="inlineStr">
        <is>
          <t>-</t>
        </is>
      </c>
      <c r="L387" s="3" t="inlineStr">
        <is>
          <t>2층형 반도체 제조 공장, 시설 최상급</t>
        </is>
      </c>
      <c r="M387" s="5">
        <f>HYPERLINK("https://fin.land.naver.com/articles/2647577821", "매물Link")</f>
        <v/>
      </c>
      <c r="N387" s="5">
        <f>HYPERLINK("https://map.naver.com/p/search/나성동 829", "지도Link")</f>
        <v/>
      </c>
      <c r="O387" s="5">
        <f>HYPERLINK("http://www.eum.go.kr/web/ar/lu/luLandDet.jsp?pnu=3611010700108290000&amp;isNoScr=script&amp;mode=search", "토지이음")</f>
        <v/>
      </c>
      <c r="P387" s="3" t="inlineStr">
        <is>
          <t>태경합동</t>
        </is>
      </c>
      <c r="Q387" s="3" t="n">
        <v>1</v>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196</v>
      </c>
      <c r="J388" s="3" t="inlineStr">
        <is>
          <t>1</t>
        </is>
      </c>
      <c r="K388" s="3" t="inlineStr">
        <is>
          <t>-</t>
        </is>
      </c>
      <c r="L388" s="3" t="inlineStr">
        <is>
          <t>신축  마당넓은 공장, 진출입 용이함,</t>
        </is>
      </c>
      <c r="M388" s="5">
        <f>HYPERLINK("https://fin.land.naver.com/articles/2646126202", "매물Link")</f>
        <v/>
      </c>
      <c r="N388" s="5">
        <f>HYPERLINK("https://map.naver.com/p/search/나성동 829", "지도Link")</f>
        <v/>
      </c>
      <c r="O388" s="5">
        <f>HYPERLINK("http://www.eum.go.kr/web/ar/lu/luLandDet.jsp?pnu=3611010700108290000&amp;isNoScr=script&amp;mode=search", "토지이음")</f>
        <v/>
      </c>
      <c r="P388" s="3" t="inlineStr">
        <is>
          <t>용암</t>
        </is>
      </c>
      <c r="Q388" s="3" t="n">
        <v>1</v>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198</v>
      </c>
      <c r="J389" s="3" t="inlineStr">
        <is>
          <t>1</t>
        </is>
      </c>
      <c r="K389" s="3" t="inlineStr">
        <is>
          <t>-</t>
        </is>
      </c>
      <c r="L389" s="3" t="inlineStr">
        <is>
          <t>충청대로 4차선대로 광고효과 좋고 차량 진입좋은 소형공장매매</t>
        </is>
      </c>
      <c r="M389" s="5">
        <f>HYPERLINK("https://fin.land.naver.com/articles/2648089825", "매물Link")</f>
        <v/>
      </c>
      <c r="N389" s="5">
        <f>HYPERLINK("https://map.naver.com/p/search/나성동 829", "지도Link")</f>
        <v/>
      </c>
      <c r="O389" s="5">
        <f>HYPERLINK("http://www.eum.go.kr/web/ar/lu/luLandDet.jsp?pnu=3611010700108290000&amp;isNoScr=script&amp;mode=search", "토지이음")</f>
        <v/>
      </c>
      <c r="P389" s="3" t="inlineStr">
        <is>
          <t>더원</t>
        </is>
      </c>
      <c r="Q389" s="3" t="n">
        <v>1</v>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384</v>
      </c>
      <c r="J390" s="3" t="inlineStr">
        <is>
          <t>1</t>
        </is>
      </c>
      <c r="K390" s="3" t="inlineStr">
        <is>
          <t>-</t>
        </is>
      </c>
      <c r="L390" s="3" t="inlineStr">
        <is>
          <t>학평리 풍정교차로인접  소형공장 식품공장가능 2종근린생활 제조업</t>
        </is>
      </c>
      <c r="M390" s="5">
        <f>HYPERLINK("https://fin.land.naver.com/articles/2648089830", "매물Link")</f>
        <v/>
      </c>
      <c r="N390" s="5">
        <f>HYPERLINK("https://map.naver.com/p/search/나성동 829", "지도Link")</f>
        <v/>
      </c>
      <c r="O390" s="5">
        <f>HYPERLINK("http://www.eum.go.kr/web/ar/lu/luLandDet.jsp?pnu=3611010700108290000&amp;isNoScr=script&amp;mode=search", "토지이음")</f>
        <v/>
      </c>
      <c r="P390" s="3" t="inlineStr">
        <is>
          <t>더원</t>
        </is>
      </c>
      <c r="Q390" s="3" t="n">
        <v>1</v>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380</v>
      </c>
      <c r="J391" s="3" t="inlineStr">
        <is>
          <t>1</t>
        </is>
      </c>
      <c r="K391" s="3" t="inlineStr">
        <is>
          <t>-</t>
        </is>
      </c>
      <c r="L391" s="3" t="inlineStr">
        <is>
          <t>학평리 소형공장 식품공장가능 2종근린생활 제조업</t>
        </is>
      </c>
      <c r="M391" s="5">
        <f>HYPERLINK("https://fin.land.naver.com/articles/2648089862", "매물Link")</f>
        <v/>
      </c>
      <c r="N391" s="5">
        <f>HYPERLINK("https://map.naver.com/p/search/나성동 829", "지도Link")</f>
        <v/>
      </c>
      <c r="O391" s="5">
        <f>HYPERLINK("http://www.eum.go.kr/web/ar/lu/luLandDet.jsp?pnu=3611010700108290000&amp;isNoScr=script&amp;mode=search", "토지이음")</f>
        <v/>
      </c>
      <c r="P391" s="3" t="inlineStr">
        <is>
          <t>더원</t>
        </is>
      </c>
      <c r="Q391" s="3" t="n">
        <v>1</v>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1693</v>
      </c>
      <c r="J392" s="3" t="inlineStr">
        <is>
          <t>1</t>
        </is>
      </c>
      <c r="K392" s="3" t="inlineStr">
        <is>
          <t>-</t>
        </is>
      </c>
      <c r="L392" s="3" t="inlineStr">
        <is>
          <t>청주,창고,단독</t>
        </is>
      </c>
      <c r="M392" s="5">
        <f>HYPERLINK("https://fin.land.naver.com/articles/2648118172", "매물Link")</f>
        <v/>
      </c>
      <c r="N392" s="5">
        <f>HYPERLINK("https://map.naver.com/p/search/나성동 829", "지도Link")</f>
        <v/>
      </c>
      <c r="O392" s="5">
        <f>HYPERLINK("http://www.eum.go.kr/web/ar/lu/luLandDet.jsp?pnu=3611010700108290000&amp;isNoScr=script&amp;mode=search", "토지이음")</f>
        <v/>
      </c>
      <c r="P392" s="3" t="inlineStr">
        <is>
          <t>LBA리치아노합동사무소</t>
        </is>
      </c>
      <c r="Q392" s="3" t="n">
        <v>1</v>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192</v>
      </c>
      <c r="J393" s="3" t="inlineStr">
        <is>
          <t>1</t>
        </is>
      </c>
      <c r="K393" s="3" t="inlineStr">
        <is>
          <t>-</t>
        </is>
      </c>
      <c r="L393" s="3" t="inlineStr">
        <is>
          <t>청주,식품공장가능,제조업소및창고</t>
        </is>
      </c>
      <c r="M393" s="5">
        <f>HYPERLINK("https://fin.land.naver.com/articles/2648127111", "매물Link")</f>
        <v/>
      </c>
      <c r="N393" s="5">
        <f>HYPERLINK("https://map.naver.com/p/search/나성동 829", "지도Link")</f>
        <v/>
      </c>
      <c r="O393" s="5">
        <f>HYPERLINK("http://www.eum.go.kr/web/ar/lu/luLandDet.jsp?pnu=3611010700108290000&amp;isNoScr=script&amp;mode=search", "토지이음")</f>
        <v/>
      </c>
      <c r="P393" s="3" t="inlineStr">
        <is>
          <t>LBA리치아노합동사무소</t>
        </is>
      </c>
      <c r="Q393" s="3" t="n">
        <v>2</v>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304</v>
      </c>
      <c r="J394" s="3" t="inlineStr">
        <is>
          <t>1</t>
        </is>
      </c>
      <c r="K394" s="3" t="inlineStr">
        <is>
          <t>-</t>
        </is>
      </c>
      <c r="L394" s="3" t="inlineStr">
        <is>
          <t>SK하이닉스인근,창고,임대</t>
        </is>
      </c>
      <c r="M394" s="5">
        <f>HYPERLINK("https://fin.land.naver.com/articles/2648881362", "매물Link")</f>
        <v/>
      </c>
      <c r="N394" s="5">
        <f>HYPERLINK("https://map.naver.com/p/search/나성동 829", "지도Link")</f>
        <v/>
      </c>
      <c r="O394" s="5">
        <f>HYPERLINK("http://www.eum.go.kr/web/ar/lu/luLandDet.jsp?pnu=3611010700108290000&amp;isNoScr=script&amp;mode=search", "토지이음")</f>
        <v/>
      </c>
      <c r="P394" s="3" t="inlineStr">
        <is>
          <t>LBA리치아노합동사무소</t>
        </is>
      </c>
      <c r="Q394" s="3" t="n">
        <v>1</v>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2542</v>
      </c>
      <c r="J395" s="3" t="inlineStr">
        <is>
          <t>1</t>
        </is>
      </c>
      <c r="K395" s="3" t="inlineStr">
        <is>
          <t>-</t>
        </is>
      </c>
      <c r="L395" s="3" t="inlineStr">
        <is>
          <t>오송생명과학단지 7분거리 2차선도로접 대형 트레일러 진출입 가능</t>
        </is>
      </c>
      <c r="M395" s="5">
        <f>HYPERLINK("https://fin.land.naver.com/articles/2644022608", "매물Link")</f>
        <v/>
      </c>
      <c r="N395" s="5">
        <f>HYPERLINK("https://map.naver.com/p/search/나성동 829", "지도Link")</f>
        <v/>
      </c>
      <c r="O395" s="5">
        <f>HYPERLINK("http://www.eum.go.kr/web/ar/lu/luLandDet.jsp?pnu=3611010700108290000&amp;isNoScr=script&amp;mode=search", "토지이음")</f>
        <v/>
      </c>
      <c r="P395" s="3" t="inlineStr">
        <is>
          <t>더원</t>
        </is>
      </c>
      <c r="Q395" s="3" t="n">
        <v>1</v>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519</v>
      </c>
      <c r="J396" s="3" t="inlineStr">
        <is>
          <t>1</t>
        </is>
      </c>
      <c r="K396" s="3" t="inlineStr">
        <is>
          <t>-</t>
        </is>
      </c>
      <c r="L396" s="3" t="inlineStr">
        <is>
          <t>청주ic 접근성 좋고 2차선도로접 대형차 진출입가능</t>
        </is>
      </c>
      <c r="M396" s="5">
        <f>HYPERLINK("https://fin.land.naver.com/articles/2646022149", "매물Link")</f>
        <v/>
      </c>
      <c r="N396" s="5">
        <f>HYPERLINK("https://map.naver.com/p/search/나성동 829", "지도Link")</f>
        <v/>
      </c>
      <c r="O396" s="5">
        <f>HYPERLINK("http://www.eum.go.kr/web/ar/lu/luLandDet.jsp?pnu=3611010700108290000&amp;isNoScr=script&amp;mode=search", "토지이음")</f>
        <v/>
      </c>
      <c r="P396" s="3" t="inlineStr">
        <is>
          <t>더원</t>
        </is>
      </c>
      <c r="Q396" s="3" t="n">
        <v>1</v>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492</v>
      </c>
      <c r="J397" s="3" t="inlineStr">
        <is>
          <t>1</t>
        </is>
      </c>
      <c r="K397" s="3" t="inlineStr">
        <is>
          <t>-</t>
        </is>
      </c>
      <c r="L397" s="3" t="inlineStr">
        <is>
          <t>청주ic 청주도심권 접근성 좋은 위치의 공장매매</t>
        </is>
      </c>
      <c r="M397" s="5">
        <f>HYPERLINK("https://fin.land.naver.com/articles/2646022208", "매물Link")</f>
        <v/>
      </c>
      <c r="N397" s="5">
        <f>HYPERLINK("https://map.naver.com/p/search/나성동 829", "지도Link")</f>
        <v/>
      </c>
      <c r="O397" s="5">
        <f>HYPERLINK("http://www.eum.go.kr/web/ar/lu/luLandDet.jsp?pnu=3611010700108290000&amp;isNoScr=script&amp;mode=search", "토지이음")</f>
        <v/>
      </c>
      <c r="P397" s="3" t="inlineStr">
        <is>
          <t>더원</t>
        </is>
      </c>
      <c r="Q397" s="3" t="n">
        <v>1</v>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817</v>
      </c>
      <c r="J398" s="3" t="inlineStr">
        <is>
          <t>1</t>
        </is>
      </c>
      <c r="K398" s="3" t="inlineStr">
        <is>
          <t>-</t>
        </is>
      </c>
      <c r="L398" s="3" t="inlineStr">
        <is>
          <t>남청주ic, 청주 ic 접근성 좋은 위치의 신축급 공장이나 창고</t>
        </is>
      </c>
      <c r="M398" s="5">
        <f>HYPERLINK("https://fin.land.naver.com/articles/2646022232", "매물Link")</f>
        <v/>
      </c>
      <c r="N398" s="5">
        <f>HYPERLINK("https://map.naver.com/p/search/나성동 829", "지도Link")</f>
        <v/>
      </c>
      <c r="O398" s="5">
        <f>HYPERLINK("http://www.eum.go.kr/web/ar/lu/luLandDet.jsp?pnu=3611010700108290000&amp;isNoScr=script&amp;mode=search", "토지이음")</f>
        <v/>
      </c>
      <c r="P398" s="3" t="inlineStr">
        <is>
          <t>더원</t>
        </is>
      </c>
      <c r="Q398" s="3" t="n">
        <v>1</v>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997</v>
      </c>
      <c r="J399" s="3" t="inlineStr">
        <is>
          <t>1</t>
        </is>
      </c>
      <c r="K399" s="3" t="inlineStr">
        <is>
          <t>-</t>
        </is>
      </c>
      <c r="L399" s="3" t="inlineStr">
        <is>
          <t>남청주ic, 청주ic 접근성 좋은 위치 대형차 진출입가능</t>
        </is>
      </c>
      <c r="M399" s="5">
        <f>HYPERLINK("https://fin.land.naver.com/articles/2646022264", "매물Link")</f>
        <v/>
      </c>
      <c r="N399" s="5">
        <f>HYPERLINK("https://map.naver.com/p/search/나성동 829", "지도Link")</f>
        <v/>
      </c>
      <c r="O399" s="5">
        <f>HYPERLINK("http://www.eum.go.kr/web/ar/lu/luLandDet.jsp?pnu=3611010700108290000&amp;isNoScr=script&amp;mode=search", "토지이음")</f>
        <v/>
      </c>
      <c r="P399" s="3" t="inlineStr">
        <is>
          <t>더원</t>
        </is>
      </c>
      <c r="Q399" s="3" t="n">
        <v>1</v>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3206</v>
      </c>
      <c r="J400" s="3" t="inlineStr">
        <is>
          <t>1</t>
        </is>
      </c>
      <c r="K400" s="3" t="inlineStr">
        <is>
          <t>-</t>
        </is>
      </c>
      <c r="L400" s="3" t="inlineStr">
        <is>
          <t>2차선도로접 야드넓은 중대형 공장 청주ic 10분</t>
        </is>
      </c>
      <c r="M400" s="5">
        <f>HYPERLINK("https://fin.land.naver.com/articles/2646022334", "매물Link")</f>
        <v/>
      </c>
      <c r="N400" s="5">
        <f>HYPERLINK("https://map.naver.com/p/search/나성동 829", "지도Link")</f>
        <v/>
      </c>
      <c r="O400" s="5">
        <f>HYPERLINK("http://www.eum.go.kr/web/ar/lu/luLandDet.jsp?pnu=3611010700108290000&amp;isNoScr=script&amp;mode=search", "토지이음")</f>
        <v/>
      </c>
      <c r="P400" s="3" t="inlineStr">
        <is>
          <t>더원</t>
        </is>
      </c>
      <c r="Q400" s="3" t="n">
        <v>1</v>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5728</v>
      </c>
      <c r="J401" s="3" t="inlineStr">
        <is>
          <t>1</t>
        </is>
      </c>
      <c r="K401" s="3" t="inlineStr">
        <is>
          <t>-</t>
        </is>
      </c>
      <c r="L401" s="3" t="inlineStr">
        <is>
          <t>급매 주변시세대비 저렴한 매물 하이테크밸리 인접한 공장</t>
        </is>
      </c>
      <c r="M401" s="5">
        <f>HYPERLINK("https://fin.land.naver.com/articles/2646022373", "매물Link")</f>
        <v/>
      </c>
      <c r="N401" s="5">
        <f>HYPERLINK("https://map.naver.com/p/search/나성동 829", "지도Link")</f>
        <v/>
      </c>
      <c r="O401" s="5">
        <f>HYPERLINK("http://www.eum.go.kr/web/ar/lu/luLandDet.jsp?pnu=3611010700108290000&amp;isNoScr=script&amp;mode=search", "토지이음")</f>
        <v/>
      </c>
      <c r="P401" s="3" t="inlineStr">
        <is>
          <t>더원</t>
        </is>
      </c>
      <c r="Q401" s="3" t="n">
        <v>1</v>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202</v>
      </c>
      <c r="J402" s="3" t="inlineStr">
        <is>
          <t>1</t>
        </is>
      </c>
      <c r="K402" s="3" t="inlineStr">
        <is>
          <t>-</t>
        </is>
      </c>
      <c r="L402" s="3" t="inlineStr">
        <is>
          <t>2차선도로 약간 들어간 위치 소형공장제조업소</t>
        </is>
      </c>
      <c r="M402" s="5">
        <f>HYPERLINK("https://fin.land.naver.com/articles/2644500552", "매물Link")</f>
        <v/>
      </c>
      <c r="N402" s="5">
        <f>HYPERLINK("https://map.naver.com/p/search/나성동 829", "지도Link")</f>
        <v/>
      </c>
      <c r="O402" s="5">
        <f>HYPERLINK("http://www.eum.go.kr/web/ar/lu/luLandDet.jsp?pnu=3611010700108290000&amp;isNoScr=script&amp;mode=search", "토지이음")</f>
        <v/>
      </c>
      <c r="P402" s="3" t="inlineStr">
        <is>
          <t>더원</t>
        </is>
      </c>
      <c r="Q402" s="3" t="n">
        <v>1</v>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482</v>
      </c>
      <c r="J403" s="3" t="inlineStr">
        <is>
          <t>2</t>
        </is>
      </c>
      <c r="K403" s="3" t="inlineStr">
        <is>
          <t>-</t>
        </is>
      </c>
      <c r="L403" s="3" t="inlineStr">
        <is>
          <t>세종청주로 인근 마당넓은 신축급 사옥형 공장 매매</t>
        </is>
      </c>
      <c r="M403" s="5">
        <f>HYPERLINK("https://fin.land.naver.com/articles/2646667962", "매물Link")</f>
        <v/>
      </c>
      <c r="N403" s="5">
        <f>HYPERLINK("https://map.naver.com/p/search/나성동 829", "지도Link")</f>
        <v/>
      </c>
      <c r="O403" s="5">
        <f>HYPERLINK("http://www.eum.go.kr/web/ar/lu/luLandDet.jsp?pnu=3611010700108290000&amp;isNoScr=script&amp;mode=search", "토지이음")</f>
        <v/>
      </c>
      <c r="P403" s="3" t="inlineStr">
        <is>
          <t>더원</t>
        </is>
      </c>
      <c r="Q403" s="3" t="n">
        <v>1</v>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376</v>
      </c>
      <c r="J404" s="3" t="inlineStr">
        <is>
          <t>1</t>
        </is>
      </c>
      <c r="K404" s="3" t="inlineStr">
        <is>
          <t>-</t>
        </is>
      </c>
      <c r="L404" s="3" t="inlineStr">
        <is>
          <t>소형공장매매 층고 8m 내부사무실있음 현임대중</t>
        </is>
      </c>
      <c r="M404" s="5">
        <f>HYPERLINK("https://fin.land.naver.com/articles/2646668230", "매물Link")</f>
        <v/>
      </c>
      <c r="N404" s="5">
        <f>HYPERLINK("https://map.naver.com/p/search/나성동 829", "지도Link")</f>
        <v/>
      </c>
      <c r="O404" s="5">
        <f>HYPERLINK("http://www.eum.go.kr/web/ar/lu/luLandDet.jsp?pnu=3611010700108290000&amp;isNoScr=script&amp;mode=search", "토지이음")</f>
        <v/>
      </c>
      <c r="P404" s="3" t="inlineStr">
        <is>
          <t>더원</t>
        </is>
      </c>
      <c r="Q404" s="3" t="n">
        <v>1</v>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3333</v>
      </c>
      <c r="J405" s="3" t="inlineStr">
        <is>
          <t>1</t>
        </is>
      </c>
      <c r="K405" s="3" t="inlineStr">
        <is>
          <t>-</t>
        </is>
      </c>
      <c r="L405" s="3" t="inlineStr">
        <is>
          <t>2차선도로 접  마당 넓고 층고 높은 신축급 공장.창고매매</t>
        </is>
      </c>
      <c r="M405" s="5">
        <f>HYPERLINK("https://fin.land.naver.com/articles/2646022436", "매물Link")</f>
        <v/>
      </c>
      <c r="N405" s="5">
        <f>HYPERLINK("https://map.naver.com/p/search/나성동 829", "지도Link")</f>
        <v/>
      </c>
      <c r="O405" s="5">
        <f>HYPERLINK("http://www.eum.go.kr/web/ar/lu/luLandDet.jsp?pnu=3611010700108290000&amp;isNoScr=script&amp;mode=search", "토지이음")</f>
        <v/>
      </c>
      <c r="P405" s="3" t="inlineStr">
        <is>
          <t>더원</t>
        </is>
      </c>
      <c r="Q405" s="3" t="n">
        <v>1</v>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2864</v>
      </c>
      <c r="J406" s="3" t="inlineStr">
        <is>
          <t>2</t>
        </is>
      </c>
      <c r="K406" s="3" t="inlineStr">
        <is>
          <t>-</t>
        </is>
      </c>
      <c r="L406" s="3" t="inlineStr">
        <is>
          <t>태성리공장 2차선 도로접함 청주 오송 세종 교통편리한곳</t>
        </is>
      </c>
      <c r="M406" s="5">
        <f>HYPERLINK("https://fin.land.naver.com/articles/2645240694", "매물Link")</f>
        <v/>
      </c>
      <c r="N406" s="5">
        <f>HYPERLINK("https://map.naver.com/p/search/나성동 829", "지도Link")</f>
        <v/>
      </c>
      <c r="O406" s="5">
        <f>HYPERLINK("http://www.eum.go.kr/web/ar/lu/luLandDet.jsp?pnu=3611010700108290000&amp;isNoScr=script&amp;mode=search", "토지이음")</f>
        <v/>
      </c>
      <c r="P406" s="3" t="inlineStr">
        <is>
          <t>자이원</t>
        </is>
      </c>
      <c r="Q406" s="3" t="n">
        <v>1</v>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3333</v>
      </c>
      <c r="J407" s="3" t="inlineStr">
        <is>
          <t>1</t>
        </is>
      </c>
      <c r="K407" s="3" t="inlineStr">
        <is>
          <t>-</t>
        </is>
      </c>
      <c r="L407" s="3" t="inlineStr">
        <is>
          <t>마당넓고 진출입 편리한 2차선 접한 공장입니다</t>
        </is>
      </c>
      <c r="M407" s="5">
        <f>HYPERLINK("https://fin.land.naver.com/articles/2649722756", "매물Link")</f>
        <v/>
      </c>
      <c r="N407" s="5">
        <f>HYPERLINK("https://map.naver.com/p/search/나성동 829", "지도Link")</f>
        <v/>
      </c>
      <c r="O407" s="5">
        <f>HYPERLINK("http://www.eum.go.kr/web/ar/lu/luLandDet.jsp?pnu=3611010700108290000&amp;isNoScr=script&amp;mode=search", "토지이음")</f>
        <v/>
      </c>
      <c r="P407" s="3" t="inlineStr">
        <is>
          <t>복댕이무소</t>
        </is>
      </c>
      <c r="Q407" s="3" t="n">
        <v>1</v>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500</v>
      </c>
      <c r="J408" s="3" t="inlineStr">
        <is>
          <t>1</t>
        </is>
      </c>
      <c r="K408" s="3" t="inlineStr">
        <is>
          <t>-</t>
        </is>
      </c>
      <c r="L408" s="3" t="inlineStr">
        <is>
          <t>nan</t>
        </is>
      </c>
      <c r="M408" s="5">
        <f>HYPERLINK("https://fin.land.naver.com/articles/2649783398", "매물Link")</f>
        <v/>
      </c>
      <c r="N408" s="5">
        <f>HYPERLINK("https://map.naver.com/p/search/나성동 829", "지도Link")</f>
        <v/>
      </c>
      <c r="O408" s="5">
        <f>HYPERLINK("http://www.eum.go.kr/web/ar/lu/luLandDet.jsp?pnu=3611010700108290000&amp;isNoScr=script&amp;mode=search", "토지이음")</f>
        <v/>
      </c>
      <c r="P408" s="3" t="inlineStr">
        <is>
          <t>방서비타민</t>
        </is>
      </c>
      <c r="Q408" s="3" t="n">
        <v>1</v>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3206</v>
      </c>
      <c r="J409" s="3" t="inlineStr">
        <is>
          <t>1</t>
        </is>
      </c>
      <c r="K409" s="3" t="inlineStr">
        <is>
          <t>-</t>
        </is>
      </c>
      <c r="L409" s="3" t="inlineStr">
        <is>
          <t>2차선 접한 컨디션 좋은 공장입니다</t>
        </is>
      </c>
      <c r="M409" s="5">
        <f>HYPERLINK("https://fin.land.naver.com/articles/2649903449", "매물Link")</f>
        <v/>
      </c>
      <c r="N409" s="5">
        <f>HYPERLINK("https://map.naver.com/p/search/나성동 829", "지도Link")</f>
        <v/>
      </c>
      <c r="O409" s="5">
        <f>HYPERLINK("http://www.eum.go.kr/web/ar/lu/luLandDet.jsp?pnu=3611010700108290000&amp;isNoScr=script&amp;mode=search", "토지이음")</f>
        <v/>
      </c>
      <c r="P409" s="3" t="inlineStr">
        <is>
          <t>복댕이무소</t>
        </is>
      </c>
      <c r="Q409" s="3" t="n">
        <v>1</v>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1525</v>
      </c>
      <c r="J410" s="3" t="inlineStr">
        <is>
          <t>1</t>
        </is>
      </c>
      <c r="K410" s="3" t="inlineStr">
        <is>
          <t>-</t>
        </is>
      </c>
      <c r="L410" s="3" t="inlineStr">
        <is>
          <t>강내하이테크밸리산업단지 옆에 위치 세종 오송 접근성 좋은 공장</t>
        </is>
      </c>
      <c r="M410" s="5">
        <f>HYPERLINK("https://fin.land.naver.com/articles/2644022618", "매물Link")</f>
        <v/>
      </c>
      <c r="N410" s="5">
        <f>HYPERLINK("https://map.naver.com/p/search/나성동 829", "지도Link")</f>
        <v/>
      </c>
      <c r="O410" s="5">
        <f>HYPERLINK("http://www.eum.go.kr/web/ar/lu/luLandDet.jsp?pnu=3611010700108290000&amp;isNoScr=script&amp;mode=search", "토지이음")</f>
        <v/>
      </c>
      <c r="P410" s="3" t="inlineStr">
        <is>
          <t>더원</t>
        </is>
      </c>
      <c r="Q410" s="3" t="n">
        <v>1</v>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1535</v>
      </c>
      <c r="J411" s="3" t="inlineStr">
        <is>
          <t>2</t>
        </is>
      </c>
      <c r="K411" s="3" t="inlineStr">
        <is>
          <t>-</t>
        </is>
      </c>
      <c r="L411" s="3" t="inlineStr">
        <is>
          <t>청주ic 10 분 고속도로 접근성 좋고 마당넓은 공장 숙소있음</t>
        </is>
      </c>
      <c r="M411" s="5">
        <f>HYPERLINK("https://fin.land.naver.com/articles/2644022622", "매물Link")</f>
        <v/>
      </c>
      <c r="N411" s="5">
        <f>HYPERLINK("https://map.naver.com/p/search/나성동 829", "지도Link")</f>
        <v/>
      </c>
      <c r="O411" s="5">
        <f>HYPERLINK("http://www.eum.go.kr/web/ar/lu/luLandDet.jsp?pnu=3611010700108290000&amp;isNoScr=script&amp;mode=search", "토지이음")</f>
        <v/>
      </c>
      <c r="P411" s="3" t="inlineStr">
        <is>
          <t>더원</t>
        </is>
      </c>
      <c r="Q411" s="3" t="n">
        <v>1</v>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1337</v>
      </c>
      <c r="J412" s="3" t="inlineStr">
        <is>
          <t>1</t>
        </is>
      </c>
      <c r="K412" s="3" t="inlineStr">
        <is>
          <t>-</t>
        </is>
      </c>
      <c r="L412" s="3" t="inlineStr">
        <is>
          <t>청주ic 접근성 좋은 위치 준신축급 공장 및 창고임대</t>
        </is>
      </c>
      <c r="M412" s="5">
        <f>HYPERLINK("https://fin.land.naver.com/articles/2644022632", "매물Link")</f>
        <v/>
      </c>
      <c r="N412" s="5">
        <f>HYPERLINK("https://map.naver.com/p/search/나성동 829", "지도Link")</f>
        <v/>
      </c>
      <c r="O412" s="5">
        <f>HYPERLINK("http://www.eum.go.kr/web/ar/lu/luLandDet.jsp?pnu=3611010700108290000&amp;isNoScr=script&amp;mode=search", "토지이음")</f>
        <v/>
      </c>
      <c r="P412" s="3" t="inlineStr">
        <is>
          <t>더원</t>
        </is>
      </c>
      <c r="Q412" s="3" t="n">
        <v>1</v>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3206</v>
      </c>
      <c r="J413" s="3" t="inlineStr">
        <is>
          <t>1</t>
        </is>
      </c>
      <c r="K413" s="3" t="inlineStr">
        <is>
          <t>-</t>
        </is>
      </c>
      <c r="L413" s="3" t="inlineStr">
        <is>
          <t>청주 ic 인근 깨끗한 공장 매매</t>
        </is>
      </c>
      <c r="M413" s="5">
        <f>HYPERLINK("https://fin.land.naver.com/articles/2644201399", "매물Link")</f>
        <v/>
      </c>
      <c r="N413" s="5">
        <f>HYPERLINK("https://map.naver.com/p/search/나성동 829", "지도Link")</f>
        <v/>
      </c>
      <c r="O413" s="5">
        <f>HYPERLINK("http://www.eum.go.kr/web/ar/lu/luLandDet.jsp?pnu=3611010700108290000&amp;isNoScr=script&amp;mode=search", "토지이음")</f>
        <v/>
      </c>
      <c r="P413" s="3" t="inlineStr">
        <is>
          <t>대복</t>
        </is>
      </c>
      <c r="Q413" s="3" t="n">
        <v>1</v>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4844</v>
      </c>
      <c r="J414" s="3" t="inlineStr">
        <is>
          <t>1</t>
        </is>
      </c>
      <c r="K414" s="3" t="inlineStr">
        <is>
          <t>-</t>
        </is>
      </c>
      <c r="L414" s="3" t="inlineStr">
        <is>
          <t>nan</t>
        </is>
      </c>
      <c r="M414" s="5">
        <f>HYPERLINK("https://fin.land.naver.com/articles/2644629553", "매물Link")</f>
        <v/>
      </c>
      <c r="N414" s="5">
        <f>HYPERLINK("https://map.naver.com/p/search/나성동 829", "지도Link")</f>
        <v/>
      </c>
      <c r="O414" s="5">
        <f>HYPERLINK("http://www.eum.go.kr/web/ar/lu/luLandDet.jsp?pnu=3611010700108290000&amp;isNoScr=script&amp;mode=search", "토지이음")</f>
        <v/>
      </c>
      <c r="P414" s="3" t="inlineStr">
        <is>
          <t>명당</t>
        </is>
      </c>
      <c r="Q414" s="3" t="n">
        <v>1</v>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7514</v>
      </c>
      <c r="J415" s="3" t="inlineStr">
        <is>
          <t>1</t>
        </is>
      </c>
      <c r="K415" s="3" t="inlineStr">
        <is>
          <t>-</t>
        </is>
      </c>
      <c r="L415" s="3" t="inlineStr">
        <is>
          <t>강내 대형창고 공장 임대 즉시입주가 대형차진출입용이</t>
        </is>
      </c>
      <c r="M415" s="5">
        <f>HYPERLINK("https://fin.land.naver.com/articles/2644663284", "매물Link")</f>
        <v/>
      </c>
      <c r="N415" s="5">
        <f>HYPERLINK("https://map.naver.com/p/search/나성동 829", "지도Link")</f>
        <v/>
      </c>
      <c r="O415" s="5">
        <f>HYPERLINK("http://www.eum.go.kr/web/ar/lu/luLandDet.jsp?pnu=3611010700108290000&amp;isNoScr=script&amp;mode=search", "토지이음")</f>
        <v/>
      </c>
      <c r="P415" s="3" t="inlineStr">
        <is>
          <t>더원</t>
        </is>
      </c>
      <c r="Q415" s="3" t="n">
        <v>1</v>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3333</v>
      </c>
      <c r="J416" s="3" t="inlineStr">
        <is>
          <t>1</t>
        </is>
      </c>
      <c r="K416" s="3" t="inlineStr">
        <is>
          <t>-</t>
        </is>
      </c>
      <c r="L416" s="3" t="inlineStr">
        <is>
          <t>청주ic 접근성좋은 신축급 공장 물류창고로도 가능 야적장 넓음</t>
        </is>
      </c>
      <c r="M416" s="5">
        <f>HYPERLINK("https://fin.land.naver.com/articles/2644663798", "매물Link")</f>
        <v/>
      </c>
      <c r="N416" s="5">
        <f>HYPERLINK("https://map.naver.com/p/search/나성동 829", "지도Link")</f>
        <v/>
      </c>
      <c r="O416" s="5">
        <f>HYPERLINK("http://www.eum.go.kr/web/ar/lu/luLandDet.jsp?pnu=3611010700108290000&amp;isNoScr=script&amp;mode=search", "토지이음")</f>
        <v/>
      </c>
      <c r="P416" s="3" t="inlineStr">
        <is>
          <t>더원</t>
        </is>
      </c>
      <c r="Q416" s="3" t="n">
        <v>1</v>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495</v>
      </c>
      <c r="J417" s="3" t="inlineStr">
        <is>
          <t>1</t>
        </is>
      </c>
      <c r="K417" s="3" t="inlineStr">
        <is>
          <t>-</t>
        </is>
      </c>
      <c r="L417" s="3" t="inlineStr">
        <is>
          <t>강내 저렴한 임대료 중앙고 9M  창고나 공장 민원소지없음</t>
        </is>
      </c>
      <c r="M417" s="5">
        <f>HYPERLINK("https://fin.land.naver.com/articles/2646668456", "매물Link")</f>
        <v/>
      </c>
      <c r="N417" s="5">
        <f>HYPERLINK("https://map.naver.com/p/search/나성동 829", "지도Link")</f>
        <v/>
      </c>
      <c r="O417" s="5">
        <f>HYPERLINK("http://www.eum.go.kr/web/ar/lu/luLandDet.jsp?pnu=3611010700108290000&amp;isNoScr=script&amp;mode=search", "토지이음")</f>
        <v/>
      </c>
      <c r="P417" s="3" t="inlineStr">
        <is>
          <t>더원</t>
        </is>
      </c>
      <c r="Q417" s="3" t="n">
        <v>1</v>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801</v>
      </c>
      <c r="J418" s="3" t="inlineStr">
        <is>
          <t>2</t>
        </is>
      </c>
      <c r="K418" s="3" t="inlineStr">
        <is>
          <t>-</t>
        </is>
      </c>
      <c r="L418" s="3" t="inlineStr">
        <is>
          <t>태성삼거리 인근 2차선접 단독창고 사무실 있음  현임차인 있음</t>
        </is>
      </c>
      <c r="M418" s="5">
        <f>HYPERLINK("https://fin.land.naver.com/articles/2646669388", "매물Link")</f>
        <v/>
      </c>
      <c r="N418" s="5">
        <f>HYPERLINK("https://map.naver.com/p/search/나성동 829", "지도Link")</f>
        <v/>
      </c>
      <c r="O418" s="5">
        <f>HYPERLINK("http://www.eum.go.kr/web/ar/lu/luLandDet.jsp?pnu=3611010700108290000&amp;isNoScr=script&amp;mode=search", "토지이음")</f>
        <v/>
      </c>
      <c r="P418" s="3" t="inlineStr">
        <is>
          <t>더원</t>
        </is>
      </c>
      <c r="Q418" s="3" t="n">
        <v>1</v>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1535</v>
      </c>
      <c r="J419" s="3" t="inlineStr">
        <is>
          <t>1</t>
        </is>
      </c>
      <c r="K419" s="3" t="inlineStr">
        <is>
          <t>-</t>
        </is>
      </c>
      <c r="L419" s="3" t="inlineStr">
        <is>
          <t>청주i,c 10분 오송ktx 10분 공장동 사무동기숙사,식당 등</t>
        </is>
      </c>
      <c r="M419" s="5">
        <f>HYPERLINK("https://fin.land.naver.com/articles/2648970935", "매물Link")</f>
        <v/>
      </c>
      <c r="N419" s="5">
        <f>HYPERLINK("https://map.naver.com/p/search/나성동 829", "지도Link")</f>
        <v/>
      </c>
      <c r="O419" s="5">
        <f>HYPERLINK("http://www.eum.go.kr/web/ar/lu/luLandDet.jsp?pnu=3611010700108290000&amp;isNoScr=script&amp;mode=search", "토지이음")</f>
        <v/>
      </c>
      <c r="P419" s="3" t="inlineStr">
        <is>
          <t>공장365</t>
        </is>
      </c>
      <c r="Q419" s="3" t="n">
        <v>1</v>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1996</v>
      </c>
      <c r="J420" s="3" t="inlineStr">
        <is>
          <t>1</t>
        </is>
      </c>
      <c r="K420" s="3" t="inlineStr">
        <is>
          <t>-</t>
        </is>
      </c>
      <c r="L420" s="3" t="inlineStr">
        <is>
          <t>2차선도로 대형차 진출입 가능한 대형 공장이나 물류창고 가능</t>
        </is>
      </c>
      <c r="M420" s="5">
        <f>HYPERLINK("https://fin.land.naver.com/articles/2649657835", "매물Link")</f>
        <v/>
      </c>
      <c r="N420" s="5">
        <f>HYPERLINK("https://map.naver.com/p/search/나성동 829", "지도Link")</f>
        <v/>
      </c>
      <c r="O420" s="5">
        <f>HYPERLINK("http://www.eum.go.kr/web/ar/lu/luLandDet.jsp?pnu=3611010700108290000&amp;isNoScr=script&amp;mode=search", "토지이음")</f>
        <v/>
      </c>
      <c r="P420" s="3" t="inlineStr">
        <is>
          <t>더원</t>
        </is>
      </c>
      <c r="Q420" s="3" t="n">
        <v>1</v>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1392</v>
      </c>
      <c r="J421" s="3" t="inlineStr">
        <is>
          <t>1</t>
        </is>
      </c>
      <c r="K421" s="3" t="inlineStr">
        <is>
          <t>-</t>
        </is>
      </c>
      <c r="L421" s="3" t="inlineStr">
        <is>
          <t>마당넓어 야적하시기 좋은 층고높은 공장. 물류창고</t>
        </is>
      </c>
      <c r="M421" s="5">
        <f>HYPERLINK("https://fin.land.naver.com/articles/2649677944", "매물Link")</f>
        <v/>
      </c>
      <c r="N421" s="5">
        <f>HYPERLINK("https://map.naver.com/p/search/나성동 829", "지도Link")</f>
        <v/>
      </c>
      <c r="O421" s="5">
        <f>HYPERLINK("http://www.eum.go.kr/web/ar/lu/luLandDet.jsp?pnu=3611010700108290000&amp;isNoScr=script&amp;mode=search", "토지이음")</f>
        <v/>
      </c>
      <c r="P421" s="3" t="inlineStr">
        <is>
          <t>더원</t>
        </is>
      </c>
      <c r="Q421" s="3" t="n">
        <v>1</v>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2176</v>
      </c>
      <c r="J422" s="3" t="inlineStr">
        <is>
          <t>1</t>
        </is>
      </c>
      <c r="K422" s="3" t="inlineStr">
        <is>
          <t>-</t>
        </is>
      </c>
      <c r="L422" s="3" t="inlineStr">
        <is>
          <t>2차선도로 접  마당넓은 공장으로 대형차 진출입원활 입주협의</t>
        </is>
      </c>
      <c r="M422" s="5">
        <f>HYPERLINK("https://fin.land.naver.com/articles/2649678620", "매물Link")</f>
        <v/>
      </c>
      <c r="N422" s="5">
        <f>HYPERLINK("https://map.naver.com/p/search/나성동 829", "지도Link")</f>
        <v/>
      </c>
      <c r="O422" s="5">
        <f>HYPERLINK("http://www.eum.go.kr/web/ar/lu/luLandDet.jsp?pnu=3611010700108290000&amp;isNoScr=script&amp;mode=search", "토지이음")</f>
        <v/>
      </c>
      <c r="P422" s="3" t="inlineStr">
        <is>
          <t>더원</t>
        </is>
      </c>
      <c r="Q422" s="3" t="n">
        <v>1</v>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198</v>
      </c>
      <c r="J423" s="3" t="inlineStr">
        <is>
          <t>1</t>
        </is>
      </c>
      <c r="K423" s="3" t="inlineStr">
        <is>
          <t>-</t>
        </is>
      </c>
      <c r="L423" s="3" t="inlineStr">
        <is>
          <t>강내면 소형 창고 임대 즉시 입주가능</t>
        </is>
      </c>
      <c r="M423" s="5">
        <f>HYPERLINK("https://fin.land.naver.com/articles/2649680102", "매물Link")</f>
        <v/>
      </c>
      <c r="N423" s="5">
        <f>HYPERLINK("https://map.naver.com/p/search/나성동 829", "지도Link")</f>
        <v/>
      </c>
      <c r="O423" s="5">
        <f>HYPERLINK("http://www.eum.go.kr/web/ar/lu/luLandDet.jsp?pnu=3611010700108290000&amp;isNoScr=script&amp;mode=search", "토지이음")</f>
        <v/>
      </c>
      <c r="P423" s="3" t="inlineStr">
        <is>
          <t>더원</t>
        </is>
      </c>
      <c r="Q423" s="3" t="n">
        <v>1</v>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578</v>
      </c>
      <c r="J424" s="3" t="inlineStr">
        <is>
          <t>1</t>
        </is>
      </c>
      <c r="K424" s="3" t="inlineStr">
        <is>
          <t>-</t>
        </is>
      </c>
      <c r="L424" s="3" t="inlineStr">
        <is>
          <t>대형트레일러 진출입 가능한 공장으로 창고로 사용가능</t>
        </is>
      </c>
      <c r="M424" s="5">
        <f>HYPERLINK("https://fin.land.naver.com/articles/2649682853", "매물Link")</f>
        <v/>
      </c>
      <c r="N424" s="5">
        <f>HYPERLINK("https://map.naver.com/p/search/나성동 829", "지도Link")</f>
        <v/>
      </c>
      <c r="O424" s="5">
        <f>HYPERLINK("http://www.eum.go.kr/web/ar/lu/luLandDet.jsp?pnu=3611010700108290000&amp;isNoScr=script&amp;mode=search", "토지이음")</f>
        <v/>
      </c>
      <c r="P424" s="3" t="inlineStr">
        <is>
          <t>더원</t>
        </is>
      </c>
      <c r="Q424" s="3" t="n">
        <v>1</v>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1504</v>
      </c>
      <c r="J425" s="3" t="inlineStr">
        <is>
          <t>3</t>
        </is>
      </c>
      <c r="K425" s="3" t="inlineStr">
        <is>
          <t>-</t>
        </is>
      </c>
      <c r="L425" s="3" t="inlineStr">
        <is>
          <t>4차선대로접한공장 청주IC 오송역 세종등 교통편리한곳 상세설명참조</t>
        </is>
      </c>
      <c r="M425" s="5">
        <f>HYPERLINK("https://fin.land.naver.com/articles/2649766687", "매물Link")</f>
        <v/>
      </c>
      <c r="N425" s="5">
        <f>HYPERLINK("https://map.naver.com/p/search/나성동 829", "지도Link")</f>
        <v/>
      </c>
      <c r="O425" s="5">
        <f>HYPERLINK("http://www.eum.go.kr/web/ar/lu/luLandDet.jsp?pnu=3611010700108290000&amp;isNoScr=script&amp;mode=search", "토지이음")</f>
        <v/>
      </c>
      <c r="P425" s="3" t="inlineStr">
        <is>
          <t>자이원</t>
        </is>
      </c>
      <c r="Q425" s="3" t="n">
        <v>1</v>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2217</v>
      </c>
      <c r="J426" s="3" t="inlineStr">
        <is>
          <t>2</t>
        </is>
      </c>
      <c r="K426" s="3" t="inlineStr">
        <is>
          <t>-</t>
        </is>
      </c>
      <c r="L426" s="3" t="inlineStr">
        <is>
          <t>황탄리공장 건물총4동 전체 일괄매각 태양광매각비용별도 월별도수익있어요</t>
        </is>
      </c>
      <c r="M426" s="5">
        <f>HYPERLINK("https://fin.land.naver.com/articles/2649782299", "매물Link")</f>
        <v/>
      </c>
      <c r="N426" s="5">
        <f>HYPERLINK("https://map.naver.com/p/search/나성동 829", "지도Link")</f>
        <v/>
      </c>
      <c r="O426" s="5">
        <f>HYPERLINK("http://www.eum.go.kr/web/ar/lu/luLandDet.jsp?pnu=3611010700108290000&amp;isNoScr=script&amp;mode=search", "토지이음")</f>
        <v/>
      </c>
      <c r="P426" s="3" t="inlineStr">
        <is>
          <t>자이원</t>
        </is>
      </c>
      <c r="Q426" s="3" t="n">
        <v>1</v>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499</v>
      </c>
      <c r="J427" s="3" t="inlineStr">
        <is>
          <t>2</t>
        </is>
      </c>
      <c r="K427" s="3" t="inlineStr">
        <is>
          <t>-</t>
        </is>
      </c>
      <c r="L427" s="3" t="inlineStr">
        <is>
          <t>청주ic 남청주ic 15분 2차선접 대형차진출입원활 공장등록가능</t>
        </is>
      </c>
      <c r="M427" s="5">
        <f>HYPERLINK("https://fin.land.naver.com/articles/2648090009", "매물Link")</f>
        <v/>
      </c>
      <c r="N427" s="5">
        <f>HYPERLINK("https://map.naver.com/p/search/나성동 829", "지도Link")</f>
        <v/>
      </c>
      <c r="O427" s="5">
        <f>HYPERLINK("http://www.eum.go.kr/web/ar/lu/luLandDet.jsp?pnu=3611010700108290000&amp;isNoScr=script&amp;mode=search", "토지이음")</f>
        <v/>
      </c>
      <c r="P427" s="3" t="inlineStr">
        <is>
          <t>더원</t>
        </is>
      </c>
      <c r="Q427" s="3" t="n">
        <v>1</v>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1535</v>
      </c>
      <c r="J428" s="3" t="inlineStr">
        <is>
          <t>1</t>
        </is>
      </c>
      <c r="K428" s="3" t="inlineStr">
        <is>
          <t>-</t>
        </is>
      </c>
      <c r="L428" s="3" t="inlineStr">
        <is>
          <t>강내면 마당넓은 단독공장 임대 사무실 기숙사 있음</t>
        </is>
      </c>
      <c r="M428" s="5">
        <f>HYPERLINK("https://fin.land.naver.com/articles/2648089929", "매물Link")</f>
        <v/>
      </c>
      <c r="N428" s="5">
        <f>HYPERLINK("https://map.naver.com/p/search/나성동 829", "지도Link")</f>
        <v/>
      </c>
      <c r="O428" s="5">
        <f>HYPERLINK("http://www.eum.go.kr/web/ar/lu/luLandDet.jsp?pnu=3611010700108290000&amp;isNoScr=script&amp;mode=search", "토지이음")</f>
        <v/>
      </c>
      <c r="P428" s="3" t="inlineStr">
        <is>
          <t>더원</t>
        </is>
      </c>
      <c r="Q428" s="3" t="n">
        <v>1</v>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330</v>
      </c>
      <c r="J429" s="3" t="inlineStr">
        <is>
          <t>1</t>
        </is>
      </c>
      <c r="K429" s="3" t="inlineStr">
        <is>
          <t>-</t>
        </is>
      </c>
      <c r="L429" s="3" t="inlineStr">
        <is>
          <t>남청주IC접근성 좋고 대형차진출입가능 호이스트2.8톤1개 내부사무실있음</t>
        </is>
      </c>
      <c r="M429" s="5">
        <f>HYPERLINK("https://fin.land.naver.com/articles/2646669672", "매물Link")</f>
        <v/>
      </c>
      <c r="N429" s="5">
        <f>HYPERLINK("https://map.naver.com/p/search/나성동 829", "지도Link")</f>
        <v/>
      </c>
      <c r="O429" s="5">
        <f>HYPERLINK("http://www.eum.go.kr/web/ar/lu/luLandDet.jsp?pnu=3611010700108290000&amp;isNoScr=script&amp;mode=search", "토지이음")</f>
        <v/>
      </c>
      <c r="P429" s="3" t="inlineStr">
        <is>
          <t>더원</t>
        </is>
      </c>
      <c r="Q429" s="3" t="n">
        <v>1</v>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725</v>
      </c>
      <c r="J430" s="3" t="inlineStr">
        <is>
          <t>1</t>
        </is>
      </c>
      <c r="K430" s="3" t="inlineStr">
        <is>
          <t>-</t>
        </is>
      </c>
      <c r="L430" s="3" t="inlineStr">
        <is>
          <t>사진, 넓은마당, 트레일러진입, 2차선변, 층고9m, 내부사무실</t>
        </is>
      </c>
      <c r="M430" s="5">
        <f>HYPERLINK("https://fin.land.naver.com/articles/2646858094", "매물Link")</f>
        <v/>
      </c>
      <c r="N430" s="5">
        <f>HYPERLINK("https://map.naver.com/p/search/나성동 829", "지도Link")</f>
        <v/>
      </c>
      <c r="O430" s="5">
        <f>HYPERLINK("http://www.eum.go.kr/web/ar/lu/luLandDet.jsp?pnu=3611010700108290000&amp;isNoScr=script&amp;mode=search", "토지이음")</f>
        <v/>
      </c>
      <c r="P430" s="3" t="inlineStr">
        <is>
          <t>OK허니</t>
        </is>
      </c>
      <c r="Q430" s="3" t="n">
        <v>1</v>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1392</v>
      </c>
      <c r="J431" s="3" t="inlineStr">
        <is>
          <t>1</t>
        </is>
      </c>
      <c r="K431" s="3" t="inlineStr">
        <is>
          <t>-</t>
        </is>
      </c>
      <c r="L431" s="3" t="inlineStr">
        <is>
          <t>청주IC인근, 대형차 진출입 등 접근성 좋은 공장, 층고 약 10m</t>
        </is>
      </c>
      <c r="M431" s="5">
        <f>HYPERLINK("https://fin.land.naver.com/articles/2646887911", "매물Link")</f>
        <v/>
      </c>
      <c r="N431" s="5">
        <f>HYPERLINK("https://map.naver.com/p/search/나성동 829", "지도Link")</f>
        <v/>
      </c>
      <c r="O431" s="5">
        <f>HYPERLINK("http://www.eum.go.kr/web/ar/lu/luLandDet.jsp?pnu=3611010700108290000&amp;isNoScr=script&amp;mode=search", "토지이음")</f>
        <v/>
      </c>
      <c r="P431" s="3" t="inlineStr">
        <is>
          <t>(주)미르</t>
        </is>
      </c>
      <c r="Q431" s="3" t="n">
        <v>1</v>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162</v>
      </c>
      <c r="J432" s="3" t="inlineStr">
        <is>
          <t>1</t>
        </is>
      </c>
      <c r="K432" s="3" t="inlineStr">
        <is>
          <t>-</t>
        </is>
      </c>
      <c r="L432" s="3" t="inlineStr">
        <is>
          <t>궁현리 소형 창고 임대</t>
        </is>
      </c>
      <c r="M432" s="5">
        <f>HYPERLINK("https://fin.land.naver.com/articles/2646930528", "매물Link")</f>
        <v/>
      </c>
      <c r="N432" s="5">
        <f>HYPERLINK("https://map.naver.com/p/search/나성동 829", "지도Link")</f>
        <v/>
      </c>
      <c r="O432" s="5">
        <f>HYPERLINK("http://www.eum.go.kr/web/ar/lu/luLandDet.jsp?pnu=3611010700108290000&amp;isNoScr=script&amp;mode=search", "토지이음")</f>
        <v/>
      </c>
      <c r="P432" s="3" t="inlineStr">
        <is>
          <t>사거리</t>
        </is>
      </c>
      <c r="Q432" s="3" t="n">
        <v>1</v>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260</v>
      </c>
      <c r="J433" s="3" t="inlineStr">
        <is>
          <t>2</t>
        </is>
      </c>
      <c r="K433" s="3" t="inlineStr">
        <is>
          <t>-</t>
        </is>
      </c>
      <c r="L433" s="3" t="inlineStr">
        <is>
          <t>강내면 제2종 근린생활시설 제조업 위치 좋음</t>
        </is>
      </c>
      <c r="M433" s="5">
        <f>HYPERLINK("https://fin.land.naver.com/articles/2645382523", "매물Link")</f>
        <v/>
      </c>
      <c r="N433" s="5">
        <f>HYPERLINK("https://map.naver.com/p/search/나성동 829", "지도Link")</f>
        <v/>
      </c>
      <c r="O433" s="5">
        <f>HYPERLINK("http://www.eum.go.kr/web/ar/lu/luLandDet.jsp?pnu=3611010700108290000&amp;isNoScr=script&amp;mode=search", "토지이음")</f>
        <v/>
      </c>
      <c r="P433" s="3" t="inlineStr">
        <is>
          <t>반석</t>
        </is>
      </c>
      <c r="Q433" s="3" t="n">
        <v>1</v>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365</v>
      </c>
      <c r="J434" s="3" t="inlineStr">
        <is>
          <t>2</t>
        </is>
      </c>
      <c r="K434" s="3" t="inlineStr">
        <is>
          <t>-</t>
        </is>
      </c>
      <c r="L434" s="3" t="inlineStr">
        <is>
          <t>신축건물 층고10.7미터 2층사무실 소형물류창고 공장추천</t>
        </is>
      </c>
      <c r="M434" s="5">
        <f>HYPERLINK("https://fin.land.naver.com/articles/2647919860", "매물Link")</f>
        <v/>
      </c>
      <c r="N434" s="5">
        <f>HYPERLINK("https://map.naver.com/p/search/나성동 829", "지도Link")</f>
        <v/>
      </c>
      <c r="O434" s="5">
        <f>HYPERLINK("http://www.eum.go.kr/web/ar/lu/luLandDet.jsp?pnu=3611010700108290000&amp;isNoScr=script&amp;mode=search", "토지이음")</f>
        <v/>
      </c>
      <c r="P434" s="3" t="inlineStr">
        <is>
          <t>세종연동탑</t>
        </is>
      </c>
      <c r="Q434" s="3" t="n">
        <v>1</v>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337</v>
      </c>
      <c r="J435" s="3" t="inlineStr">
        <is>
          <t>1</t>
        </is>
      </c>
      <c r="K435" s="3" t="inlineStr">
        <is>
          <t>-</t>
        </is>
      </c>
      <c r="L435" s="3" t="inlineStr">
        <is>
          <t>nan</t>
        </is>
      </c>
      <c r="M435" s="5">
        <f>HYPERLINK("https://fin.land.naver.com/articles/2646010440", "매물Link")</f>
        <v/>
      </c>
      <c r="N435" s="5">
        <f>HYPERLINK("https://map.naver.com/p/search/나성동 829", "지도Link")</f>
        <v/>
      </c>
      <c r="O435" s="5">
        <f>HYPERLINK("http://www.eum.go.kr/web/ar/lu/luLandDet.jsp?pnu=3611010700108290000&amp;isNoScr=script&amp;mode=search", "토지이음")</f>
        <v/>
      </c>
      <c r="P435" s="3" t="inlineStr">
        <is>
          <t>케이투(k2)</t>
        </is>
      </c>
      <c r="Q435" s="3" t="n">
        <v>1</v>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2066</v>
      </c>
      <c r="J436" s="3" t="inlineStr">
        <is>
          <t>2</t>
        </is>
      </c>
      <c r="K436" s="3" t="inlineStr">
        <is>
          <t>-</t>
        </is>
      </c>
      <c r="L436" s="3" t="inlineStr">
        <is>
          <t>강내 하이테크밸리인접한 위치의 공장매매</t>
        </is>
      </c>
      <c r="M436" s="5">
        <f>HYPERLINK("https://fin.land.naver.com/articles/2648089936", "매물Link")</f>
        <v/>
      </c>
      <c r="N436" s="5">
        <f>HYPERLINK("https://map.naver.com/p/search/나성동 829", "지도Link")</f>
        <v/>
      </c>
      <c r="O436" s="5">
        <f>HYPERLINK("http://www.eum.go.kr/web/ar/lu/luLandDet.jsp?pnu=3611010700108290000&amp;isNoScr=script&amp;mode=search", "토지이음")</f>
        <v/>
      </c>
      <c r="P436" s="3" t="inlineStr">
        <is>
          <t>더원</t>
        </is>
      </c>
      <c r="Q436" s="3" t="n">
        <v>1</v>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375</v>
      </c>
      <c r="J437" s="3" t="inlineStr">
        <is>
          <t>1</t>
        </is>
      </c>
      <c r="K437" s="3" t="inlineStr">
        <is>
          <t>B1</t>
        </is>
      </c>
      <c r="L437" s="3" t="inlineStr">
        <is>
          <t>옥산IC인근 공장 호이스트 있음</t>
        </is>
      </c>
      <c r="M437" s="5">
        <f>HYPERLINK("https://fin.land.naver.com/articles/2646418317", "매물Link")</f>
        <v/>
      </c>
      <c r="N437" s="5">
        <f>HYPERLINK("https://map.naver.com/p/search/나성동 829", "지도Link")</f>
        <v/>
      </c>
      <c r="O437" s="5">
        <f>HYPERLINK("http://www.eum.go.kr/web/ar/lu/luLandDet.jsp?pnu=3611010700108290000&amp;isNoScr=script&amp;mode=search", "토지이음")</f>
        <v/>
      </c>
      <c r="P437" s="3" t="inlineStr">
        <is>
          <t>옥산금정</t>
        </is>
      </c>
      <c r="Q437" s="3" t="n">
        <v>1</v>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345</v>
      </c>
      <c r="J438" s="3" t="inlineStr">
        <is>
          <t>1</t>
        </is>
      </c>
      <c r="K438" s="3" t="inlineStr">
        <is>
          <t>-</t>
        </is>
      </c>
      <c r="L438" s="3" t="inlineStr">
        <is>
          <t>호이스트 설치된 공장 저렴한 가격에 매매 2차선접 옥산산업단지 인근</t>
        </is>
      </c>
      <c r="M438" s="5">
        <f>HYPERLINK("https://fin.land.naver.com/articles/2646658827", "매물Link")</f>
        <v/>
      </c>
      <c r="N438" s="5">
        <f>HYPERLINK("https://map.naver.com/p/search/나성동 829", "지도Link")</f>
        <v/>
      </c>
      <c r="O438" s="5">
        <f>HYPERLINK("http://www.eum.go.kr/web/ar/lu/luLandDet.jsp?pnu=3611010700108290000&amp;isNoScr=script&amp;mode=search", "토지이음")</f>
        <v/>
      </c>
      <c r="P438" s="3" t="inlineStr">
        <is>
          <t>옥산리버자이</t>
        </is>
      </c>
      <c r="Q438" s="3" t="n">
        <v>1</v>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996</v>
      </c>
      <c r="J439" s="3" t="inlineStr">
        <is>
          <t>1</t>
        </is>
      </c>
      <c r="K439" s="3" t="inlineStr">
        <is>
          <t>-</t>
        </is>
      </c>
      <c r="L439" s="3" t="inlineStr">
        <is>
          <t>청주ic 11km  오송역 6km 전력150kw 공장등록가능</t>
        </is>
      </c>
      <c r="M439" s="5">
        <f>HYPERLINK("https://fin.land.naver.com/articles/2646668314", "매물Link")</f>
        <v/>
      </c>
      <c r="N439" s="5">
        <f>HYPERLINK("https://map.naver.com/p/search/나성동 829", "지도Link")</f>
        <v/>
      </c>
      <c r="O439" s="5">
        <f>HYPERLINK("http://www.eum.go.kr/web/ar/lu/luLandDet.jsp?pnu=3611010700108290000&amp;isNoScr=script&amp;mode=search", "토지이음")</f>
        <v/>
      </c>
      <c r="P439" s="3" t="inlineStr">
        <is>
          <t>더원</t>
        </is>
      </c>
      <c r="Q439" s="3" t="n">
        <v>1</v>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1984</v>
      </c>
      <c r="J440" s="3" t="inlineStr">
        <is>
          <t>1</t>
        </is>
      </c>
      <c r="K440" s="3" t="inlineStr">
        <is>
          <t>-</t>
        </is>
      </c>
      <c r="L440" s="3" t="inlineStr">
        <is>
          <t>오송 산업단지 접근성 좋은 대형 공장 및 창고 임대</t>
        </is>
      </c>
      <c r="M440" s="5">
        <f>HYPERLINK("https://fin.land.naver.com/articles/2646668388", "매물Link")</f>
        <v/>
      </c>
      <c r="N440" s="5">
        <f>HYPERLINK("https://map.naver.com/p/search/나성동 829", "지도Link")</f>
        <v/>
      </c>
      <c r="O440" s="5">
        <f>HYPERLINK("http://www.eum.go.kr/web/ar/lu/luLandDet.jsp?pnu=3611010700108290000&amp;isNoScr=script&amp;mode=search", "토지이음")</f>
        <v/>
      </c>
      <c r="P440" s="3" t="inlineStr">
        <is>
          <t>더원</t>
        </is>
      </c>
      <c r="Q440" s="3" t="n">
        <v>1</v>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396</v>
      </c>
      <c r="J441" s="3" t="inlineStr">
        <is>
          <t>1</t>
        </is>
      </c>
      <c r="K441" s="3" t="inlineStr">
        <is>
          <t>-</t>
        </is>
      </c>
      <c r="L441" s="3" t="inlineStr">
        <is>
          <t>옥산,창고,별도사무실,호이스트3톤</t>
        </is>
      </c>
      <c r="M441" s="5">
        <f>HYPERLINK("https://fin.land.naver.com/articles/2646099179", "매물Link")</f>
        <v/>
      </c>
      <c r="N441" s="5">
        <f>HYPERLINK("https://map.naver.com/p/search/나성동 829", "지도Link")</f>
        <v/>
      </c>
      <c r="O441" s="5">
        <f>HYPERLINK("http://www.eum.go.kr/web/ar/lu/luLandDet.jsp?pnu=3611010700108290000&amp;isNoScr=script&amp;mode=search", "토지이음")</f>
        <v/>
      </c>
      <c r="P441" s="3" t="inlineStr">
        <is>
          <t>LBA리치아노합동사무소</t>
        </is>
      </c>
      <c r="Q441" s="3" t="n">
        <v>1</v>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550</v>
      </c>
      <c r="J442" s="3" t="inlineStr">
        <is>
          <t>1</t>
        </is>
      </c>
      <c r="K442" s="3" t="inlineStr">
        <is>
          <t>-</t>
        </is>
      </c>
      <c r="L442" s="3" t="inlineStr">
        <is>
          <t>옥산하이패스TG 9분거리이며 신축 식품공장가능 하수종말처리장연결</t>
        </is>
      </c>
      <c r="M442" s="5">
        <f>HYPERLINK("https://fin.land.naver.com/articles/2646668681", "매물Link")</f>
        <v/>
      </c>
      <c r="N442" s="5">
        <f>HYPERLINK("https://map.naver.com/p/search/나성동 829", "지도Link")</f>
        <v/>
      </c>
      <c r="O442" s="5">
        <f>HYPERLINK("http://www.eum.go.kr/web/ar/lu/luLandDet.jsp?pnu=3611010700108290000&amp;isNoScr=script&amp;mode=search", "토지이음")</f>
        <v/>
      </c>
      <c r="P442" s="3" t="inlineStr">
        <is>
          <t>더원</t>
        </is>
      </c>
      <c r="Q442" s="3" t="n">
        <v>1</v>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657</v>
      </c>
      <c r="J443" s="3" t="inlineStr">
        <is>
          <t>1</t>
        </is>
      </c>
      <c r="K443" s="3" t="inlineStr">
        <is>
          <t>-</t>
        </is>
      </c>
      <c r="L443" s="3" t="inlineStr">
        <is>
          <t>2차선도로변 공장 민가없고 마당넓어 야적장으로 사용하시기 적당</t>
        </is>
      </c>
      <c r="M443" s="5">
        <f>HYPERLINK("https://fin.land.naver.com/articles/2646668785", "매물Link")</f>
        <v/>
      </c>
      <c r="N443" s="5">
        <f>HYPERLINK("https://map.naver.com/p/search/나성동 829", "지도Link")</f>
        <v/>
      </c>
      <c r="O443" s="5">
        <f>HYPERLINK("http://www.eum.go.kr/web/ar/lu/luLandDet.jsp?pnu=3611010700108290000&amp;isNoScr=script&amp;mode=search", "토지이음")</f>
        <v/>
      </c>
      <c r="P443" s="3" t="inlineStr">
        <is>
          <t>더원</t>
        </is>
      </c>
      <c r="Q443" s="3" t="n">
        <v>1</v>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1963</v>
      </c>
      <c r="J444" s="3" t="inlineStr">
        <is>
          <t>1</t>
        </is>
      </c>
      <c r="K444" s="3" t="inlineStr">
        <is>
          <t>-</t>
        </is>
      </c>
      <c r="L444" s="3" t="inlineStr">
        <is>
          <t>단독공장2차선도로접  오송생명과학단지 5분거리  대형차진출입및 회차편리</t>
        </is>
      </c>
      <c r="M444" s="5">
        <f>HYPERLINK("https://fin.land.naver.com/articles/2646668842", "매물Link")</f>
        <v/>
      </c>
      <c r="N444" s="5">
        <f>HYPERLINK("https://map.naver.com/p/search/나성동 829", "지도Link")</f>
        <v/>
      </c>
      <c r="O444" s="5">
        <f>HYPERLINK("http://www.eum.go.kr/web/ar/lu/luLandDet.jsp?pnu=3611010700108290000&amp;isNoScr=script&amp;mode=search", "토지이음")</f>
        <v/>
      </c>
      <c r="P444" s="3" t="inlineStr">
        <is>
          <t>더원</t>
        </is>
      </c>
      <c r="Q444" s="3" t="n">
        <v>1</v>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185</v>
      </c>
      <c r="J445" s="3" t="inlineStr">
        <is>
          <t>1</t>
        </is>
      </c>
      <c r="K445" s="3" t="inlineStr">
        <is>
          <t>-</t>
        </is>
      </c>
      <c r="L445" s="3" t="inlineStr">
        <is>
          <t>LG로인근,제조업소및창고,2층사무실</t>
        </is>
      </c>
      <c r="M445" s="5">
        <f>HYPERLINK("https://fin.land.naver.com/articles/2646753891", "매물Link")</f>
        <v/>
      </c>
      <c r="N445" s="5">
        <f>HYPERLINK("https://map.naver.com/p/search/나성동 829", "지도Link")</f>
        <v/>
      </c>
      <c r="O445" s="5">
        <f>HYPERLINK("http://www.eum.go.kr/web/ar/lu/luLandDet.jsp?pnu=3611010700108290000&amp;isNoScr=script&amp;mode=search", "토지이음")</f>
        <v/>
      </c>
      <c r="P445" s="3" t="inlineStr">
        <is>
          <t>LBA리치아노합동사무소</t>
        </is>
      </c>
      <c r="Q445" s="3" t="n">
        <v>1</v>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553</v>
      </c>
      <c r="J446" s="3" t="inlineStr">
        <is>
          <t>1</t>
        </is>
      </c>
      <c r="K446" s="3" t="inlineStr">
        <is>
          <t>B1</t>
        </is>
      </c>
      <c r="L446" s="3" t="inlineStr">
        <is>
          <t>2차선 도로접, 강내ic 차량 5분거리</t>
        </is>
      </c>
      <c r="M446" s="5">
        <f>HYPERLINK("https://fin.land.naver.com/articles/2646801525", "매물Link")</f>
        <v/>
      </c>
      <c r="N446" s="5">
        <f>HYPERLINK("https://map.naver.com/p/search/나성동 829", "지도Link")</f>
        <v/>
      </c>
      <c r="O446" s="5">
        <f>HYPERLINK("http://www.eum.go.kr/web/ar/lu/luLandDet.jsp?pnu=3611010700108290000&amp;isNoScr=script&amp;mode=search", "토지이음")</f>
        <v/>
      </c>
      <c r="P446" s="3" t="inlineStr">
        <is>
          <t>하경</t>
        </is>
      </c>
      <c r="Q446" s="3" t="n">
        <v>1</v>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196</v>
      </c>
      <c r="J447" s="3" t="inlineStr">
        <is>
          <t>1</t>
        </is>
      </c>
      <c r="K447" s="3" t="inlineStr">
        <is>
          <t>-</t>
        </is>
      </c>
      <c r="L447" s="3" t="inlineStr">
        <is>
          <t>창고형상가전면테라스있음.시스템에어컨2대. 복층.</t>
        </is>
      </c>
      <c r="M447" s="5">
        <f>HYPERLINK("https://fin.land.naver.com/articles/2646415552", "매물Link")</f>
        <v/>
      </c>
      <c r="N447" s="5">
        <f>HYPERLINK("https://map.naver.com/p/search/나성동 829", "지도Link")</f>
        <v/>
      </c>
      <c r="O447" s="5">
        <f>HYPERLINK("http://www.eum.go.kr/web/ar/lu/luLandDet.jsp?pnu=3611010700108290000&amp;isNoScr=script&amp;mode=search", "토지이음")</f>
        <v/>
      </c>
      <c r="P447" s="3" t="inlineStr">
        <is>
          <t>옥산제일사무소</t>
        </is>
      </c>
      <c r="Q447" s="3" t="n">
        <v>1</v>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1933</v>
      </c>
      <c r="J448" s="3" t="inlineStr">
        <is>
          <t>4</t>
        </is>
      </c>
      <c r="K448" s="3" t="inlineStr">
        <is>
          <t>-</t>
        </is>
      </c>
      <c r="L448" s="3" t="inlineStr">
        <is>
          <t>오송생명과학단지 7분거리이며 2차선도로접하여 대형차 진출입원활</t>
        </is>
      </c>
      <c r="M448" s="5">
        <f>HYPERLINK("https://fin.land.naver.com/articles/2646668685", "매물Link")</f>
        <v/>
      </c>
      <c r="N448" s="5">
        <f>HYPERLINK("https://map.naver.com/p/search/나성동 829", "지도Link")</f>
        <v/>
      </c>
      <c r="O448" s="5">
        <f>HYPERLINK("http://www.eum.go.kr/web/ar/lu/luLandDet.jsp?pnu=3611010700108290000&amp;isNoScr=script&amp;mode=search", "토지이음")</f>
        <v/>
      </c>
      <c r="P448" s="3" t="inlineStr">
        <is>
          <t>더원</t>
        </is>
      </c>
      <c r="Q448" s="3" t="n">
        <v>1</v>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399</v>
      </c>
      <c r="J449" s="3" t="inlineStr">
        <is>
          <t>1</t>
        </is>
      </c>
      <c r="K449" s="3" t="inlineStr">
        <is>
          <t>-</t>
        </is>
      </c>
      <c r="L449" s="3" t="inlineStr">
        <is>
          <t>LG로인근,제조업소및창고</t>
        </is>
      </c>
      <c r="M449" s="5">
        <f>HYPERLINK("https://fin.land.naver.com/articles/2646090771", "매물Link")</f>
        <v/>
      </c>
      <c r="N449" s="5">
        <f>HYPERLINK("https://map.naver.com/p/search/나성동 829", "지도Link")</f>
        <v/>
      </c>
      <c r="O449" s="5">
        <f>HYPERLINK("http://www.eum.go.kr/web/ar/lu/luLandDet.jsp?pnu=3611010700108290000&amp;isNoScr=script&amp;mode=search", "토지이음")</f>
        <v/>
      </c>
      <c r="P449" s="3" t="inlineStr">
        <is>
          <t>LBA리치아노합동사무소</t>
        </is>
      </c>
      <c r="Q449" s="3" t="n">
        <v>1</v>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462</v>
      </c>
      <c r="J450" s="3" t="inlineStr">
        <is>
          <t>1</t>
        </is>
      </c>
      <c r="K450" s="3" t="inlineStr">
        <is>
          <t>-</t>
        </is>
      </c>
      <c r="L450" s="3" t="inlineStr">
        <is>
          <t>옥산,창고,신축,마당넓음</t>
        </is>
      </c>
      <c r="M450" s="5">
        <f>HYPERLINK("https://fin.land.naver.com/articles/2646069152", "매물Link")</f>
        <v/>
      </c>
      <c r="N450" s="5">
        <f>HYPERLINK("https://map.naver.com/p/search/나성동 829", "지도Link")</f>
        <v/>
      </c>
      <c r="O450" s="5">
        <f>HYPERLINK("http://www.eum.go.kr/web/ar/lu/luLandDet.jsp?pnu=3611010700108290000&amp;isNoScr=script&amp;mode=search", "토지이음")</f>
        <v/>
      </c>
      <c r="P450" s="3" t="inlineStr">
        <is>
          <t>LBA리치아노합동사무소</t>
        </is>
      </c>
      <c r="Q450" s="3" t="n">
        <v>1</v>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192</v>
      </c>
      <c r="J451" s="3" t="inlineStr">
        <is>
          <t>1</t>
        </is>
      </c>
      <c r="K451" s="3" t="inlineStr">
        <is>
          <t>B1</t>
        </is>
      </c>
      <c r="L451" s="3" t="inlineStr">
        <is>
          <t>nan</t>
        </is>
      </c>
      <c r="M451" s="5">
        <f>HYPERLINK("https://fin.land.naver.com/articles/2644028192", "매물Link")</f>
        <v/>
      </c>
      <c r="N451" s="5">
        <f>HYPERLINK("https://map.naver.com/p/search/나성동 829", "지도Link")</f>
        <v/>
      </c>
      <c r="O451" s="5">
        <f>HYPERLINK("http://www.eum.go.kr/web/ar/lu/luLandDet.jsp?pnu=3611010700108290000&amp;isNoScr=script&amp;mode=search", "토지이음")</f>
        <v/>
      </c>
      <c r="P451" s="3" t="inlineStr">
        <is>
          <t>옥산금정</t>
        </is>
      </c>
      <c r="Q451" s="3" t="n">
        <v>1</v>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657</v>
      </c>
      <c r="J452" s="3" t="inlineStr">
        <is>
          <t>1</t>
        </is>
      </c>
      <c r="K452" s="3" t="inlineStr">
        <is>
          <t>-</t>
        </is>
      </c>
      <c r="L452" s="3" t="inlineStr">
        <is>
          <t>야적장으로 좋고 주변에 민가 없음</t>
        </is>
      </c>
      <c r="M452" s="5">
        <f>HYPERLINK("https://fin.land.naver.com/articles/2644241356", "매물Link")</f>
        <v/>
      </c>
      <c r="N452" s="5">
        <f>HYPERLINK("https://map.naver.com/p/search/나성동 829", "지도Link")</f>
        <v/>
      </c>
      <c r="O452" s="5">
        <f>HYPERLINK("http://www.eum.go.kr/web/ar/lu/luLandDet.jsp?pnu=3611010700108290000&amp;isNoScr=script&amp;mode=search", "토지이음")</f>
        <v/>
      </c>
      <c r="P452" s="3" t="inlineStr">
        <is>
          <t>미더스</t>
        </is>
      </c>
      <c r="Q452" s="3" t="n">
        <v>1</v>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19847</v>
      </c>
      <c r="J453" s="3" t="inlineStr">
        <is>
          <t>3</t>
        </is>
      </c>
      <c r="K453" s="3" t="inlineStr">
        <is>
          <t>B1</t>
        </is>
      </c>
      <c r="L453" s="3" t="inlineStr">
        <is>
          <t>서오창ic 5분거리 크린룸,공조시설완비 화물엘리베이터설치 오창과학산업단지</t>
        </is>
      </c>
      <c r="M453" s="5">
        <f>HYPERLINK("https://fin.land.naver.com/articles/2644663333", "매물Link")</f>
        <v/>
      </c>
      <c r="N453" s="5">
        <f>HYPERLINK("https://map.naver.com/p/search/나성동 829", "지도Link")</f>
        <v/>
      </c>
      <c r="O453" s="5">
        <f>HYPERLINK("http://www.eum.go.kr/web/ar/lu/luLandDet.jsp?pnu=3611010700108290000&amp;isNoScr=script&amp;mode=search", "토지이음")</f>
        <v/>
      </c>
      <c r="P453" s="3" t="inlineStr">
        <is>
          <t>더원</t>
        </is>
      </c>
      <c r="Q453" s="3" t="n">
        <v>1</v>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1469</v>
      </c>
      <c r="J454" s="3" t="inlineStr">
        <is>
          <t>1</t>
        </is>
      </c>
      <c r="K454" s="3" t="inlineStr">
        <is>
          <t>-</t>
        </is>
      </c>
      <c r="L454" s="3" t="inlineStr">
        <is>
          <t>2차선도로접 마당넓어 대형차진출입 신축급공장 창고임대처마고8m</t>
        </is>
      </c>
      <c r="M454" s="5">
        <f>HYPERLINK("https://fin.land.naver.com/articles/2644663515", "매물Link")</f>
        <v/>
      </c>
      <c r="N454" s="5">
        <f>HYPERLINK("https://map.naver.com/p/search/나성동 829", "지도Link")</f>
        <v/>
      </c>
      <c r="O454" s="5">
        <f>HYPERLINK("http://www.eum.go.kr/web/ar/lu/luLandDet.jsp?pnu=3611010700108290000&amp;isNoScr=script&amp;mode=search", "토지이음")</f>
        <v/>
      </c>
      <c r="P454" s="3" t="inlineStr">
        <is>
          <t>더원</t>
        </is>
      </c>
      <c r="Q454" s="3" t="n">
        <v>1</v>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988</v>
      </c>
      <c r="J455" s="3" t="inlineStr">
        <is>
          <t>1</t>
        </is>
      </c>
      <c r="K455" s="3" t="inlineStr">
        <is>
          <t>-</t>
        </is>
      </c>
      <c r="L455" s="3" t="inlineStr">
        <is>
          <t>2차선도로변진입상수도 하수종말처리장연결 식품공장가능 1동 즉시사용가능</t>
        </is>
      </c>
      <c r="M455" s="5">
        <f>HYPERLINK("https://fin.land.naver.com/articles/2644707040", "매물Link")</f>
        <v/>
      </c>
      <c r="N455" s="5">
        <f>HYPERLINK("https://map.naver.com/p/search/나성동 829", "지도Link")</f>
        <v/>
      </c>
      <c r="O455" s="5">
        <f>HYPERLINK("http://www.eum.go.kr/web/ar/lu/luLandDet.jsp?pnu=3611010700108290000&amp;isNoScr=script&amp;mode=search", "토지이음")</f>
        <v/>
      </c>
      <c r="P455" s="3" t="inlineStr">
        <is>
          <t>더원</t>
        </is>
      </c>
      <c r="Q455" s="3" t="n">
        <v>1</v>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167</v>
      </c>
      <c r="J456" s="3" t="inlineStr">
        <is>
          <t>1</t>
        </is>
      </c>
      <c r="K456" s="3" t="inlineStr">
        <is>
          <t>B1</t>
        </is>
      </c>
      <c r="L456" s="3" t="inlineStr">
        <is>
          <t>옥산IC인근 창고 임대</t>
        </is>
      </c>
      <c r="M456" s="5">
        <f>HYPERLINK("https://fin.land.naver.com/articles/2645072491", "매물Link")</f>
        <v/>
      </c>
      <c r="N456" s="5">
        <f>HYPERLINK("https://map.naver.com/p/search/나성동 829", "지도Link")</f>
        <v/>
      </c>
      <c r="O456" s="5">
        <f>HYPERLINK("http://www.eum.go.kr/web/ar/lu/luLandDet.jsp?pnu=3611010700108290000&amp;isNoScr=script&amp;mode=search", "토지이음")</f>
        <v/>
      </c>
      <c r="P456" s="3" t="inlineStr">
        <is>
          <t>옥산금정</t>
        </is>
      </c>
      <c r="Q456" s="3" t="n">
        <v>1</v>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99</v>
      </c>
      <c r="J457" s="3" t="inlineStr">
        <is>
          <t>1</t>
        </is>
      </c>
      <c r="K457" s="3" t="inlineStr">
        <is>
          <t>-</t>
        </is>
      </c>
      <c r="L457" s="3" t="inlineStr">
        <is>
          <t>가락리 농업용창고및 인근 토지 일괄매매 성장관리계획구역 상세설명참조</t>
        </is>
      </c>
      <c r="M457" s="5">
        <f>HYPERLINK("https://fin.land.naver.com/articles/2645198724", "매물Link")</f>
        <v/>
      </c>
      <c r="N457" s="5">
        <f>HYPERLINK("https://map.naver.com/p/search/나성동 829", "지도Link")</f>
        <v/>
      </c>
      <c r="O457" s="5">
        <f>HYPERLINK("http://www.eum.go.kr/web/ar/lu/luLandDet.jsp?pnu=3611010700108290000&amp;isNoScr=script&amp;mode=search", "토지이음")</f>
        <v/>
      </c>
      <c r="P457" s="3" t="inlineStr">
        <is>
          <t>오송휴먼캐슬</t>
        </is>
      </c>
      <c r="Q457" s="3" t="n">
        <v>1</v>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99</v>
      </c>
      <c r="J458" s="3" t="inlineStr">
        <is>
          <t>1</t>
        </is>
      </c>
      <c r="K458" s="3" t="inlineStr">
        <is>
          <t>-</t>
        </is>
      </c>
      <c r="L458" s="3" t="inlineStr">
        <is>
          <t>가락리 계획관리 농업용창고및 인근 대지 일괄매매 상세설명참조</t>
        </is>
      </c>
      <c r="M458" s="5">
        <f>HYPERLINK("https://fin.land.naver.com/articles/2645260415", "매물Link")</f>
        <v/>
      </c>
      <c r="N458" s="5">
        <f>HYPERLINK("https://map.naver.com/p/search/나성동 829", "지도Link")</f>
        <v/>
      </c>
      <c r="O458" s="5">
        <f>HYPERLINK("http://www.eum.go.kr/web/ar/lu/luLandDet.jsp?pnu=3611010700108290000&amp;isNoScr=script&amp;mode=search", "토지이음")</f>
        <v/>
      </c>
      <c r="P458" s="3" t="inlineStr">
        <is>
          <t>오송휴먼캐슬</t>
        </is>
      </c>
      <c r="Q458" s="3" t="n">
        <v>1</v>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553</v>
      </c>
      <c r="J459" s="3" t="inlineStr">
        <is>
          <t>1</t>
        </is>
      </c>
      <c r="K459" s="3" t="inlineStr">
        <is>
          <t>-</t>
        </is>
      </c>
      <c r="L459" s="3" t="inlineStr">
        <is>
          <t>2차선도로변 접한 공장으로  대형차 진출입원활 옥산하이패스5분거리</t>
        </is>
      </c>
      <c r="M459" s="5">
        <f>HYPERLINK("https://fin.land.naver.com/articles/2648089962", "매물Link")</f>
        <v/>
      </c>
      <c r="N459" s="5">
        <f>HYPERLINK("https://map.naver.com/p/search/나성동 829", "지도Link")</f>
        <v/>
      </c>
      <c r="O459" s="5">
        <f>HYPERLINK("http://www.eum.go.kr/web/ar/lu/luLandDet.jsp?pnu=3611010700108290000&amp;isNoScr=script&amp;mode=search", "토지이음")</f>
        <v/>
      </c>
      <c r="P459" s="3" t="inlineStr">
        <is>
          <t>더원</t>
        </is>
      </c>
      <c r="Q459" s="3" t="n">
        <v>1</v>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494</v>
      </c>
      <c r="J460" s="3" t="inlineStr">
        <is>
          <t>1</t>
        </is>
      </c>
      <c r="K460" s="3" t="inlineStr">
        <is>
          <t>-</t>
        </is>
      </c>
      <c r="L460" s="3" t="inlineStr">
        <is>
          <t>호이스트 설치되어 있는 창고</t>
        </is>
      </c>
      <c r="M460" s="5">
        <f>HYPERLINK("https://fin.land.naver.com/articles/2645945997", "매물Link")</f>
        <v/>
      </c>
      <c r="N460" s="5">
        <f>HYPERLINK("https://map.naver.com/p/search/나성동 829", "지도Link")</f>
        <v/>
      </c>
      <c r="O460" s="5">
        <f>HYPERLINK("http://www.eum.go.kr/web/ar/lu/luLandDet.jsp?pnu=3611010700108290000&amp;isNoScr=script&amp;mode=search", "토지이음")</f>
        <v/>
      </c>
      <c r="P460" s="3" t="inlineStr">
        <is>
          <t>연주영</t>
        </is>
      </c>
      <c r="Q460" s="3" t="n">
        <v>1</v>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2390</v>
      </c>
      <c r="J461" s="3" t="inlineStr">
        <is>
          <t>1</t>
        </is>
      </c>
      <c r="K461" s="3" t="inlineStr">
        <is>
          <t>-</t>
        </is>
      </c>
      <c r="L461" s="3" t="inlineStr">
        <is>
          <t>nan</t>
        </is>
      </c>
      <c r="M461" s="5">
        <f>HYPERLINK("https://fin.land.naver.com/articles/2648558691", "매물Link")</f>
        <v/>
      </c>
      <c r="N461" s="5">
        <f>HYPERLINK("https://map.naver.com/p/search/나성동 829", "지도Link")</f>
        <v/>
      </c>
      <c r="O461" s="5">
        <f>HYPERLINK("http://www.eum.go.kr/web/ar/lu/luLandDet.jsp?pnu=3611010700108290000&amp;isNoScr=script&amp;mode=search", "토지이음")</f>
        <v/>
      </c>
      <c r="P461" s="3" t="inlineStr">
        <is>
          <t>정세영</t>
        </is>
      </c>
      <c r="Q461" s="3" t="n">
        <v>1</v>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99</v>
      </c>
      <c r="J462" s="3" t="inlineStr">
        <is>
          <t>1</t>
        </is>
      </c>
      <c r="K462" s="3" t="inlineStr">
        <is>
          <t>-</t>
        </is>
      </c>
      <c r="L462" s="3" t="inlineStr">
        <is>
          <t>소형창고,사무실,임대</t>
        </is>
      </c>
      <c r="M462" s="5">
        <f>HYPERLINK("https://fin.land.naver.com/articles/2648888980", "매물Link")</f>
        <v/>
      </c>
      <c r="N462" s="5">
        <f>HYPERLINK("https://map.naver.com/p/search/나성동 829", "지도Link")</f>
        <v/>
      </c>
      <c r="O462" s="5">
        <f>HYPERLINK("http://www.eum.go.kr/web/ar/lu/luLandDet.jsp?pnu=3611010700108290000&amp;isNoScr=script&amp;mode=search", "토지이음")</f>
        <v/>
      </c>
      <c r="P462" s="3" t="inlineStr">
        <is>
          <t>LBA리치아노합동사무소</t>
        </is>
      </c>
      <c r="Q462" s="3" t="n">
        <v>1</v>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987</v>
      </c>
      <c r="J463" s="3" t="inlineStr">
        <is>
          <t>1</t>
        </is>
      </c>
      <c r="K463" s="3" t="inlineStr">
        <is>
          <t>-</t>
        </is>
      </c>
      <c r="L463" s="3" t="inlineStr">
        <is>
          <t>현임대중이며 하수종말처리장 직관 식품업종 가능</t>
        </is>
      </c>
      <c r="M463" s="5">
        <f>HYPERLINK("https://fin.land.naver.com/articles/2649039009", "매물Link")</f>
        <v/>
      </c>
      <c r="N463" s="5">
        <f>HYPERLINK("https://map.naver.com/p/search/나성동 829", "지도Link")</f>
        <v/>
      </c>
      <c r="O463" s="5">
        <f>HYPERLINK("http://www.eum.go.kr/web/ar/lu/luLandDet.jsp?pnu=3611010700108290000&amp;isNoScr=script&amp;mode=search", "토지이음")</f>
        <v/>
      </c>
      <c r="P463" s="3" t="inlineStr">
        <is>
          <t>더원</t>
        </is>
      </c>
      <c r="Q463" s="3" t="n">
        <v>1</v>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404</v>
      </c>
      <c r="J464" s="3" t="inlineStr">
        <is>
          <t>1</t>
        </is>
      </c>
      <c r="K464" s="3" t="inlineStr">
        <is>
          <t>-</t>
        </is>
      </c>
      <c r="L464" s="3" t="inlineStr">
        <is>
          <t>옥산,제조업소및창고</t>
        </is>
      </c>
      <c r="M464" s="5">
        <f>HYPERLINK("https://fin.land.naver.com/articles/2649532376", "매물Link")</f>
        <v/>
      </c>
      <c r="N464" s="5">
        <f>HYPERLINK("https://map.naver.com/p/search/나성동 829", "지도Link")</f>
        <v/>
      </c>
      <c r="O464" s="5">
        <f>HYPERLINK("http://www.eum.go.kr/web/ar/lu/luLandDet.jsp?pnu=3611010700108290000&amp;isNoScr=script&amp;mode=search", "토지이음")</f>
        <v/>
      </c>
      <c r="P464" s="3" t="inlineStr">
        <is>
          <t>LBA리치아노합동사무소</t>
        </is>
      </c>
      <c r="Q464" s="3" t="n">
        <v>1</v>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475</v>
      </c>
      <c r="J465" s="3" t="inlineStr">
        <is>
          <t>1</t>
        </is>
      </c>
      <c r="K465" s="3" t="inlineStr">
        <is>
          <t>-</t>
        </is>
      </c>
      <c r="L465" s="3" t="inlineStr">
        <is>
          <t>옥산,제조업소및창고,단독</t>
        </is>
      </c>
      <c r="M465" s="5">
        <f>HYPERLINK("https://fin.land.naver.com/articles/2649533867", "매물Link")</f>
        <v/>
      </c>
      <c r="N465" s="5">
        <f>HYPERLINK("https://map.naver.com/p/search/나성동 829", "지도Link")</f>
        <v/>
      </c>
      <c r="O465" s="5">
        <f>HYPERLINK("http://www.eum.go.kr/web/ar/lu/luLandDet.jsp?pnu=3611010700108290000&amp;isNoScr=script&amp;mode=search", "토지이음")</f>
        <v/>
      </c>
      <c r="P465" s="3" t="inlineStr">
        <is>
          <t>LBA리치아노합동사무소</t>
        </is>
      </c>
      <c r="Q465" s="3" t="n">
        <v>1</v>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186</v>
      </c>
      <c r="J466" s="3" t="inlineStr">
        <is>
          <t>1</t>
        </is>
      </c>
      <c r="K466" s="3" t="inlineStr">
        <is>
          <t>-</t>
        </is>
      </c>
      <c r="L466" s="3" t="inlineStr">
        <is>
          <t>옥산,창고,임대</t>
        </is>
      </c>
      <c r="M466" s="5">
        <f>HYPERLINK("https://fin.land.naver.com/articles/2649539964", "매물Link")</f>
        <v/>
      </c>
      <c r="N466" s="5">
        <f>HYPERLINK("https://map.naver.com/p/search/나성동 829", "지도Link")</f>
        <v/>
      </c>
      <c r="O466" s="5">
        <f>HYPERLINK("http://www.eum.go.kr/web/ar/lu/luLandDet.jsp?pnu=3611010700108290000&amp;isNoScr=script&amp;mode=search", "토지이음")</f>
        <v/>
      </c>
      <c r="P466" s="3" t="inlineStr">
        <is>
          <t>LBA리치아노합동사무소</t>
        </is>
      </c>
      <c r="Q466" s="3" t="n">
        <v>1</v>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195</v>
      </c>
      <c r="J467" s="3" t="inlineStr">
        <is>
          <t>1</t>
        </is>
      </c>
      <c r="K467" s="3" t="inlineStr">
        <is>
          <t>-</t>
        </is>
      </c>
      <c r="L467" s="3" t="inlineStr">
        <is>
          <t>LG로인근,창고</t>
        </is>
      </c>
      <c r="M467" s="5">
        <f>HYPERLINK("https://fin.land.naver.com/articles/2649540535", "매물Link")</f>
        <v/>
      </c>
      <c r="N467" s="5">
        <f>HYPERLINK("https://map.naver.com/p/search/나성동 829", "지도Link")</f>
        <v/>
      </c>
      <c r="O467" s="5">
        <f>HYPERLINK("http://www.eum.go.kr/web/ar/lu/luLandDet.jsp?pnu=3611010700108290000&amp;isNoScr=script&amp;mode=search", "토지이음")</f>
        <v/>
      </c>
      <c r="P467" s="3" t="inlineStr">
        <is>
          <t>LBA리치아노합동사무소</t>
        </is>
      </c>
      <c r="Q467" s="3" t="n">
        <v>1</v>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539</v>
      </c>
      <c r="J468" s="3" t="inlineStr">
        <is>
          <t>1</t>
        </is>
      </c>
      <c r="K468" s="3" t="inlineStr">
        <is>
          <t>-</t>
        </is>
      </c>
      <c r="L468" s="3" t="inlineStr">
        <is>
          <t>오창인근 저렴한 공장매매</t>
        </is>
      </c>
      <c r="M468" s="5">
        <f>HYPERLINK("https://fin.land.naver.com/articles/2649752108", "매물Link")</f>
        <v/>
      </c>
      <c r="N468" s="5">
        <f>HYPERLINK("https://map.naver.com/p/search/나성동 829", "지도Link")</f>
        <v/>
      </c>
      <c r="O468" s="5">
        <f>HYPERLINK("http://www.eum.go.kr/web/ar/lu/luLandDet.jsp?pnu=3611010700108290000&amp;isNoScr=script&amp;mode=search", "토지이음")</f>
        <v/>
      </c>
      <c r="P468" s="3" t="inlineStr">
        <is>
          <t>학사</t>
        </is>
      </c>
      <c r="Q468" s="3" t="n">
        <v>1</v>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99</v>
      </c>
      <c r="J469" s="3" t="inlineStr">
        <is>
          <t>1</t>
        </is>
      </c>
      <c r="K469" s="3" t="inlineStr">
        <is>
          <t>-</t>
        </is>
      </c>
      <c r="L469" s="3" t="inlineStr">
        <is>
          <t>옥산면 호죽리 소형공장 임대 단독사용가능 화장실 별도 있음</t>
        </is>
      </c>
      <c r="M469" s="5">
        <f>HYPERLINK("https://fin.land.naver.com/articles/2648814317", "매물Link")</f>
        <v/>
      </c>
      <c r="N469" s="5">
        <f>HYPERLINK("https://map.naver.com/p/search/나성동 829", "지도Link")</f>
        <v/>
      </c>
      <c r="O469" s="5">
        <f>HYPERLINK("http://www.eum.go.kr/web/ar/lu/luLandDet.jsp?pnu=3611010700108290000&amp;isNoScr=script&amp;mode=search", "토지이음")</f>
        <v/>
      </c>
      <c r="P469" s="3" t="inlineStr">
        <is>
          <t>옥산리버자이</t>
        </is>
      </c>
      <c r="Q469" s="3" t="n">
        <v>1</v>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266</v>
      </c>
      <c r="J470" s="3" t="inlineStr">
        <is>
          <t>2</t>
        </is>
      </c>
      <c r="K470" s="3" t="inlineStr">
        <is>
          <t>-</t>
        </is>
      </c>
      <c r="L470" s="3" t="inlineStr">
        <is>
          <t>옥산하이패스5분거리 농수산물 시장 접근성 좋은 위치</t>
        </is>
      </c>
      <c r="M470" s="5">
        <f>HYPERLINK("https://fin.land.naver.com/articles/2649019280", "매물Link")</f>
        <v/>
      </c>
      <c r="N470" s="5">
        <f>HYPERLINK("https://map.naver.com/p/search/나성동 829", "지도Link")</f>
        <v/>
      </c>
      <c r="O470" s="5">
        <f>HYPERLINK("http://www.eum.go.kr/web/ar/lu/luLandDet.jsp?pnu=3611010700108290000&amp;isNoScr=script&amp;mode=search", "토지이음")</f>
        <v/>
      </c>
      <c r="P470" s="3" t="inlineStr">
        <is>
          <t>더원</t>
        </is>
      </c>
      <c r="Q470" s="3" t="n">
        <v>1</v>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493</v>
      </c>
      <c r="J471" s="3" t="inlineStr">
        <is>
          <t>1</t>
        </is>
      </c>
      <c r="K471" s="3" t="inlineStr">
        <is>
          <t>-</t>
        </is>
      </c>
      <c r="L471" s="3" t="inlineStr">
        <is>
          <t>북이면 용계리 2차선 도로에 접해있는 입지좋은 제2종근생입니다</t>
        </is>
      </c>
      <c r="M471" s="5">
        <f>HYPERLINK("https://fin.land.naver.com/articles/2647082961", "매물Link")</f>
        <v/>
      </c>
      <c r="N471" s="5">
        <f>HYPERLINK("https://map.naver.com/p/search/나성동 829", "지도Link")</f>
        <v/>
      </c>
      <c r="O471" s="5">
        <f>HYPERLINK("http://www.eum.go.kr/web/ar/lu/luLandDet.jsp?pnu=3611010700108290000&amp;isNoScr=script&amp;mode=search", "토지이음")</f>
        <v/>
      </c>
      <c r="P471" s="3" t="inlineStr">
        <is>
          <t>지구촌무소</t>
        </is>
      </c>
      <c r="Q471" s="3" t="n">
        <v>1</v>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2231</v>
      </c>
      <c r="J472" s="3" t="inlineStr">
        <is>
          <t>1</t>
        </is>
      </c>
      <c r="K472" s="3" t="inlineStr">
        <is>
          <t>-</t>
        </is>
      </c>
      <c r="L472" s="3" t="inlineStr">
        <is>
          <t>청주공항 인근</t>
        </is>
      </c>
      <c r="M472" s="5">
        <f>HYPERLINK("https://fin.land.naver.com/articles/2648163541", "매물Link")</f>
        <v/>
      </c>
      <c r="N472" s="5">
        <f>HYPERLINK("https://map.naver.com/p/search/나성동 829", "지도Link")</f>
        <v/>
      </c>
      <c r="O472" s="5">
        <f>HYPERLINK("http://www.eum.go.kr/web/ar/lu/luLandDet.jsp?pnu=3611010700108290000&amp;isNoScr=script&amp;mode=search", "토지이음")</f>
        <v/>
      </c>
      <c r="P472" s="3" t="inlineStr">
        <is>
          <t>주성</t>
        </is>
      </c>
      <c r="Q472" s="3" t="n">
        <v>2</v>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990</v>
      </c>
      <c r="J473" s="3" t="inlineStr">
        <is>
          <t>1</t>
        </is>
      </c>
      <c r="K473" s="3" t="inlineStr">
        <is>
          <t>-</t>
        </is>
      </c>
      <c r="L473" s="3" t="inlineStr">
        <is>
          <t>소규모 공장 추천
증평IC와 인접해 있어 물류 이동 및 대형 차량 진</t>
        </is>
      </c>
      <c r="M473" s="5">
        <f>HYPERLINK("https://fin.land.naver.com/articles/2648271716", "매물Link")</f>
        <v/>
      </c>
      <c r="N473" s="5">
        <f>HYPERLINK("https://map.naver.com/p/search/나성동 829", "지도Link")</f>
        <v/>
      </c>
      <c r="O473" s="5">
        <f>HYPERLINK("http://www.eum.go.kr/web/ar/lu/luLandDet.jsp?pnu=3611010700108290000&amp;isNoScr=script&amp;mode=search", "토지이음")</f>
        <v/>
      </c>
      <c r="P473" s="3" t="inlineStr">
        <is>
          <t>신영</t>
        </is>
      </c>
      <c r="Q473" s="3" t="n">
        <v>1</v>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3212</v>
      </c>
      <c r="J474" s="3" t="inlineStr">
        <is>
          <t>1</t>
        </is>
      </c>
      <c r="K474" s="3" t="inlineStr">
        <is>
          <t>-</t>
        </is>
      </c>
      <c r="L474" s="3" t="inlineStr">
        <is>
          <t>공장 5개동, 제조업 또는 물류센터 등으로 입지 양호</t>
        </is>
      </c>
      <c r="M474" s="5">
        <f>HYPERLINK("https://fin.land.naver.com/articles/2649845025", "매물Link")</f>
        <v/>
      </c>
      <c r="N474" s="5">
        <f>HYPERLINK("https://map.naver.com/p/search/나성동 829", "지도Link")</f>
        <v/>
      </c>
      <c r="O474" s="5">
        <f>HYPERLINK("http://www.eum.go.kr/web/ar/lu/luLandDet.jsp?pnu=3611010700108290000&amp;isNoScr=script&amp;mode=search", "토지이음")</f>
        <v/>
      </c>
      <c r="P474" s="3" t="inlineStr">
        <is>
          <t>도깨비</t>
        </is>
      </c>
      <c r="Q474" s="3" t="n">
        <v>1</v>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254</v>
      </c>
      <c r="J475" s="3" t="inlineStr">
        <is>
          <t>1</t>
        </is>
      </c>
      <c r="K475" s="3" t="inlineStr">
        <is>
          <t>-</t>
        </is>
      </c>
      <c r="L475" s="3" t="inlineStr">
        <is>
          <t>nan</t>
        </is>
      </c>
      <c r="M475" s="5">
        <f>HYPERLINK("https://fin.land.naver.com/articles/2646692310", "매물Link")</f>
        <v/>
      </c>
      <c r="N475" s="5">
        <f>HYPERLINK("https://map.naver.com/p/search/나성동 829", "지도Link")</f>
        <v/>
      </c>
      <c r="O475" s="5">
        <f>HYPERLINK("http://www.eum.go.kr/web/ar/lu/luLandDet.jsp?pnu=3611010700108290000&amp;isNoScr=script&amp;mode=search", "토지이음")</f>
        <v/>
      </c>
      <c r="P475" s="3" t="inlineStr">
        <is>
          <t>공상배</t>
        </is>
      </c>
      <c r="Q475" s="3" t="n">
        <v>1</v>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560184</v>
      </c>
      <c r="J476" s="3" t="inlineStr">
        <is>
          <t>1</t>
        </is>
      </c>
      <c r="K476" s="3" t="inlineStr">
        <is>
          <t>-</t>
        </is>
      </c>
      <c r="L476" s="3" t="inlineStr">
        <is>
          <t>nan</t>
        </is>
      </c>
      <c r="M476" s="5">
        <f>HYPERLINK("https://fin.land.naver.com/articles/2644755548", "매물Link")</f>
        <v/>
      </c>
      <c r="N476" s="5">
        <f>HYPERLINK("https://map.naver.com/p/search/나성동 829", "지도Link")</f>
        <v/>
      </c>
      <c r="O476" s="5">
        <f>HYPERLINK("http://www.eum.go.kr/web/ar/lu/luLandDet.jsp?pnu=3611010700108290000&amp;isNoScr=script&amp;mode=search", "토지이음")</f>
        <v/>
      </c>
      <c r="P476" s="3" t="inlineStr">
        <is>
          <t>땅야박영수사무소</t>
        </is>
      </c>
      <c r="Q476" s="3" t="n">
        <v>1</v>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1987</v>
      </c>
      <c r="J477" s="3" t="inlineStr">
        <is>
          <t>1</t>
        </is>
      </c>
      <c r="K477" s="3" t="inlineStr">
        <is>
          <t>-</t>
        </is>
      </c>
      <c r="L477" s="3" t="inlineStr">
        <is>
          <t>nan</t>
        </is>
      </c>
      <c r="M477" s="5">
        <f>HYPERLINK("https://fin.land.naver.com/articles/2649921638", "매물Link")</f>
        <v/>
      </c>
      <c r="N477" s="5">
        <f>HYPERLINK("https://map.naver.com/p/search/나성동 829", "지도Link")</f>
        <v/>
      </c>
      <c r="O477" s="5">
        <f>HYPERLINK("http://www.eum.go.kr/web/ar/lu/luLandDet.jsp?pnu=3611010700108290000&amp;isNoScr=script&amp;mode=search", "토지이음")</f>
        <v/>
      </c>
      <c r="P477" s="3" t="inlineStr">
        <is>
          <t>상생</t>
        </is>
      </c>
      <c r="Q477" s="3" t="n">
        <v>1</v>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432</v>
      </c>
      <c r="J478" s="3" t="inlineStr">
        <is>
          <t>1</t>
        </is>
      </c>
      <c r="K478" s="3" t="inlineStr">
        <is>
          <t>-</t>
        </is>
      </c>
      <c r="L478" s="3" t="inlineStr">
        <is>
          <t>1.전통식품(장류)공장적지 2.각종체험관 3.수공예제작 체험관</t>
        </is>
      </c>
      <c r="M478" s="5">
        <f>HYPERLINK("https://fin.land.naver.com/articles/2646407217", "매물Link")</f>
        <v/>
      </c>
      <c r="N478" s="5">
        <f>HYPERLINK("https://map.naver.com/p/search/나성동 829", "지도Link")</f>
        <v/>
      </c>
      <c r="O478" s="5">
        <f>HYPERLINK("http://www.eum.go.kr/web/ar/lu/luLandDet.jsp?pnu=3611010700108290000&amp;isNoScr=script&amp;mode=search", "토지이음")</f>
        <v/>
      </c>
      <c r="P478" s="3" t="inlineStr">
        <is>
          <t>명동</t>
        </is>
      </c>
      <c r="Q478" s="3" t="n">
        <v>1</v>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324</v>
      </c>
      <c r="J479" s="3" t="inlineStr">
        <is>
          <t>1</t>
        </is>
      </c>
      <c r="K479" s="3" t="inlineStr">
        <is>
          <t>-</t>
        </is>
      </c>
      <c r="L479" s="3" t="inlineStr">
        <is>
          <t>사진, 탄천IC5분, 물품창고, 층고5m, 대형차진입</t>
        </is>
      </c>
      <c r="M479" s="5">
        <f>HYPERLINK("https://fin.land.naver.com/articles/2649589429", "매물Link")</f>
        <v/>
      </c>
      <c r="N479" s="5">
        <f>HYPERLINK("https://map.naver.com/p/search/나성동 829", "지도Link")</f>
        <v/>
      </c>
      <c r="O479" s="5">
        <f>HYPERLINK("http://www.eum.go.kr/web/ar/lu/luLandDet.jsp?pnu=3611010700108290000&amp;isNoScr=script&amp;mode=search", "토지이음")</f>
        <v/>
      </c>
      <c r="P479" s="3" t="inlineStr">
        <is>
          <t>OK허니</t>
        </is>
      </c>
      <c r="Q479" s="3" t="n">
        <v>1</v>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826</v>
      </c>
      <c r="J480" s="3" t="inlineStr">
        <is>
          <t>1</t>
        </is>
      </c>
      <c r="K480" s="3" t="inlineStr">
        <is>
          <t>-</t>
        </is>
      </c>
      <c r="L480" s="3" t="inlineStr">
        <is>
          <t>2차선도로 길게 접한 창고형 공장 2개동 및 사무실</t>
        </is>
      </c>
      <c r="M480" s="5">
        <f>HYPERLINK("https://fin.land.naver.com/articles/2645625280", "매물Link")</f>
        <v/>
      </c>
      <c r="N480" s="5">
        <f>HYPERLINK("https://map.naver.com/p/search/나성동 829", "지도Link")</f>
        <v/>
      </c>
      <c r="O480" s="5">
        <f>HYPERLINK("http://www.eum.go.kr/web/ar/lu/luLandDet.jsp?pnu=3611010700108290000&amp;isNoScr=script&amp;mode=search", "토지이음")</f>
        <v/>
      </c>
      <c r="P480" s="3" t="inlineStr">
        <is>
          <t>세종소담114</t>
        </is>
      </c>
      <c r="Q480" s="3" t="n">
        <v>1</v>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2632</v>
      </c>
      <c r="J481" s="3" t="inlineStr">
        <is>
          <t>1</t>
        </is>
      </c>
      <c r="K481" s="3" t="inlineStr">
        <is>
          <t>-</t>
        </is>
      </c>
      <c r="L481" s="3" t="inlineStr">
        <is>
          <t>탄천IC차량시간 3분대 진입 창고 월세</t>
        </is>
      </c>
      <c r="M481" s="5">
        <f>HYPERLINK("https://fin.land.naver.com/articles/2647332188", "매물Link")</f>
        <v/>
      </c>
      <c r="N481" s="5">
        <f>HYPERLINK("https://map.naver.com/p/search/나성동 829", "지도Link")</f>
        <v/>
      </c>
      <c r="O481" s="5">
        <f>HYPERLINK("http://www.eum.go.kr/web/ar/lu/luLandDet.jsp?pnu=3611010700108290000&amp;isNoScr=script&amp;mode=search", "토지이음")</f>
        <v/>
      </c>
      <c r="P481" s="3" t="inlineStr">
        <is>
          <t>미래로</t>
        </is>
      </c>
      <c r="Q481" s="3" t="n">
        <v>2</v>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205</v>
      </c>
      <c r="J482" s="3" t="inlineStr">
        <is>
          <t>1</t>
        </is>
      </c>
      <c r="K482" s="3" t="inlineStr">
        <is>
          <t>-</t>
        </is>
      </c>
      <c r="L482" s="3" t="inlineStr">
        <is>
          <t>사진, 서세종IC5분, 2차선변, 넓은마당, 층고6m, 대형차가능</t>
        </is>
      </c>
      <c r="M482" s="5">
        <f>HYPERLINK("https://fin.land.naver.com/articles/2648413450", "매물Link")</f>
        <v/>
      </c>
      <c r="N482" s="5">
        <f>HYPERLINK("https://map.naver.com/p/search/나성동 829", "지도Link")</f>
        <v/>
      </c>
      <c r="O482" s="5">
        <f>HYPERLINK("http://www.eum.go.kr/web/ar/lu/luLandDet.jsp?pnu=3611010700108290000&amp;isNoScr=script&amp;mode=search", "토지이음")</f>
        <v/>
      </c>
      <c r="P482" s="3" t="inlineStr">
        <is>
          <t>OK허니</t>
        </is>
      </c>
      <c r="Q482" s="3" t="n">
        <v>1</v>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198</v>
      </c>
      <c r="J483" s="3" t="inlineStr">
        <is>
          <t>1</t>
        </is>
      </c>
      <c r="K483" s="3" t="inlineStr">
        <is>
          <t>-</t>
        </is>
      </c>
      <c r="L483" s="3" t="inlineStr">
        <is>
          <t>사진, 서세종IC3분,4차선도로변,광고효과,마당넓음,단독사용,12월입주</t>
        </is>
      </c>
      <c r="M483" s="5">
        <f>HYPERLINK("https://fin.land.naver.com/articles/2648424460", "매물Link")</f>
        <v/>
      </c>
      <c r="N483" s="5">
        <f>HYPERLINK("https://map.naver.com/p/search/나성동 829", "지도Link")</f>
        <v/>
      </c>
      <c r="O483" s="5">
        <f>HYPERLINK("http://www.eum.go.kr/web/ar/lu/luLandDet.jsp?pnu=3611010700108290000&amp;isNoScr=script&amp;mode=search", "토지이음")</f>
        <v/>
      </c>
      <c r="P483" s="3" t="inlineStr">
        <is>
          <t>OK허니</t>
        </is>
      </c>
      <c r="Q483" s="3" t="n">
        <v>1</v>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726</v>
      </c>
      <c r="J484" s="3" t="inlineStr">
        <is>
          <t>1</t>
        </is>
      </c>
      <c r="K484" s="3" t="inlineStr">
        <is>
          <t>-</t>
        </is>
      </c>
      <c r="L484" s="3" t="inlineStr">
        <is>
          <t>nan</t>
        </is>
      </c>
      <c r="M484" s="5">
        <f>HYPERLINK("https://fin.land.naver.com/articles/2645312711", "매물Link")</f>
        <v/>
      </c>
      <c r="N484" s="5">
        <f>HYPERLINK("https://map.naver.com/p/search/나성동 829", "지도Link")</f>
        <v/>
      </c>
      <c r="O484" s="5">
        <f>HYPERLINK("http://www.eum.go.kr/web/ar/lu/luLandDet.jsp?pnu=3611010700108290000&amp;isNoScr=script&amp;mode=search", "토지이음")</f>
        <v/>
      </c>
      <c r="P484" s="3" t="inlineStr">
        <is>
          <t>마당발</t>
        </is>
      </c>
      <c r="Q484" s="3" t="n">
        <v>1</v>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75</v>
      </c>
      <c r="J485" s="3" t="inlineStr">
        <is>
          <t>1</t>
        </is>
      </c>
      <c r="K485" s="3" t="inlineStr">
        <is>
          <t>-</t>
        </is>
      </c>
      <c r="L485" s="3" t="inlineStr">
        <is>
          <t>일반창고및 저온창고 공장용도 전체 다가능</t>
        </is>
      </c>
      <c r="M485" s="5">
        <f>HYPERLINK("https://fin.land.naver.com/articles/2645872938", "매물Link")</f>
        <v/>
      </c>
      <c r="N485" s="5">
        <f>HYPERLINK("https://map.naver.com/p/search/나성동 829", "지도Link")</f>
        <v/>
      </c>
      <c r="O485" s="5">
        <f>HYPERLINK("http://www.eum.go.kr/web/ar/lu/luLandDet.jsp?pnu=3611010700108290000&amp;isNoScr=script&amp;mode=search", "토지이음")</f>
        <v/>
      </c>
      <c r="P485" s="3" t="inlineStr">
        <is>
          <t>마당발</t>
        </is>
      </c>
      <c r="Q485" s="3" t="n">
        <v>1</v>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194</v>
      </c>
      <c r="J486" s="3" t="inlineStr">
        <is>
          <t>1</t>
        </is>
      </c>
      <c r="K486" s="3" t="inlineStr">
        <is>
          <t>-</t>
        </is>
      </c>
      <c r="L486" s="3" t="inlineStr">
        <is>
          <t>nan</t>
        </is>
      </c>
      <c r="M486" s="5">
        <f>HYPERLINK("https://fin.land.naver.com/articles/2648201160", "매물Link")</f>
        <v/>
      </c>
      <c r="N486" s="5">
        <f>HYPERLINK("https://map.naver.com/p/search/나성동 829", "지도Link")</f>
        <v/>
      </c>
      <c r="O486" s="5">
        <f>HYPERLINK("http://www.eum.go.kr/web/ar/lu/luLandDet.jsp?pnu=3611010700108290000&amp;isNoScr=script&amp;mode=search", "토지이음")</f>
        <v/>
      </c>
      <c r="P486" s="3" t="inlineStr">
        <is>
          <t>쾌재</t>
        </is>
      </c>
      <c r="Q486" s="3" t="n">
        <v>1</v>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420</v>
      </c>
      <c r="J487" s="3" t="inlineStr">
        <is>
          <t>1</t>
        </is>
      </c>
      <c r="K487" s="3" t="inlineStr">
        <is>
          <t>-</t>
        </is>
      </c>
      <c r="L487" s="3" t="inlineStr">
        <is>
          <t>북이면사무소 소재지에서 1Km내에 위치함.</t>
        </is>
      </c>
      <c r="M487" s="5">
        <f>HYPERLINK("https://fin.land.naver.com/articles/2644079534", "매물Link")</f>
        <v/>
      </c>
      <c r="N487" s="5">
        <f>HYPERLINK("https://map.naver.com/p/search/나성동 829", "지도Link")</f>
        <v/>
      </c>
      <c r="O487" s="5">
        <f>HYPERLINK("http://www.eum.go.kr/web/ar/lu/luLandDet.jsp?pnu=3611010700108290000&amp;isNoScr=script&amp;mode=search", "토지이음")</f>
        <v/>
      </c>
      <c r="P487" s="3" t="inlineStr">
        <is>
          <t>교차로</t>
        </is>
      </c>
      <c r="Q487" s="3" t="n">
        <v>1</v>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479</v>
      </c>
      <c r="J488" s="3" t="inlineStr">
        <is>
          <t>1</t>
        </is>
      </c>
      <c r="K488" s="3" t="inlineStr">
        <is>
          <t>-</t>
        </is>
      </c>
      <c r="L488" s="3" t="inlineStr">
        <is>
          <t>증평ic5분거리 신축공장 층고7m 2종근생제조업 ,창고가능</t>
        </is>
      </c>
      <c r="M488" s="5">
        <f>HYPERLINK("https://fin.land.naver.com/articles/2644663308", "매물Link")</f>
        <v/>
      </c>
      <c r="N488" s="5">
        <f>HYPERLINK("https://map.naver.com/p/search/나성동 829", "지도Link")</f>
        <v/>
      </c>
      <c r="O488" s="5">
        <f>HYPERLINK("http://www.eum.go.kr/web/ar/lu/luLandDet.jsp?pnu=3611010700108290000&amp;isNoScr=script&amp;mode=search", "토지이음")</f>
        <v/>
      </c>
      <c r="P488" s="3" t="inlineStr">
        <is>
          <t>더원</t>
        </is>
      </c>
      <c r="Q488" s="3" t="n">
        <v>1</v>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6937</v>
      </c>
      <c r="J489" s="3" t="inlineStr">
        <is>
          <t>3</t>
        </is>
      </c>
      <c r="K489" s="3" t="inlineStr">
        <is>
          <t>-</t>
        </is>
      </c>
      <c r="L489" s="3" t="inlineStr">
        <is>
          <t>오창과학단지내 크린룸시설,유틸리티시설 보유</t>
        </is>
      </c>
      <c r="M489" s="5">
        <f>HYPERLINK("https://fin.land.naver.com/articles/2646745878", "매물Link")</f>
        <v/>
      </c>
      <c r="N489" s="5">
        <f>HYPERLINK("https://map.naver.com/p/search/나성동 829", "지도Link")</f>
        <v/>
      </c>
      <c r="O489" s="5">
        <f>HYPERLINK("http://www.eum.go.kr/web/ar/lu/luLandDet.jsp?pnu=3611010700108290000&amp;isNoScr=script&amp;mode=search", "토지이음")</f>
        <v/>
      </c>
      <c r="P489" s="3" t="inlineStr">
        <is>
          <t>공장365</t>
        </is>
      </c>
      <c r="Q489" s="3" t="n">
        <v>1</v>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182</v>
      </c>
      <c r="J490" s="3" t="inlineStr">
        <is>
          <t>1</t>
        </is>
      </c>
      <c r="K490" s="3" t="inlineStr">
        <is>
          <t>-</t>
        </is>
      </c>
      <c r="L490" s="3" t="inlineStr">
        <is>
          <t>오창,창고</t>
        </is>
      </c>
      <c r="M490" s="5">
        <f>HYPERLINK("https://fin.land.naver.com/articles/2646771255", "매물Link")</f>
        <v/>
      </c>
      <c r="N490" s="5">
        <f>HYPERLINK("https://map.naver.com/p/search/나성동 829", "지도Link")</f>
        <v/>
      </c>
      <c r="O490" s="5">
        <f>HYPERLINK("http://www.eum.go.kr/web/ar/lu/luLandDet.jsp?pnu=3611010700108290000&amp;isNoScr=script&amp;mode=search", "토지이음")</f>
        <v/>
      </c>
      <c r="P490" s="3" t="inlineStr">
        <is>
          <t>LBA리치아노합동사무소</t>
        </is>
      </c>
      <c r="Q490" s="3" t="n">
        <v>1</v>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198</v>
      </c>
      <c r="J491" s="3" t="inlineStr">
        <is>
          <t>1</t>
        </is>
      </c>
      <c r="K491" s="3" t="inlineStr">
        <is>
          <t>-</t>
        </is>
      </c>
      <c r="L491" s="3" t="inlineStr">
        <is>
          <t>오창과학단지인근,제조업소및창고,신축,마당넓음</t>
        </is>
      </c>
      <c r="M491" s="5">
        <f>HYPERLINK("https://fin.land.naver.com/articles/2646783248", "매물Link")</f>
        <v/>
      </c>
      <c r="N491" s="5">
        <f>HYPERLINK("https://map.naver.com/p/search/나성동 829", "지도Link")</f>
        <v/>
      </c>
      <c r="O491" s="5">
        <f>HYPERLINK("http://www.eum.go.kr/web/ar/lu/luLandDet.jsp?pnu=3611010700108290000&amp;isNoScr=script&amp;mode=search", "토지이음")</f>
        <v/>
      </c>
      <c r="P491" s="3" t="inlineStr">
        <is>
          <t>LBA리치아노합동사무소</t>
        </is>
      </c>
      <c r="Q491" s="3" t="n">
        <v>1</v>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197</v>
      </c>
      <c r="J492" s="3" t="inlineStr">
        <is>
          <t>1</t>
        </is>
      </c>
      <c r="K492" s="3" t="inlineStr">
        <is>
          <t>-</t>
        </is>
      </c>
      <c r="L492" s="3" t="inlineStr">
        <is>
          <t>오창,창고</t>
        </is>
      </c>
      <c r="M492" s="5">
        <f>HYPERLINK("https://fin.land.naver.com/articles/2646798844", "매물Link")</f>
        <v/>
      </c>
      <c r="N492" s="5">
        <f>HYPERLINK("https://map.naver.com/p/search/나성동 829", "지도Link")</f>
        <v/>
      </c>
      <c r="O492" s="5">
        <f>HYPERLINK("http://www.eum.go.kr/web/ar/lu/luLandDet.jsp?pnu=3611010700108290000&amp;isNoScr=script&amp;mode=search", "토지이음")</f>
        <v/>
      </c>
      <c r="P492" s="3" t="inlineStr">
        <is>
          <t>LBA리치아노합동사무소</t>
        </is>
      </c>
      <c r="Q492" s="3" t="n">
        <v>1</v>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2165</v>
      </c>
      <c r="J493" s="3" t="inlineStr">
        <is>
          <t>3</t>
        </is>
      </c>
      <c r="K493" s="3" t="inlineStr">
        <is>
          <t>-</t>
        </is>
      </c>
      <c r="L493" s="3" t="inlineStr">
        <is>
          <t>대형차 진출입 용이한 증평IC 인근 공장, 동력600kw</t>
        </is>
      </c>
      <c r="M493" s="5">
        <f>HYPERLINK("https://fin.land.naver.com/articles/2646886511", "매물Link")</f>
        <v/>
      </c>
      <c r="N493" s="5">
        <f>HYPERLINK("https://map.naver.com/p/search/나성동 829", "지도Link")</f>
        <v/>
      </c>
      <c r="O493" s="5">
        <f>HYPERLINK("http://www.eum.go.kr/web/ar/lu/luLandDet.jsp?pnu=3611010700108290000&amp;isNoScr=script&amp;mode=search", "토지이음")</f>
        <v/>
      </c>
      <c r="P493" s="3" t="inlineStr">
        <is>
          <t>(주)미르</t>
        </is>
      </c>
      <c r="Q493" s="3" t="n">
        <v>1</v>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470</v>
      </c>
      <c r="J494" s="3" t="inlineStr">
        <is>
          <t>1</t>
        </is>
      </c>
      <c r="K494" s="3" t="inlineStr">
        <is>
          <t>-</t>
        </is>
      </c>
      <c r="L494" s="3" t="inlineStr">
        <is>
          <t>오창과학단지인근 호이스트2.8톤2기 전기80키로 마당넓음</t>
        </is>
      </c>
      <c r="M494" s="5">
        <f>HYPERLINK("https://fin.land.naver.com/articles/2647432690", "매물Link")</f>
        <v/>
      </c>
      <c r="N494" s="5">
        <f>HYPERLINK("https://map.naver.com/p/search/나성동 829", "지도Link")</f>
        <v/>
      </c>
      <c r="O494" s="5">
        <f>HYPERLINK("http://www.eum.go.kr/web/ar/lu/luLandDet.jsp?pnu=3611010700108290000&amp;isNoScr=script&amp;mode=search", "토지이음")</f>
        <v/>
      </c>
      <c r="P494" s="3" t="inlineStr">
        <is>
          <t>공장365</t>
        </is>
      </c>
      <c r="Q494" s="3" t="n">
        <v>1</v>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626</v>
      </c>
      <c r="J495" s="3" t="inlineStr">
        <is>
          <t>1</t>
        </is>
      </c>
      <c r="K495" s="3" t="inlineStr">
        <is>
          <t>-</t>
        </is>
      </c>
      <c r="L495" s="3" t="inlineStr">
        <is>
          <t>오창과학단지생활권,오창,증평i,c 10분 위치 저렴한임대료,전기,호이스트</t>
        </is>
      </c>
      <c r="M495" s="5">
        <f>HYPERLINK("https://fin.land.naver.com/articles/2646741789", "매물Link")</f>
        <v/>
      </c>
      <c r="N495" s="5">
        <f>HYPERLINK("https://map.naver.com/p/search/나성동 829", "지도Link")</f>
        <v/>
      </c>
      <c r="O495" s="5">
        <f>HYPERLINK("http://www.eum.go.kr/web/ar/lu/luLandDet.jsp?pnu=3611010700108290000&amp;isNoScr=script&amp;mode=search", "토지이음")</f>
        <v/>
      </c>
      <c r="P495" s="3" t="inlineStr">
        <is>
          <t>공장365</t>
        </is>
      </c>
      <c r="Q495" s="3" t="n">
        <v>1</v>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432</v>
      </c>
      <c r="J496" s="3" t="inlineStr">
        <is>
          <t>1</t>
        </is>
      </c>
      <c r="K496" s="3" t="inlineStr">
        <is>
          <t>-</t>
        </is>
      </c>
      <c r="L496" s="3" t="inlineStr">
        <is>
          <t>오창과학단지 인근 공장 임대 저렴한 가격 민원발생 없는곳 넓은 주차장</t>
        </is>
      </c>
      <c r="M496" s="5">
        <f>HYPERLINK("https://fin.land.naver.com/articles/2646658189", "매물Link")</f>
        <v/>
      </c>
      <c r="N496" s="5">
        <f>HYPERLINK("https://map.naver.com/p/search/나성동 829", "지도Link")</f>
        <v/>
      </c>
      <c r="O496" s="5">
        <f>HYPERLINK("http://www.eum.go.kr/web/ar/lu/luLandDet.jsp?pnu=3611010700108290000&amp;isNoScr=script&amp;mode=search", "토지이음")</f>
        <v/>
      </c>
      <c r="P496" s="3" t="inlineStr">
        <is>
          <t>옥산리버자이</t>
        </is>
      </c>
      <c r="Q496" s="3" t="n">
        <v>1</v>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1425</v>
      </c>
      <c r="J497" s="3" t="inlineStr">
        <is>
          <t>1</t>
        </is>
      </c>
      <c r="K497" s="3" t="inlineStr">
        <is>
          <t>-</t>
        </is>
      </c>
      <c r="L497" s="3" t="inlineStr">
        <is>
          <t>오창,사무실,창고</t>
        </is>
      </c>
      <c r="M497" s="5">
        <f>HYPERLINK("https://fin.land.naver.com/articles/2648115724", "매물Link")</f>
        <v/>
      </c>
      <c r="N497" s="5">
        <f>HYPERLINK("https://map.naver.com/p/search/나성동 829", "지도Link")</f>
        <v/>
      </c>
      <c r="O497" s="5">
        <f>HYPERLINK("http://www.eum.go.kr/web/ar/lu/luLandDet.jsp?pnu=3611010700108290000&amp;isNoScr=script&amp;mode=search", "토지이음")</f>
        <v/>
      </c>
      <c r="P497" s="3" t="inlineStr">
        <is>
          <t>LBA리치아노합동사무소</t>
        </is>
      </c>
      <c r="Q497" s="3" t="n">
        <v>1</v>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3250</v>
      </c>
      <c r="J498" s="3" t="inlineStr">
        <is>
          <t>1</t>
        </is>
      </c>
      <c r="K498" s="3" t="inlineStr">
        <is>
          <t>-</t>
        </is>
      </c>
      <c r="L498" s="3" t="inlineStr">
        <is>
          <t>오창,공장및창고,임대,전력500KW</t>
        </is>
      </c>
      <c r="M498" s="5">
        <f>HYPERLINK("https://fin.land.naver.com/articles/2648117021", "매물Link")</f>
        <v/>
      </c>
      <c r="N498" s="5">
        <f>HYPERLINK("https://map.naver.com/p/search/나성동 829", "지도Link")</f>
        <v/>
      </c>
      <c r="O498" s="5">
        <f>HYPERLINK("http://www.eum.go.kr/web/ar/lu/luLandDet.jsp?pnu=3611010700108290000&amp;isNoScr=script&amp;mode=search", "토지이음")</f>
        <v/>
      </c>
      <c r="P498" s="3" t="inlineStr">
        <is>
          <t>LBA리치아노합동사무소</t>
        </is>
      </c>
      <c r="Q498" s="3" t="n">
        <v>1</v>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490</v>
      </c>
      <c r="J499" s="3" t="inlineStr">
        <is>
          <t>1</t>
        </is>
      </c>
      <c r="K499" s="3" t="inlineStr">
        <is>
          <t>-</t>
        </is>
      </c>
      <c r="L499" s="3" t="inlineStr">
        <is>
          <t>오창,공장및창고</t>
        </is>
      </c>
      <c r="M499" s="5">
        <f>HYPERLINK("https://fin.land.naver.com/articles/2648117618", "매물Link")</f>
        <v/>
      </c>
      <c r="N499" s="5">
        <f>HYPERLINK("https://map.naver.com/p/search/나성동 829", "지도Link")</f>
        <v/>
      </c>
      <c r="O499" s="5">
        <f>HYPERLINK("http://www.eum.go.kr/web/ar/lu/luLandDet.jsp?pnu=3611010700108290000&amp;isNoScr=script&amp;mode=search", "토지이음")</f>
        <v/>
      </c>
      <c r="P499" s="3" t="inlineStr">
        <is>
          <t>LBA리치아노합동사무소</t>
        </is>
      </c>
      <c r="Q499" s="3" t="n">
        <v>1</v>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112</v>
      </c>
      <c r="J500" s="3" t="inlineStr">
        <is>
          <t>1</t>
        </is>
      </c>
      <c r="K500" s="3" t="inlineStr">
        <is>
          <t>-</t>
        </is>
      </c>
      <c r="L500" s="3" t="inlineStr">
        <is>
          <t>오창,소형,제조업소및창고</t>
        </is>
      </c>
      <c r="M500" s="5">
        <f>HYPERLINK("https://fin.land.naver.com/articles/2648118789", "매물Link")</f>
        <v/>
      </c>
      <c r="N500" s="5">
        <f>HYPERLINK("https://map.naver.com/p/search/나성동 829", "지도Link")</f>
        <v/>
      </c>
      <c r="O500" s="5">
        <f>HYPERLINK("http://www.eum.go.kr/web/ar/lu/luLandDet.jsp?pnu=3611010700108290000&amp;isNoScr=script&amp;mode=search", "토지이음")</f>
        <v/>
      </c>
      <c r="P500" s="3" t="inlineStr">
        <is>
          <t>LBA리치아노합동사무소</t>
        </is>
      </c>
      <c r="Q500" s="3" t="n">
        <v>1</v>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237</v>
      </c>
      <c r="J501" s="3" t="inlineStr">
        <is>
          <t>1</t>
        </is>
      </c>
      <c r="K501" s="3" t="inlineStr">
        <is>
          <t>-</t>
        </is>
      </c>
      <c r="L501" s="3" t="inlineStr">
        <is>
          <t>오창,공장및창고</t>
        </is>
      </c>
      <c r="M501" s="5">
        <f>HYPERLINK("https://fin.land.naver.com/articles/2648120102", "매물Link")</f>
        <v/>
      </c>
      <c r="N501" s="5">
        <f>HYPERLINK("https://map.naver.com/p/search/나성동 829", "지도Link")</f>
        <v/>
      </c>
      <c r="O501" s="5">
        <f>HYPERLINK("http://www.eum.go.kr/web/ar/lu/luLandDet.jsp?pnu=3611010700108290000&amp;isNoScr=script&amp;mode=search", "토지이음")</f>
        <v/>
      </c>
      <c r="P501" s="3" t="inlineStr">
        <is>
          <t>LBA리치아노합동사무소</t>
        </is>
      </c>
      <c r="Q501" s="3" t="n">
        <v>1</v>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325</v>
      </c>
      <c r="J502" s="3" t="inlineStr">
        <is>
          <t>1</t>
        </is>
      </c>
      <c r="K502" s="3" t="inlineStr">
        <is>
          <t>-</t>
        </is>
      </c>
      <c r="L502" s="3" t="inlineStr">
        <is>
          <t>오창,창고,신축</t>
        </is>
      </c>
      <c r="M502" s="5">
        <f>HYPERLINK("https://fin.land.naver.com/articles/2646721665", "매물Link")</f>
        <v/>
      </c>
      <c r="N502" s="5">
        <f>HYPERLINK("https://map.naver.com/p/search/나성동 829", "지도Link")</f>
        <v/>
      </c>
      <c r="O502" s="5">
        <f>HYPERLINK("http://www.eum.go.kr/web/ar/lu/luLandDet.jsp?pnu=3611010700108290000&amp;isNoScr=script&amp;mode=search", "토지이음")</f>
        <v/>
      </c>
      <c r="P502" s="3" t="inlineStr">
        <is>
          <t>LBA리치아노합동사무소</t>
        </is>
      </c>
      <c r="Q502" s="3" t="n">
        <v>1</v>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493</v>
      </c>
      <c r="J503" s="3" t="inlineStr">
        <is>
          <t>1</t>
        </is>
      </c>
      <c r="K503" s="3" t="inlineStr">
        <is>
          <t>-</t>
        </is>
      </c>
      <c r="L503" s="3" t="inlineStr">
        <is>
          <t>오창,공장,임대</t>
        </is>
      </c>
      <c r="M503" s="5">
        <f>HYPERLINK("https://fin.land.naver.com/articles/2646707584", "매물Link")</f>
        <v/>
      </c>
      <c r="N503" s="5">
        <f>HYPERLINK("https://map.naver.com/p/search/나성동 829", "지도Link")</f>
        <v/>
      </c>
      <c r="O503" s="5">
        <f>HYPERLINK("http://www.eum.go.kr/web/ar/lu/luLandDet.jsp?pnu=3611010700108290000&amp;isNoScr=script&amp;mode=search", "토지이음")</f>
        <v/>
      </c>
      <c r="P503" s="3" t="inlineStr">
        <is>
          <t>LBA리치아노합동사무소</t>
        </is>
      </c>
      <c r="Q503" s="3" t="n">
        <v>1</v>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197</v>
      </c>
      <c r="J504" s="3" t="inlineStr">
        <is>
          <t>1</t>
        </is>
      </c>
      <c r="K504" s="3" t="inlineStr">
        <is>
          <t>-</t>
        </is>
      </c>
      <c r="L504" s="3" t="inlineStr">
        <is>
          <t>오창,창고,광고효과좋음</t>
        </is>
      </c>
      <c r="M504" s="5">
        <f>HYPERLINK("https://fin.land.naver.com/articles/2646703633", "매물Link")</f>
        <v/>
      </c>
      <c r="N504" s="5">
        <f>HYPERLINK("https://map.naver.com/p/search/나성동 829", "지도Link")</f>
        <v/>
      </c>
      <c r="O504" s="5">
        <f>HYPERLINK("http://www.eum.go.kr/web/ar/lu/luLandDet.jsp?pnu=3611010700108290000&amp;isNoScr=script&amp;mode=search", "토지이음")</f>
        <v/>
      </c>
      <c r="P504" s="3" t="inlineStr">
        <is>
          <t>LBA리치아노합동사무소</t>
        </is>
      </c>
      <c r="Q504" s="3" t="n">
        <v>1</v>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822</v>
      </c>
      <c r="J505" s="3" t="inlineStr">
        <is>
          <t>1</t>
        </is>
      </c>
      <c r="K505" s="3" t="inlineStr">
        <is>
          <t>-</t>
        </is>
      </c>
      <c r="L505" s="3" t="inlineStr">
        <is>
          <t>오창,창고,마당넓음,입주협의</t>
        </is>
      </c>
      <c r="M505" s="5">
        <f>HYPERLINK("https://fin.land.naver.com/articles/2646128736", "매물Link")</f>
        <v/>
      </c>
      <c r="N505" s="5">
        <f>HYPERLINK("https://map.naver.com/p/search/나성동 829", "지도Link")</f>
        <v/>
      </c>
      <c r="O505" s="5">
        <f>HYPERLINK("http://www.eum.go.kr/web/ar/lu/luLandDet.jsp?pnu=3611010700108290000&amp;isNoScr=script&amp;mode=search", "토지이음")</f>
        <v/>
      </c>
      <c r="P505" s="3" t="inlineStr">
        <is>
          <t>LBA리치아노합동사무소</t>
        </is>
      </c>
      <c r="Q505" s="3" t="n">
        <v>1</v>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1818</v>
      </c>
      <c r="J506" s="3" t="inlineStr">
        <is>
          <t>1</t>
        </is>
      </c>
      <c r="K506" s="3" t="inlineStr">
        <is>
          <t>-</t>
        </is>
      </c>
      <c r="L506" s="3" t="inlineStr">
        <is>
          <t>서오창i,c 바로인접 물류창고 오창과학단지생활권 위치최적</t>
        </is>
      </c>
      <c r="M506" s="5">
        <f>HYPERLINK("https://fin.land.naver.com/articles/2646361168", "매물Link")</f>
        <v/>
      </c>
      <c r="N506" s="5">
        <f>HYPERLINK("https://map.naver.com/p/search/나성동 829", "지도Link")</f>
        <v/>
      </c>
      <c r="O506" s="5">
        <f>HYPERLINK("http://www.eum.go.kr/web/ar/lu/luLandDet.jsp?pnu=3611010700108290000&amp;isNoScr=script&amp;mode=search", "토지이음")</f>
        <v/>
      </c>
      <c r="P506" s="3" t="inlineStr">
        <is>
          <t>공장365</t>
        </is>
      </c>
      <c r="Q506" s="3" t="n">
        <v>1</v>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87605</v>
      </c>
      <c r="J507" s="3" t="inlineStr">
        <is>
          <t>4</t>
        </is>
      </c>
      <c r="K507" s="3" t="inlineStr">
        <is>
          <t>B1</t>
        </is>
      </c>
      <c r="L507" s="3" t="inlineStr">
        <is>
          <t>오창ic,서오창ic 5분거리 대형차진출입용이 신축대형창고 상온창고 냉동창</t>
        </is>
      </c>
      <c r="M507" s="5">
        <f>HYPERLINK("https://fin.land.naver.com/articles/2646667970", "매물Link")</f>
        <v/>
      </c>
      <c r="N507" s="5">
        <f>HYPERLINK("https://map.naver.com/p/search/나성동 829", "지도Link")</f>
        <v/>
      </c>
      <c r="O507" s="5">
        <f>HYPERLINK("http://www.eum.go.kr/web/ar/lu/luLandDet.jsp?pnu=3611010700108290000&amp;isNoScr=script&amp;mode=search", "토지이음")</f>
        <v/>
      </c>
      <c r="P507" s="3" t="inlineStr">
        <is>
          <t>더원</t>
        </is>
      </c>
      <c r="Q507" s="3" t="n">
        <v>1</v>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970</v>
      </c>
      <c r="J508" s="3" t="inlineStr">
        <is>
          <t>1</t>
        </is>
      </c>
      <c r="K508" s="3" t="inlineStr">
        <is>
          <t>-</t>
        </is>
      </c>
      <c r="L508" s="3" t="inlineStr">
        <is>
          <t>오창ic 4분 시내 접근성 좋은 위치의 공장 매매</t>
        </is>
      </c>
      <c r="M508" s="5">
        <f>HYPERLINK("https://fin.land.naver.com/articles/2646668149", "매물Link")</f>
        <v/>
      </c>
      <c r="N508" s="5">
        <f>HYPERLINK("https://map.naver.com/p/search/나성동 829", "지도Link")</f>
        <v/>
      </c>
      <c r="O508" s="5">
        <f>HYPERLINK("http://www.eum.go.kr/web/ar/lu/luLandDet.jsp?pnu=3611010700108290000&amp;isNoScr=script&amp;mode=search", "토지이음")</f>
        <v/>
      </c>
      <c r="P508" s="3" t="inlineStr">
        <is>
          <t>더원</t>
        </is>
      </c>
      <c r="Q508" s="3" t="n">
        <v>1</v>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485</v>
      </c>
      <c r="J509" s="3" t="inlineStr">
        <is>
          <t>1</t>
        </is>
      </c>
      <c r="K509" s="3" t="inlineStr">
        <is>
          <t>-</t>
        </is>
      </c>
      <c r="L509" s="3" t="inlineStr">
        <is>
          <t>오창ic 4분 공장등록 가능 2종근생 제조업이나 창고가능</t>
        </is>
      </c>
      <c r="M509" s="5">
        <f>HYPERLINK("https://fin.land.naver.com/articles/2646668251", "매물Link")</f>
        <v/>
      </c>
      <c r="N509" s="5">
        <f>HYPERLINK("https://map.naver.com/p/search/나성동 829", "지도Link")</f>
        <v/>
      </c>
      <c r="O509" s="5">
        <f>HYPERLINK("http://www.eum.go.kr/web/ar/lu/luLandDet.jsp?pnu=3611010700108290000&amp;isNoScr=script&amp;mode=search", "토지이음")</f>
        <v/>
      </c>
      <c r="P509" s="3" t="inlineStr">
        <is>
          <t>더원</t>
        </is>
      </c>
      <c r="Q509" s="3" t="n">
        <v>1</v>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485</v>
      </c>
      <c r="J510" s="3" t="inlineStr">
        <is>
          <t>1</t>
        </is>
      </c>
      <c r="K510" s="3" t="inlineStr">
        <is>
          <t>-</t>
        </is>
      </c>
      <c r="L510" s="3" t="inlineStr">
        <is>
          <t>오창ic 4분 공장등록가능  대형 트레일러 진출입 원활</t>
        </is>
      </c>
      <c r="M510" s="5">
        <f>HYPERLINK("https://fin.land.naver.com/articles/2646668274", "매물Link")</f>
        <v/>
      </c>
      <c r="N510" s="5">
        <f>HYPERLINK("https://map.naver.com/p/search/나성동 829", "지도Link")</f>
        <v/>
      </c>
      <c r="O510" s="5">
        <f>HYPERLINK("http://www.eum.go.kr/web/ar/lu/luLandDet.jsp?pnu=3611010700108290000&amp;isNoScr=script&amp;mode=search", "토지이음")</f>
        <v/>
      </c>
      <c r="P510" s="3" t="inlineStr">
        <is>
          <t>더원</t>
        </is>
      </c>
      <c r="Q510" s="3" t="n">
        <v>1</v>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901</v>
      </c>
      <c r="J511" s="3" t="inlineStr">
        <is>
          <t>1</t>
        </is>
      </c>
      <c r="K511" s="3" t="inlineStr">
        <is>
          <t>-</t>
        </is>
      </c>
      <c r="L511" s="3" t="inlineStr">
        <is>
          <t>오창ic 4분거리 단독 1층 내부사무실 2차선도로 대형차진출입가능</t>
        </is>
      </c>
      <c r="M511" s="5">
        <f>HYPERLINK("https://fin.land.naver.com/articles/2646668276", "매물Link")</f>
        <v/>
      </c>
      <c r="N511" s="5">
        <f>HYPERLINK("https://map.naver.com/p/search/나성동 829", "지도Link")</f>
        <v/>
      </c>
      <c r="O511" s="5">
        <f>HYPERLINK("http://www.eum.go.kr/web/ar/lu/luLandDet.jsp?pnu=3611010700108290000&amp;isNoScr=script&amp;mode=search", "토지이음")</f>
        <v/>
      </c>
      <c r="P511" s="3" t="inlineStr">
        <is>
          <t>더원</t>
        </is>
      </c>
      <c r="Q511" s="3" t="n">
        <v>1</v>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485</v>
      </c>
      <c r="J512" s="3" t="inlineStr">
        <is>
          <t>1</t>
        </is>
      </c>
      <c r="K512" s="3" t="inlineStr">
        <is>
          <t>-</t>
        </is>
      </c>
      <c r="L512" s="3" t="inlineStr">
        <is>
          <t>오창ic 4분 시내 접근성 좋은 위치의 공장매매</t>
        </is>
      </c>
      <c r="M512" s="5">
        <f>HYPERLINK("https://fin.land.naver.com/articles/2646668287", "매물Link")</f>
        <v/>
      </c>
      <c r="N512" s="5">
        <f>HYPERLINK("https://map.naver.com/p/search/나성동 829", "지도Link")</f>
        <v/>
      </c>
      <c r="O512" s="5">
        <f>HYPERLINK("http://www.eum.go.kr/web/ar/lu/luLandDet.jsp?pnu=3611010700108290000&amp;isNoScr=script&amp;mode=search", "토지이음")</f>
        <v/>
      </c>
      <c r="P512" s="3" t="inlineStr">
        <is>
          <t>더원</t>
        </is>
      </c>
      <c r="Q512" s="3" t="n">
        <v>1</v>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970</v>
      </c>
      <c r="J513" s="3" t="inlineStr">
        <is>
          <t>1</t>
        </is>
      </c>
      <c r="K513" s="3" t="inlineStr">
        <is>
          <t>-</t>
        </is>
      </c>
      <c r="L513" s="3" t="inlineStr">
        <is>
          <t>오창ic 4분 공장등록 가능한 공장 및 창고가능</t>
        </is>
      </c>
      <c r="M513" s="5">
        <f>HYPERLINK("https://fin.land.naver.com/articles/2646668344", "매물Link")</f>
        <v/>
      </c>
      <c r="N513" s="5">
        <f>HYPERLINK("https://map.naver.com/p/search/나성동 829", "지도Link")</f>
        <v/>
      </c>
      <c r="O513" s="5">
        <f>HYPERLINK("http://www.eum.go.kr/web/ar/lu/luLandDet.jsp?pnu=3611010700108290000&amp;isNoScr=script&amp;mode=search", "토지이음")</f>
        <v/>
      </c>
      <c r="P513" s="3" t="inlineStr">
        <is>
          <t>더원</t>
        </is>
      </c>
      <c r="Q513" s="3" t="n">
        <v>1</v>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984</v>
      </c>
      <c r="J514" s="3" t="inlineStr">
        <is>
          <t>1</t>
        </is>
      </c>
      <c r="K514" s="3" t="inlineStr">
        <is>
          <t>-</t>
        </is>
      </c>
      <c r="L514" s="3" t="inlineStr">
        <is>
          <t>오창ic 4분 단독공장으로 야적장 및 주차편리</t>
        </is>
      </c>
      <c r="M514" s="5">
        <f>HYPERLINK("https://fin.land.naver.com/articles/2646668375", "매물Link")</f>
        <v/>
      </c>
      <c r="N514" s="5">
        <f>HYPERLINK("https://map.naver.com/p/search/나성동 829", "지도Link")</f>
        <v/>
      </c>
      <c r="O514" s="5">
        <f>HYPERLINK("http://www.eum.go.kr/web/ar/lu/luLandDet.jsp?pnu=3611010700108290000&amp;isNoScr=script&amp;mode=search", "토지이음")</f>
        <v/>
      </c>
      <c r="P514" s="3" t="inlineStr">
        <is>
          <t>더원</t>
        </is>
      </c>
      <c r="Q514" s="3" t="n">
        <v>1</v>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485</v>
      </c>
      <c r="J515" s="3" t="inlineStr">
        <is>
          <t>1</t>
        </is>
      </c>
      <c r="K515" s="3" t="inlineStr">
        <is>
          <t>-</t>
        </is>
      </c>
      <c r="L515" s="3" t="inlineStr">
        <is>
          <t>오창ic 4분 시내권 접근성 최상 수도권 및 타지역으로 물류이동 편리</t>
        </is>
      </c>
      <c r="M515" s="5">
        <f>HYPERLINK("https://fin.land.naver.com/articles/2646668399", "매물Link")</f>
        <v/>
      </c>
      <c r="N515" s="5">
        <f>HYPERLINK("https://map.naver.com/p/search/나성동 829", "지도Link")</f>
        <v/>
      </c>
      <c r="O515" s="5">
        <f>HYPERLINK("http://www.eum.go.kr/web/ar/lu/luLandDet.jsp?pnu=3611010700108290000&amp;isNoScr=script&amp;mode=search", "토지이음")</f>
        <v/>
      </c>
      <c r="P515" s="3" t="inlineStr">
        <is>
          <t>더원</t>
        </is>
      </c>
      <c r="Q515" s="3" t="n">
        <v>1</v>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2132</v>
      </c>
      <c r="J516" s="3" t="inlineStr">
        <is>
          <t>1</t>
        </is>
      </c>
      <c r="K516" s="3" t="inlineStr">
        <is>
          <t>-</t>
        </is>
      </c>
      <c r="L516" s="3" t="inlineStr">
        <is>
          <t>증평ic 4분거리 고속도로접근성이 좋아 물류운송시 탁월한 위치의 공장</t>
        </is>
      </c>
      <c r="M516" s="5">
        <f>HYPERLINK("https://fin.land.naver.com/articles/2646668977", "매물Link")</f>
        <v/>
      </c>
      <c r="N516" s="5">
        <f>HYPERLINK("https://map.naver.com/p/search/나성동 829", "지도Link")</f>
        <v/>
      </c>
      <c r="O516" s="5">
        <f>HYPERLINK("http://www.eum.go.kr/web/ar/lu/luLandDet.jsp?pnu=3611010700108290000&amp;isNoScr=script&amp;mode=search", "토지이음")</f>
        <v/>
      </c>
      <c r="P516" s="3" t="inlineStr">
        <is>
          <t>더원</t>
        </is>
      </c>
      <c r="Q516" s="3" t="n">
        <v>1</v>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447</v>
      </c>
      <c r="J517" s="3" t="inlineStr">
        <is>
          <t>1</t>
        </is>
      </c>
      <c r="K517" s="3" t="inlineStr">
        <is>
          <t>-</t>
        </is>
      </c>
      <c r="L517" s="3" t="inlineStr">
        <is>
          <t>신축 호이스트3톤 오폐수직관 하수종말처리장 식품공장가능 전력 15kw</t>
        </is>
      </c>
      <c r="M517" s="5">
        <f>HYPERLINK("https://fin.land.naver.com/articles/2646669481", "매물Link")</f>
        <v/>
      </c>
      <c r="N517" s="5">
        <f>HYPERLINK("https://map.naver.com/p/search/나성동 829", "지도Link")</f>
        <v/>
      </c>
      <c r="O517" s="5">
        <f>HYPERLINK("http://www.eum.go.kr/web/ar/lu/luLandDet.jsp?pnu=3611010700108290000&amp;isNoScr=script&amp;mode=search", "토지이음")</f>
        <v/>
      </c>
      <c r="P517" s="3" t="inlineStr">
        <is>
          <t>더원</t>
        </is>
      </c>
      <c r="Q517" s="3" t="n">
        <v>1</v>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780</v>
      </c>
      <c r="J518" s="3" t="inlineStr">
        <is>
          <t>1</t>
        </is>
      </c>
      <c r="K518" s="3" t="inlineStr">
        <is>
          <t>-</t>
        </is>
      </c>
      <c r="L518" s="3" t="inlineStr">
        <is>
          <t>오창ic5분거리  신축급 창고, 소매점 등 추천</t>
        </is>
      </c>
      <c r="M518" s="5">
        <f>HYPERLINK("https://fin.land.naver.com/articles/2646669643", "매물Link")</f>
        <v/>
      </c>
      <c r="N518" s="5">
        <f>HYPERLINK("https://map.naver.com/p/search/나성동 829", "지도Link")</f>
        <v/>
      </c>
      <c r="O518" s="5">
        <f>HYPERLINK("http://www.eum.go.kr/web/ar/lu/luLandDet.jsp?pnu=3611010700108290000&amp;isNoScr=script&amp;mode=search", "토지이음")</f>
        <v/>
      </c>
      <c r="P518" s="3" t="inlineStr">
        <is>
          <t>더원</t>
        </is>
      </c>
      <c r="Q518" s="3" t="n">
        <v>1</v>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495</v>
      </c>
      <c r="J519" s="3" t="inlineStr">
        <is>
          <t>1</t>
        </is>
      </c>
      <c r="K519" s="3" t="inlineStr">
        <is>
          <t>-</t>
        </is>
      </c>
      <c r="L519" s="3" t="inlineStr">
        <is>
          <t>단독공장 오창산업단지인근  공장.창고임대</t>
        </is>
      </c>
      <c r="M519" s="5">
        <f>HYPERLINK("https://fin.land.naver.com/articles/2646670079", "매물Link")</f>
        <v/>
      </c>
      <c r="N519" s="5">
        <f>HYPERLINK("https://map.naver.com/p/search/나성동 829", "지도Link")</f>
        <v/>
      </c>
      <c r="O519" s="5">
        <f>HYPERLINK("http://www.eum.go.kr/web/ar/lu/luLandDet.jsp?pnu=3611010700108290000&amp;isNoScr=script&amp;mode=search", "토지이음")</f>
        <v/>
      </c>
      <c r="P519" s="3" t="inlineStr">
        <is>
          <t>더원</t>
        </is>
      </c>
      <c r="Q519" s="3" t="n">
        <v>1</v>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129</v>
      </c>
      <c r="J520" s="3" t="inlineStr">
        <is>
          <t>1</t>
        </is>
      </c>
      <c r="K520" s="3" t="inlineStr">
        <is>
          <t>-</t>
        </is>
      </c>
      <c r="L520" s="3" t="inlineStr">
        <is>
          <t>오창,창고,광고효과좋음</t>
        </is>
      </c>
      <c r="M520" s="5">
        <f>HYPERLINK("https://fin.land.naver.com/articles/2646701342", "매물Link")</f>
        <v/>
      </c>
      <c r="N520" s="5">
        <f>HYPERLINK("https://map.naver.com/p/search/나성동 829", "지도Link")</f>
        <v/>
      </c>
      <c r="O520" s="5">
        <f>HYPERLINK("http://www.eum.go.kr/web/ar/lu/luLandDet.jsp?pnu=3611010700108290000&amp;isNoScr=script&amp;mode=search", "토지이음")</f>
        <v/>
      </c>
      <c r="P520" s="3" t="inlineStr">
        <is>
          <t>LBA리치아노합동사무소</t>
        </is>
      </c>
      <c r="Q520" s="3" t="n">
        <v>1</v>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950</v>
      </c>
      <c r="J521" s="3" t="inlineStr">
        <is>
          <t>1</t>
        </is>
      </c>
      <c r="K521" s="3" t="inlineStr">
        <is>
          <t>-</t>
        </is>
      </c>
      <c r="L521" s="3" t="inlineStr">
        <is>
          <t>오창,공장및창고,호이스트</t>
        </is>
      </c>
      <c r="M521" s="5">
        <f>HYPERLINK("https://fin.land.naver.com/articles/2648123975", "매물Link")</f>
        <v/>
      </c>
      <c r="N521" s="5">
        <f>HYPERLINK("https://map.naver.com/p/search/나성동 829", "지도Link")</f>
        <v/>
      </c>
      <c r="O521" s="5">
        <f>HYPERLINK("http://www.eum.go.kr/web/ar/lu/luLandDet.jsp?pnu=3611010700108290000&amp;isNoScr=script&amp;mode=search", "토지이음")</f>
        <v/>
      </c>
      <c r="P521" s="3" t="inlineStr">
        <is>
          <t>LBA리치아노합동사무소</t>
        </is>
      </c>
      <c r="Q521" s="3" t="n">
        <v>1</v>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342</v>
      </c>
      <c r="J522" s="3" t="inlineStr">
        <is>
          <t>1</t>
        </is>
      </c>
      <c r="K522" s="3" t="inlineStr">
        <is>
          <t>-</t>
        </is>
      </c>
      <c r="L522" s="3" t="inlineStr">
        <is>
          <t>오창,창고</t>
        </is>
      </c>
      <c r="M522" s="5">
        <f>HYPERLINK("https://fin.land.naver.com/articles/2648124551", "매물Link")</f>
        <v/>
      </c>
      <c r="N522" s="5">
        <f>HYPERLINK("https://map.naver.com/p/search/나성동 829", "지도Link")</f>
        <v/>
      </c>
      <c r="O522" s="5">
        <f>HYPERLINK("http://www.eum.go.kr/web/ar/lu/luLandDet.jsp?pnu=3611010700108290000&amp;isNoScr=script&amp;mode=search", "토지이음")</f>
        <v/>
      </c>
      <c r="P522" s="3" t="inlineStr">
        <is>
          <t>LBA리치아노합동사무소</t>
        </is>
      </c>
      <c r="Q522" s="3" t="n">
        <v>1</v>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2164</v>
      </c>
      <c r="J523" s="3" t="inlineStr">
        <is>
          <t>1</t>
        </is>
      </c>
      <c r="K523" s="3" t="inlineStr">
        <is>
          <t>-</t>
        </is>
      </c>
      <c r="L523" s="3" t="inlineStr">
        <is>
          <t>오창,공장,임대</t>
        </is>
      </c>
      <c r="M523" s="5">
        <f>HYPERLINK("https://fin.land.naver.com/articles/2648127758", "매물Link")</f>
        <v/>
      </c>
      <c r="N523" s="5">
        <f>HYPERLINK("https://map.naver.com/p/search/나성동 829", "지도Link")</f>
        <v/>
      </c>
      <c r="O523" s="5">
        <f>HYPERLINK("http://www.eum.go.kr/web/ar/lu/luLandDet.jsp?pnu=3611010700108290000&amp;isNoScr=script&amp;mode=search", "토지이음")</f>
        <v/>
      </c>
      <c r="P523" s="3" t="inlineStr">
        <is>
          <t>LBA리치아노합동사무소</t>
        </is>
      </c>
      <c r="Q523" s="3" t="n">
        <v>1</v>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3255</v>
      </c>
      <c r="J524" s="3" t="inlineStr">
        <is>
          <t>1</t>
        </is>
      </c>
      <c r="K524" s="3" t="inlineStr">
        <is>
          <t>-</t>
        </is>
      </c>
      <c r="L524" s="3" t="inlineStr">
        <is>
          <t>오창,공장및창고,임대</t>
        </is>
      </c>
      <c r="M524" s="5">
        <f>HYPERLINK("https://fin.land.naver.com/articles/2648130710", "매물Link")</f>
        <v/>
      </c>
      <c r="N524" s="5">
        <f>HYPERLINK("https://map.naver.com/p/search/나성동 829", "지도Link")</f>
        <v/>
      </c>
      <c r="O524" s="5">
        <f>HYPERLINK("http://www.eum.go.kr/web/ar/lu/luLandDet.jsp?pnu=3611010700108290000&amp;isNoScr=script&amp;mode=search", "토지이음")</f>
        <v/>
      </c>
      <c r="P524" s="3" t="inlineStr">
        <is>
          <t>LBA리치아노합동사무소</t>
        </is>
      </c>
      <c r="Q524" s="3" t="n">
        <v>1</v>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419</v>
      </c>
      <c r="J525" s="3" t="inlineStr">
        <is>
          <t>1</t>
        </is>
      </c>
      <c r="K525" s="3" t="inlineStr">
        <is>
          <t>-</t>
        </is>
      </c>
      <c r="L525" s="3" t="inlineStr">
        <is>
          <t>오창,공장및창고</t>
        </is>
      </c>
      <c r="M525" s="5">
        <f>HYPERLINK("https://fin.land.naver.com/articles/2649538783", "매물Link")</f>
        <v/>
      </c>
      <c r="N525" s="5">
        <f>HYPERLINK("https://map.naver.com/p/search/나성동 829", "지도Link")</f>
        <v/>
      </c>
      <c r="O525" s="5">
        <f>HYPERLINK("http://www.eum.go.kr/web/ar/lu/luLandDet.jsp?pnu=3611010700108290000&amp;isNoScr=script&amp;mode=search", "토지이음")</f>
        <v/>
      </c>
      <c r="P525" s="3" t="inlineStr">
        <is>
          <t>LBA리치아노합동사무소</t>
        </is>
      </c>
      <c r="Q525" s="3" t="n">
        <v>1</v>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1489</v>
      </c>
      <c r="J526" s="3" t="inlineStr">
        <is>
          <t>2</t>
        </is>
      </c>
      <c r="K526" s="3" t="inlineStr">
        <is>
          <t>-</t>
        </is>
      </c>
      <c r="L526" s="3" t="inlineStr">
        <is>
          <t>오창 산업단지 층고 높고 마당 넓은 공장.다양한업종 가능</t>
        </is>
      </c>
      <c r="M526" s="5">
        <f>HYPERLINK("https://fin.land.naver.com/articles/2649672245", "매물Link")</f>
        <v/>
      </c>
      <c r="N526" s="5">
        <f>HYPERLINK("https://map.naver.com/p/search/나성동 829", "지도Link")</f>
        <v/>
      </c>
      <c r="O526" s="5">
        <f>HYPERLINK("http://www.eum.go.kr/web/ar/lu/luLandDet.jsp?pnu=3611010700108290000&amp;isNoScr=script&amp;mode=search", "토지이음")</f>
        <v/>
      </c>
      <c r="P526" s="3" t="inlineStr">
        <is>
          <t>더원</t>
        </is>
      </c>
      <c r="Q526" s="3" t="n">
        <v>1</v>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334</v>
      </c>
      <c r="J527" s="3" t="inlineStr">
        <is>
          <t>1</t>
        </is>
      </c>
      <c r="K527" s="3" t="inlineStr">
        <is>
          <t>-</t>
        </is>
      </c>
      <c r="L527" s="3" t="inlineStr">
        <is>
          <t>오창,제조업소및창고</t>
        </is>
      </c>
      <c r="M527" s="5">
        <f>HYPERLINK("https://fin.land.naver.com/articles/2649538527", "매물Link")</f>
        <v/>
      </c>
      <c r="N527" s="5">
        <f>HYPERLINK("https://map.naver.com/p/search/나성동 829", "지도Link")</f>
        <v/>
      </c>
      <c r="O527" s="5">
        <f>HYPERLINK("http://www.eum.go.kr/web/ar/lu/luLandDet.jsp?pnu=3611010700108290000&amp;isNoScr=script&amp;mode=search", "토지이음")</f>
        <v/>
      </c>
      <c r="P527" s="3" t="inlineStr">
        <is>
          <t>LBA리치아노합동사무소</t>
        </is>
      </c>
      <c r="Q527" s="3" t="n">
        <v>1</v>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671</v>
      </c>
      <c r="J528" s="3" t="inlineStr">
        <is>
          <t>1</t>
        </is>
      </c>
      <c r="K528" s="3" t="inlineStr">
        <is>
          <t>-</t>
        </is>
      </c>
      <c r="L528" s="3" t="inlineStr">
        <is>
          <t>오창,공장및창고,호이스트,전력100kw</t>
        </is>
      </c>
      <c r="M528" s="5">
        <f>HYPERLINK("https://fin.land.naver.com/articles/2646110540", "매물Link")</f>
        <v/>
      </c>
      <c r="N528" s="5">
        <f>HYPERLINK("https://map.naver.com/p/search/나성동 829", "지도Link")</f>
        <v/>
      </c>
      <c r="O528" s="5">
        <f>HYPERLINK("http://www.eum.go.kr/web/ar/lu/luLandDet.jsp?pnu=3611010700108290000&amp;isNoScr=script&amp;mode=search", "토지이음")</f>
        <v/>
      </c>
      <c r="P528" s="3" t="inlineStr">
        <is>
          <t>LBA리치아노합동사무소</t>
        </is>
      </c>
      <c r="Q528" s="3" t="n">
        <v>1</v>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149</v>
      </c>
      <c r="J529" s="3" t="inlineStr">
        <is>
          <t>1</t>
        </is>
      </c>
      <c r="K529" s="3" t="inlineStr">
        <is>
          <t>-</t>
        </is>
      </c>
      <c r="L529" s="3" t="inlineStr">
        <is>
          <t>오창,소형창고,내부사무실</t>
        </is>
      </c>
      <c r="M529" s="5">
        <f>HYPERLINK("https://fin.land.naver.com/articles/2649535085", "매물Link")</f>
        <v/>
      </c>
      <c r="N529" s="5">
        <f>HYPERLINK("https://map.naver.com/p/search/나성동 829", "지도Link")</f>
        <v/>
      </c>
      <c r="O529" s="5">
        <f>HYPERLINK("http://www.eum.go.kr/web/ar/lu/luLandDet.jsp?pnu=3611010700108290000&amp;isNoScr=script&amp;mode=search", "토지이음")</f>
        <v/>
      </c>
      <c r="P529" s="3" t="inlineStr">
        <is>
          <t>LBA리치아노합동사무소</t>
        </is>
      </c>
      <c r="Q529" s="3" t="n">
        <v>1</v>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501</v>
      </c>
      <c r="J530" s="3" t="inlineStr">
        <is>
          <t>1</t>
        </is>
      </c>
      <c r="K530" s="3" t="inlineStr">
        <is>
          <t>-</t>
        </is>
      </c>
      <c r="L530" s="3" t="inlineStr">
        <is>
          <t>오창,공장,호이스트3톤,별도사무동</t>
        </is>
      </c>
      <c r="M530" s="5">
        <f>HYPERLINK("https://fin.land.naver.com/articles/2649532221", "매물Link")</f>
        <v/>
      </c>
      <c r="N530" s="5">
        <f>HYPERLINK("https://map.naver.com/p/search/나성동 829", "지도Link")</f>
        <v/>
      </c>
      <c r="O530" s="5">
        <f>HYPERLINK("http://www.eum.go.kr/web/ar/lu/luLandDet.jsp?pnu=3611010700108290000&amp;isNoScr=script&amp;mode=search", "토지이음")</f>
        <v/>
      </c>
      <c r="P530" s="3" t="inlineStr">
        <is>
          <t>LBA리치아노합동사무소</t>
        </is>
      </c>
      <c r="Q530" s="3" t="n">
        <v>1</v>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489</v>
      </c>
      <c r="J531" s="3" t="inlineStr">
        <is>
          <t>1</t>
        </is>
      </c>
      <c r="K531" s="3" t="inlineStr">
        <is>
          <t>-</t>
        </is>
      </c>
      <c r="L531" s="3" t="inlineStr">
        <is>
          <t>오창,제조업소및창고,호이스트3톤,2층사무실,입주협의</t>
        </is>
      </c>
      <c r="M531" s="5">
        <f>HYPERLINK("https://fin.land.naver.com/articles/2648132638", "매물Link")</f>
        <v/>
      </c>
      <c r="N531" s="5">
        <f>HYPERLINK("https://map.naver.com/p/search/나성동 829", "지도Link")</f>
        <v/>
      </c>
      <c r="O531" s="5">
        <f>HYPERLINK("http://www.eum.go.kr/web/ar/lu/luLandDet.jsp?pnu=3611010700108290000&amp;isNoScr=script&amp;mode=search", "토지이음")</f>
        <v/>
      </c>
      <c r="P531" s="3" t="inlineStr">
        <is>
          <t>LBA리치아노합동사무소</t>
        </is>
      </c>
      <c r="Q531" s="3" t="n">
        <v>1</v>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264</v>
      </c>
      <c r="J532" s="3" t="inlineStr">
        <is>
          <t>1</t>
        </is>
      </c>
      <c r="K532" s="3" t="inlineStr">
        <is>
          <t>-</t>
        </is>
      </c>
      <c r="L532" s="3" t="inlineStr">
        <is>
          <t>오창,공장</t>
        </is>
      </c>
      <c r="M532" s="5">
        <f>HYPERLINK("https://fin.land.naver.com/articles/2648133869", "매물Link")</f>
        <v/>
      </c>
      <c r="N532" s="5">
        <f>HYPERLINK("https://map.naver.com/p/search/나성동 829", "지도Link")</f>
        <v/>
      </c>
      <c r="O532" s="5">
        <f>HYPERLINK("http://www.eum.go.kr/web/ar/lu/luLandDet.jsp?pnu=3611010700108290000&amp;isNoScr=script&amp;mode=search", "토지이음")</f>
        <v/>
      </c>
      <c r="P532" s="3" t="inlineStr">
        <is>
          <t>LBA리치아노합동사무소</t>
        </is>
      </c>
      <c r="Q532" s="3" t="n">
        <v>1</v>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936</v>
      </c>
      <c r="J533" s="3" t="inlineStr">
        <is>
          <t>1</t>
        </is>
      </c>
      <c r="K533" s="3" t="inlineStr">
        <is>
          <t>-</t>
        </is>
      </c>
      <c r="L533" s="3" t="inlineStr">
        <is>
          <t>오창읍 가좌리 단독공장 매매 실내사무실 층고10미터</t>
        </is>
      </c>
      <c r="M533" s="5">
        <f>HYPERLINK("https://fin.land.naver.com/articles/2648134015", "매물Link")</f>
        <v/>
      </c>
      <c r="N533" s="5">
        <f>HYPERLINK("https://map.naver.com/p/search/나성동 829", "지도Link")</f>
        <v/>
      </c>
      <c r="O533" s="5">
        <f>HYPERLINK("http://www.eum.go.kr/web/ar/lu/luLandDet.jsp?pnu=3611010700108290000&amp;isNoScr=script&amp;mode=search", "토지이음")</f>
        <v/>
      </c>
      <c r="P533" s="3" t="inlineStr">
        <is>
          <t>공장365</t>
        </is>
      </c>
      <c r="Q533" s="3" t="n">
        <v>1</v>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788</v>
      </c>
      <c r="J534" s="3" t="inlineStr">
        <is>
          <t>1</t>
        </is>
      </c>
      <c r="K534" s="3" t="inlineStr">
        <is>
          <t>-</t>
        </is>
      </c>
      <c r="L534" s="3" t="inlineStr">
        <is>
          <t>건폐율20 마당활용 최적 오창 증평간 산업도로바로진입</t>
        </is>
      </c>
      <c r="M534" s="5">
        <f>HYPERLINK("https://fin.land.naver.com/articles/2648137572", "매물Link")</f>
        <v/>
      </c>
      <c r="N534" s="5">
        <f>HYPERLINK("https://map.naver.com/p/search/나성동 829", "지도Link")</f>
        <v/>
      </c>
      <c r="O534" s="5">
        <f>HYPERLINK("http://www.eum.go.kr/web/ar/lu/luLandDet.jsp?pnu=3611010700108290000&amp;isNoScr=script&amp;mode=search", "토지이음")</f>
        <v/>
      </c>
      <c r="P534" s="3" t="inlineStr">
        <is>
          <t>공장365</t>
        </is>
      </c>
      <c r="Q534" s="3" t="n">
        <v>1</v>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197</v>
      </c>
      <c r="J535" s="3" t="inlineStr">
        <is>
          <t>1</t>
        </is>
      </c>
      <c r="K535" s="3" t="inlineStr">
        <is>
          <t>-</t>
        </is>
      </c>
      <c r="L535" s="3" t="inlineStr">
        <is>
          <t>오창,창고,신축</t>
        </is>
      </c>
      <c r="M535" s="5">
        <f>HYPERLINK("https://fin.land.naver.com/articles/2648155119", "매물Link")</f>
        <v/>
      </c>
      <c r="N535" s="5">
        <f>HYPERLINK("https://map.naver.com/p/search/나성동 829", "지도Link")</f>
        <v/>
      </c>
      <c r="O535" s="5">
        <f>HYPERLINK("http://www.eum.go.kr/web/ar/lu/luLandDet.jsp?pnu=3611010700108290000&amp;isNoScr=script&amp;mode=search", "토지이음")</f>
        <v/>
      </c>
      <c r="P535" s="3" t="inlineStr">
        <is>
          <t>LBA리치아노합동사무소</t>
        </is>
      </c>
      <c r="Q535" s="3" t="n">
        <v>1</v>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247</v>
      </c>
      <c r="J536" s="3" t="inlineStr">
        <is>
          <t>1</t>
        </is>
      </c>
      <c r="K536" s="3" t="inlineStr">
        <is>
          <t>-</t>
        </is>
      </c>
      <c r="L536" s="3" t="inlineStr">
        <is>
          <t>nan</t>
        </is>
      </c>
      <c r="M536" s="5">
        <f>HYPERLINK("https://fin.land.naver.com/articles/2648194183", "매물Link")</f>
        <v/>
      </c>
      <c r="N536" s="5">
        <f>HYPERLINK("https://map.naver.com/p/search/나성동 829", "지도Link")</f>
        <v/>
      </c>
      <c r="O536" s="5">
        <f>HYPERLINK("http://www.eum.go.kr/web/ar/lu/luLandDet.jsp?pnu=3611010700108290000&amp;isNoScr=script&amp;mode=search", "토지이음")</f>
        <v/>
      </c>
      <c r="P536" s="3" t="inlineStr">
        <is>
          <t>공장365</t>
        </is>
      </c>
      <c r="Q536" s="3" t="n">
        <v>1</v>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495</v>
      </c>
      <c r="J537" s="3" t="inlineStr">
        <is>
          <t>1</t>
        </is>
      </c>
      <c r="K537" s="3" t="inlineStr">
        <is>
          <t>-</t>
        </is>
      </c>
      <c r="L537" s="3" t="inlineStr">
        <is>
          <t>nan</t>
        </is>
      </c>
      <c r="M537" s="5">
        <f>HYPERLINK("https://fin.land.naver.com/articles/2648477131", "매물Link")</f>
        <v/>
      </c>
      <c r="N537" s="5">
        <f>HYPERLINK("https://map.naver.com/p/search/나성동 829", "지도Link")</f>
        <v/>
      </c>
      <c r="O537" s="5">
        <f>HYPERLINK("http://www.eum.go.kr/web/ar/lu/luLandDet.jsp?pnu=3611010700108290000&amp;isNoScr=script&amp;mode=search", "토지이음")</f>
        <v/>
      </c>
      <c r="P537" s="3" t="inlineStr">
        <is>
          <t>공장365</t>
        </is>
      </c>
      <c r="Q537" s="3" t="n">
        <v>1</v>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180</v>
      </c>
      <c r="J538" s="3" t="inlineStr">
        <is>
          <t>1</t>
        </is>
      </c>
      <c r="K538" s="3" t="inlineStr">
        <is>
          <t>-</t>
        </is>
      </c>
      <c r="L538" s="3" t="inlineStr">
        <is>
          <t>오창,창고,신축,단독</t>
        </is>
      </c>
      <c r="M538" s="5">
        <f>HYPERLINK("https://fin.land.naver.com/articles/2648843041", "매물Link")</f>
        <v/>
      </c>
      <c r="N538" s="5">
        <f>HYPERLINK("https://map.naver.com/p/search/나성동 829", "지도Link")</f>
        <v/>
      </c>
      <c r="O538" s="5">
        <f>HYPERLINK("http://www.eum.go.kr/web/ar/lu/luLandDet.jsp?pnu=3611010700108290000&amp;isNoScr=script&amp;mode=search", "토지이음")</f>
        <v/>
      </c>
      <c r="P538" s="3" t="inlineStr">
        <is>
          <t>LBA리치아노합동사무소</t>
        </is>
      </c>
      <c r="Q538" s="3" t="n">
        <v>1</v>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494</v>
      </c>
      <c r="J539" s="3" t="inlineStr">
        <is>
          <t>1</t>
        </is>
      </c>
      <c r="K539" s="3" t="inlineStr">
        <is>
          <t>-</t>
        </is>
      </c>
      <c r="L539" s="3" t="inlineStr">
        <is>
          <t>오창,전력200kw,호이스트3톤,제조업소및창고</t>
        </is>
      </c>
      <c r="M539" s="5">
        <f>HYPERLINK("https://fin.land.naver.com/articles/2648847034", "매물Link")</f>
        <v/>
      </c>
      <c r="N539" s="5">
        <f>HYPERLINK("https://map.naver.com/p/search/나성동 829", "지도Link")</f>
        <v/>
      </c>
      <c r="O539" s="5">
        <f>HYPERLINK("http://www.eum.go.kr/web/ar/lu/luLandDet.jsp?pnu=3611010700108290000&amp;isNoScr=script&amp;mode=search", "토지이음")</f>
        <v/>
      </c>
      <c r="P539" s="3" t="inlineStr">
        <is>
          <t>LBA리치아노합동사무소</t>
        </is>
      </c>
      <c r="Q539" s="3" t="n">
        <v>1</v>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495</v>
      </c>
      <c r="J540" s="3" t="inlineStr">
        <is>
          <t>1</t>
        </is>
      </c>
      <c r="K540" s="3" t="inlineStr">
        <is>
          <t>-</t>
        </is>
      </c>
      <c r="L540" s="3" t="inlineStr">
        <is>
          <t>오창i,c 10분 오창과학단지생활권 단독공장등록가</t>
        </is>
      </c>
      <c r="M540" s="5">
        <f>HYPERLINK("https://fin.land.naver.com/articles/2648978273", "매물Link")</f>
        <v/>
      </c>
      <c r="N540" s="5">
        <f>HYPERLINK("https://map.naver.com/p/search/나성동 829", "지도Link")</f>
        <v/>
      </c>
      <c r="O540" s="5">
        <f>HYPERLINK("http://www.eum.go.kr/web/ar/lu/luLandDet.jsp?pnu=3611010700108290000&amp;isNoScr=script&amp;mode=search", "토지이음")</f>
        <v/>
      </c>
      <c r="P540" s="3" t="inlineStr">
        <is>
          <t>공장365</t>
        </is>
      </c>
      <c r="Q540" s="3" t="n">
        <v>1</v>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164</v>
      </c>
      <c r="J541" s="3" t="inlineStr">
        <is>
          <t>1</t>
        </is>
      </c>
      <c r="K541" s="3" t="inlineStr">
        <is>
          <t>-</t>
        </is>
      </c>
      <c r="L541" s="3" t="inlineStr">
        <is>
          <t>6M도로 접한 위치의 신축급 소형공장매매</t>
        </is>
      </c>
      <c r="M541" s="5">
        <f>HYPERLINK("https://fin.land.naver.com/articles/2649015503", "매물Link")</f>
        <v/>
      </c>
      <c r="N541" s="5">
        <f>HYPERLINK("https://map.naver.com/p/search/나성동 829", "지도Link")</f>
        <v/>
      </c>
      <c r="O541" s="5">
        <f>HYPERLINK("http://www.eum.go.kr/web/ar/lu/luLandDet.jsp?pnu=3611010700108290000&amp;isNoScr=script&amp;mode=search", "토지이음")</f>
        <v/>
      </c>
      <c r="P541" s="3" t="inlineStr">
        <is>
          <t>더원</t>
        </is>
      </c>
      <c r="Q541" s="3" t="n">
        <v>1</v>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9031</v>
      </c>
      <c r="J542" s="3" t="inlineStr">
        <is>
          <t>4</t>
        </is>
      </c>
      <c r="K542" s="3" t="inlineStr">
        <is>
          <t>-</t>
        </is>
      </c>
      <c r="L542" s="3" t="inlineStr">
        <is>
          <t>오창IC인근으로 대형차 진출입 편리한 오창산업단지의 대형공장</t>
        </is>
      </c>
      <c r="M542" s="5">
        <f>HYPERLINK("https://fin.land.naver.com/articles/2649085213", "매물Link")</f>
        <v/>
      </c>
      <c r="N542" s="5">
        <f>HYPERLINK("https://map.naver.com/p/search/나성동 829", "지도Link")</f>
        <v/>
      </c>
      <c r="O542" s="5">
        <f>HYPERLINK("http://www.eum.go.kr/web/ar/lu/luLandDet.jsp?pnu=3611010700108290000&amp;isNoScr=script&amp;mode=search", "토지이음")</f>
        <v/>
      </c>
      <c r="P542" s="3" t="inlineStr">
        <is>
          <t>(주)미르</t>
        </is>
      </c>
      <c r="Q542" s="3" t="n">
        <v>1</v>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432</v>
      </c>
      <c r="J543" s="3" t="inlineStr">
        <is>
          <t>1</t>
        </is>
      </c>
      <c r="K543" s="3" t="inlineStr">
        <is>
          <t>-</t>
        </is>
      </c>
      <c r="L543" s="3" t="inlineStr">
        <is>
          <t>오창과학단지 인근 공장 매매 민원발생없는곳 저렴한 매매</t>
        </is>
      </c>
      <c r="M543" s="5">
        <f>HYPERLINK("https://fin.land.naver.com/articles/2648069144", "매물Link")</f>
        <v/>
      </c>
      <c r="N543" s="5">
        <f>HYPERLINK("https://map.naver.com/p/search/나성동 829", "지도Link")</f>
        <v/>
      </c>
      <c r="O543" s="5">
        <f>HYPERLINK("http://www.eum.go.kr/web/ar/lu/luLandDet.jsp?pnu=3611010700108290000&amp;isNoScr=script&amp;mode=search", "토지이음")</f>
        <v/>
      </c>
      <c r="P543" s="3" t="inlineStr">
        <is>
          <t>옥산리버자이</t>
        </is>
      </c>
      <c r="Q543" s="3" t="n">
        <v>1</v>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430</v>
      </c>
      <c r="J544" s="3" t="inlineStr">
        <is>
          <t>1</t>
        </is>
      </c>
      <c r="K544" s="3" t="inlineStr">
        <is>
          <t>-</t>
        </is>
      </c>
      <c r="L544" s="3" t="inlineStr">
        <is>
          <t>오창IC,제조업소및창고</t>
        </is>
      </c>
      <c r="M544" s="5">
        <f>HYPERLINK("https://fin.land.naver.com/articles/2649530708", "매물Link")</f>
        <v/>
      </c>
      <c r="N544" s="5">
        <f>HYPERLINK("https://map.naver.com/p/search/나성동 829", "지도Link")</f>
        <v/>
      </c>
      <c r="O544" s="5">
        <f>HYPERLINK("http://www.eum.go.kr/web/ar/lu/luLandDet.jsp?pnu=3611010700108290000&amp;isNoScr=script&amp;mode=search", "토지이음")</f>
        <v/>
      </c>
      <c r="P544" s="3" t="inlineStr">
        <is>
          <t>LBA리치아노합동사무소</t>
        </is>
      </c>
      <c r="Q544" s="3" t="n">
        <v>1</v>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148</v>
      </c>
      <c r="J545" s="3" t="inlineStr">
        <is>
          <t>1</t>
        </is>
      </c>
      <c r="K545" s="3" t="inlineStr">
        <is>
          <t>-</t>
        </is>
      </c>
      <c r="L545" s="3" t="inlineStr">
        <is>
          <t>오창,공장및창고,임대</t>
        </is>
      </c>
      <c r="M545" s="5">
        <f>HYPERLINK("https://fin.land.naver.com/articles/2649532068", "매물Link")</f>
        <v/>
      </c>
      <c r="N545" s="5">
        <f>HYPERLINK("https://map.naver.com/p/search/나성동 829", "지도Link")</f>
        <v/>
      </c>
      <c r="O545" s="5">
        <f>HYPERLINK("http://www.eum.go.kr/web/ar/lu/luLandDet.jsp?pnu=3611010700108290000&amp;isNoScr=script&amp;mode=search", "토지이음")</f>
        <v/>
      </c>
      <c r="P545" s="3" t="inlineStr">
        <is>
          <t>LBA리치아노합동사무소</t>
        </is>
      </c>
      <c r="Q545" s="3" t="n">
        <v>1</v>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172</v>
      </c>
      <c r="J546" s="3" t="inlineStr">
        <is>
          <t>1</t>
        </is>
      </c>
      <c r="K546" s="3" t="inlineStr">
        <is>
          <t>-</t>
        </is>
      </c>
      <c r="L546" s="3" t="inlineStr">
        <is>
          <t>소형식품공장,2층사무실,시설권리유</t>
        </is>
      </c>
      <c r="M546" s="5">
        <f>HYPERLINK("https://fin.land.naver.com/articles/2649534881", "매물Link")</f>
        <v/>
      </c>
      <c r="N546" s="5">
        <f>HYPERLINK("https://map.naver.com/p/search/나성동 829", "지도Link")</f>
        <v/>
      </c>
      <c r="O546" s="5">
        <f>HYPERLINK("http://www.eum.go.kr/web/ar/lu/luLandDet.jsp?pnu=3611010700108290000&amp;isNoScr=script&amp;mode=search", "토지이음")</f>
        <v/>
      </c>
      <c r="P546" s="3" t="inlineStr">
        <is>
          <t>LBA리치아노합동사무소</t>
        </is>
      </c>
      <c r="Q546" s="3" t="n">
        <v>1</v>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11305</v>
      </c>
      <c r="J547" s="3" t="inlineStr">
        <is>
          <t>3</t>
        </is>
      </c>
      <c r="K547" s="3" t="inlineStr">
        <is>
          <t>-</t>
        </is>
      </c>
      <c r="L547" s="3" t="inlineStr">
        <is>
          <t>증평IC에서 5분</t>
        </is>
      </c>
      <c r="M547" s="5">
        <f>HYPERLINK("https://fin.land.naver.com/articles/2646086970", "매물Link")</f>
        <v/>
      </c>
      <c r="N547" s="5">
        <f>HYPERLINK("https://map.naver.com/p/search/나성동 829", "지도Link")</f>
        <v/>
      </c>
      <c r="O547" s="5">
        <f>HYPERLINK("http://www.eum.go.kr/web/ar/lu/luLandDet.jsp?pnu=3611010700108290000&amp;isNoScr=script&amp;mode=search", "토지이음")</f>
        <v/>
      </c>
      <c r="P547" s="3" t="inlineStr">
        <is>
          <t>미더스</t>
        </is>
      </c>
      <c r="Q547" s="3" t="n">
        <v>2</v>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492</v>
      </c>
      <c r="J548" s="3" t="inlineStr">
        <is>
          <t>1</t>
        </is>
      </c>
      <c r="K548" s="3" t="inlineStr">
        <is>
          <t>-</t>
        </is>
      </c>
      <c r="L548" s="3" t="inlineStr">
        <is>
          <t>오창IC인근,제조업소및창고,마당넓음,입주협의</t>
        </is>
      </c>
      <c r="M548" s="5">
        <f>HYPERLINK("https://fin.land.naver.com/articles/2646065320", "매물Link")</f>
        <v/>
      </c>
      <c r="N548" s="5">
        <f>HYPERLINK("https://map.naver.com/p/search/나성동 829", "지도Link")</f>
        <v/>
      </c>
      <c r="O548" s="5">
        <f>HYPERLINK("http://www.eum.go.kr/web/ar/lu/luLandDet.jsp?pnu=3611010700108290000&amp;isNoScr=script&amp;mode=search", "토지이음")</f>
        <v/>
      </c>
      <c r="P548" s="3" t="inlineStr">
        <is>
          <t>LBA리치아노합동사무소</t>
        </is>
      </c>
      <c r="Q548" s="3" t="n">
        <v>1</v>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369</v>
      </c>
      <c r="J549" s="3" t="inlineStr">
        <is>
          <t>1</t>
        </is>
      </c>
      <c r="K549" s="3" t="inlineStr">
        <is>
          <t>-</t>
        </is>
      </c>
      <c r="L549" s="3" t="inlineStr">
        <is>
          <t>2차선도로변 신축공장 창고 임대 증평ic 5분거리 고속도로 접근성 좋음</t>
        </is>
      </c>
      <c r="M549" s="5">
        <f>HYPERLINK("https://fin.land.naver.com/articles/2648089849", "매물Link")</f>
        <v/>
      </c>
      <c r="N549" s="5">
        <f>HYPERLINK("https://map.naver.com/p/search/나성동 829", "지도Link")</f>
        <v/>
      </c>
      <c r="O549" s="5">
        <f>HYPERLINK("http://www.eum.go.kr/web/ar/lu/luLandDet.jsp?pnu=3611010700108290000&amp;isNoScr=script&amp;mode=search", "토지이음")</f>
        <v/>
      </c>
      <c r="P549" s="3" t="inlineStr">
        <is>
          <t>더원</t>
        </is>
      </c>
      <c r="Q549" s="3" t="n">
        <v>1</v>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528</v>
      </c>
      <c r="J550" s="3" t="inlineStr">
        <is>
          <t>1</t>
        </is>
      </c>
      <c r="K550" s="3" t="inlineStr">
        <is>
          <t>-</t>
        </is>
      </c>
      <c r="L550" s="3" t="inlineStr">
        <is>
          <t>증평ic 접근성좋은 위치의 민원걱정없는 공장 층고높음</t>
        </is>
      </c>
      <c r="M550" s="5">
        <f>HYPERLINK("https://fin.land.naver.com/articles/2648089910", "매물Link")</f>
        <v/>
      </c>
      <c r="N550" s="5">
        <f>HYPERLINK("https://map.naver.com/p/search/나성동 829", "지도Link")</f>
        <v/>
      </c>
      <c r="O550" s="5">
        <f>HYPERLINK("http://www.eum.go.kr/web/ar/lu/luLandDet.jsp?pnu=3611010700108290000&amp;isNoScr=script&amp;mode=search", "토지이음")</f>
        <v/>
      </c>
      <c r="P550" s="3" t="inlineStr">
        <is>
          <t>더원</t>
        </is>
      </c>
      <c r="Q550" s="3" t="n">
        <v>1</v>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398</v>
      </c>
      <c r="J551" s="3" t="inlineStr">
        <is>
          <t>1</t>
        </is>
      </c>
      <c r="K551" s="3" t="inlineStr">
        <is>
          <t>-</t>
        </is>
      </c>
      <c r="L551" s="3" t="inlineStr">
        <is>
          <t>증평ic 5 분거리 2차선도로진입 호이스트3톤 전기 10kw</t>
        </is>
      </c>
      <c r="M551" s="5">
        <f>HYPERLINK("https://fin.land.naver.com/articles/2648089933", "매물Link")</f>
        <v/>
      </c>
      <c r="N551" s="5">
        <f>HYPERLINK("https://map.naver.com/p/search/나성동 829", "지도Link")</f>
        <v/>
      </c>
      <c r="O551" s="5">
        <f>HYPERLINK("http://www.eum.go.kr/web/ar/lu/luLandDet.jsp?pnu=3611010700108290000&amp;isNoScr=script&amp;mode=search", "토지이음")</f>
        <v/>
      </c>
      <c r="P551" s="3" t="inlineStr">
        <is>
          <t>더원</t>
        </is>
      </c>
      <c r="Q551" s="3" t="n">
        <v>1</v>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980</v>
      </c>
      <c r="J552" s="3" t="inlineStr">
        <is>
          <t>1</t>
        </is>
      </c>
      <c r="K552" s="3" t="inlineStr">
        <is>
          <t>-</t>
        </is>
      </c>
      <c r="L552" s="3" t="inlineStr">
        <is>
          <t>증평ic 6 km 접근성 좋은 위치의 신축공장 창고  대형마당</t>
        </is>
      </c>
      <c r="M552" s="5">
        <f>HYPERLINK("https://fin.land.naver.com/articles/2648090030", "매물Link")</f>
        <v/>
      </c>
      <c r="N552" s="5">
        <f>HYPERLINK("https://map.naver.com/p/search/나성동 829", "지도Link")</f>
        <v/>
      </c>
      <c r="O552" s="5">
        <f>HYPERLINK("http://www.eum.go.kr/web/ar/lu/luLandDet.jsp?pnu=3611010700108290000&amp;isNoScr=script&amp;mode=search", "토지이음")</f>
        <v/>
      </c>
      <c r="P552" s="3" t="inlineStr">
        <is>
          <t>더원</t>
        </is>
      </c>
      <c r="Q552" s="3" t="n">
        <v>1</v>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968</v>
      </c>
      <c r="J553" s="3" t="inlineStr">
        <is>
          <t>1</t>
        </is>
      </c>
      <c r="K553" s="3" t="inlineStr">
        <is>
          <t>-</t>
        </is>
      </c>
      <c r="L553" s="3" t="inlineStr">
        <is>
          <t>충청내륙로와 접하여 광고효과 최상 왕복4차선에서 바로진입 대형차진출입용이</t>
        </is>
      </c>
      <c r="M553" s="5">
        <f>HYPERLINK("https://fin.land.naver.com/articles/2648090051", "매물Link")</f>
        <v/>
      </c>
      <c r="N553" s="5">
        <f>HYPERLINK("https://map.naver.com/p/search/나성동 829", "지도Link")</f>
        <v/>
      </c>
      <c r="O553" s="5">
        <f>HYPERLINK("http://www.eum.go.kr/web/ar/lu/luLandDet.jsp?pnu=3611010700108290000&amp;isNoScr=script&amp;mode=search", "토지이음")</f>
        <v/>
      </c>
      <c r="P553" s="3" t="inlineStr">
        <is>
          <t>더원</t>
        </is>
      </c>
      <c r="Q553" s="3" t="n">
        <v>1</v>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203</v>
      </c>
      <c r="J554" s="3" t="inlineStr">
        <is>
          <t>1</t>
        </is>
      </c>
      <c r="K554" s="3" t="inlineStr">
        <is>
          <t>-</t>
        </is>
      </c>
      <c r="L554" s="3" t="inlineStr">
        <is>
          <t>제조업소및창고,내부사무실</t>
        </is>
      </c>
      <c r="M554" s="5">
        <f>HYPERLINK("https://fin.land.naver.com/articles/2648111172", "매물Link")</f>
        <v/>
      </c>
      <c r="N554" s="5">
        <f>HYPERLINK("https://map.naver.com/p/search/나성동 829", "지도Link")</f>
        <v/>
      </c>
      <c r="O554" s="5">
        <f>HYPERLINK("http://www.eum.go.kr/web/ar/lu/luLandDet.jsp?pnu=3611010700108290000&amp;isNoScr=script&amp;mode=search", "토지이음")</f>
        <v/>
      </c>
      <c r="P554" s="3" t="inlineStr">
        <is>
          <t>LBA리치아노합동사무소</t>
        </is>
      </c>
      <c r="Q554" s="3" t="n">
        <v>1</v>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2687</v>
      </c>
      <c r="J555" s="3" t="inlineStr">
        <is>
          <t>1</t>
        </is>
      </c>
      <c r="K555" s="3" t="inlineStr">
        <is>
          <t>-</t>
        </is>
      </c>
      <c r="L555" s="3" t="inlineStr">
        <is>
          <t>청주,공장및창고,단독,전력1500KW</t>
        </is>
      </c>
      <c r="M555" s="5">
        <f>HYPERLINK("https://fin.land.naver.com/articles/2648113481", "매물Link")</f>
        <v/>
      </c>
      <c r="N555" s="5">
        <f>HYPERLINK("https://map.naver.com/p/search/나성동 829", "지도Link")</f>
        <v/>
      </c>
      <c r="O555" s="5">
        <f>HYPERLINK("http://www.eum.go.kr/web/ar/lu/luLandDet.jsp?pnu=3611010700108290000&amp;isNoScr=script&amp;mode=search", "토지이음")</f>
        <v/>
      </c>
      <c r="P555" s="3" t="inlineStr">
        <is>
          <t>LBA리치아노합동사무소</t>
        </is>
      </c>
      <c r="Q555" s="3" t="n">
        <v>1</v>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1616</v>
      </c>
      <c r="J556" s="3" t="inlineStr">
        <is>
          <t>2</t>
        </is>
      </c>
      <c r="K556" s="3" t="inlineStr">
        <is>
          <t>-</t>
        </is>
      </c>
      <c r="L556" s="3" t="inlineStr">
        <is>
          <t>식품공장 육가공공장 추천 오창,증평ic인근 자체폐수처리장 보유</t>
        </is>
      </c>
      <c r="M556" s="5">
        <f>HYPERLINK("https://fin.land.naver.com/articles/2648089838", "매물Link")</f>
        <v/>
      </c>
      <c r="N556" s="5">
        <f>HYPERLINK("https://map.naver.com/p/search/나성동 829", "지도Link")</f>
        <v/>
      </c>
      <c r="O556" s="5">
        <f>HYPERLINK("http://www.eum.go.kr/web/ar/lu/luLandDet.jsp?pnu=3611010700108290000&amp;isNoScr=script&amp;mode=search", "토지이음")</f>
        <v/>
      </c>
      <c r="P556" s="3" t="inlineStr">
        <is>
          <t>더원</t>
        </is>
      </c>
      <c r="Q556" s="3" t="n">
        <v>1</v>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330</v>
      </c>
      <c r="J557" s="3" t="inlineStr">
        <is>
          <t>1</t>
        </is>
      </c>
      <c r="K557" s="3" t="inlineStr">
        <is>
          <t>-</t>
        </is>
      </c>
      <c r="L557" s="3" t="inlineStr">
        <is>
          <t>제조업소및창고,호이스트3톤,내부사무실</t>
        </is>
      </c>
      <c r="M557" s="5">
        <f>HYPERLINK("https://fin.land.naver.com/articles/2648133292", "매물Link")</f>
        <v/>
      </c>
      <c r="N557" s="5">
        <f>HYPERLINK("https://map.naver.com/p/search/나성동 829", "지도Link")</f>
        <v/>
      </c>
      <c r="O557" s="5">
        <f>HYPERLINK("http://www.eum.go.kr/web/ar/lu/luLandDet.jsp?pnu=3611010700108290000&amp;isNoScr=script&amp;mode=search", "토지이음")</f>
        <v/>
      </c>
      <c r="P557" s="3" t="inlineStr">
        <is>
          <t>LBA리치아노합동사무소</t>
        </is>
      </c>
      <c r="Q557" s="3" t="n">
        <v>1</v>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198</v>
      </c>
      <c r="J558" s="3" t="inlineStr">
        <is>
          <t>1</t>
        </is>
      </c>
      <c r="K558" s="3" t="inlineStr">
        <is>
          <t>-</t>
        </is>
      </c>
      <c r="L558" s="3" t="inlineStr">
        <is>
          <t>오창거학단지10분 증평i,c 10분 오근장역 10분 율량동 15분 위치</t>
        </is>
      </c>
      <c r="M558" s="5">
        <f>HYPERLINK("https://fin.land.naver.com/articles/2648837943", "매물Link")</f>
        <v/>
      </c>
      <c r="N558" s="5">
        <f>HYPERLINK("https://map.naver.com/p/search/나성동 829", "지도Link")</f>
        <v/>
      </c>
      <c r="O558" s="5">
        <f>HYPERLINK("http://www.eum.go.kr/web/ar/lu/luLandDet.jsp?pnu=3611010700108290000&amp;isNoScr=script&amp;mode=search", "토지이음")</f>
        <v/>
      </c>
      <c r="P558" s="3" t="inlineStr">
        <is>
          <t>공장365</t>
        </is>
      </c>
      <c r="Q558" s="3" t="n">
        <v>2</v>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191</v>
      </c>
      <c r="J559" s="3" t="inlineStr">
        <is>
          <t>1</t>
        </is>
      </c>
      <c r="K559" s="3" t="inlineStr">
        <is>
          <t>-</t>
        </is>
      </c>
      <c r="L559" s="3" t="inlineStr">
        <is>
          <t>북이면,제조업소및창고,신축</t>
        </is>
      </c>
      <c r="M559" s="5">
        <f>HYPERLINK("https://fin.land.naver.com/articles/2648842680", "매물Link")</f>
        <v/>
      </c>
      <c r="N559" s="5">
        <f>HYPERLINK("https://map.naver.com/p/search/나성동 829", "지도Link")</f>
        <v/>
      </c>
      <c r="O559" s="5">
        <f>HYPERLINK("http://www.eum.go.kr/web/ar/lu/luLandDet.jsp?pnu=3611010700108290000&amp;isNoScr=script&amp;mode=search", "토지이음")</f>
        <v/>
      </c>
      <c r="P559" s="3" t="inlineStr">
        <is>
          <t>LBA리치아노합동사무소</t>
        </is>
      </c>
      <c r="Q559" s="3" t="n">
        <v>1</v>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1375</v>
      </c>
      <c r="J560" s="3" t="inlineStr">
        <is>
          <t>1</t>
        </is>
      </c>
      <c r="K560" s="3" t="inlineStr">
        <is>
          <t>-</t>
        </is>
      </c>
      <c r="L560" s="3" t="inlineStr">
        <is>
          <t>4차선도로변 옆으로 광고효과 굿 사무동별도로 있음</t>
        </is>
      </c>
      <c r="M560" s="5">
        <f>HYPERLINK("https://fin.land.naver.com/articles/2649014561", "매물Link")</f>
        <v/>
      </c>
      <c r="N560" s="5">
        <f>HYPERLINK("https://map.naver.com/p/search/나성동 829", "지도Link")</f>
        <v/>
      </c>
      <c r="O560" s="5">
        <f>HYPERLINK("http://www.eum.go.kr/web/ar/lu/luLandDet.jsp?pnu=3611010700108290000&amp;isNoScr=script&amp;mode=search", "토지이음")</f>
        <v/>
      </c>
      <c r="P560" s="3" t="inlineStr">
        <is>
          <t>더원</t>
        </is>
      </c>
      <c r="Q560" s="3" t="n">
        <v>1</v>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92</v>
      </c>
      <c r="J561" s="3" t="inlineStr">
        <is>
          <t>1</t>
        </is>
      </c>
      <c r="K561" s="3" t="inlineStr">
        <is>
          <t>-</t>
        </is>
      </c>
      <c r="L561" s="3" t="inlineStr">
        <is>
          <t>청주공항인근,소형제조업소및창고</t>
        </is>
      </c>
      <c r="M561" s="5">
        <f>HYPERLINK("https://fin.land.naver.com/articles/2649535318", "매물Link")</f>
        <v/>
      </c>
      <c r="N561" s="5">
        <f>HYPERLINK("https://map.naver.com/p/search/나성동 829", "지도Link")</f>
        <v/>
      </c>
      <c r="O561" s="5">
        <f>HYPERLINK("http://www.eum.go.kr/web/ar/lu/luLandDet.jsp?pnu=3611010700108290000&amp;isNoScr=script&amp;mode=search", "토지이음")</f>
        <v/>
      </c>
      <c r="P561" s="3" t="inlineStr">
        <is>
          <t>LBA리치아노합동사무소</t>
        </is>
      </c>
      <c r="Q561" s="3" t="n">
        <v>1</v>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300</v>
      </c>
      <c r="J562" s="3" t="inlineStr">
        <is>
          <t>1</t>
        </is>
      </c>
      <c r="K562" s="3" t="inlineStr">
        <is>
          <t>-</t>
        </is>
      </c>
      <c r="L562" s="3" t="inlineStr">
        <is>
          <t>장양리 2종근생 2동  감정가격이하로 매매</t>
        </is>
      </c>
      <c r="M562" s="5">
        <f>HYPERLINK("https://fin.land.naver.com/articles/2648346543", "매물Link")</f>
        <v/>
      </c>
      <c r="N562" s="5">
        <f>HYPERLINK("https://map.naver.com/p/search/나성동 829", "지도Link")</f>
        <v/>
      </c>
      <c r="O562" s="5">
        <f>HYPERLINK("http://www.eum.go.kr/web/ar/lu/luLandDet.jsp?pnu=3611010700108290000&amp;isNoScr=script&amp;mode=search", "토지이음")</f>
        <v/>
      </c>
      <c r="P562" s="3" t="inlineStr">
        <is>
          <t>더원</t>
        </is>
      </c>
      <c r="Q562" s="3" t="n">
        <v>1</v>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950</v>
      </c>
      <c r="J563" s="3" t="inlineStr">
        <is>
          <t>1</t>
        </is>
      </c>
      <c r="K563" s="3" t="inlineStr">
        <is>
          <t>-</t>
        </is>
      </c>
      <c r="L563" s="3" t="inlineStr">
        <is>
          <t>증평ic 7분거리 청주 및 증평 접근성 좋은 위치의 창고 매매</t>
        </is>
      </c>
      <c r="M563" s="5">
        <f>HYPERLINK("https://fin.land.naver.com/articles/2646423117", "매물Link")</f>
        <v/>
      </c>
      <c r="N563" s="5">
        <f>HYPERLINK("https://map.naver.com/p/search/나성동 829", "지도Link")</f>
        <v/>
      </c>
      <c r="O563" s="5">
        <f>HYPERLINK("http://www.eum.go.kr/web/ar/lu/luLandDet.jsp?pnu=3611010700108290000&amp;isNoScr=script&amp;mode=search", "토지이음")</f>
        <v/>
      </c>
      <c r="P563" s="3" t="inlineStr">
        <is>
          <t>더원</t>
        </is>
      </c>
      <c r="Q563" s="3" t="n">
        <v>1</v>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1327</v>
      </c>
      <c r="J564" s="3" t="inlineStr">
        <is>
          <t>1</t>
        </is>
      </c>
      <c r="K564" s="3" t="inlineStr">
        <is>
          <t>-</t>
        </is>
      </c>
      <c r="L564" s="3" t="inlineStr">
        <is>
          <t>증평IC인근에 위치, 활용도 좋은 넓은 토지, 호이스트다수</t>
        </is>
      </c>
      <c r="M564" s="5">
        <f>HYPERLINK("https://fin.land.naver.com/articles/2646887543", "매물Link")</f>
        <v/>
      </c>
      <c r="N564" s="5">
        <f>HYPERLINK("https://map.naver.com/p/search/나성동 829", "지도Link")</f>
        <v/>
      </c>
      <c r="O564" s="5">
        <f>HYPERLINK("http://www.eum.go.kr/web/ar/lu/luLandDet.jsp?pnu=3611010700108290000&amp;isNoScr=script&amp;mode=search", "토지이음")</f>
        <v/>
      </c>
      <c r="P564" s="3" t="inlineStr">
        <is>
          <t>(주)미르</t>
        </is>
      </c>
      <c r="Q564" s="3" t="n">
        <v>1</v>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1316</v>
      </c>
      <c r="J565" s="3" t="inlineStr">
        <is>
          <t>2</t>
        </is>
      </c>
      <c r="K565" s="3" t="inlineStr">
        <is>
          <t>-</t>
        </is>
      </c>
      <c r="L565" s="3" t="inlineStr">
        <is>
          <t>4차선대로변 인접한 위치의공장 대형차 진출입용이 호이스트설치</t>
        </is>
      </c>
      <c r="M565" s="5">
        <f>HYPERLINK("https://fin.land.naver.com/articles/2644663431", "매물Link")</f>
        <v/>
      </c>
      <c r="N565" s="5">
        <f>HYPERLINK("https://map.naver.com/p/search/나성동 829", "지도Link")</f>
        <v/>
      </c>
      <c r="O565" s="5">
        <f>HYPERLINK("http://www.eum.go.kr/web/ar/lu/luLandDet.jsp?pnu=3611010700108290000&amp;isNoScr=script&amp;mode=search", "토지이음")</f>
        <v/>
      </c>
      <c r="P565" s="3" t="inlineStr">
        <is>
          <t>더원</t>
        </is>
      </c>
      <c r="Q565" s="3" t="n">
        <v>1</v>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493</v>
      </c>
      <c r="J566" s="3" t="inlineStr">
        <is>
          <t>1</t>
        </is>
      </c>
      <c r="K566" s="3" t="inlineStr">
        <is>
          <t>-</t>
        </is>
      </c>
      <c r="L566" s="3" t="inlineStr">
        <is>
          <t>단독공장 2차선도로변 대형차진출입용이 전력80kw층고8m</t>
        </is>
      </c>
      <c r="M566" s="5">
        <f>HYPERLINK("https://fin.land.naver.com/articles/2644664056", "매물Link")</f>
        <v/>
      </c>
      <c r="N566" s="5">
        <f>HYPERLINK("https://map.naver.com/p/search/나성동 829", "지도Link")</f>
        <v/>
      </c>
      <c r="O566" s="5">
        <f>HYPERLINK("http://www.eum.go.kr/web/ar/lu/luLandDet.jsp?pnu=3611010700108290000&amp;isNoScr=script&amp;mode=search", "토지이음")</f>
        <v/>
      </c>
      <c r="P566" s="3" t="inlineStr">
        <is>
          <t>더원</t>
        </is>
      </c>
      <c r="Q566" s="3" t="n">
        <v>1</v>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1313</v>
      </c>
      <c r="J567" s="3" t="inlineStr">
        <is>
          <t>1</t>
        </is>
      </c>
      <c r="K567" s="3" t="inlineStr">
        <is>
          <t>-</t>
        </is>
      </c>
      <c r="L567" s="3" t="inlineStr">
        <is>
          <t>4차선대로변 인접 공장지역 민원걱정없음 공장,물류창고 추천 호이스트설치</t>
        </is>
      </c>
      <c r="M567" s="5">
        <f>HYPERLINK("https://fin.land.naver.com/articles/2644664087", "매물Link")</f>
        <v/>
      </c>
      <c r="N567" s="5">
        <f>HYPERLINK("https://map.naver.com/p/search/나성동 829", "지도Link")</f>
        <v/>
      </c>
      <c r="O567" s="5">
        <f>HYPERLINK("http://www.eum.go.kr/web/ar/lu/luLandDet.jsp?pnu=3611010700108290000&amp;isNoScr=script&amp;mode=search", "토지이음")</f>
        <v/>
      </c>
      <c r="P567" s="3" t="inlineStr">
        <is>
          <t>더원</t>
        </is>
      </c>
      <c r="Q567" s="3" t="n">
        <v>1</v>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493</v>
      </c>
      <c r="J568" s="3" t="inlineStr">
        <is>
          <t>1</t>
        </is>
      </c>
      <c r="K568" s="3" t="inlineStr">
        <is>
          <t>-</t>
        </is>
      </c>
      <c r="L568" s="3" t="inlineStr">
        <is>
          <t>증평IC 10분 2차선도로접 대형차 진출입 원활  전력80kW</t>
        </is>
      </c>
      <c r="M568" s="5">
        <f>HYPERLINK("https://fin.land.naver.com/articles/2646022125", "매물Link")</f>
        <v/>
      </c>
      <c r="N568" s="5">
        <f>HYPERLINK("https://map.naver.com/p/search/나성동 829", "지도Link")</f>
        <v/>
      </c>
      <c r="O568" s="5">
        <f>HYPERLINK("http://www.eum.go.kr/web/ar/lu/luLandDet.jsp?pnu=3611010700108290000&amp;isNoScr=script&amp;mode=search", "토지이음")</f>
        <v/>
      </c>
      <c r="P568" s="3" t="inlineStr">
        <is>
          <t>더원</t>
        </is>
      </c>
      <c r="Q568" s="3" t="n">
        <v>1</v>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493</v>
      </c>
      <c r="J569" s="3" t="inlineStr">
        <is>
          <t>1</t>
        </is>
      </c>
      <c r="K569" s="3" t="inlineStr">
        <is>
          <t>-</t>
        </is>
      </c>
      <c r="L569" s="3" t="inlineStr">
        <is>
          <t>청주,제조업소및창고</t>
        </is>
      </c>
      <c r="M569" s="5">
        <f>HYPERLINK("https://fin.land.naver.com/articles/2646077920", "매물Link")</f>
        <v/>
      </c>
      <c r="N569" s="5">
        <f>HYPERLINK("https://map.naver.com/p/search/나성동 829", "지도Link")</f>
        <v/>
      </c>
      <c r="O569" s="5">
        <f>HYPERLINK("http://www.eum.go.kr/web/ar/lu/luLandDet.jsp?pnu=3611010700108290000&amp;isNoScr=script&amp;mode=search", "토지이음")</f>
        <v/>
      </c>
      <c r="P569" s="3" t="inlineStr">
        <is>
          <t>LBA리치아노합동사무소</t>
        </is>
      </c>
      <c r="Q569" s="3" t="n">
        <v>1</v>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369</v>
      </c>
      <c r="J570" s="3" t="inlineStr">
        <is>
          <t>1</t>
        </is>
      </c>
      <c r="K570" s="3" t="inlineStr">
        <is>
          <t>-</t>
        </is>
      </c>
      <c r="L570" s="3" t="inlineStr">
        <is>
          <t>북이면,제조업소및창고</t>
        </is>
      </c>
      <c r="M570" s="5">
        <f>HYPERLINK("https://fin.land.naver.com/articles/2646094954", "매물Link")</f>
        <v/>
      </c>
      <c r="N570" s="5">
        <f>HYPERLINK("https://map.naver.com/p/search/나성동 829", "지도Link")</f>
        <v/>
      </c>
      <c r="O570" s="5">
        <f>HYPERLINK("http://www.eum.go.kr/web/ar/lu/luLandDet.jsp?pnu=3611010700108290000&amp;isNoScr=script&amp;mode=search", "토지이음")</f>
        <v/>
      </c>
      <c r="P570" s="3" t="inlineStr">
        <is>
          <t>LBA리치아노합동사무소</t>
        </is>
      </c>
      <c r="Q570" s="3" t="n">
        <v>1</v>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1075</v>
      </c>
      <c r="J571" s="3" t="inlineStr">
        <is>
          <t>1</t>
        </is>
      </c>
      <c r="K571" s="3" t="inlineStr">
        <is>
          <t>-</t>
        </is>
      </c>
      <c r="L571" s="3" t="inlineStr">
        <is>
          <t>북이면,창고,저렴한가격</t>
        </is>
      </c>
      <c r="M571" s="5">
        <f>HYPERLINK("https://fin.land.naver.com/articles/2646114244", "매물Link")</f>
        <v/>
      </c>
      <c r="N571" s="5">
        <f>HYPERLINK("https://map.naver.com/p/search/나성동 829", "지도Link")</f>
        <v/>
      </c>
      <c r="O571" s="5">
        <f>HYPERLINK("http://www.eum.go.kr/web/ar/lu/luLandDet.jsp?pnu=3611010700108290000&amp;isNoScr=script&amp;mode=search", "토지이음")</f>
        <v/>
      </c>
      <c r="P571" s="3" t="inlineStr">
        <is>
          <t>LBA리치아노합동사무소</t>
        </is>
      </c>
      <c r="Q571" s="3" t="n">
        <v>1</v>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495</v>
      </c>
      <c r="J572" s="3" t="inlineStr">
        <is>
          <t>1</t>
        </is>
      </c>
      <c r="K572" s="3" t="inlineStr">
        <is>
          <t>-</t>
        </is>
      </c>
      <c r="L572" s="3" t="inlineStr">
        <is>
          <t>청주공항인근,제조업소및창고</t>
        </is>
      </c>
      <c r="M572" s="5">
        <f>HYPERLINK("https://fin.land.naver.com/articles/2646125837", "매물Link")</f>
        <v/>
      </c>
      <c r="N572" s="5">
        <f>HYPERLINK("https://map.naver.com/p/search/나성동 829", "지도Link")</f>
        <v/>
      </c>
      <c r="O572" s="5">
        <f>HYPERLINK("http://www.eum.go.kr/web/ar/lu/luLandDet.jsp?pnu=3611010700108290000&amp;isNoScr=script&amp;mode=search", "토지이음")</f>
        <v/>
      </c>
      <c r="P572" s="3" t="inlineStr">
        <is>
          <t>LBA리치아노합동사무소</t>
        </is>
      </c>
      <c r="Q572" s="3" t="n">
        <v>1</v>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488</v>
      </c>
      <c r="J573" s="3" t="inlineStr">
        <is>
          <t>1</t>
        </is>
      </c>
      <c r="K573" s="3" t="inlineStr">
        <is>
          <t>-</t>
        </is>
      </c>
      <c r="L573" s="3" t="inlineStr">
        <is>
          <t>오창과학단지10분 증평i,c 5분 준크린룸 ,사무실 ,탕비실</t>
        </is>
      </c>
      <c r="M573" s="5">
        <f>HYPERLINK("https://fin.land.naver.com/articles/2644808592", "매물Link")</f>
        <v/>
      </c>
      <c r="N573" s="5">
        <f>HYPERLINK("https://map.naver.com/p/search/나성동 829", "지도Link")</f>
        <v/>
      </c>
      <c r="O573" s="5">
        <f>HYPERLINK("http://www.eum.go.kr/web/ar/lu/luLandDet.jsp?pnu=3611010700108290000&amp;isNoScr=script&amp;mode=search", "토지이음")</f>
        <v/>
      </c>
      <c r="P573" s="3" t="inlineStr">
        <is>
          <t>공장365</t>
        </is>
      </c>
      <c r="Q573" s="3" t="n">
        <v>1</v>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330</v>
      </c>
      <c r="J574" s="3" t="inlineStr">
        <is>
          <t>1</t>
        </is>
      </c>
      <c r="K574" s="3" t="inlineStr">
        <is>
          <t>-</t>
        </is>
      </c>
      <c r="L574" s="3" t="inlineStr">
        <is>
          <t>오창i.c  증평i,c 10분  호이스트3톤 실내사무실</t>
        </is>
      </c>
      <c r="M574" s="5">
        <f>HYPERLINK("https://fin.land.naver.com/articles/2644808594", "매물Link")</f>
        <v/>
      </c>
      <c r="N574" s="5">
        <f>HYPERLINK("https://map.naver.com/p/search/나성동 829", "지도Link")</f>
        <v/>
      </c>
      <c r="O574" s="5">
        <f>HYPERLINK("http://www.eum.go.kr/web/ar/lu/luLandDet.jsp?pnu=3611010700108290000&amp;isNoScr=script&amp;mode=search", "토지이음")</f>
        <v/>
      </c>
      <c r="P574" s="3" t="inlineStr">
        <is>
          <t>공장365</t>
        </is>
      </c>
      <c r="Q574" s="3" t="n">
        <v>1</v>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396</v>
      </c>
      <c r="J575" s="3" t="inlineStr">
        <is>
          <t>1</t>
        </is>
      </c>
      <c r="K575" s="3" t="inlineStr">
        <is>
          <t>-</t>
        </is>
      </c>
      <c r="L575" s="3" t="inlineStr">
        <is>
          <t>장재교차로인근  종합재활용업으로 허가난 공장매매</t>
        </is>
      </c>
      <c r="M575" s="5">
        <f>HYPERLINK("https://fin.land.naver.com/articles/2646668139", "매물Link")</f>
        <v/>
      </c>
      <c r="N575" s="5">
        <f>HYPERLINK("https://map.naver.com/p/search/나성동 829", "지도Link")</f>
        <v/>
      </c>
      <c r="O575" s="5">
        <f>HYPERLINK("http://www.eum.go.kr/web/ar/lu/luLandDet.jsp?pnu=3611010700108290000&amp;isNoScr=script&amp;mode=search", "토지이음")</f>
        <v/>
      </c>
      <c r="P575" s="3" t="inlineStr">
        <is>
          <t>더원</t>
        </is>
      </c>
      <c r="Q575" s="3" t="n">
        <v>1</v>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2334</v>
      </c>
      <c r="J576" s="3" t="inlineStr">
        <is>
          <t>1</t>
        </is>
      </c>
      <c r="K576" s="3" t="inlineStr">
        <is>
          <t>-</t>
        </is>
      </c>
      <c r="L576" s="3" t="inlineStr">
        <is>
          <t>4차선대로변 광고효과좋은 위치의 공장 현임대중</t>
        </is>
      </c>
      <c r="M576" s="5">
        <f>HYPERLINK("https://fin.land.naver.com/articles/2646668663", "매물Link")</f>
        <v/>
      </c>
      <c r="N576" s="5">
        <f>HYPERLINK("https://map.naver.com/p/search/나성동 829", "지도Link")</f>
        <v/>
      </c>
      <c r="O576" s="5">
        <f>HYPERLINK("http://www.eum.go.kr/web/ar/lu/luLandDet.jsp?pnu=3611010700108290000&amp;isNoScr=script&amp;mode=search", "토지이음")</f>
        <v/>
      </c>
      <c r="P576" s="3" t="inlineStr">
        <is>
          <t>더원</t>
        </is>
      </c>
      <c r="Q576" s="3" t="n">
        <v>1</v>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992</v>
      </c>
      <c r="J577" s="3" t="inlineStr">
        <is>
          <t>1</t>
        </is>
      </c>
      <c r="K577" s="3" t="inlineStr">
        <is>
          <t>-</t>
        </is>
      </c>
      <c r="L577" s="3" t="inlineStr">
        <is>
          <t>신축공장 증평ic4.7km 고속도로 접근성최상 .청주오창 등 이동용이</t>
        </is>
      </c>
      <c r="M577" s="5">
        <f>HYPERLINK("https://fin.land.naver.com/articles/2646669079", "매물Link")</f>
        <v/>
      </c>
      <c r="N577" s="5">
        <f>HYPERLINK("https://map.naver.com/p/search/나성동 829", "지도Link")</f>
        <v/>
      </c>
      <c r="O577" s="5">
        <f>HYPERLINK("http://www.eum.go.kr/web/ar/lu/luLandDet.jsp?pnu=3611010700108290000&amp;isNoScr=script&amp;mode=search", "토지이음")</f>
        <v/>
      </c>
      <c r="P577" s="3" t="inlineStr">
        <is>
          <t>더원</t>
        </is>
      </c>
      <c r="Q577" s="3" t="n">
        <v>1</v>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330</v>
      </c>
      <c r="J578" s="3" t="inlineStr">
        <is>
          <t>1</t>
        </is>
      </c>
      <c r="K578" s="3" t="inlineStr">
        <is>
          <t>-</t>
        </is>
      </c>
      <c r="L578" s="3" t="inlineStr">
        <is>
          <t>청주공항인근,제조업소및창고,호이스트3톤</t>
        </is>
      </c>
      <c r="M578" s="5">
        <f>HYPERLINK("https://fin.land.naver.com/articles/2646705484", "매물Link")</f>
        <v/>
      </c>
      <c r="N578" s="5">
        <f>HYPERLINK("https://map.naver.com/p/search/나성동 829", "지도Link")</f>
        <v/>
      </c>
      <c r="O578" s="5">
        <f>HYPERLINK("http://www.eum.go.kr/web/ar/lu/luLandDet.jsp?pnu=3611010700108290000&amp;isNoScr=script&amp;mode=search", "토지이음")</f>
        <v/>
      </c>
      <c r="P578" s="3" t="inlineStr">
        <is>
          <t>LBA리치아노합동사무소</t>
        </is>
      </c>
      <c r="Q578" s="3" t="n">
        <v>2</v>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398</v>
      </c>
      <c r="J579" s="3" t="inlineStr">
        <is>
          <t>1</t>
        </is>
      </c>
      <c r="K579" s="3" t="inlineStr">
        <is>
          <t>-</t>
        </is>
      </c>
      <c r="L579" s="3" t="inlineStr">
        <is>
          <t>증평i,c 5분 오창i,c10분 율량동20분 오창과학단지생활권 호이스트3</t>
        </is>
      </c>
      <c r="M579" s="5">
        <f>HYPERLINK("https://fin.land.naver.com/articles/2646747849", "매물Link")</f>
        <v/>
      </c>
      <c r="N579" s="5">
        <f>HYPERLINK("https://map.naver.com/p/search/나성동 829", "지도Link")</f>
        <v/>
      </c>
      <c r="O579" s="5">
        <f>HYPERLINK("http://www.eum.go.kr/web/ar/lu/luLandDet.jsp?pnu=3611010700108290000&amp;isNoScr=script&amp;mode=search", "토지이음")</f>
        <v/>
      </c>
      <c r="P579" s="3" t="inlineStr">
        <is>
          <t>공장365</t>
        </is>
      </c>
      <c r="Q579" s="3" t="n">
        <v>1</v>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200</v>
      </c>
      <c r="J580" s="3" t="inlineStr">
        <is>
          <t>1</t>
        </is>
      </c>
      <c r="K580" s="3" t="inlineStr">
        <is>
          <t>-</t>
        </is>
      </c>
      <c r="L580" s="3" t="inlineStr">
        <is>
          <t>북이면,창고</t>
        </is>
      </c>
      <c r="M580" s="5">
        <f>HYPERLINK("https://fin.land.naver.com/articles/2646757691", "매물Link")</f>
        <v/>
      </c>
      <c r="N580" s="5">
        <f>HYPERLINK("https://map.naver.com/p/search/나성동 829", "지도Link")</f>
        <v/>
      </c>
      <c r="O580" s="5">
        <f>HYPERLINK("http://www.eum.go.kr/web/ar/lu/luLandDet.jsp?pnu=3611010700108290000&amp;isNoScr=script&amp;mode=search", "토지이음")</f>
        <v/>
      </c>
      <c r="P580" s="3" t="inlineStr">
        <is>
          <t>LBA리치아노합동사무소</t>
        </is>
      </c>
      <c r="Q580" s="3" t="n">
        <v>1</v>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1625</v>
      </c>
      <c r="J581" s="3" t="inlineStr">
        <is>
          <t>1</t>
        </is>
      </c>
      <c r="K581" s="3" t="inlineStr">
        <is>
          <t>-</t>
        </is>
      </c>
      <c r="L581" s="3" t="inlineStr">
        <is>
          <t>서오창ic인근에 위치해 물류창고로 적합</t>
        </is>
      </c>
      <c r="M581" s="5">
        <f>HYPERLINK("https://fin.land.naver.com/articles/2649121339", "매물Link")</f>
        <v/>
      </c>
      <c r="N581" s="5">
        <f>HYPERLINK("https://map.naver.com/p/search/나성동 829", "지도Link")</f>
        <v/>
      </c>
      <c r="O581" s="5">
        <f>HYPERLINK("http://www.eum.go.kr/web/ar/lu/luLandDet.jsp?pnu=3611010700108290000&amp;isNoScr=script&amp;mode=search", "토지이음")</f>
        <v/>
      </c>
      <c r="P581" s="3" t="inlineStr">
        <is>
          <t>창고의여왕</t>
        </is>
      </c>
      <c r="Q581" s="3" t="n">
        <v>1</v>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186</v>
      </c>
      <c r="J582" s="3" t="inlineStr">
        <is>
          <t>1</t>
        </is>
      </c>
      <c r="K582" s="3" t="inlineStr">
        <is>
          <t>-</t>
        </is>
      </c>
      <c r="L582" s="3" t="inlineStr">
        <is>
          <t>오창ic8분상수동. 하수종말처리직관 식품업종가능 창고추천 매물 정보</t>
        </is>
      </c>
      <c r="M582" s="5">
        <f>HYPERLINK("https://fin.land.naver.com/articles/2644022604", "매물Link")</f>
        <v/>
      </c>
      <c r="N582" s="5">
        <f>HYPERLINK("https://map.naver.com/p/search/나성동 829", "지도Link")</f>
        <v/>
      </c>
      <c r="O582" s="5">
        <f>HYPERLINK("http://www.eum.go.kr/web/ar/lu/luLandDet.jsp?pnu=3611010700108290000&amp;isNoScr=script&amp;mode=search", "토지이음")</f>
        <v/>
      </c>
      <c r="P582" s="3" t="inlineStr">
        <is>
          <t>더원</t>
        </is>
      </c>
      <c r="Q582" s="3" t="n">
        <v>1</v>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384</v>
      </c>
      <c r="J583" s="3" t="inlineStr">
        <is>
          <t>1</t>
        </is>
      </c>
      <c r="K583" s="3" t="inlineStr">
        <is>
          <t>-</t>
        </is>
      </c>
      <c r="L583" s="3" t="inlineStr">
        <is>
          <t>오창ic 8분 2종근생 상수도 하수종말처리장 직관 식품업종가능</t>
        </is>
      </c>
      <c r="M583" s="5">
        <f>HYPERLINK("https://fin.land.naver.com/articles/2644022613", "매물Link")</f>
        <v/>
      </c>
      <c r="N583" s="5">
        <f>HYPERLINK("https://map.naver.com/p/search/나성동 829", "지도Link")</f>
        <v/>
      </c>
      <c r="O583" s="5">
        <f>HYPERLINK("http://www.eum.go.kr/web/ar/lu/luLandDet.jsp?pnu=3611010700108290000&amp;isNoScr=script&amp;mode=search", "토지이음")</f>
        <v/>
      </c>
      <c r="P583" s="3" t="inlineStr">
        <is>
          <t>더원</t>
        </is>
      </c>
      <c r="Q583" s="3" t="n">
        <v>1</v>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198</v>
      </c>
      <c r="J584" s="3" t="inlineStr">
        <is>
          <t>1</t>
        </is>
      </c>
      <c r="K584" s="3" t="inlineStr">
        <is>
          <t>-</t>
        </is>
      </c>
      <c r="L584" s="3" t="inlineStr">
        <is>
          <t>오창ic 8분 2종근생 제조업허가 상수도 하수종말처리장직관 식품업종가능</t>
        </is>
      </c>
      <c r="M584" s="5">
        <f>HYPERLINK("https://fin.land.naver.com/articles/2644022626", "매물Link")</f>
        <v/>
      </c>
      <c r="N584" s="5">
        <f>HYPERLINK("https://map.naver.com/p/search/나성동 829", "지도Link")</f>
        <v/>
      </c>
      <c r="O584" s="5">
        <f>HYPERLINK("http://www.eum.go.kr/web/ar/lu/luLandDet.jsp?pnu=3611010700108290000&amp;isNoScr=script&amp;mode=search", "토지이음")</f>
        <v/>
      </c>
      <c r="P584" s="3" t="inlineStr">
        <is>
          <t>더원</t>
        </is>
      </c>
      <c r="Q584" s="3" t="n">
        <v>1</v>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671</v>
      </c>
      <c r="J585" s="3" t="inlineStr">
        <is>
          <t>1</t>
        </is>
      </c>
      <c r="K585" s="3" t="inlineStr">
        <is>
          <t>-</t>
        </is>
      </c>
      <c r="L585" s="3" t="inlineStr">
        <is>
          <t>오창ic 10분LG엔솔인근 공장 호이스트설치전력100KW</t>
        </is>
      </c>
      <c r="M585" s="5">
        <f>HYPERLINK("https://fin.land.naver.com/articles/2644663617", "매물Link")</f>
        <v/>
      </c>
      <c r="N585" s="5">
        <f>HYPERLINK("https://map.naver.com/p/search/나성동 829", "지도Link")</f>
        <v/>
      </c>
      <c r="O585" s="5">
        <f>HYPERLINK("http://www.eum.go.kr/web/ar/lu/luLandDet.jsp?pnu=3611010700108290000&amp;isNoScr=script&amp;mode=search", "토지이음")</f>
        <v/>
      </c>
      <c r="P585" s="3" t="inlineStr">
        <is>
          <t>더원</t>
        </is>
      </c>
      <c r="Q585" s="3" t="n">
        <v>1</v>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9031</v>
      </c>
      <c r="J586" s="3" t="inlineStr">
        <is>
          <t>4</t>
        </is>
      </c>
      <c r="K586" s="3" t="inlineStr">
        <is>
          <t>-</t>
        </is>
      </c>
      <c r="L586" s="3" t="inlineStr">
        <is>
          <t>오창ic 5분거리 오창과학산업단지 사옥형 대형공장매매 전력 2000kw</t>
        </is>
      </c>
      <c r="M586" s="5">
        <f>HYPERLINK("https://fin.land.naver.com/articles/2644664470", "매물Link")</f>
        <v/>
      </c>
      <c r="N586" s="5">
        <f>HYPERLINK("https://map.naver.com/p/search/나성동 829", "지도Link")</f>
        <v/>
      </c>
      <c r="O586" s="5">
        <f>HYPERLINK("http://www.eum.go.kr/web/ar/lu/luLandDet.jsp?pnu=3611010700108290000&amp;isNoScr=script&amp;mode=search", "토지이음")</f>
        <v/>
      </c>
      <c r="P586" s="3" t="inlineStr">
        <is>
          <t>더원</t>
        </is>
      </c>
      <c r="Q586" s="3" t="n">
        <v>1</v>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2070</v>
      </c>
      <c r="J587" s="3" t="inlineStr">
        <is>
          <t>2</t>
        </is>
      </c>
      <c r="K587" s="3" t="inlineStr">
        <is>
          <t>-</t>
        </is>
      </c>
      <c r="L587" s="3" t="inlineStr">
        <is>
          <t>증평ic 접근성좋은 위치의 민원걱정없는 공장</t>
        </is>
      </c>
      <c r="M587" s="5">
        <f>HYPERLINK("https://fin.land.naver.com/articles/2644708568", "매물Link")</f>
        <v/>
      </c>
      <c r="N587" s="5">
        <f>HYPERLINK("https://map.naver.com/p/search/나성동 829", "지도Link")</f>
        <v/>
      </c>
      <c r="O587" s="5">
        <f>HYPERLINK("http://www.eum.go.kr/web/ar/lu/luLandDet.jsp?pnu=3611010700108290000&amp;isNoScr=script&amp;mode=search", "토지이음")</f>
        <v/>
      </c>
      <c r="P587" s="3" t="inlineStr">
        <is>
          <t>더원</t>
        </is>
      </c>
      <c r="Q587" s="3" t="n">
        <v>1</v>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1626</v>
      </c>
      <c r="J588" s="3" t="inlineStr">
        <is>
          <t>1</t>
        </is>
      </c>
      <c r="K588" s="3" t="inlineStr">
        <is>
          <t>-</t>
        </is>
      </c>
      <c r="L588" s="3" t="inlineStr">
        <is>
          <t>대형차량 진출입용이 층고7m 천안접근성좋으며 서오창ic10분거리</t>
        </is>
      </c>
      <c r="M588" s="5">
        <f>HYPERLINK("https://fin.land.naver.com/articles/2644709194", "매물Link")</f>
        <v/>
      </c>
      <c r="N588" s="5">
        <f>HYPERLINK("https://map.naver.com/p/search/나성동 829", "지도Link")</f>
        <v/>
      </c>
      <c r="O588" s="5">
        <f>HYPERLINK("http://www.eum.go.kr/web/ar/lu/luLandDet.jsp?pnu=3611010700108290000&amp;isNoScr=script&amp;mode=search", "토지이음")</f>
        <v/>
      </c>
      <c r="P588" s="3" t="inlineStr">
        <is>
          <t>더원</t>
        </is>
      </c>
      <c r="Q588" s="3" t="n">
        <v>1</v>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2071</v>
      </c>
      <c r="J589" s="3" t="inlineStr">
        <is>
          <t>2</t>
        </is>
      </c>
      <c r="K589" s="3" t="inlineStr">
        <is>
          <t>-</t>
        </is>
      </c>
      <c r="L589" s="3" t="inlineStr">
        <is>
          <t>증평IC인근으로 접근성이 좋은위치, 민원의 소지가 없는 공장</t>
        </is>
      </c>
      <c r="M589" s="5">
        <f>HYPERLINK("https://fin.land.naver.com/articles/2645400980", "매물Link")</f>
        <v/>
      </c>
      <c r="N589" s="5">
        <f>HYPERLINK("https://map.naver.com/p/search/나성동 829", "지도Link")</f>
        <v/>
      </c>
      <c r="O589" s="5">
        <f>HYPERLINK("http://www.eum.go.kr/web/ar/lu/luLandDet.jsp?pnu=3611010700108290000&amp;isNoScr=script&amp;mode=search", "토지이음")</f>
        <v/>
      </c>
      <c r="P589" s="3" t="inlineStr">
        <is>
          <t>(주)미르</t>
        </is>
      </c>
      <c r="Q589" s="3" t="n">
        <v>1</v>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780</v>
      </c>
      <c r="J590" s="3" t="inlineStr">
        <is>
          <t>1</t>
        </is>
      </c>
      <c r="K590" s="3" t="inlineStr">
        <is>
          <t>-</t>
        </is>
      </c>
      <c r="L590" s="3" t="inlineStr">
        <is>
          <t>오창ic 4분,서오창ic 10분 물류이동 좋은 신축급 창고</t>
        </is>
      </c>
      <c r="M590" s="5">
        <f>HYPERLINK("https://fin.land.naver.com/articles/2646022416", "매물Link")</f>
        <v/>
      </c>
      <c r="N590" s="5">
        <f>HYPERLINK("https://map.naver.com/p/search/나성동 829", "지도Link")</f>
        <v/>
      </c>
      <c r="O590" s="5">
        <f>HYPERLINK("http://www.eum.go.kr/web/ar/lu/luLandDet.jsp?pnu=3611010700108290000&amp;isNoScr=script&amp;mode=search", "토지이음")</f>
        <v/>
      </c>
      <c r="P590" s="3" t="inlineStr">
        <is>
          <t>더원</t>
        </is>
      </c>
      <c r="Q590" s="3" t="n">
        <v>1</v>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892</v>
      </c>
      <c r="J591" s="3" t="inlineStr">
        <is>
          <t>1</t>
        </is>
      </c>
      <c r="K591" s="3" t="inlineStr">
        <is>
          <t>-</t>
        </is>
      </c>
      <c r="L591" s="3" t="inlineStr">
        <is>
          <t>오창,2층공장및창고</t>
        </is>
      </c>
      <c r="M591" s="5">
        <f>HYPERLINK("https://fin.land.naver.com/articles/2646057636", "매물Link")</f>
        <v/>
      </c>
      <c r="N591" s="5">
        <f>HYPERLINK("https://map.naver.com/p/search/나성동 829", "지도Link")</f>
        <v/>
      </c>
      <c r="O591" s="5">
        <f>HYPERLINK("http://www.eum.go.kr/web/ar/lu/luLandDet.jsp?pnu=3611010700108290000&amp;isNoScr=script&amp;mode=search", "토지이음")</f>
        <v/>
      </c>
      <c r="P591" s="3" t="inlineStr">
        <is>
          <t>LBA리치아노합동사무소</t>
        </is>
      </c>
      <c r="Q591" s="3" t="n">
        <v>1</v>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499</v>
      </c>
      <c r="J592" s="3" t="inlineStr">
        <is>
          <t>1</t>
        </is>
      </c>
      <c r="K592" s="3" t="inlineStr">
        <is>
          <t>-</t>
        </is>
      </c>
      <c r="L592" s="3" t="inlineStr">
        <is>
          <t>오창,제조업소및창고,호이스트5톤</t>
        </is>
      </c>
      <c r="M592" s="5">
        <f>HYPERLINK("https://fin.land.naver.com/articles/2646073654", "매물Link")</f>
        <v/>
      </c>
      <c r="N592" s="5">
        <f>HYPERLINK("https://map.naver.com/p/search/나성동 829", "지도Link")</f>
        <v/>
      </c>
      <c r="O592" s="5">
        <f>HYPERLINK("http://www.eum.go.kr/web/ar/lu/luLandDet.jsp?pnu=3611010700108290000&amp;isNoScr=script&amp;mode=search", "토지이음")</f>
        <v/>
      </c>
      <c r="P592" s="3" t="inlineStr">
        <is>
          <t>LBA리치아노합동사무소</t>
        </is>
      </c>
      <c r="Q592" s="3" t="n">
        <v>1</v>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433</v>
      </c>
      <c r="J593" s="3" t="inlineStr">
        <is>
          <t>1</t>
        </is>
      </c>
      <c r="K593" s="3" t="inlineStr">
        <is>
          <t>-</t>
        </is>
      </c>
      <c r="L593" s="3" t="inlineStr">
        <is>
          <t>오창읍인근 단독공장 임대 즉시 사용가능 주위 민원발생 없음</t>
        </is>
      </c>
      <c r="M593" s="5">
        <f>HYPERLINK("https://fin.land.naver.com/articles/2647104246", "매물Link")</f>
        <v/>
      </c>
      <c r="N593" s="5">
        <f>HYPERLINK("https://map.naver.com/p/search/나성동 829", "지도Link")</f>
        <v/>
      </c>
      <c r="O593" s="5">
        <f>HYPERLINK("http://www.eum.go.kr/web/ar/lu/luLandDet.jsp?pnu=3611010700108290000&amp;isNoScr=script&amp;mode=search", "토지이음")</f>
        <v/>
      </c>
      <c r="P593" s="3" t="inlineStr">
        <is>
          <t>옥산리버자이</t>
        </is>
      </c>
      <c r="Q593" s="3" t="n">
        <v>1</v>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179</v>
      </c>
      <c r="J594" s="3" t="inlineStr">
        <is>
          <t>1</t>
        </is>
      </c>
      <c r="K594" s="3" t="inlineStr">
        <is>
          <t>-</t>
        </is>
      </c>
      <c r="L594" s="3" t="inlineStr">
        <is>
          <t>신평리 소형 제조업 또는 창고 임대</t>
        </is>
      </c>
      <c r="M594" s="5">
        <f>HYPERLINK("https://fin.land.naver.com/articles/2647290319", "매물Link")</f>
        <v/>
      </c>
      <c r="N594" s="5">
        <f>HYPERLINK("https://map.naver.com/p/search/나성동 829", "지도Link")</f>
        <v/>
      </c>
      <c r="O594" s="5">
        <f>HYPERLINK("http://www.eum.go.kr/web/ar/lu/luLandDet.jsp?pnu=3611010700108290000&amp;isNoScr=script&amp;mode=search", "토지이음")</f>
        <v/>
      </c>
      <c r="P594" s="3" t="inlineStr">
        <is>
          <t>두꺼비</t>
        </is>
      </c>
      <c r="Q594" s="3" t="n">
        <v>1</v>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329</v>
      </c>
      <c r="J595" s="3" t="inlineStr">
        <is>
          <t>1</t>
        </is>
      </c>
      <c r="K595" s="3" t="inlineStr">
        <is>
          <t>-</t>
        </is>
      </c>
      <c r="L595" s="3" t="inlineStr">
        <is>
          <t>nan</t>
        </is>
      </c>
      <c r="M595" s="5">
        <f>HYPERLINK("https://fin.land.naver.com/articles/2647900009", "매물Link")</f>
        <v/>
      </c>
      <c r="N595" s="5">
        <f>HYPERLINK("https://map.naver.com/p/search/나성동 829", "지도Link")</f>
        <v/>
      </c>
      <c r="O595" s="5">
        <f>HYPERLINK("http://www.eum.go.kr/web/ar/lu/luLandDet.jsp?pnu=3611010700108290000&amp;isNoScr=script&amp;mode=search", "토지이음")</f>
        <v/>
      </c>
      <c r="P595" s="3" t="inlineStr">
        <is>
          <t>터</t>
        </is>
      </c>
      <c r="Q595" s="3" t="n">
        <v>2</v>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700</v>
      </c>
      <c r="J596" s="3" t="inlineStr">
        <is>
          <t>2</t>
        </is>
      </c>
      <c r="K596" s="3" t="inlineStr">
        <is>
          <t>-</t>
        </is>
      </c>
      <c r="L596" s="3" t="inlineStr">
        <is>
          <t>대덕테크노밸리 현대아울렛인근 산업지원구역내로 광고효과 양호한 소형건물</t>
        </is>
      </c>
      <c r="M596" s="5">
        <f>HYPERLINK("https://fin.land.naver.com/articles/2645364385", "매물Link")</f>
        <v/>
      </c>
      <c r="N596" s="5">
        <f>HYPERLINK("https://map.naver.com/p/search/나성동 829", "지도Link")</f>
        <v/>
      </c>
      <c r="O596" s="5">
        <f>HYPERLINK("http://www.eum.go.kr/web/ar/lu/luLandDet.jsp?pnu=3611010700108290000&amp;isNoScr=script&amp;mode=search", "토지이음")</f>
        <v/>
      </c>
      <c r="P596" s="3" t="inlineStr">
        <is>
          <t>테크노반석</t>
        </is>
      </c>
      <c r="Q596" s="3" t="n">
        <v>1</v>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2220</v>
      </c>
      <c r="J597" s="3" t="inlineStr">
        <is>
          <t>3</t>
        </is>
      </c>
      <c r="K597" s="3" t="inlineStr">
        <is>
          <t>-</t>
        </is>
      </c>
      <c r="L597" s="3" t="inlineStr">
        <is>
          <t>대덕특구 대덕테크노밸리 입지양호한 벤처기업사옥 공장 연구소 건물상태최상</t>
        </is>
      </c>
      <c r="M597" s="5">
        <f>HYPERLINK("https://fin.land.naver.com/articles/2644339262", "매물Link")</f>
        <v/>
      </c>
      <c r="N597" s="5">
        <f>HYPERLINK("https://map.naver.com/p/search/나성동 829", "지도Link")</f>
        <v/>
      </c>
      <c r="O597" s="5">
        <f>HYPERLINK("http://www.eum.go.kr/web/ar/lu/luLandDet.jsp?pnu=3611010700108290000&amp;isNoScr=script&amp;mode=search", "토지이음")</f>
        <v/>
      </c>
      <c r="P597" s="3" t="inlineStr">
        <is>
          <t>테크노반석</t>
        </is>
      </c>
      <c r="Q597" s="3" t="n">
        <v>1</v>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3100</v>
      </c>
      <c r="J598" s="3" t="inlineStr">
        <is>
          <t>2</t>
        </is>
      </c>
      <c r="K598" s="3" t="inlineStr">
        <is>
          <t>-</t>
        </is>
      </c>
      <c r="L598" s="3" t="inlineStr">
        <is>
          <t>대덕테크노밸리 IT, BT 공장 연구소, 벤처사옥 북대전 IC인접</t>
        </is>
      </c>
      <c r="M598" s="5">
        <f>HYPERLINK("https://fin.land.naver.com/articles/2647456544", "매물Link")</f>
        <v/>
      </c>
      <c r="N598" s="5">
        <f>HYPERLINK("https://map.naver.com/p/search/나성동 829", "지도Link")</f>
        <v/>
      </c>
      <c r="O598" s="5">
        <f>HYPERLINK("http://www.eum.go.kr/web/ar/lu/luLandDet.jsp?pnu=3611010700108290000&amp;isNoScr=script&amp;mode=search", "토지이음")</f>
        <v/>
      </c>
      <c r="P598" s="3" t="inlineStr">
        <is>
          <t>테크노반석</t>
        </is>
      </c>
      <c r="Q598" s="3" t="n">
        <v>1</v>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2739</v>
      </c>
      <c r="J599" s="3" t="inlineStr">
        <is>
          <t>1</t>
        </is>
      </c>
      <c r="K599" s="3" t="inlineStr">
        <is>
          <t>-</t>
        </is>
      </c>
      <c r="L599" s="3" t="inlineStr">
        <is>
          <t>nan</t>
        </is>
      </c>
      <c r="M599" s="5">
        <f>HYPERLINK("https://fin.land.naver.com/articles/2645724876", "매물Link")</f>
        <v/>
      </c>
      <c r="N599" s="5">
        <f>HYPERLINK("https://map.naver.com/p/search/나성동 829", "지도Link")</f>
        <v/>
      </c>
      <c r="O599" s="5">
        <f>HYPERLINK("http://www.eum.go.kr/web/ar/lu/luLandDet.jsp?pnu=3611010700108290000&amp;isNoScr=script&amp;mode=search", "토지이음")</f>
        <v/>
      </c>
      <c r="P599" s="3" t="inlineStr">
        <is>
          <t>성훈</t>
        </is>
      </c>
      <c r="Q599" s="3" t="n">
        <v>1</v>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1400</v>
      </c>
      <c r="J600" s="3" t="inlineStr">
        <is>
          <t>2</t>
        </is>
      </c>
      <c r="K600" s="3" t="inlineStr">
        <is>
          <t>-</t>
        </is>
      </c>
      <c r="L600" s="3" t="inlineStr">
        <is>
          <t>층고 7m, 호이스트 2기, 전기 50kw</t>
        </is>
      </c>
      <c r="M600" s="5">
        <f>HYPERLINK("https://fin.land.naver.com/articles/2644477613", "매물Link")</f>
        <v/>
      </c>
      <c r="N600" s="5">
        <f>HYPERLINK("https://map.naver.com/p/search/나성동 829", "지도Link")</f>
        <v/>
      </c>
      <c r="O600" s="5">
        <f>HYPERLINK("http://www.eum.go.kr/web/ar/lu/luLandDet.jsp?pnu=3611010700108290000&amp;isNoScr=script&amp;mode=search", "토지이음")</f>
        <v/>
      </c>
      <c r="P600" s="3" t="inlineStr">
        <is>
          <t>산업</t>
        </is>
      </c>
      <c r="Q600" s="3" t="n">
        <v>1</v>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2784</v>
      </c>
      <c r="J601" s="3" t="inlineStr">
        <is>
          <t>2</t>
        </is>
      </c>
      <c r="K601" s="3" t="inlineStr">
        <is>
          <t>-</t>
        </is>
      </c>
      <c r="L601" s="3" t="inlineStr">
        <is>
          <t>북대전IC와 가까워 대형차 진출입이 용이, 테크노밸리의 호이스트 보유</t>
        </is>
      </c>
      <c r="M601" s="5">
        <f>HYPERLINK("https://fin.land.naver.com/articles/2649085245", "매물Link")</f>
        <v/>
      </c>
      <c r="N601" s="5">
        <f>HYPERLINK("https://map.naver.com/p/search/나성동 829", "지도Link")</f>
        <v/>
      </c>
      <c r="O601" s="5">
        <f>HYPERLINK("http://www.eum.go.kr/web/ar/lu/luLandDet.jsp?pnu=3611010700108290000&amp;isNoScr=script&amp;mode=search", "토지이음")</f>
        <v/>
      </c>
      <c r="P601" s="3" t="inlineStr">
        <is>
          <t>(주)미르</t>
        </is>
      </c>
      <c r="Q601" s="3" t="n">
        <v>1</v>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297</v>
      </c>
      <c r="J602" s="3" t="inlineStr">
        <is>
          <t>7</t>
        </is>
      </c>
      <c r="K602" s="3" t="inlineStr">
        <is>
          <t>B2</t>
        </is>
      </c>
      <c r="L602" s="3" t="inlineStr">
        <is>
          <t>대덕테크노밸리 한신에스메카 위치양호 연구소 사무실 및 조립공장 급매 저렴</t>
        </is>
      </c>
      <c r="M602" s="5">
        <f>HYPERLINK("https://fin.land.naver.com/articles/2647460424", "매물Link")</f>
        <v/>
      </c>
      <c r="N602" s="5">
        <f>HYPERLINK("https://map.naver.com/p/search/나성동 829", "지도Link")</f>
        <v/>
      </c>
      <c r="O602" s="5">
        <f>HYPERLINK("http://www.eum.go.kr/web/ar/lu/luLandDet.jsp?pnu=3611010700108290000&amp;isNoScr=script&amp;mode=search", "토지이음")</f>
        <v/>
      </c>
      <c r="P602" s="3" t="inlineStr">
        <is>
          <t>테크노반석</t>
        </is>
      </c>
      <c r="Q602" s="3" t="n">
        <v>1</v>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297</v>
      </c>
      <c r="J603" s="3" t="inlineStr">
        <is>
          <t>7</t>
        </is>
      </c>
      <c r="K603" s="3" t="inlineStr">
        <is>
          <t>B2</t>
        </is>
      </c>
      <c r="L603" s="3" t="inlineStr">
        <is>
          <t>대덕테크노밸리 한신에스메카 지식산업센타  위치양호 시세보다 임대료 저렴</t>
        </is>
      </c>
      <c r="M603" s="5">
        <f>HYPERLINK("https://fin.land.naver.com/articles/2646743163", "매물Link")</f>
        <v/>
      </c>
      <c r="N603" s="5">
        <f>HYPERLINK("https://map.naver.com/p/search/나성동 829", "지도Link")</f>
        <v/>
      </c>
      <c r="O603" s="5">
        <f>HYPERLINK("http://www.eum.go.kr/web/ar/lu/luLandDet.jsp?pnu=3611010700108290000&amp;isNoScr=script&amp;mode=search", "토지이음")</f>
        <v/>
      </c>
      <c r="P603" s="3" t="inlineStr">
        <is>
          <t>테크노반석</t>
        </is>
      </c>
      <c r="Q603" s="3" t="n">
        <v>1</v>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1188</v>
      </c>
      <c r="J604" s="3" t="inlineStr">
        <is>
          <t>2</t>
        </is>
      </c>
      <c r="K604" s="3" t="inlineStr">
        <is>
          <t>-</t>
        </is>
      </c>
      <c r="L604" s="3" t="inlineStr">
        <is>
          <t>대덕테크노밸리 최고의 입지 활용도 실용성 높은 제조공장 및 창고 벤처사옥</t>
        </is>
      </c>
      <c r="M604" s="5">
        <f>HYPERLINK("https://fin.land.naver.com/articles/2646074929", "매물Link")</f>
        <v/>
      </c>
      <c r="N604" s="5">
        <f>HYPERLINK("https://map.naver.com/p/search/나성동 829", "지도Link")</f>
        <v/>
      </c>
      <c r="O604" s="5">
        <f>HYPERLINK("http://www.eum.go.kr/web/ar/lu/luLandDet.jsp?pnu=3611010700108290000&amp;isNoScr=script&amp;mode=search", "토지이음")</f>
        <v/>
      </c>
      <c r="P604" s="3" t="inlineStr">
        <is>
          <t>테크노반석</t>
        </is>
      </c>
      <c r="Q604" s="3" t="n">
        <v>1</v>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4285</v>
      </c>
      <c r="J605" s="3" t="inlineStr">
        <is>
          <t>5</t>
        </is>
      </c>
      <c r="K605" s="3" t="inlineStr">
        <is>
          <t>-</t>
        </is>
      </c>
      <c r="L605" s="3" t="inlineStr">
        <is>
          <t>테크로벨리 중심지역공장. 3동으로구성됨, 중심각지로 유동성 좋음.</t>
        </is>
      </c>
      <c r="M605" s="5">
        <f>HYPERLINK("https://fin.land.naver.com/articles/2644110974", "매물Link")</f>
        <v/>
      </c>
      <c r="N605" s="5">
        <f>HYPERLINK("https://map.naver.com/p/search/나성동 829", "지도Link")</f>
        <v/>
      </c>
      <c r="O605" s="5">
        <f>HYPERLINK("http://www.eum.go.kr/web/ar/lu/luLandDet.jsp?pnu=3611010700108290000&amp;isNoScr=script&amp;mode=search", "토지이음")</f>
        <v/>
      </c>
      <c r="P605" s="3" t="inlineStr">
        <is>
          <t>성지</t>
        </is>
      </c>
      <c r="Q605" s="3" t="n">
        <v>1</v>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957</v>
      </c>
      <c r="J606" s="3" t="inlineStr">
        <is>
          <t>2</t>
        </is>
      </c>
      <c r="K606" s="3" t="inlineStr">
        <is>
          <t>-</t>
        </is>
      </c>
      <c r="L606" s="3" t="inlineStr">
        <is>
          <t>깨끗한 2층 사무실겸 공장. 대로변 공장</t>
        </is>
      </c>
      <c r="M606" s="5">
        <f>HYPERLINK("https://fin.land.naver.com/articles/2644100674", "매물Link")</f>
        <v/>
      </c>
      <c r="N606" s="5">
        <f>HYPERLINK("https://map.naver.com/p/search/나성동 829", "지도Link")</f>
        <v/>
      </c>
      <c r="O606" s="5">
        <f>HYPERLINK("http://www.eum.go.kr/web/ar/lu/luLandDet.jsp?pnu=3611010700108290000&amp;isNoScr=script&amp;mode=search", "토지이음")</f>
        <v/>
      </c>
      <c r="P606" s="3" t="inlineStr">
        <is>
          <t>성지</t>
        </is>
      </c>
      <c r="Q606" s="3" t="n">
        <v>1</v>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2220</v>
      </c>
      <c r="J607" s="3" t="inlineStr">
        <is>
          <t>3</t>
        </is>
      </c>
      <c r="K607" s="3" t="inlineStr">
        <is>
          <t>-</t>
        </is>
      </c>
      <c r="L607" s="3" t="inlineStr">
        <is>
          <t>대덕테크노밸리 IT 벤처사옥내 깨끗하고 인테리어완비된 2층 사무실 연구소</t>
        </is>
      </c>
      <c r="M607" s="5">
        <f>HYPERLINK("https://fin.land.naver.com/articles/2649116623", "매물Link")</f>
        <v/>
      </c>
      <c r="N607" s="5">
        <f>HYPERLINK("https://map.naver.com/p/search/나성동 829", "지도Link")</f>
        <v/>
      </c>
      <c r="O607" s="5">
        <f>HYPERLINK("http://www.eum.go.kr/web/ar/lu/luLandDet.jsp?pnu=3611010700108290000&amp;isNoScr=script&amp;mode=search", "토지이음")</f>
        <v/>
      </c>
      <c r="P607" s="3" t="inlineStr">
        <is>
          <t>테크노반석</t>
        </is>
      </c>
      <c r="Q607" s="3" t="n">
        <v>1</v>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3700</v>
      </c>
      <c r="J608" s="3" t="inlineStr">
        <is>
          <t>3</t>
        </is>
      </c>
      <c r="K608" s="3" t="inlineStr">
        <is>
          <t>-</t>
        </is>
      </c>
      <c r="L608" s="3" t="inlineStr">
        <is>
          <t>nan</t>
        </is>
      </c>
      <c r="M608" s="5">
        <f>HYPERLINK("https://fin.land.naver.com/articles/2644476267", "매물Link")</f>
        <v/>
      </c>
      <c r="N608" s="5">
        <f>HYPERLINK("https://map.naver.com/p/search/나성동 829", "지도Link")</f>
        <v/>
      </c>
      <c r="O608" s="5">
        <f>HYPERLINK("http://www.eum.go.kr/web/ar/lu/luLandDet.jsp?pnu=3611010700108290000&amp;isNoScr=script&amp;mode=search", "토지이음")</f>
        <v/>
      </c>
      <c r="P608" s="3" t="inlineStr">
        <is>
          <t>산업</t>
        </is>
      </c>
      <c r="Q608" s="3" t="n">
        <v>1</v>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7156</v>
      </c>
      <c r="J609" s="3" t="inlineStr">
        <is>
          <t>5</t>
        </is>
      </c>
      <c r="K609" s="3" t="inlineStr">
        <is>
          <t>B1</t>
        </is>
      </c>
      <c r="L609" s="3" t="inlineStr">
        <is>
          <t>nan</t>
        </is>
      </c>
      <c r="M609" s="5">
        <f>HYPERLINK("https://fin.land.naver.com/articles/2644412222", "매물Link")</f>
        <v/>
      </c>
      <c r="N609" s="5">
        <f>HYPERLINK("https://map.naver.com/p/search/나성동 829", "지도Link")</f>
        <v/>
      </c>
      <c r="O609" s="5">
        <f>HYPERLINK("http://www.eum.go.kr/web/ar/lu/luLandDet.jsp?pnu=3611010700108290000&amp;isNoScr=script&amp;mode=search", "토지이음")</f>
        <v/>
      </c>
      <c r="P609" s="3" t="inlineStr">
        <is>
          <t>과학밸트</t>
        </is>
      </c>
      <c r="Q609" s="3" t="n">
        <v>1</v>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5570</v>
      </c>
      <c r="J610" s="3" t="inlineStr">
        <is>
          <t>3</t>
        </is>
      </c>
      <c r="K610" s="3" t="inlineStr">
        <is>
          <t>-</t>
        </is>
      </c>
      <c r="L610" s="3" t="inlineStr">
        <is>
          <t>철근콘크리트로 잘지어진 IT BT벤처사옥 대로변으로 입지양호 교통편리</t>
        </is>
      </c>
      <c r="M610" s="5">
        <f>HYPERLINK("https://fin.land.naver.com/articles/2649120744", "매물Link")</f>
        <v/>
      </c>
      <c r="N610" s="5">
        <f>HYPERLINK("https://map.naver.com/p/search/나성동 829", "지도Link")</f>
        <v/>
      </c>
      <c r="O610" s="5">
        <f>HYPERLINK("http://www.eum.go.kr/web/ar/lu/luLandDet.jsp?pnu=3611010700108290000&amp;isNoScr=script&amp;mode=search", "토지이음")</f>
        <v/>
      </c>
      <c r="P610" s="3" t="inlineStr">
        <is>
          <t>테크노반석</t>
        </is>
      </c>
      <c r="Q610" s="3" t="n">
        <v>1</v>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3761</v>
      </c>
      <c r="J611" s="3" t="inlineStr">
        <is>
          <t>3</t>
        </is>
      </c>
      <c r="K611" s="3" t="inlineStr">
        <is>
          <t>-</t>
        </is>
      </c>
      <c r="L611" s="3" t="inlineStr">
        <is>
          <t>북대전IC인근,교통편리,대덕테크노밸리의 대형 화물용 엘리베이터</t>
        </is>
      </c>
      <c r="M611" s="5">
        <f>HYPERLINK("https://fin.land.naver.com/articles/2649085228", "매물Link")</f>
        <v/>
      </c>
      <c r="N611" s="5">
        <f>HYPERLINK("https://map.naver.com/p/search/나성동 829", "지도Link")</f>
        <v/>
      </c>
      <c r="O611" s="5">
        <f>HYPERLINK("http://www.eum.go.kr/web/ar/lu/luLandDet.jsp?pnu=3611010700108290000&amp;isNoScr=script&amp;mode=search", "토지이음")</f>
        <v/>
      </c>
      <c r="P611" s="3" t="inlineStr">
        <is>
          <t>(주)미르</t>
        </is>
      </c>
      <c r="Q611" s="3" t="n">
        <v>1</v>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6320</v>
      </c>
      <c r="J612" s="3" t="inlineStr">
        <is>
          <t>3</t>
        </is>
      </c>
      <c r="K612" s="3" t="inlineStr">
        <is>
          <t>-</t>
        </is>
      </c>
      <c r="L612" s="3" t="inlineStr">
        <is>
          <t>대덕테크노밸리 입지양호 잘지어진 IT, BT 벤처사옥 공장 연구소 사무실</t>
        </is>
      </c>
      <c r="M612" s="5">
        <f>HYPERLINK("https://fin.land.naver.com/articles/2648187314", "매물Link")</f>
        <v/>
      </c>
      <c r="N612" s="5">
        <f>HYPERLINK("https://map.naver.com/p/search/나성동 829", "지도Link")</f>
        <v/>
      </c>
      <c r="O612" s="5">
        <f>HYPERLINK("http://www.eum.go.kr/web/ar/lu/luLandDet.jsp?pnu=3611010700108290000&amp;isNoScr=script&amp;mode=search", "토지이음")</f>
        <v/>
      </c>
      <c r="P612" s="3" t="inlineStr">
        <is>
          <t>테크노반석</t>
        </is>
      </c>
      <c r="Q612" s="3" t="n">
        <v>1</v>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3762</v>
      </c>
      <c r="J613" s="3" t="inlineStr">
        <is>
          <t>3</t>
        </is>
      </c>
      <c r="K613" s="3" t="inlineStr">
        <is>
          <t>-</t>
        </is>
      </c>
      <c r="L613" s="3" t="inlineStr">
        <is>
          <t>대덕테크노밸리 북대전IC인근으로 교통편리 IT BT벤처사옥적합 가격저렴</t>
        </is>
      </c>
      <c r="M613" s="5">
        <f>HYPERLINK("https://fin.land.naver.com/articles/2648181701", "매물Link")</f>
        <v/>
      </c>
      <c r="N613" s="5">
        <f>HYPERLINK("https://map.naver.com/p/search/나성동 829", "지도Link")</f>
        <v/>
      </c>
      <c r="O613" s="5">
        <f>HYPERLINK("http://www.eum.go.kr/web/ar/lu/luLandDet.jsp?pnu=3611010700108290000&amp;isNoScr=script&amp;mode=search", "토지이음")</f>
        <v/>
      </c>
      <c r="P613" s="3" t="inlineStr">
        <is>
          <t>테크노반석</t>
        </is>
      </c>
      <c r="Q613" s="3" t="n">
        <v>1</v>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5046</v>
      </c>
      <c r="J614" s="3" t="inlineStr">
        <is>
          <t>2</t>
        </is>
      </c>
      <c r="K614" s="3" t="inlineStr">
        <is>
          <t>-</t>
        </is>
      </c>
      <c r="L614" s="3" t="inlineStr">
        <is>
          <t>대덕테크노밸리 깔끔한 공장 1층 임대</t>
        </is>
      </c>
      <c r="M614" s="5">
        <f>HYPERLINK("https://fin.land.naver.com/articles/2646813011", "매물Link")</f>
        <v/>
      </c>
      <c r="N614" s="5">
        <f>HYPERLINK("https://map.naver.com/p/search/나성동 829", "지도Link")</f>
        <v/>
      </c>
      <c r="O614" s="5">
        <f>HYPERLINK("http://www.eum.go.kr/web/ar/lu/luLandDet.jsp?pnu=3611010700108290000&amp;isNoScr=script&amp;mode=search", "토지이음")</f>
        <v/>
      </c>
      <c r="P614" s="3" t="inlineStr">
        <is>
          <t>SK랜드</t>
        </is>
      </c>
      <c r="Q614" s="3" t="n">
        <v>1</v>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290</v>
      </c>
      <c r="J615" s="3" t="inlineStr">
        <is>
          <t>3</t>
        </is>
      </c>
      <c r="K615" s="3" t="inlineStr">
        <is>
          <t>-</t>
        </is>
      </c>
      <c r="L615" s="3" t="inlineStr">
        <is>
          <t>테크노밸리 공장 중 귀한매물임 동력40kw  층고7미터 호이스트3톤</t>
        </is>
      </c>
      <c r="M615" s="5">
        <f>HYPERLINK("https://fin.land.naver.com/articles/2646089567", "매물Link")</f>
        <v/>
      </c>
      <c r="N615" s="5">
        <f>HYPERLINK("https://map.naver.com/p/search/나성동 829", "지도Link")</f>
        <v/>
      </c>
      <c r="O615" s="5">
        <f>HYPERLINK("http://www.eum.go.kr/web/ar/lu/luLandDet.jsp?pnu=3611010700108290000&amp;isNoScr=script&amp;mode=search", "토지이음")</f>
        <v/>
      </c>
      <c r="P615" s="3" t="inlineStr">
        <is>
          <t>태영컨설팅</t>
        </is>
      </c>
      <c r="Q615" s="3" t="n">
        <v>1</v>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903</v>
      </c>
      <c r="J616" s="3" t="inlineStr">
        <is>
          <t>2</t>
        </is>
      </c>
      <c r="K616" s="3" t="inlineStr">
        <is>
          <t>-</t>
        </is>
      </c>
      <c r="L616" s="3" t="inlineStr">
        <is>
          <t>연구소 겸 공장 임대 분할임대 가능 즉시입주 시스템에어컨 완비</t>
        </is>
      </c>
      <c r="M616" s="5">
        <f>HYPERLINK("https://fin.land.naver.com/articles/2645765247", "매물Link")</f>
        <v/>
      </c>
      <c r="N616" s="5">
        <f>HYPERLINK("https://map.naver.com/p/search/나성동 829", "지도Link")</f>
        <v/>
      </c>
      <c r="O616" s="5">
        <f>HYPERLINK("http://www.eum.go.kr/web/ar/lu/luLandDet.jsp?pnu=3611010700108290000&amp;isNoScr=script&amp;mode=search", "토지이음")</f>
        <v/>
      </c>
      <c r="P616" s="3" t="inlineStr">
        <is>
          <t>삼익</t>
        </is>
      </c>
      <c r="Q616" s="3" t="n">
        <v>1</v>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4900</v>
      </c>
      <c r="J617" s="3" t="inlineStr">
        <is>
          <t>2</t>
        </is>
      </c>
      <c r="K617" s="3" t="inlineStr">
        <is>
          <t>-</t>
        </is>
      </c>
      <c r="L617" s="3" t="inlineStr">
        <is>
          <t>클린룸 대덕테크노밸리 GMP시설 완비된 클린룸 깨끗한 연구소 공장</t>
        </is>
      </c>
      <c r="M617" s="5">
        <f>HYPERLINK("https://fin.land.naver.com/articles/2644220400", "매물Link")</f>
        <v/>
      </c>
      <c r="N617" s="5">
        <f>HYPERLINK("https://map.naver.com/p/search/나성동 829", "지도Link")</f>
        <v/>
      </c>
      <c r="O617" s="5">
        <f>HYPERLINK("http://www.eum.go.kr/web/ar/lu/luLandDet.jsp?pnu=3611010700108290000&amp;isNoScr=script&amp;mode=search", "토지이음")</f>
        <v/>
      </c>
      <c r="P617" s="3" t="inlineStr">
        <is>
          <t>테크노반석</t>
        </is>
      </c>
      <c r="Q617" s="3" t="n">
        <v>1</v>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1500</v>
      </c>
      <c r="J618" s="3" t="inlineStr">
        <is>
          <t>3</t>
        </is>
      </c>
      <c r="K618" s="3" t="inlineStr">
        <is>
          <t>-</t>
        </is>
      </c>
      <c r="L618" s="3" t="inlineStr">
        <is>
          <t>2 층 공장 및 연구실 추천, 화물용리프트</t>
        </is>
      </c>
      <c r="M618" s="5">
        <f>HYPERLINK("https://fin.land.naver.com/articles/2647623814", "매물Link")</f>
        <v/>
      </c>
      <c r="N618" s="5">
        <f>HYPERLINK("https://map.naver.com/p/search/나성동 829", "지도Link")</f>
        <v/>
      </c>
      <c r="O618" s="5">
        <f>HYPERLINK("http://www.eum.go.kr/web/ar/lu/luLandDet.jsp?pnu=3611010700108290000&amp;isNoScr=script&amp;mode=search", "토지이음")</f>
        <v/>
      </c>
      <c r="P618" s="3" t="inlineStr">
        <is>
          <t>산업</t>
        </is>
      </c>
      <c r="Q618" s="3" t="n">
        <v>1</v>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3000</v>
      </c>
      <c r="J619" s="3" t="inlineStr">
        <is>
          <t>4</t>
        </is>
      </c>
      <c r="K619" s="3" t="inlineStr">
        <is>
          <t>-</t>
        </is>
      </c>
      <c r="L619" s="3" t="inlineStr">
        <is>
          <t>대덕테크노밸리 깨끗한 벤처사옥2층 공장 연구소 사무실 입지건물상태양호</t>
        </is>
      </c>
      <c r="M619" s="5">
        <f>HYPERLINK("https://fin.land.naver.com/articles/2647453540", "매물Link")</f>
        <v/>
      </c>
      <c r="N619" s="5">
        <f>HYPERLINK("https://map.naver.com/p/search/나성동 829", "지도Link")</f>
        <v/>
      </c>
      <c r="O619" s="5">
        <f>HYPERLINK("http://www.eum.go.kr/web/ar/lu/luLandDet.jsp?pnu=3611010700108290000&amp;isNoScr=script&amp;mode=search", "토지이음")</f>
        <v/>
      </c>
      <c r="P619" s="3" t="inlineStr">
        <is>
          <t>테크노반석</t>
        </is>
      </c>
      <c r="Q619" s="3" t="n">
        <v>1</v>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2970</v>
      </c>
      <c r="J620" s="3" t="inlineStr">
        <is>
          <t>3</t>
        </is>
      </c>
      <c r="K620" s="3" t="inlineStr">
        <is>
          <t>-</t>
        </is>
      </c>
      <c r="L620" s="3" t="inlineStr">
        <is>
          <t>대덕테크노밸리 깨끗한 벤처사옥내 2층 연구소 공장 사무실 주차양호</t>
        </is>
      </c>
      <c r="M620" s="5">
        <f>HYPERLINK("https://fin.land.naver.com/articles/2647459485", "매물Link")</f>
        <v/>
      </c>
      <c r="N620" s="5">
        <f>HYPERLINK("https://map.naver.com/p/search/나성동 829", "지도Link")</f>
        <v/>
      </c>
      <c r="O620" s="5">
        <f>HYPERLINK("http://www.eum.go.kr/web/ar/lu/luLandDet.jsp?pnu=3611010700108290000&amp;isNoScr=script&amp;mode=search", "토지이음")</f>
        <v/>
      </c>
      <c r="P620" s="3" t="inlineStr">
        <is>
          <t>테크노반석</t>
        </is>
      </c>
      <c r="Q620" s="3" t="n">
        <v>1</v>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950</v>
      </c>
      <c r="J621" s="3" t="inlineStr">
        <is>
          <t>1</t>
        </is>
      </c>
      <c r="K621" s="3" t="inlineStr">
        <is>
          <t>-</t>
        </is>
      </c>
      <c r="L621" s="3" t="inlineStr">
        <is>
          <t>nan</t>
        </is>
      </c>
      <c r="M621" s="5">
        <f>HYPERLINK("https://fin.land.naver.com/articles/2648315622", "매물Link")</f>
        <v/>
      </c>
      <c r="N621" s="5">
        <f>HYPERLINK("https://map.naver.com/p/search/나성동 829", "지도Link")</f>
        <v/>
      </c>
      <c r="O621" s="5">
        <f>HYPERLINK("http://www.eum.go.kr/web/ar/lu/luLandDet.jsp?pnu=3611010700108290000&amp;isNoScr=script&amp;mode=search", "토지이음")</f>
        <v/>
      </c>
      <c r="P621" s="3" t="inlineStr">
        <is>
          <t>탑</t>
        </is>
      </c>
      <c r="Q621" s="3" t="n">
        <v>1</v>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256</v>
      </c>
      <c r="J622" s="3" t="inlineStr">
        <is>
          <t>2</t>
        </is>
      </c>
      <c r="K622" s="3" t="inlineStr">
        <is>
          <t>-</t>
        </is>
      </c>
      <c r="L622" s="3" t="inlineStr">
        <is>
          <t>2층 창고 건물임. 부가세 포함 즉시입주</t>
        </is>
      </c>
      <c r="M622" s="5">
        <f>HYPERLINK("https://fin.land.naver.com/articles/2648294957", "매물Link")</f>
        <v/>
      </c>
      <c r="N622" s="5">
        <f>HYPERLINK("https://map.naver.com/p/search/나성동 829", "지도Link")</f>
        <v/>
      </c>
      <c r="O622" s="5">
        <f>HYPERLINK("http://www.eum.go.kr/web/ar/lu/luLandDet.jsp?pnu=3611010700108290000&amp;isNoScr=script&amp;mode=search", "토지이음")</f>
        <v/>
      </c>
      <c r="P622" s="3" t="inlineStr">
        <is>
          <t>구성스마트</t>
        </is>
      </c>
      <c r="Q622" s="3" t="n">
        <v>1</v>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294</v>
      </c>
      <c r="J623" s="3" t="inlineStr">
        <is>
          <t>2</t>
        </is>
      </c>
      <c r="K623" s="3" t="inlineStr">
        <is>
          <t>-</t>
        </is>
      </c>
      <c r="L623" s="3" t="inlineStr">
        <is>
          <t>오정동 공장 매매</t>
        </is>
      </c>
      <c r="M623" s="5">
        <f>HYPERLINK("https://fin.land.naver.com/articles/2646694660", "매물Link")</f>
        <v/>
      </c>
      <c r="N623" s="5">
        <f>HYPERLINK("https://map.naver.com/p/search/나성동 829", "지도Link")</f>
        <v/>
      </c>
      <c r="O623" s="5">
        <f>HYPERLINK("http://www.eum.go.kr/web/ar/lu/luLandDet.jsp?pnu=3611010700108290000&amp;isNoScr=script&amp;mode=search", "토지이음")</f>
        <v/>
      </c>
      <c r="P623" s="3" t="inlineStr">
        <is>
          <t>왕중왕기업</t>
        </is>
      </c>
      <c r="Q623" s="3" t="n">
        <v>1</v>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127</v>
      </c>
      <c r="J624" s="3" t="inlineStr">
        <is>
          <t>4</t>
        </is>
      </c>
      <c r="K624" s="3" t="inlineStr">
        <is>
          <t>-</t>
        </is>
      </c>
      <c r="L624" s="3" t="inlineStr">
        <is>
          <t>창고및 사무실로 사용가능, 대로변에 근접함.</t>
        </is>
      </c>
      <c r="M624" s="5">
        <f>HYPERLINK("https://fin.land.naver.com/articles/2644663885", "매물Link")</f>
        <v/>
      </c>
      <c r="N624" s="5">
        <f>HYPERLINK("https://map.naver.com/p/search/나성동 829", "지도Link")</f>
        <v/>
      </c>
      <c r="O624" s="5">
        <f>HYPERLINK("http://www.eum.go.kr/web/ar/lu/luLandDet.jsp?pnu=3611010700108290000&amp;isNoScr=script&amp;mode=search", "토지이음")</f>
        <v/>
      </c>
      <c r="P624" s="3" t="inlineStr">
        <is>
          <t>성지</t>
        </is>
      </c>
      <c r="Q624" s="3" t="n">
        <v>1</v>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306</v>
      </c>
      <c r="J625" s="3" t="inlineStr">
        <is>
          <t>1</t>
        </is>
      </c>
      <c r="K625" s="3" t="inlineStr">
        <is>
          <t>-</t>
        </is>
      </c>
      <c r="L625" s="3" t="inlineStr">
        <is>
          <t>nan</t>
        </is>
      </c>
      <c r="M625" s="5">
        <f>HYPERLINK("https://fin.land.naver.com/articles/2644592725", "매물Link")</f>
        <v/>
      </c>
      <c r="N625" s="5">
        <f>HYPERLINK("https://map.naver.com/p/search/나성동 829", "지도Link")</f>
        <v/>
      </c>
      <c r="O625" s="5">
        <f>HYPERLINK("http://www.eum.go.kr/web/ar/lu/luLandDet.jsp?pnu=3611010700108290000&amp;isNoScr=script&amp;mode=search", "토지이음")</f>
        <v/>
      </c>
      <c r="P625" s="3" t="inlineStr">
        <is>
          <t>탑</t>
        </is>
      </c>
      <c r="Q625" s="3" t="n">
        <v>1</v>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191</v>
      </c>
      <c r="J626" s="3" t="inlineStr">
        <is>
          <t>1</t>
        </is>
      </c>
      <c r="K626" s="3" t="inlineStr">
        <is>
          <t>-</t>
        </is>
      </c>
      <c r="L626" s="3" t="inlineStr">
        <is>
          <t>공장 창고 및 재건축 용도</t>
        </is>
      </c>
      <c r="M626" s="5">
        <f>HYPERLINK("https://fin.land.naver.com/articles/2644567345", "매물Link")</f>
        <v/>
      </c>
      <c r="N626" s="5">
        <f>HYPERLINK("https://map.naver.com/p/search/나성동 829", "지도Link")</f>
        <v/>
      </c>
      <c r="O626" s="5">
        <f>HYPERLINK("http://www.eum.go.kr/web/ar/lu/luLandDet.jsp?pnu=3611010700108290000&amp;isNoScr=script&amp;mode=search", "토지이음")</f>
        <v/>
      </c>
      <c r="P626" s="3" t="inlineStr">
        <is>
          <t>열린</t>
        </is>
      </c>
      <c r="Q626" s="3" t="n">
        <v>1</v>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292</v>
      </c>
      <c r="J627" s="3" t="inlineStr">
        <is>
          <t>1</t>
        </is>
      </c>
      <c r="K627" s="3" t="inlineStr">
        <is>
          <t>-</t>
        </is>
      </c>
      <c r="L627" s="3" t="inlineStr">
        <is>
          <t>호이스트있는 공장 임대 기계 무상사용 사무실 별도 사용 가</t>
        </is>
      </c>
      <c r="M627" s="5">
        <f>HYPERLINK("https://fin.land.naver.com/articles/2650088638", "매물Link")</f>
        <v/>
      </c>
      <c r="N627" s="5">
        <f>HYPERLINK("https://map.naver.com/p/search/나성동 829", "지도Link")</f>
        <v/>
      </c>
      <c r="O627" s="5">
        <f>HYPERLINK("http://www.eum.go.kr/web/ar/lu/luLandDet.jsp?pnu=3611010700108290000&amp;isNoScr=script&amp;mode=search", "토지이음")</f>
        <v/>
      </c>
      <c r="P627" s="3" t="inlineStr">
        <is>
          <t>삼익</t>
        </is>
      </c>
      <c r="Q627" s="3" t="n">
        <v>1</v>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294</v>
      </c>
      <c r="J628" s="3" t="inlineStr">
        <is>
          <t>1</t>
        </is>
      </c>
      <c r="K628" s="3" t="inlineStr">
        <is>
          <t>-</t>
        </is>
      </c>
      <c r="L628" s="3" t="inlineStr">
        <is>
          <t>nan</t>
        </is>
      </c>
      <c r="M628" s="5">
        <f>HYPERLINK("https://fin.land.naver.com/articles/2649528967", "매물Link")</f>
        <v/>
      </c>
      <c r="N628" s="5">
        <f>HYPERLINK("https://map.naver.com/p/search/나성동 829", "지도Link")</f>
        <v/>
      </c>
      <c r="O628" s="5">
        <f>HYPERLINK("http://www.eum.go.kr/web/ar/lu/luLandDet.jsp?pnu=3611010700108290000&amp;isNoScr=script&amp;mode=search", "토지이음")</f>
        <v/>
      </c>
      <c r="P628" s="3" t="inlineStr">
        <is>
          <t>왕중왕기업</t>
        </is>
      </c>
      <c r="Q628" s="3" t="n">
        <v>1</v>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297</v>
      </c>
      <c r="J629" s="3" t="inlineStr">
        <is>
          <t>3</t>
        </is>
      </c>
      <c r="K629" s="3" t="inlineStr">
        <is>
          <t>B1</t>
        </is>
      </c>
      <c r="L629" s="3" t="inlineStr">
        <is>
          <t>저렴한 산업단지내 공장.높이4M 정도, 조립공장 최상급.</t>
        </is>
      </c>
      <c r="M629" s="5">
        <f>HYPERLINK("https://fin.land.naver.com/articles/2649525751", "매물Link")</f>
        <v/>
      </c>
      <c r="N629" s="5">
        <f>HYPERLINK("https://map.naver.com/p/search/나성동 829", "지도Link")</f>
        <v/>
      </c>
      <c r="O629" s="5">
        <f>HYPERLINK("http://www.eum.go.kr/web/ar/lu/luLandDet.jsp?pnu=3611010700108290000&amp;isNoScr=script&amp;mode=search", "토지이음")</f>
        <v/>
      </c>
      <c r="P629" s="3" t="inlineStr">
        <is>
          <t>성지</t>
        </is>
      </c>
      <c r="Q629" s="3" t="n">
        <v>2</v>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3032</v>
      </c>
      <c r="J630" s="3" t="inlineStr">
        <is>
          <t>3</t>
        </is>
      </c>
      <c r="K630" s="3" t="inlineStr">
        <is>
          <t>B1</t>
        </is>
      </c>
      <c r="L630" s="3" t="inlineStr">
        <is>
          <t>화물 승강기있음. 저렴한가격.</t>
        </is>
      </c>
      <c r="M630" s="5">
        <f>HYPERLINK("https://fin.land.naver.com/articles/2649441356", "매물Link")</f>
        <v/>
      </c>
      <c r="N630" s="5">
        <f>HYPERLINK("https://map.naver.com/p/search/나성동 829", "지도Link")</f>
        <v/>
      </c>
      <c r="O630" s="5">
        <f>HYPERLINK("http://www.eum.go.kr/web/ar/lu/luLandDet.jsp?pnu=3611010700108290000&amp;isNoScr=script&amp;mode=search", "토지이음")</f>
        <v/>
      </c>
      <c r="P630" s="3" t="inlineStr">
        <is>
          <t>성지</t>
        </is>
      </c>
      <c r="Q630" s="3" t="n">
        <v>1</v>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500</v>
      </c>
      <c r="J631" s="3" t="inlineStr">
        <is>
          <t>1</t>
        </is>
      </c>
      <c r="K631" s="3" t="inlineStr">
        <is>
          <t>-</t>
        </is>
      </c>
      <c r="L631" s="3" t="inlineStr">
        <is>
          <t>호이스트사무실 갖춘 깔끔한 신축공장</t>
        </is>
      </c>
      <c r="M631" s="5">
        <f>HYPERLINK("https://fin.land.naver.com/articles/2649276327", "매물Link")</f>
        <v/>
      </c>
      <c r="N631" s="5">
        <f>HYPERLINK("https://map.naver.com/p/search/나성동 829", "지도Link")</f>
        <v/>
      </c>
      <c r="O631" s="5">
        <f>HYPERLINK("http://www.eum.go.kr/web/ar/lu/luLandDet.jsp?pnu=3611010700108290000&amp;isNoScr=script&amp;mode=search", "토지이음")</f>
        <v/>
      </c>
      <c r="P631" s="3" t="inlineStr">
        <is>
          <t>삼익</t>
        </is>
      </c>
      <c r="Q631" s="3" t="n">
        <v>1</v>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300</v>
      </c>
      <c r="J632" s="3" t="inlineStr">
        <is>
          <t>1</t>
        </is>
      </c>
      <c r="K632" s="3" t="inlineStr">
        <is>
          <t>-</t>
        </is>
      </c>
      <c r="L632" s="3" t="inlineStr">
        <is>
          <t>대덕구 대화동  일반산업단지내 공장 임대, 층고7m</t>
        </is>
      </c>
      <c r="M632" s="5">
        <f>HYPERLINK("https://fin.land.naver.com/articles/2648830891", "매물Link")</f>
        <v/>
      </c>
      <c r="N632" s="5">
        <f>HYPERLINK("https://map.naver.com/p/search/나성동 829", "지도Link")</f>
        <v/>
      </c>
      <c r="O632" s="5">
        <f>HYPERLINK("http://www.eum.go.kr/web/ar/lu/luLandDet.jsp?pnu=3611010700108290000&amp;isNoScr=script&amp;mode=search", "토지이음")</f>
        <v/>
      </c>
      <c r="P632" s="3" t="inlineStr">
        <is>
          <t>왕중왕기업</t>
        </is>
      </c>
      <c r="Q632" s="3" t="n">
        <v>1</v>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489</v>
      </c>
      <c r="J633" s="3" t="inlineStr">
        <is>
          <t>1</t>
        </is>
      </c>
      <c r="K633" s="3" t="inlineStr">
        <is>
          <t>-</t>
        </is>
      </c>
      <c r="L633" s="3" t="inlineStr">
        <is>
          <t>nan</t>
        </is>
      </c>
      <c r="M633" s="5">
        <f>HYPERLINK("https://fin.land.naver.com/articles/2648443211", "매물Link")</f>
        <v/>
      </c>
      <c r="N633" s="5">
        <f>HYPERLINK("https://map.naver.com/p/search/나성동 829", "지도Link")</f>
        <v/>
      </c>
      <c r="O633" s="5">
        <f>HYPERLINK("http://www.eum.go.kr/web/ar/lu/luLandDet.jsp?pnu=3611010700108290000&amp;isNoScr=script&amp;mode=search", "토지이음")</f>
        <v/>
      </c>
      <c r="P633" s="3" t="inlineStr">
        <is>
          <t>대승</t>
        </is>
      </c>
      <c r="Q633" s="3" t="n">
        <v>1</v>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397</v>
      </c>
      <c r="J634" s="3" t="inlineStr">
        <is>
          <t>1</t>
        </is>
      </c>
      <c r="K634" s="3" t="inlineStr">
        <is>
          <t>-</t>
        </is>
      </c>
      <c r="L634" s="3" t="inlineStr">
        <is>
          <t>마당 사용 가능</t>
        </is>
      </c>
      <c r="M634" s="5">
        <f>HYPERLINK("https://fin.land.naver.com/articles/2648442080", "매물Link")</f>
        <v/>
      </c>
      <c r="N634" s="5">
        <f>HYPERLINK("https://map.naver.com/p/search/나성동 829", "지도Link")</f>
        <v/>
      </c>
      <c r="O634" s="5">
        <f>HYPERLINK("http://www.eum.go.kr/web/ar/lu/luLandDet.jsp?pnu=3611010700108290000&amp;isNoScr=script&amp;mode=search", "토지이음")</f>
        <v/>
      </c>
      <c r="P634" s="3" t="inlineStr">
        <is>
          <t>제일</t>
        </is>
      </c>
      <c r="Q634" s="3" t="n">
        <v>1</v>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261</v>
      </c>
      <c r="J635" s="3" t="inlineStr">
        <is>
          <t>2</t>
        </is>
      </c>
      <c r="K635" s="3" t="inlineStr">
        <is>
          <t>-</t>
        </is>
      </c>
      <c r="L635" s="3" t="inlineStr">
        <is>
          <t>공구상가 인근  단독마당   공장임대   즉시 입주 가능</t>
        </is>
      </c>
      <c r="M635" s="5">
        <f>HYPERLINK("https://fin.land.naver.com/articles/2648125037", "매물Link")</f>
        <v/>
      </c>
      <c r="N635" s="5">
        <f>HYPERLINK("https://map.naver.com/p/search/나성동 829", "지도Link")</f>
        <v/>
      </c>
      <c r="O635" s="5">
        <f>HYPERLINK("http://www.eum.go.kr/web/ar/lu/luLandDet.jsp?pnu=3611010700108290000&amp;isNoScr=script&amp;mode=search", "토지이음")</f>
        <v/>
      </c>
      <c r="P635" s="3" t="inlineStr">
        <is>
          <t>삼익</t>
        </is>
      </c>
      <c r="Q635" s="3" t="n">
        <v>1</v>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297</v>
      </c>
      <c r="J636" s="3" t="inlineStr">
        <is>
          <t>3</t>
        </is>
      </c>
      <c r="K636" s="3" t="inlineStr">
        <is>
          <t>-</t>
        </is>
      </c>
      <c r="L636" s="3" t="inlineStr">
        <is>
          <t>층고낮은 공장임대 조립전기전자 연구소 추천 전기 90kw 사용가능</t>
        </is>
      </c>
      <c r="M636" s="5">
        <f>HYPERLINK("https://fin.land.naver.com/articles/2647853162", "매물Link")</f>
        <v/>
      </c>
      <c r="N636" s="5">
        <f>HYPERLINK("https://map.naver.com/p/search/나성동 829", "지도Link")</f>
        <v/>
      </c>
      <c r="O636" s="5">
        <f>HYPERLINK("http://www.eum.go.kr/web/ar/lu/luLandDet.jsp?pnu=3611010700108290000&amp;isNoScr=script&amp;mode=search", "토지이음")</f>
        <v/>
      </c>
      <c r="P636" s="3" t="inlineStr">
        <is>
          <t>삼익</t>
        </is>
      </c>
      <c r="Q636" s="3" t="n">
        <v>1</v>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214</v>
      </c>
      <c r="J637" s="3" t="inlineStr">
        <is>
          <t>2</t>
        </is>
      </c>
      <c r="K637" s="3" t="inlineStr">
        <is>
          <t>-</t>
        </is>
      </c>
      <c r="L637" s="3" t="inlineStr">
        <is>
          <t>1층 공장 2층 사무실 갖춘 소형 공장 임대</t>
        </is>
      </c>
      <c r="M637" s="5">
        <f>HYPERLINK("https://fin.land.naver.com/articles/2647814632", "매물Link")</f>
        <v/>
      </c>
      <c r="N637" s="5">
        <f>HYPERLINK("https://map.naver.com/p/search/나성동 829", "지도Link")</f>
        <v/>
      </c>
      <c r="O637" s="5">
        <f>HYPERLINK("http://www.eum.go.kr/web/ar/lu/luLandDet.jsp?pnu=3611010700108290000&amp;isNoScr=script&amp;mode=search", "토지이음")</f>
        <v/>
      </c>
      <c r="P637" s="3" t="inlineStr">
        <is>
          <t>삼익</t>
        </is>
      </c>
      <c r="Q637" s="3" t="n">
        <v>1</v>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449</v>
      </c>
      <c r="J638" s="3" t="inlineStr">
        <is>
          <t>2</t>
        </is>
      </c>
      <c r="K638" s="3" t="inlineStr">
        <is>
          <t>-</t>
        </is>
      </c>
      <c r="L638" s="3" t="inlineStr">
        <is>
          <t>대화동  귀한 소형공장 매매  전기150kw   호이스트 있음</t>
        </is>
      </c>
      <c r="M638" s="5">
        <f>HYPERLINK("https://fin.land.naver.com/articles/2647813644", "매물Link")</f>
        <v/>
      </c>
      <c r="N638" s="5">
        <f>HYPERLINK("https://map.naver.com/p/search/나성동 829", "지도Link")</f>
        <v/>
      </c>
      <c r="O638" s="5">
        <f>HYPERLINK("http://www.eum.go.kr/web/ar/lu/luLandDet.jsp?pnu=3611010700108290000&amp;isNoScr=script&amp;mode=search", "토지이음")</f>
        <v/>
      </c>
      <c r="P638" s="3" t="inlineStr">
        <is>
          <t>삼익</t>
        </is>
      </c>
      <c r="Q638" s="3" t="n">
        <v>1</v>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164</v>
      </c>
      <c r="J639" s="3" t="inlineStr">
        <is>
          <t>1</t>
        </is>
      </c>
      <c r="K639" s="3" t="inlineStr">
        <is>
          <t>-</t>
        </is>
      </c>
      <c r="L639" s="3" t="inlineStr">
        <is>
          <t>즉시입주 가능한 공장입니다. 호이스트 있음</t>
        </is>
      </c>
      <c r="M639" s="5">
        <f>HYPERLINK("https://fin.land.naver.com/articles/2647589562", "매물Link")</f>
        <v/>
      </c>
      <c r="N639" s="5">
        <f>HYPERLINK("https://map.naver.com/p/search/나성동 829", "지도Link")</f>
        <v/>
      </c>
      <c r="O639" s="5">
        <f>HYPERLINK("http://www.eum.go.kr/web/ar/lu/luLandDet.jsp?pnu=3611010700108290000&amp;isNoScr=script&amp;mode=search", "토지이음")</f>
        <v/>
      </c>
      <c r="P639" s="3" t="inlineStr">
        <is>
          <t>삼익</t>
        </is>
      </c>
      <c r="Q639" s="3" t="n">
        <v>1</v>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621</v>
      </c>
      <c r="J640" s="3" t="inlineStr">
        <is>
          <t>1</t>
        </is>
      </c>
      <c r="K640" s="3" t="inlineStr">
        <is>
          <t>B1</t>
        </is>
      </c>
      <c r="L640" s="3" t="inlineStr">
        <is>
          <t>저렴한 소형 신축공장, 산업단지내 공장.</t>
        </is>
      </c>
      <c r="M640" s="5">
        <f>HYPERLINK("https://fin.land.naver.com/articles/2647419333", "매물Link")</f>
        <v/>
      </c>
      <c r="N640" s="5">
        <f>HYPERLINK("https://map.naver.com/p/search/나성동 829", "지도Link")</f>
        <v/>
      </c>
      <c r="O640" s="5">
        <f>HYPERLINK("http://www.eum.go.kr/web/ar/lu/luLandDet.jsp?pnu=3611010700108290000&amp;isNoScr=script&amp;mode=search", "토지이음")</f>
        <v/>
      </c>
      <c r="P640" s="3" t="inlineStr">
        <is>
          <t>성지</t>
        </is>
      </c>
      <c r="Q640" s="3" t="n">
        <v>1</v>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3882</v>
      </c>
      <c r="J641" s="3" t="inlineStr">
        <is>
          <t>2</t>
        </is>
      </c>
      <c r="K641" s="3" t="inlineStr">
        <is>
          <t>-</t>
        </is>
      </c>
      <c r="L641" s="3" t="inlineStr">
        <is>
          <t>nan</t>
        </is>
      </c>
      <c r="M641" s="5">
        <f>HYPERLINK("https://fin.land.naver.com/articles/2647404554", "매물Link")</f>
        <v/>
      </c>
      <c r="N641" s="5">
        <f>HYPERLINK("https://map.naver.com/p/search/나성동 829", "지도Link")</f>
        <v/>
      </c>
      <c r="O641" s="5">
        <f>HYPERLINK("http://www.eum.go.kr/web/ar/lu/luLandDet.jsp?pnu=3611010700108290000&amp;isNoScr=script&amp;mode=search", "토지이음")</f>
        <v/>
      </c>
      <c r="P641" s="3" t="inlineStr">
        <is>
          <t>성훈</t>
        </is>
      </c>
      <c r="Q641" s="3" t="n">
        <v>1</v>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3275</v>
      </c>
      <c r="J642" s="3" t="inlineStr">
        <is>
          <t>2</t>
        </is>
      </c>
      <c r="K642" s="3" t="inlineStr">
        <is>
          <t>-</t>
        </is>
      </c>
      <c r="L642" s="3" t="inlineStr">
        <is>
          <t>nan</t>
        </is>
      </c>
      <c r="M642" s="5">
        <f>HYPERLINK("https://fin.land.naver.com/articles/2646738216", "매물Link")</f>
        <v/>
      </c>
      <c r="N642" s="5">
        <f>HYPERLINK("https://map.naver.com/p/search/나성동 829", "지도Link")</f>
        <v/>
      </c>
      <c r="O642" s="5">
        <f>HYPERLINK("http://www.eum.go.kr/web/ar/lu/luLandDet.jsp?pnu=3611010700108290000&amp;isNoScr=script&amp;mode=search", "토지이음")</f>
        <v/>
      </c>
      <c r="P642" s="3" t="inlineStr">
        <is>
          <t>대전명품</t>
        </is>
      </c>
      <c r="Q642" s="3" t="n">
        <v>1</v>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183</v>
      </c>
      <c r="J643" s="3" t="inlineStr">
        <is>
          <t>1</t>
        </is>
      </c>
      <c r="K643" s="3" t="inlineStr">
        <is>
          <t>-</t>
        </is>
      </c>
      <c r="L643" s="3" t="inlineStr">
        <is>
          <t>nan</t>
        </is>
      </c>
      <c r="M643" s="5">
        <f>HYPERLINK("https://fin.land.naver.com/articles/2648838207", "매물Link")</f>
        <v/>
      </c>
      <c r="N643" s="5">
        <f>HYPERLINK("https://map.naver.com/p/search/나성동 829", "지도Link")</f>
        <v/>
      </c>
      <c r="O643" s="5">
        <f>HYPERLINK("http://www.eum.go.kr/web/ar/lu/luLandDet.jsp?pnu=3611010700108290000&amp;isNoScr=script&amp;mode=search", "토지이음")</f>
        <v/>
      </c>
      <c r="P643" s="3" t="inlineStr">
        <is>
          <t>성지</t>
        </is>
      </c>
      <c r="Q643" s="3" t="n">
        <v>1</v>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150</v>
      </c>
      <c r="J644" s="3" t="inlineStr">
        <is>
          <t>1</t>
        </is>
      </c>
      <c r="K644" s="3" t="inlineStr">
        <is>
          <t>-</t>
        </is>
      </c>
      <c r="L644" s="3" t="inlineStr">
        <is>
          <t>nan</t>
        </is>
      </c>
      <c r="M644" s="5">
        <f>HYPERLINK("https://fin.land.naver.com/articles/2649261742", "매물Link")</f>
        <v/>
      </c>
      <c r="N644" s="5">
        <f>HYPERLINK("https://map.naver.com/p/search/나성동 829", "지도Link")</f>
        <v/>
      </c>
      <c r="O644" s="5">
        <f>HYPERLINK("http://www.eum.go.kr/web/ar/lu/luLandDet.jsp?pnu=3611010700108290000&amp;isNoScr=script&amp;mode=search", "토지이음")</f>
        <v/>
      </c>
      <c r="P644" s="3" t="inlineStr">
        <is>
          <t>성지</t>
        </is>
      </c>
      <c r="Q644" s="3" t="n">
        <v>1</v>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165</v>
      </c>
      <c r="J645" s="3" t="inlineStr">
        <is>
          <t>1</t>
        </is>
      </c>
      <c r="K645" s="3" t="inlineStr">
        <is>
          <t>-</t>
        </is>
      </c>
      <c r="L645" s="3" t="inlineStr">
        <is>
          <t>nan</t>
        </is>
      </c>
      <c r="M645" s="5">
        <f>HYPERLINK("https://fin.land.naver.com/articles/2649831855", "매물Link")</f>
        <v/>
      </c>
      <c r="N645" s="5">
        <f>HYPERLINK("https://map.naver.com/p/search/나성동 829", "지도Link")</f>
        <v/>
      </c>
      <c r="O645" s="5">
        <f>HYPERLINK("http://www.eum.go.kr/web/ar/lu/luLandDet.jsp?pnu=3611010700108290000&amp;isNoScr=script&amp;mode=search", "토지이음")</f>
        <v/>
      </c>
      <c r="P645" s="3" t="inlineStr">
        <is>
          <t>성지</t>
        </is>
      </c>
      <c r="Q645" s="3" t="n">
        <v>1</v>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579</v>
      </c>
      <c r="J646" s="3" t="inlineStr">
        <is>
          <t>3</t>
        </is>
      </c>
      <c r="K646" s="3" t="inlineStr">
        <is>
          <t>-</t>
        </is>
      </c>
      <c r="L646" s="3" t="inlineStr">
        <is>
          <t>nan</t>
        </is>
      </c>
      <c r="M646" s="5">
        <f>HYPERLINK("https://fin.land.naver.com/articles/2646782174", "매물Link")</f>
        <v/>
      </c>
      <c r="N646" s="5">
        <f>HYPERLINK("https://map.naver.com/p/search/나성동 829", "지도Link")</f>
        <v/>
      </c>
      <c r="O646" s="5">
        <f>HYPERLINK("http://www.eum.go.kr/web/ar/lu/luLandDet.jsp?pnu=3611010700108290000&amp;isNoScr=script&amp;mode=search", "토지이음")</f>
        <v/>
      </c>
      <c r="P646" s="3" t="inlineStr">
        <is>
          <t>더끌림</t>
        </is>
      </c>
      <c r="Q646" s="3" t="n">
        <v>1</v>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2768</v>
      </c>
      <c r="J647" s="3" t="inlineStr">
        <is>
          <t>4</t>
        </is>
      </c>
      <c r="K647" s="3" t="inlineStr">
        <is>
          <t>-</t>
        </is>
      </c>
      <c r="L647" s="3" t="inlineStr">
        <is>
          <t>과학비즈니스벨트 내 공장 매매</t>
        </is>
      </c>
      <c r="M647" s="5">
        <f>HYPERLINK("https://fin.land.naver.com/articles/2645310290", "매물Link")</f>
        <v/>
      </c>
      <c r="N647" s="5">
        <f>HYPERLINK("https://map.naver.com/p/search/나성동 829", "지도Link")</f>
        <v/>
      </c>
      <c r="O647" s="5">
        <f>HYPERLINK("http://www.eum.go.kr/web/ar/lu/luLandDet.jsp?pnu=3611010700108290000&amp;isNoScr=script&amp;mode=search", "토지이음")</f>
        <v/>
      </c>
      <c r="P647" s="3" t="inlineStr">
        <is>
          <t>한화타운</t>
        </is>
      </c>
      <c r="Q647" s="3" t="n">
        <v>1</v>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3200</v>
      </c>
      <c r="J648" s="3" t="inlineStr">
        <is>
          <t>4</t>
        </is>
      </c>
      <c r="K648" s="3" t="inlineStr">
        <is>
          <t>-</t>
        </is>
      </c>
      <c r="L648" s="3" t="inlineStr">
        <is>
          <t>nan</t>
        </is>
      </c>
      <c r="M648" s="5">
        <f>HYPERLINK("https://fin.land.naver.com/articles/2645581585", "매물Link")</f>
        <v/>
      </c>
      <c r="N648" s="5">
        <f>HYPERLINK("https://map.naver.com/p/search/나성동 829", "지도Link")</f>
        <v/>
      </c>
      <c r="O648" s="5">
        <f>HYPERLINK("http://www.eum.go.kr/web/ar/lu/luLandDet.jsp?pnu=3611010700108290000&amp;isNoScr=script&amp;mode=search", "토지이음")</f>
        <v/>
      </c>
      <c r="P648" s="3" t="inlineStr">
        <is>
          <t>산업</t>
        </is>
      </c>
      <c r="Q648" s="3" t="n">
        <v>1</v>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391</v>
      </c>
      <c r="J649" s="3" t="inlineStr">
        <is>
          <t>1</t>
        </is>
      </c>
      <c r="K649" s="3" t="inlineStr">
        <is>
          <t>-</t>
        </is>
      </c>
      <c r="L649" s="3" t="inlineStr">
        <is>
          <t>천변 가까이인근에 있는 공장,창고 입니다</t>
        </is>
      </c>
      <c r="M649" s="5">
        <f>HYPERLINK("https://fin.land.naver.com/articles/2649625770", "매물Link")</f>
        <v/>
      </c>
      <c r="N649" s="5">
        <f>HYPERLINK("https://map.naver.com/p/search/나성동 829", "지도Link")</f>
        <v/>
      </c>
      <c r="O649" s="5">
        <f>HYPERLINK("http://www.eum.go.kr/web/ar/lu/luLandDet.jsp?pnu=3611010700108290000&amp;isNoScr=script&amp;mode=search", "토지이음")</f>
        <v/>
      </c>
      <c r="P649" s="3" t="inlineStr">
        <is>
          <t>지운</t>
        </is>
      </c>
      <c r="Q649" s="3" t="n">
        <v>1</v>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153</v>
      </c>
      <c r="J650" s="3" t="inlineStr">
        <is>
          <t>2</t>
        </is>
      </c>
      <c r="K650" s="3" t="inlineStr">
        <is>
          <t>-</t>
        </is>
      </c>
      <c r="L650" s="3" t="inlineStr">
        <is>
          <t>신축에 준함, 1종근생시설.</t>
        </is>
      </c>
      <c r="M650" s="5">
        <f>HYPERLINK("https://fin.land.naver.com/articles/2649525429", "매물Link")</f>
        <v/>
      </c>
      <c r="N650" s="5">
        <f>HYPERLINK("https://map.naver.com/p/search/나성동 829", "지도Link")</f>
        <v/>
      </c>
      <c r="O650" s="5">
        <f>HYPERLINK("http://www.eum.go.kr/web/ar/lu/luLandDet.jsp?pnu=3611010700108290000&amp;isNoScr=script&amp;mode=search", "토지이음")</f>
        <v/>
      </c>
      <c r="P650" s="3" t="inlineStr">
        <is>
          <t>성지</t>
        </is>
      </c>
      <c r="Q650" s="3" t="n">
        <v>1</v>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423</v>
      </c>
      <c r="J651" s="3" t="inlineStr">
        <is>
          <t>3</t>
        </is>
      </c>
      <c r="K651" s="3" t="inlineStr">
        <is>
          <t>-</t>
        </is>
      </c>
      <c r="L651" s="3" t="inlineStr">
        <is>
          <t>오정동 천변  근접해 있는 공장창고 입니다</t>
        </is>
      </c>
      <c r="M651" s="5">
        <f>HYPERLINK("https://fin.land.naver.com/articles/2645546662", "매물Link")</f>
        <v/>
      </c>
      <c r="N651" s="5">
        <f>HYPERLINK("https://map.naver.com/p/search/나성동 829", "지도Link")</f>
        <v/>
      </c>
      <c r="O651" s="5">
        <f>HYPERLINK("http://www.eum.go.kr/web/ar/lu/luLandDet.jsp?pnu=3611010700108290000&amp;isNoScr=script&amp;mode=search", "토지이음")</f>
        <v/>
      </c>
      <c r="P651" s="3" t="inlineStr">
        <is>
          <t>지운</t>
        </is>
      </c>
      <c r="Q651" s="3" t="n">
        <v>1</v>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247</v>
      </c>
      <c r="J652" s="3" t="inlineStr">
        <is>
          <t>2</t>
        </is>
      </c>
      <c r="K652" s="3" t="inlineStr">
        <is>
          <t>-</t>
        </is>
      </c>
      <c r="L652" s="3" t="inlineStr">
        <is>
          <t>준신축, 호이스트자리있음. 각지공장형.</t>
        </is>
      </c>
      <c r="M652" s="5">
        <f>HYPERLINK("https://fin.land.naver.com/articles/2646657850", "매물Link")</f>
        <v/>
      </c>
      <c r="N652" s="5">
        <f>HYPERLINK("https://map.naver.com/p/search/나성동 829", "지도Link")</f>
        <v/>
      </c>
      <c r="O652" s="5">
        <f>HYPERLINK("http://www.eum.go.kr/web/ar/lu/luLandDet.jsp?pnu=3611010700108290000&amp;isNoScr=script&amp;mode=search", "토지이음")</f>
        <v/>
      </c>
      <c r="P652" s="3" t="inlineStr">
        <is>
          <t>성지</t>
        </is>
      </c>
      <c r="Q652" s="3" t="n">
        <v>1</v>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294</v>
      </c>
      <c r="J653" s="3" t="inlineStr">
        <is>
          <t>2</t>
        </is>
      </c>
      <c r="K653" s="3" t="inlineStr">
        <is>
          <t>-</t>
        </is>
      </c>
      <c r="L653" s="3" t="inlineStr">
        <is>
          <t>오정동 도로변 접한 통행 편한 신축창고 적지 건물</t>
        </is>
      </c>
      <c r="M653" s="5">
        <f>HYPERLINK("https://fin.land.naver.com/articles/2646571806", "매물Link")</f>
        <v/>
      </c>
      <c r="N653" s="5">
        <f>HYPERLINK("https://map.naver.com/p/search/나성동 829", "지도Link")</f>
        <v/>
      </c>
      <c r="O653" s="5">
        <f>HYPERLINK("http://www.eum.go.kr/web/ar/lu/luLandDet.jsp?pnu=3611010700108290000&amp;isNoScr=script&amp;mode=search", "토지이음")</f>
        <v/>
      </c>
      <c r="P653" s="3" t="inlineStr">
        <is>
          <t>KS</t>
        </is>
      </c>
      <c r="Q653" s="3" t="n">
        <v>1</v>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188</v>
      </c>
      <c r="J654" s="3" t="inlineStr">
        <is>
          <t>2</t>
        </is>
      </c>
      <c r="K654" s="3" t="inlineStr">
        <is>
          <t>-</t>
        </is>
      </c>
      <c r="L654" s="3" t="inlineStr">
        <is>
          <t>햇썹시설 무권리 제조업소 복층형구조 오정동창고 구경하세요</t>
        </is>
      </c>
      <c r="M654" s="5">
        <f>HYPERLINK("https://fin.land.naver.com/articles/2646479553", "매물Link")</f>
        <v/>
      </c>
      <c r="N654" s="5">
        <f>HYPERLINK("https://map.naver.com/p/search/나성동 829", "지도Link")</f>
        <v/>
      </c>
      <c r="O654" s="5">
        <f>HYPERLINK("http://www.eum.go.kr/web/ar/lu/luLandDet.jsp?pnu=3611010700108290000&amp;isNoScr=script&amp;mode=search", "토지이음")</f>
        <v/>
      </c>
      <c r="P654" s="3" t="inlineStr">
        <is>
          <t>바로e</t>
        </is>
      </c>
      <c r="Q654" s="3" t="n">
        <v>1</v>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381</v>
      </c>
      <c r="J655" s="3" t="inlineStr">
        <is>
          <t>2</t>
        </is>
      </c>
      <c r="K655" s="3" t="inlineStr">
        <is>
          <t>B1</t>
        </is>
      </c>
      <c r="L655" s="3" t="inlineStr">
        <is>
          <t>오정동 천변에 접하고 있는 창고 입니다</t>
        </is>
      </c>
      <c r="M655" s="5">
        <f>HYPERLINK("https://fin.land.naver.com/articles/2645545944", "매물Link")</f>
        <v/>
      </c>
      <c r="N655" s="5">
        <f>HYPERLINK("https://map.naver.com/p/search/나성동 829", "지도Link")</f>
        <v/>
      </c>
      <c r="O655" s="5">
        <f>HYPERLINK("http://www.eum.go.kr/web/ar/lu/luLandDet.jsp?pnu=3611010700108290000&amp;isNoScr=script&amp;mode=search", "토지이음")</f>
        <v/>
      </c>
      <c r="P655" s="3" t="inlineStr">
        <is>
          <t>지운</t>
        </is>
      </c>
      <c r="Q655" s="3" t="n">
        <v>1</v>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197</v>
      </c>
      <c r="J656" s="3" t="inlineStr">
        <is>
          <t>1</t>
        </is>
      </c>
      <c r="K656" s="3" t="inlineStr">
        <is>
          <t>-</t>
        </is>
      </c>
      <c r="L656" s="3" t="inlineStr">
        <is>
          <t>오정동  소형 창고 입니다</t>
        </is>
      </c>
      <c r="M656" s="5">
        <f>HYPERLINK("https://fin.land.naver.com/articles/2644231142", "매물Link")</f>
        <v/>
      </c>
      <c r="N656" s="5">
        <f>HYPERLINK("https://map.naver.com/p/search/나성동 829", "지도Link")</f>
        <v/>
      </c>
      <c r="O656" s="5">
        <f>HYPERLINK("http://www.eum.go.kr/web/ar/lu/luLandDet.jsp?pnu=3611010700108290000&amp;isNoScr=script&amp;mode=search", "토지이음")</f>
        <v/>
      </c>
      <c r="P656" s="3" t="inlineStr">
        <is>
          <t>지운</t>
        </is>
      </c>
      <c r="Q656" s="3" t="n">
        <v>1</v>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260</v>
      </c>
      <c r="J657" s="3" t="inlineStr">
        <is>
          <t>1</t>
        </is>
      </c>
      <c r="K657" s="3" t="inlineStr">
        <is>
          <t>-</t>
        </is>
      </c>
      <c r="L657" s="3" t="inlineStr">
        <is>
          <t>방동,계룡역 맞은편,남향,전망좋은 곳,인터넷쇼핑몰 회사 사무실과 창고</t>
        </is>
      </c>
      <c r="M657" s="5">
        <f>HYPERLINK("https://fin.land.naver.com/articles/2646428576", "매물Link")</f>
        <v/>
      </c>
      <c r="N657" s="5">
        <f>HYPERLINK("https://map.naver.com/p/search/나성동 829", "지도Link")</f>
        <v/>
      </c>
      <c r="O657" s="5">
        <f>HYPERLINK("http://www.eum.go.kr/web/ar/lu/luLandDet.jsp?pnu=3611010700108290000&amp;isNoScr=script&amp;mode=search", "토지이음")</f>
        <v/>
      </c>
      <c r="P657" s="3" t="inlineStr">
        <is>
          <t>파라디아</t>
        </is>
      </c>
      <c r="Q657" s="3" t="n">
        <v>1</v>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1049</v>
      </c>
      <c r="J658" s="3" t="inlineStr">
        <is>
          <t>1</t>
        </is>
      </c>
      <c r="K658" s="3" t="inlineStr">
        <is>
          <t>-</t>
        </is>
      </c>
      <c r="L658" s="3" t="inlineStr">
        <is>
          <t>구암동 대형 창고 1종 근생 임대</t>
        </is>
      </c>
      <c r="M658" s="5">
        <f>HYPERLINK("https://fin.land.naver.com/articles/2649141811", "매물Link")</f>
        <v/>
      </c>
      <c r="N658" s="5">
        <f>HYPERLINK("https://map.naver.com/p/search/나성동 829", "지도Link")</f>
        <v/>
      </c>
      <c r="O658" s="5">
        <f>HYPERLINK("http://www.eum.go.kr/web/ar/lu/luLandDet.jsp?pnu=3611010700108290000&amp;isNoScr=script&amp;mode=search", "토지이음")</f>
        <v/>
      </c>
      <c r="P658" s="3" t="inlineStr">
        <is>
          <t>예미지탑</t>
        </is>
      </c>
      <c r="Q658" s="3" t="n">
        <v>1</v>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199</v>
      </c>
      <c r="J659" s="3" t="inlineStr">
        <is>
          <t>1</t>
        </is>
      </c>
      <c r="K659" s="3" t="inlineStr">
        <is>
          <t>-</t>
        </is>
      </c>
      <c r="L659" s="3" t="inlineStr">
        <is>
          <t>큰 도로변에서 접근성 좋음</t>
        </is>
      </c>
      <c r="M659" s="5">
        <f>HYPERLINK("https://fin.land.naver.com/articles/2648129294", "매물Link")</f>
        <v/>
      </c>
      <c r="N659" s="5">
        <f>HYPERLINK("https://map.naver.com/p/search/나성동 829", "지도Link")</f>
        <v/>
      </c>
      <c r="O659" s="5">
        <f>HYPERLINK("http://www.eum.go.kr/web/ar/lu/luLandDet.jsp?pnu=3611010700108290000&amp;isNoScr=script&amp;mode=search", "토지이음")</f>
        <v/>
      </c>
      <c r="P659" s="3" t="inlineStr">
        <is>
          <t>삼익</t>
        </is>
      </c>
      <c r="Q659" s="3" t="n">
        <v>1</v>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200</v>
      </c>
      <c r="J660" s="3" t="inlineStr">
        <is>
          <t>2</t>
        </is>
      </c>
      <c r="K660" s="3" t="inlineStr">
        <is>
          <t>-</t>
        </is>
      </c>
      <c r="L660" s="3" t="inlineStr">
        <is>
          <t>창고형 사무실 올 리모델링 대지포함 매매</t>
        </is>
      </c>
      <c r="M660" s="5">
        <f>HYPERLINK("https://fin.land.naver.com/articles/2645025932", "매물Link")</f>
        <v/>
      </c>
      <c r="N660" s="5">
        <f>HYPERLINK("https://map.naver.com/p/search/나성동 829", "지도Link")</f>
        <v/>
      </c>
      <c r="O660" s="5">
        <f>HYPERLINK("http://www.eum.go.kr/web/ar/lu/luLandDet.jsp?pnu=3611010700108290000&amp;isNoScr=script&amp;mode=search", "토지이음")</f>
        <v/>
      </c>
      <c r="P660" s="3" t="inlineStr">
        <is>
          <t>나래</t>
        </is>
      </c>
      <c r="Q660" s="3" t="n">
        <v>1</v>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992</v>
      </c>
      <c r="J661" s="3" t="inlineStr">
        <is>
          <t>1</t>
        </is>
      </c>
      <c r="K661" s="3" t="inlineStr">
        <is>
          <t>-</t>
        </is>
      </c>
      <c r="L661" s="3" t="inlineStr">
        <is>
          <t>서대전ic. 유성ic 차량시간 15분대 접근가능</t>
        </is>
      </c>
      <c r="M661" s="5">
        <f>HYPERLINK("https://fin.land.naver.com/articles/2646257420", "매물Link")</f>
        <v/>
      </c>
      <c r="N661" s="5">
        <f>HYPERLINK("https://map.naver.com/p/search/나성동 829", "지도Link")</f>
        <v/>
      </c>
      <c r="O661" s="5">
        <f>HYPERLINK("http://www.eum.go.kr/web/ar/lu/luLandDet.jsp?pnu=3611010700108290000&amp;isNoScr=script&amp;mode=search", "토지이음")</f>
        <v/>
      </c>
      <c r="P661" s="3" t="inlineStr">
        <is>
          <t>미래로</t>
        </is>
      </c>
      <c r="Q661" s="3" t="n">
        <v>1</v>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421</v>
      </c>
      <c r="J662" s="3" t="inlineStr">
        <is>
          <t>2</t>
        </is>
      </c>
      <c r="K662" s="3" t="inlineStr">
        <is>
          <t>-</t>
        </is>
      </c>
      <c r="L662" s="3" t="inlineStr">
        <is>
          <t>유성구 성북동 냉장, 냉동 창고 시설 잘된 육가공 공장매매</t>
        </is>
      </c>
      <c r="M662" s="5">
        <f>HYPERLINK("https://fin.land.naver.com/articles/2649099753", "매물Link")</f>
        <v/>
      </c>
      <c r="N662" s="5">
        <f>HYPERLINK("https://map.naver.com/p/search/나성동 829", "지도Link")</f>
        <v/>
      </c>
      <c r="O662" s="5">
        <f>HYPERLINK("http://www.eum.go.kr/web/ar/lu/luLandDet.jsp?pnu=3611010700108290000&amp;isNoScr=script&amp;mode=search", "토지이음")</f>
        <v/>
      </c>
      <c r="P662" s="3" t="inlineStr">
        <is>
          <t>왕중왕기업</t>
        </is>
      </c>
      <c r="Q662" s="3" t="n">
        <v>1</v>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89</v>
      </c>
      <c r="J663" s="3" t="inlineStr">
        <is>
          <t>1</t>
        </is>
      </c>
      <c r="K663" s="3" t="inlineStr">
        <is>
          <t>-</t>
        </is>
      </c>
      <c r="L663" s="3" t="inlineStr">
        <is>
          <t>도로접. 주변 토지 함께 개발 가능</t>
        </is>
      </c>
      <c r="M663" s="5">
        <f>HYPERLINK("https://fin.land.naver.com/articles/2645979624", "매물Link")</f>
        <v/>
      </c>
      <c r="N663" s="5">
        <f>HYPERLINK("https://map.naver.com/p/search/나성동 829", "지도Link")</f>
        <v/>
      </c>
      <c r="O663" s="5">
        <f>HYPERLINK("http://www.eum.go.kr/web/ar/lu/luLandDet.jsp?pnu=3611010700108290000&amp;isNoScr=script&amp;mode=search", "토지이음")</f>
        <v/>
      </c>
      <c r="P663" s="3" t="inlineStr">
        <is>
          <t>터</t>
        </is>
      </c>
      <c r="Q663" s="3" t="n">
        <v>1</v>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1986</v>
      </c>
      <c r="J664" s="3" t="inlineStr">
        <is>
          <t>2</t>
        </is>
      </c>
      <c r="K664" s="3" t="inlineStr">
        <is>
          <t>-</t>
        </is>
      </c>
      <c r="L664" s="3" t="inlineStr">
        <is>
          <t>40미터 도로변 근린생활시설 창고 전시장</t>
        </is>
      </c>
      <c r="M664" s="5">
        <f>HYPERLINK("https://fin.land.naver.com/articles/2647545297", "매물Link")</f>
        <v/>
      </c>
      <c r="N664" s="5">
        <f>HYPERLINK("https://map.naver.com/p/search/나성동 829", "지도Link")</f>
        <v/>
      </c>
      <c r="O664" s="5">
        <f>HYPERLINK("http://www.eum.go.kr/web/ar/lu/luLandDet.jsp?pnu=3611010700108290000&amp;isNoScr=script&amp;mode=search", "토지이음")</f>
        <v/>
      </c>
      <c r="P664" s="3" t="inlineStr">
        <is>
          <t>예스</t>
        </is>
      </c>
      <c r="Q664" s="3" t="n">
        <v>1</v>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1986</v>
      </c>
      <c r="J665" s="3" t="inlineStr">
        <is>
          <t>2</t>
        </is>
      </c>
      <c r="K665" s="3" t="inlineStr">
        <is>
          <t>-</t>
        </is>
      </c>
      <c r="L665" s="3" t="inlineStr">
        <is>
          <t>40미터 도로변 근린생활시설 대형토지</t>
        </is>
      </c>
      <c r="M665" s="5">
        <f>HYPERLINK("https://fin.land.naver.com/articles/2647542284", "매물Link")</f>
        <v/>
      </c>
      <c r="N665" s="5">
        <f>HYPERLINK("https://map.naver.com/p/search/나성동 829", "지도Link")</f>
        <v/>
      </c>
      <c r="O665" s="5">
        <f>HYPERLINK("http://www.eum.go.kr/web/ar/lu/luLandDet.jsp?pnu=3611010700108290000&amp;isNoScr=script&amp;mode=search", "토지이음")</f>
        <v/>
      </c>
      <c r="P665" s="3" t="inlineStr">
        <is>
          <t>예스</t>
        </is>
      </c>
      <c r="Q665" s="3" t="n">
        <v>1</v>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5252</v>
      </c>
      <c r="J666" s="3" t="inlineStr">
        <is>
          <t>5</t>
        </is>
      </c>
      <c r="K666" s="3" t="inlineStr">
        <is>
          <t>-</t>
        </is>
      </c>
      <c r="L666" s="3" t="inlineStr">
        <is>
          <t>유성IC인근 교통편리 쾌적한 죽동 벤처단지 신축사옥 공장 연구소 사무실</t>
        </is>
      </c>
      <c r="M666" s="5">
        <f>HYPERLINK("https://fin.land.naver.com/articles/2646742174", "매물Link")</f>
        <v/>
      </c>
      <c r="N666" s="5">
        <f>HYPERLINK("https://map.naver.com/p/search/나성동 829", "지도Link")</f>
        <v/>
      </c>
      <c r="O666" s="5">
        <f>HYPERLINK("http://www.eum.go.kr/web/ar/lu/luLandDet.jsp?pnu=3611010700108290000&amp;isNoScr=script&amp;mode=search", "토지이음")</f>
        <v/>
      </c>
      <c r="P666" s="3" t="inlineStr">
        <is>
          <t>테크노반석</t>
        </is>
      </c>
      <c r="Q666" s="3" t="n">
        <v>1</v>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3600</v>
      </c>
      <c r="J667" s="3" t="inlineStr">
        <is>
          <t>5</t>
        </is>
      </c>
      <c r="K667" s="3" t="inlineStr">
        <is>
          <t>-</t>
        </is>
      </c>
      <c r="L667" s="3" t="inlineStr">
        <is>
          <t>죽동산업단지 철콘신축사옥 3층 사무실 공장  연구실 유성IC인접 교통편리</t>
        </is>
      </c>
      <c r="M667" s="5">
        <f>HYPERLINK("https://fin.land.naver.com/articles/2644711287", "매물Link")</f>
        <v/>
      </c>
      <c r="N667" s="5">
        <f>HYPERLINK("https://map.naver.com/p/search/나성동 829", "지도Link")</f>
        <v/>
      </c>
      <c r="O667" s="5">
        <f>HYPERLINK("http://www.eum.go.kr/web/ar/lu/luLandDet.jsp?pnu=3611010700108290000&amp;isNoScr=script&amp;mode=search", "토지이음")</f>
        <v/>
      </c>
      <c r="P667" s="3" t="inlineStr">
        <is>
          <t>테크노반석</t>
        </is>
      </c>
      <c r="Q667" s="3" t="n">
        <v>1</v>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2900</v>
      </c>
      <c r="J668" s="3" t="inlineStr">
        <is>
          <t>2</t>
        </is>
      </c>
      <c r="K668" s="3" t="inlineStr">
        <is>
          <t>-</t>
        </is>
      </c>
      <c r="L668" s="3" t="inlineStr">
        <is>
          <t>신성방현지구 벤처사옥 소형공장 창고 및 사무실 교통편리 입지양호</t>
        </is>
      </c>
      <c r="M668" s="5">
        <f>HYPERLINK("https://fin.land.naver.com/articles/2644223355", "매물Link")</f>
        <v/>
      </c>
      <c r="N668" s="5">
        <f>HYPERLINK("https://map.naver.com/p/search/나성동 829", "지도Link")</f>
        <v/>
      </c>
      <c r="O668" s="5">
        <f>HYPERLINK("http://www.eum.go.kr/web/ar/lu/luLandDet.jsp?pnu=3611010700108290000&amp;isNoScr=script&amp;mode=search", "토지이음")</f>
        <v/>
      </c>
      <c r="P668" s="3" t="inlineStr">
        <is>
          <t>테크노반석</t>
        </is>
      </c>
      <c r="Q668" s="3" t="n">
        <v>1</v>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122</v>
      </c>
      <c r="J669" s="3" t="inlineStr">
        <is>
          <t>1</t>
        </is>
      </c>
      <c r="K669" s="3" t="inlineStr">
        <is>
          <t>-</t>
        </is>
      </c>
      <c r="L669" s="3" t="inlineStr">
        <is>
          <t>복용동 소형 창고매매 층고 높음</t>
        </is>
      </c>
      <c r="M669" s="5">
        <f>HYPERLINK("https://fin.land.naver.com/articles/2644923443", "매물Link")</f>
        <v/>
      </c>
      <c r="N669" s="5">
        <f>HYPERLINK("https://map.naver.com/p/search/나성동 829", "지도Link")</f>
        <v/>
      </c>
      <c r="O669" s="5">
        <f>HYPERLINK("http://www.eum.go.kr/web/ar/lu/luLandDet.jsp?pnu=3611010700108290000&amp;isNoScr=script&amp;mode=search", "토지이음")</f>
        <v/>
      </c>
      <c r="P669" s="3" t="inlineStr">
        <is>
          <t>학하랜드</t>
        </is>
      </c>
      <c r="Q669" s="3" t="n">
        <v>1</v>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99</v>
      </c>
      <c r="J670" s="3" t="inlineStr">
        <is>
          <t>1</t>
        </is>
      </c>
      <c r="K670" s="3" t="inlineStr">
        <is>
          <t>-</t>
        </is>
      </c>
      <c r="L670" s="3" t="inlineStr">
        <is>
          <t>소형창고겸 사무실</t>
        </is>
      </c>
      <c r="M670" s="5">
        <f>HYPERLINK("https://fin.land.naver.com/articles/2648141662", "매물Link")</f>
        <v/>
      </c>
      <c r="N670" s="5">
        <f>HYPERLINK("https://map.naver.com/p/search/나성동 829", "지도Link")</f>
        <v/>
      </c>
      <c r="O670" s="5">
        <f>HYPERLINK("http://www.eum.go.kr/web/ar/lu/luLandDet.jsp?pnu=3611010700108290000&amp;isNoScr=script&amp;mode=search", "토지이음")</f>
        <v/>
      </c>
      <c r="P670" s="3" t="inlineStr">
        <is>
          <t>가경</t>
        </is>
      </c>
      <c r="Q670" s="3" t="n">
        <v>1</v>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98</v>
      </c>
      <c r="J671" s="3" t="inlineStr">
        <is>
          <t>1</t>
        </is>
      </c>
      <c r="K671" s="3" t="inlineStr">
        <is>
          <t>-</t>
        </is>
      </c>
      <c r="L671" s="3" t="inlineStr">
        <is>
          <t>창고로 중심도심에 있어서 편리성이 좋습니다.차임은 세금계산서 끊어줍니다.</t>
        </is>
      </c>
      <c r="M671" s="5">
        <f>HYPERLINK("https://fin.land.naver.com/articles/2649939661", "매물Link")</f>
        <v/>
      </c>
      <c r="N671" s="5">
        <f>HYPERLINK("https://map.naver.com/p/search/나성동 829", "지도Link")</f>
        <v/>
      </c>
      <c r="O671" s="5">
        <f>HYPERLINK("http://www.eum.go.kr/web/ar/lu/luLandDet.jsp?pnu=3611010700108290000&amp;isNoScr=script&amp;mode=search", "토지이음")</f>
        <v/>
      </c>
      <c r="P671" s="3" t="inlineStr">
        <is>
          <t>노은미래</t>
        </is>
      </c>
      <c r="Q671" s="3" t="n">
        <v>1</v>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3882</v>
      </c>
      <c r="J672" s="3" t="inlineStr">
        <is>
          <t>2</t>
        </is>
      </c>
      <c r="K672" s="3" t="inlineStr">
        <is>
          <t>-</t>
        </is>
      </c>
      <c r="L672" s="3" t="inlineStr">
        <is>
          <t>nan</t>
        </is>
      </c>
      <c r="M672" s="5">
        <f>HYPERLINK("https://fin.land.naver.com/articles/2646205786", "매물Link")</f>
        <v/>
      </c>
      <c r="N672" s="5">
        <f>HYPERLINK("https://map.naver.com/p/search/나성동 829", "지도Link")</f>
        <v/>
      </c>
      <c r="O672" s="5">
        <f>HYPERLINK("http://www.eum.go.kr/web/ar/lu/luLandDet.jsp?pnu=3611010700108290000&amp;isNoScr=script&amp;mode=search", "토지이음")</f>
        <v/>
      </c>
      <c r="P672" s="3" t="inlineStr">
        <is>
          <t>삼익</t>
        </is>
      </c>
      <c r="Q672" s="3" t="n">
        <v>1</v>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380</v>
      </c>
      <c r="J673" s="3" t="inlineStr">
        <is>
          <t>2</t>
        </is>
      </c>
      <c r="K673" s="3" t="inlineStr">
        <is>
          <t>-</t>
        </is>
      </c>
      <c r="L673" s="3" t="inlineStr">
        <is>
          <t>신축공장매매 사무실 완비  임차인 있는   투자용 매물</t>
        </is>
      </c>
      <c r="M673" s="5">
        <f>HYPERLINK("https://fin.land.naver.com/articles/2648135774", "매물Link")</f>
        <v/>
      </c>
      <c r="N673" s="5">
        <f>HYPERLINK("https://map.naver.com/p/search/나성동 829", "지도Link")</f>
        <v/>
      </c>
      <c r="O673" s="5">
        <f>HYPERLINK("http://www.eum.go.kr/web/ar/lu/luLandDet.jsp?pnu=3611010700108290000&amp;isNoScr=script&amp;mode=search", "토지이음")</f>
        <v/>
      </c>
      <c r="P673" s="3" t="inlineStr">
        <is>
          <t>삼익</t>
        </is>
      </c>
      <c r="Q673" s="3" t="n">
        <v>1</v>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315</v>
      </c>
      <c r="J674" s="3" t="inlineStr">
        <is>
          <t>1</t>
        </is>
      </c>
      <c r="K674" s="3" t="inlineStr">
        <is>
          <t>-</t>
        </is>
      </c>
      <c r="L674" s="3" t="inlineStr">
        <is>
          <t>신축  소형공장  임대    호이스트  사무실 완비 전력30kw</t>
        </is>
      </c>
      <c r="M674" s="5">
        <f>HYPERLINK("https://fin.land.naver.com/articles/2646189097", "매물Link")</f>
        <v/>
      </c>
      <c r="N674" s="5">
        <f>HYPERLINK("https://map.naver.com/p/search/나성동 829", "지도Link")</f>
        <v/>
      </c>
      <c r="O674" s="5">
        <f>HYPERLINK("http://www.eum.go.kr/web/ar/lu/luLandDet.jsp?pnu=3611010700108290000&amp;isNoScr=script&amp;mode=search", "토지이음")</f>
        <v/>
      </c>
      <c r="P674" s="3" t="inlineStr">
        <is>
          <t>삼익</t>
        </is>
      </c>
      <c r="Q674" s="3" t="n">
        <v>2</v>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286</v>
      </c>
      <c r="J675" s="3" t="inlineStr">
        <is>
          <t>1</t>
        </is>
      </c>
      <c r="K675" s="3" t="inlineStr">
        <is>
          <t>-</t>
        </is>
      </c>
      <c r="L675" s="3" t="inlineStr">
        <is>
          <t>단독  깔끔한 준신축공장  사무실 있음   호이스트 완비</t>
        </is>
      </c>
      <c r="M675" s="5">
        <f>HYPERLINK("https://fin.land.naver.com/articles/2646187572", "매물Link")</f>
        <v/>
      </c>
      <c r="N675" s="5">
        <f>HYPERLINK("https://map.naver.com/p/search/나성동 829", "지도Link")</f>
        <v/>
      </c>
      <c r="O675" s="5">
        <f>HYPERLINK("http://www.eum.go.kr/web/ar/lu/luLandDet.jsp?pnu=3611010700108290000&amp;isNoScr=script&amp;mode=search", "토지이음")</f>
        <v/>
      </c>
      <c r="P675" s="3" t="inlineStr">
        <is>
          <t>삼익</t>
        </is>
      </c>
      <c r="Q675" s="3" t="n">
        <v>2</v>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297</v>
      </c>
      <c r="J676" s="3" t="inlineStr">
        <is>
          <t>1</t>
        </is>
      </c>
      <c r="K676" s="3" t="inlineStr">
        <is>
          <t>-</t>
        </is>
      </c>
      <c r="L676" s="3" t="inlineStr">
        <is>
          <t>중소형 공장임대 호이스트 포함 매물</t>
        </is>
      </c>
      <c r="M676" s="5">
        <f>HYPERLINK("https://fin.land.naver.com/articles/2644575403", "매물Link")</f>
        <v/>
      </c>
      <c r="N676" s="5">
        <f>HYPERLINK("https://map.naver.com/p/search/나성동 829", "지도Link")</f>
        <v/>
      </c>
      <c r="O676" s="5">
        <f>HYPERLINK("http://www.eum.go.kr/web/ar/lu/luLandDet.jsp?pnu=3611010700108290000&amp;isNoScr=script&amp;mode=search", "토지이음")</f>
        <v/>
      </c>
      <c r="P676" s="3" t="inlineStr">
        <is>
          <t>삼익</t>
        </is>
      </c>
      <c r="Q676" s="3" t="n">
        <v>1</v>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157</v>
      </c>
      <c r="J677" s="3" t="inlineStr">
        <is>
          <t>1</t>
        </is>
      </c>
      <c r="K677" s="3" t="inlineStr">
        <is>
          <t>-</t>
        </is>
      </c>
      <c r="L677" s="3" t="inlineStr">
        <is>
          <t>사진 有 호이스트 있는 첫 입주 신축 공장</t>
        </is>
      </c>
      <c r="M677" s="5">
        <f>HYPERLINK("https://fin.land.naver.com/articles/2644345957", "매물Link")</f>
        <v/>
      </c>
      <c r="N677" s="5">
        <f>HYPERLINK("https://map.naver.com/p/search/나성동 829", "지도Link")</f>
        <v/>
      </c>
      <c r="O677" s="5">
        <f>HYPERLINK("http://www.eum.go.kr/web/ar/lu/luLandDet.jsp?pnu=3611010700108290000&amp;isNoScr=script&amp;mode=search", "토지이음")</f>
        <v/>
      </c>
      <c r="P677" s="3" t="inlineStr">
        <is>
          <t>KS</t>
        </is>
      </c>
      <c r="Q677" s="3" t="n">
        <v>1</v>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976</v>
      </c>
      <c r="J678" s="3" t="inlineStr">
        <is>
          <t>3</t>
        </is>
      </c>
      <c r="K678" s="3" t="inlineStr">
        <is>
          <t>-</t>
        </is>
      </c>
      <c r="L678" s="3" t="inlineStr">
        <is>
          <t>층고 7m. 호이스트 2기</t>
        </is>
      </c>
      <c r="M678" s="5">
        <f>HYPERLINK("https://fin.land.naver.com/articles/2648300440", "매물Link")</f>
        <v/>
      </c>
      <c r="N678" s="5">
        <f>HYPERLINK("https://map.naver.com/p/search/나성동 829", "지도Link")</f>
        <v/>
      </c>
      <c r="O678" s="5">
        <f>HYPERLINK("http://www.eum.go.kr/web/ar/lu/luLandDet.jsp?pnu=3611010700108290000&amp;isNoScr=script&amp;mode=search", "토지이음")</f>
        <v/>
      </c>
      <c r="P678" s="3" t="inlineStr">
        <is>
          <t>산업</t>
        </is>
      </c>
      <c r="Q678" s="3" t="n">
        <v>1</v>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286</v>
      </c>
      <c r="J679" s="3" t="inlineStr">
        <is>
          <t>1</t>
        </is>
      </c>
      <c r="K679" s="3" t="inlineStr">
        <is>
          <t>-</t>
        </is>
      </c>
      <c r="L679" s="3" t="inlineStr">
        <is>
          <t>신탄진 평촌지구 신축공장, 창고 임대, 호이스트, 동력</t>
        </is>
      </c>
      <c r="M679" s="5">
        <f>HYPERLINK("https://fin.land.naver.com/articles/2645117509", "매물Link")</f>
        <v/>
      </c>
      <c r="N679" s="5">
        <f>HYPERLINK("https://map.naver.com/p/search/나성동 829", "지도Link")</f>
        <v/>
      </c>
      <c r="O679" s="5">
        <f>HYPERLINK("http://www.eum.go.kr/web/ar/lu/luLandDet.jsp?pnu=3611010700108290000&amp;isNoScr=script&amp;mode=search", "토지이음")</f>
        <v/>
      </c>
      <c r="P679" s="3" t="inlineStr">
        <is>
          <t>신탄진다온</t>
        </is>
      </c>
      <c r="Q679" s="3" t="n">
        <v>1</v>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187</v>
      </c>
      <c r="J680" s="3" t="inlineStr">
        <is>
          <t>1</t>
        </is>
      </c>
      <c r="K680" s="3" t="inlineStr">
        <is>
          <t>-</t>
        </is>
      </c>
      <c r="L680" s="3" t="inlineStr">
        <is>
          <t>입주협의</t>
        </is>
      </c>
      <c r="M680" s="5">
        <f>HYPERLINK("https://fin.land.naver.com/articles/2645164402", "매물Link")</f>
        <v/>
      </c>
      <c r="N680" s="5">
        <f>HYPERLINK("https://map.naver.com/p/search/나성동 829", "지도Link")</f>
        <v/>
      </c>
      <c r="O680" s="5">
        <f>HYPERLINK("http://www.eum.go.kr/web/ar/lu/luLandDet.jsp?pnu=3611010700108290000&amp;isNoScr=script&amp;mode=search", "토지이음")</f>
        <v/>
      </c>
      <c r="P680" s="3" t="inlineStr">
        <is>
          <t>웰컴</t>
        </is>
      </c>
      <c r="Q680" s="3" t="n">
        <v>2</v>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99</v>
      </c>
      <c r="J681" s="3" t="inlineStr">
        <is>
          <t>2</t>
        </is>
      </c>
      <c r="K681" s="3" t="inlineStr">
        <is>
          <t>-</t>
        </is>
      </c>
      <c r="L681" s="3" t="inlineStr">
        <is>
          <t>호이스트및 사무실있음, 신축.</t>
        </is>
      </c>
      <c r="M681" s="5">
        <f>HYPERLINK("https://fin.land.naver.com/articles/2644663908", "매물Link")</f>
        <v/>
      </c>
      <c r="N681" s="5">
        <f>HYPERLINK("https://map.naver.com/p/search/나성동 829", "지도Link")</f>
        <v/>
      </c>
      <c r="O681" s="5">
        <f>HYPERLINK("http://www.eum.go.kr/web/ar/lu/luLandDet.jsp?pnu=3611010700108290000&amp;isNoScr=script&amp;mode=search", "토지이음")</f>
        <v/>
      </c>
      <c r="P681" s="3" t="inlineStr">
        <is>
          <t>성지</t>
        </is>
      </c>
      <c r="Q681" s="3" t="n">
        <v>1</v>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290</v>
      </c>
      <c r="J682" s="3" t="inlineStr">
        <is>
          <t>2</t>
        </is>
      </c>
      <c r="K682" s="3" t="inlineStr">
        <is>
          <t>-</t>
        </is>
      </c>
      <c r="L682" s="3" t="inlineStr">
        <is>
          <t>1층 공장 2층 사무실 구조 실 속형 공장 매매</t>
        </is>
      </c>
      <c r="M682" s="5">
        <f>HYPERLINK("https://fin.land.naver.com/articles/2649612612", "매물Link")</f>
        <v/>
      </c>
      <c r="N682" s="5">
        <f>HYPERLINK("https://map.naver.com/p/search/나성동 829", "지도Link")</f>
        <v/>
      </c>
      <c r="O682" s="5">
        <f>HYPERLINK("http://www.eum.go.kr/web/ar/lu/luLandDet.jsp?pnu=3611010700108290000&amp;isNoScr=script&amp;mode=search", "토지이음")</f>
        <v/>
      </c>
      <c r="P682" s="3" t="inlineStr">
        <is>
          <t>삼익</t>
        </is>
      </c>
      <c r="Q682" s="3" t="n">
        <v>1</v>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1061</v>
      </c>
      <c r="J683" s="3" t="inlineStr">
        <is>
          <t>2</t>
        </is>
      </c>
      <c r="K683" s="3" t="inlineStr">
        <is>
          <t>-</t>
        </is>
      </c>
      <c r="L683" s="3" t="inlineStr">
        <is>
          <t>호이스트 있는 마당넓은 공장입니다.</t>
        </is>
      </c>
      <c r="M683" s="5">
        <f>HYPERLINK("https://fin.land.naver.com/articles/2648140232", "매물Link")</f>
        <v/>
      </c>
      <c r="N683" s="5">
        <f>HYPERLINK("https://map.naver.com/p/search/나성동 829", "지도Link")</f>
        <v/>
      </c>
      <c r="O683" s="5">
        <f>HYPERLINK("http://www.eum.go.kr/web/ar/lu/luLandDet.jsp?pnu=3611010700108290000&amp;isNoScr=script&amp;mode=search", "토지이음")</f>
        <v/>
      </c>
      <c r="P683" s="3" t="inlineStr">
        <is>
          <t>삼익</t>
        </is>
      </c>
      <c r="Q683" s="3" t="n">
        <v>1</v>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262</v>
      </c>
      <c r="J684" s="3" t="inlineStr">
        <is>
          <t>2</t>
        </is>
      </c>
      <c r="K684" s="3" t="inlineStr">
        <is>
          <t>-</t>
        </is>
      </c>
      <c r="L684" s="3" t="inlineStr">
        <is>
          <t>nan</t>
        </is>
      </c>
      <c r="M684" s="5">
        <f>HYPERLINK("https://fin.land.naver.com/articles/2646685659", "매물Link")</f>
        <v/>
      </c>
      <c r="N684" s="5">
        <f>HYPERLINK("https://map.naver.com/p/search/나성동 829", "지도Link")</f>
        <v/>
      </c>
      <c r="O684" s="5">
        <f>HYPERLINK("http://www.eum.go.kr/web/ar/lu/luLandDet.jsp?pnu=3611010700108290000&amp;isNoScr=script&amp;mode=search", "토지이음")</f>
        <v/>
      </c>
      <c r="P684" s="3" t="inlineStr">
        <is>
          <t>성지</t>
        </is>
      </c>
      <c r="Q684" s="3" t="n">
        <v>1</v>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456</v>
      </c>
      <c r="J685" s="3" t="inlineStr">
        <is>
          <t>1</t>
        </is>
      </c>
      <c r="K685" s="3" t="inlineStr">
        <is>
          <t>-</t>
        </is>
      </c>
      <c r="L685" s="3" t="inlineStr">
        <is>
          <t>실사용 좋은 공장 호이스트2대 설치 공장매매</t>
        </is>
      </c>
      <c r="M685" s="5">
        <f>HYPERLINK("https://fin.land.naver.com/articles/2646208228", "매물Link")</f>
        <v/>
      </c>
      <c r="N685" s="5">
        <f>HYPERLINK("https://map.naver.com/p/search/나성동 829", "지도Link")</f>
        <v/>
      </c>
      <c r="O685" s="5">
        <f>HYPERLINK("http://www.eum.go.kr/web/ar/lu/luLandDet.jsp?pnu=3611010700108290000&amp;isNoScr=script&amp;mode=search", "토지이음")</f>
        <v/>
      </c>
      <c r="P685" s="3" t="inlineStr">
        <is>
          <t>삼익</t>
        </is>
      </c>
      <c r="Q685" s="3" t="n">
        <v>1</v>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195</v>
      </c>
      <c r="J686" s="3" t="inlineStr">
        <is>
          <t>1</t>
        </is>
      </c>
      <c r="K686" s="3" t="inlineStr">
        <is>
          <t>-</t>
        </is>
      </c>
      <c r="L686" s="3" t="inlineStr">
        <is>
          <t>신축건물,</t>
        </is>
      </c>
      <c r="M686" s="5">
        <f>HYPERLINK("https://fin.land.naver.com/articles/2650092815", "매물Link")</f>
        <v/>
      </c>
      <c r="N686" s="5">
        <f>HYPERLINK("https://map.naver.com/p/search/나성동 829", "지도Link")</f>
        <v/>
      </c>
      <c r="O686" s="5">
        <f>HYPERLINK("http://www.eum.go.kr/web/ar/lu/luLandDet.jsp?pnu=3611010700108290000&amp;isNoScr=script&amp;mode=search", "토지이음")</f>
        <v/>
      </c>
      <c r="P686" s="3" t="inlineStr">
        <is>
          <t>산업</t>
        </is>
      </c>
      <c r="Q686" s="3" t="n">
        <v>1</v>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1858</v>
      </c>
      <c r="J687" s="3" t="inlineStr">
        <is>
          <t>2</t>
        </is>
      </c>
      <c r="K687" s="3" t="inlineStr">
        <is>
          <t>-</t>
        </is>
      </c>
      <c r="L687" s="3" t="inlineStr">
        <is>
          <t>신탄진 평촌동 공단에 위치한 공장매매, 동력 940Kw</t>
        </is>
      </c>
      <c r="M687" s="5">
        <f>HYPERLINK("https://fin.land.naver.com/articles/2648840999", "매물Link")</f>
        <v/>
      </c>
      <c r="N687" s="5">
        <f>HYPERLINK("https://map.naver.com/p/search/나성동 829", "지도Link")</f>
        <v/>
      </c>
      <c r="O687" s="5">
        <f>HYPERLINK("http://www.eum.go.kr/web/ar/lu/luLandDet.jsp?pnu=3611010700108290000&amp;isNoScr=script&amp;mode=search", "토지이음")</f>
        <v/>
      </c>
      <c r="P687" s="3" t="inlineStr">
        <is>
          <t>엘크루</t>
        </is>
      </c>
      <c r="Q687" s="3" t="n">
        <v>1</v>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497</v>
      </c>
      <c r="J688" s="3" t="inlineStr">
        <is>
          <t>1</t>
        </is>
      </c>
      <c r="K688" s="3" t="inlineStr">
        <is>
          <t>-</t>
        </is>
      </c>
      <c r="L688" s="3" t="inlineStr">
        <is>
          <t>nan</t>
        </is>
      </c>
      <c r="M688" s="5">
        <f>HYPERLINK("https://fin.land.naver.com/articles/2646279838", "매물Link")</f>
        <v/>
      </c>
      <c r="N688" s="5">
        <f>HYPERLINK("https://map.naver.com/p/search/나성동 829", "지도Link")</f>
        <v/>
      </c>
      <c r="O688" s="5">
        <f>HYPERLINK("http://www.eum.go.kr/web/ar/lu/luLandDet.jsp?pnu=3611010700108290000&amp;isNoScr=script&amp;mode=search", "토지이음")</f>
        <v/>
      </c>
      <c r="P688" s="3" t="inlineStr">
        <is>
          <t>공장전문(주)</t>
        </is>
      </c>
      <c r="Q688" s="3" t="n">
        <v>1</v>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99</v>
      </c>
      <c r="J689" s="3" t="inlineStr">
        <is>
          <t>1</t>
        </is>
      </c>
      <c r="K689" s="3" t="inlineStr">
        <is>
          <t>-</t>
        </is>
      </c>
      <c r="L689" s="3" t="inlineStr">
        <is>
          <t>nan</t>
        </is>
      </c>
      <c r="M689" s="5">
        <f>HYPERLINK("https://fin.land.naver.com/articles/2645164359", "매물Link")</f>
        <v/>
      </c>
      <c r="N689" s="5">
        <f>HYPERLINK("https://map.naver.com/p/search/나성동 829", "지도Link")</f>
        <v/>
      </c>
      <c r="O689" s="5">
        <f>HYPERLINK("http://www.eum.go.kr/web/ar/lu/luLandDet.jsp?pnu=3611010700108290000&amp;isNoScr=script&amp;mode=search", "토지이음")</f>
        <v/>
      </c>
      <c r="P689" s="3" t="inlineStr">
        <is>
          <t>웰컴</t>
        </is>
      </c>
      <c r="Q689" s="3" t="n">
        <v>1</v>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99</v>
      </c>
      <c r="J690" s="3" t="inlineStr">
        <is>
          <t>1</t>
        </is>
      </c>
      <c r="K690" s="3" t="inlineStr">
        <is>
          <t>-</t>
        </is>
      </c>
      <c r="L690" s="3" t="inlineStr">
        <is>
          <t>4m 도로에 접, 신축창고 층고 3~5m</t>
        </is>
      </c>
      <c r="M690" s="5">
        <f>HYPERLINK("https://fin.land.naver.com/articles/2644483032", "매물Link")</f>
        <v/>
      </c>
      <c r="N690" s="5">
        <f>HYPERLINK("https://map.naver.com/p/search/나성동 829", "지도Link")</f>
        <v/>
      </c>
      <c r="O690" s="5">
        <f>HYPERLINK("http://www.eum.go.kr/web/ar/lu/luLandDet.jsp?pnu=3611010700108290000&amp;isNoScr=script&amp;mode=search", "토지이음")</f>
        <v/>
      </c>
      <c r="P690" s="3" t="inlineStr">
        <is>
          <t>산업</t>
        </is>
      </c>
      <c r="Q690" s="3" t="n">
        <v>1</v>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1286</v>
      </c>
      <c r="J691" s="3" t="inlineStr">
        <is>
          <t>1</t>
        </is>
      </c>
      <c r="K691" s="3" t="inlineStr">
        <is>
          <t>-</t>
        </is>
      </c>
      <c r="L691" s="3" t="inlineStr">
        <is>
          <t>nan</t>
        </is>
      </c>
      <c r="M691" s="5">
        <f>HYPERLINK("https://fin.land.naver.com/articles/2647936735", "매물Link")</f>
        <v/>
      </c>
      <c r="N691" s="5">
        <f>HYPERLINK("https://map.naver.com/p/search/나성동 829", "지도Link")</f>
        <v/>
      </c>
      <c r="O691" s="5">
        <f>HYPERLINK("http://www.eum.go.kr/web/ar/lu/luLandDet.jsp?pnu=3611010700108290000&amp;isNoScr=script&amp;mode=search", "토지이음")</f>
        <v/>
      </c>
      <c r="P691" s="3" t="inlineStr">
        <is>
          <t>운산</t>
        </is>
      </c>
      <c r="Q691" s="3" t="n">
        <v>1</v>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198</v>
      </c>
      <c r="J692" s="3" t="inlineStr">
        <is>
          <t>1</t>
        </is>
      </c>
      <c r="K692" s="3" t="inlineStr">
        <is>
          <t>-</t>
        </is>
      </c>
      <c r="L692" s="3" t="inlineStr">
        <is>
          <t>현재공실 즉시입주가능 넓은마당 다 사용가능 창고공장 모두 가</t>
        </is>
      </c>
      <c r="M692" s="5">
        <f>HYPERLINK("https://fin.land.naver.com/articles/2647626458", "매물Link")</f>
        <v/>
      </c>
      <c r="N692" s="5">
        <f>HYPERLINK("https://map.naver.com/p/search/나성동 829", "지도Link")</f>
        <v/>
      </c>
      <c r="O692" s="5">
        <f>HYPERLINK("http://www.eum.go.kr/web/ar/lu/luLandDet.jsp?pnu=3611010700108290000&amp;isNoScr=script&amp;mode=search", "토지이음")</f>
        <v/>
      </c>
      <c r="P692" s="3" t="inlineStr">
        <is>
          <t>탑</t>
        </is>
      </c>
      <c r="Q692" s="3" t="n">
        <v>1</v>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430</v>
      </c>
      <c r="J693" s="3" t="inlineStr">
        <is>
          <t>1</t>
        </is>
      </c>
      <c r="K693" s="3" t="inlineStr">
        <is>
          <t>-</t>
        </is>
      </c>
      <c r="L693" s="3" t="inlineStr">
        <is>
          <t>사진, 서세종IC5분, 호이스트있음, 공장등록가능, 물류창고가능</t>
        </is>
      </c>
      <c r="M693" s="5">
        <f>HYPERLINK("https://fin.land.naver.com/articles/2648414926", "매물Link")</f>
        <v/>
      </c>
      <c r="N693" s="5">
        <f>HYPERLINK("https://map.naver.com/p/search/나성동 829", "지도Link")</f>
        <v/>
      </c>
      <c r="O693" s="5">
        <f>HYPERLINK("http://www.eum.go.kr/web/ar/lu/luLandDet.jsp?pnu=3611010700108290000&amp;isNoScr=script&amp;mode=search", "토지이음")</f>
        <v/>
      </c>
      <c r="P693" s="3" t="inlineStr">
        <is>
          <t>OK허니</t>
        </is>
      </c>
      <c r="Q693" s="3" t="n">
        <v>1</v>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20</v>
      </c>
      <c r="J694" s="3" t="inlineStr">
        <is>
          <t>1</t>
        </is>
      </c>
      <c r="K694" s="3" t="inlineStr">
        <is>
          <t>-</t>
        </is>
      </c>
      <c r="L694" s="3" t="inlineStr">
        <is>
          <t>nan</t>
        </is>
      </c>
      <c r="M694" s="5">
        <f>HYPERLINK("https://fin.land.naver.com/articles/2646173271", "매물Link")</f>
        <v/>
      </c>
      <c r="N694" s="5">
        <f>HYPERLINK("https://map.naver.com/p/search/나성동 829", "지도Link")</f>
        <v/>
      </c>
      <c r="O694" s="5">
        <f>HYPERLINK("http://www.eum.go.kr/web/ar/lu/luLandDet.jsp?pnu=3611010700108290000&amp;isNoScr=script&amp;mode=search", "토지이음")</f>
        <v/>
      </c>
      <c r="P694" s="3" t="inlineStr">
        <is>
          <t>신안무소</t>
        </is>
      </c>
      <c r="Q694" s="3" t="n">
        <v>1</v>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6611</v>
      </c>
      <c r="J695" s="3" t="inlineStr">
        <is>
          <t>1</t>
        </is>
      </c>
      <c r="K695" s="3" t="inlineStr">
        <is>
          <t>-</t>
        </is>
      </c>
      <c r="L695" s="3" t="inlineStr">
        <is>
          <t>마당넓은 공장입니다. 큰차 진입 및 회전 수월 창고하실 분 추천</t>
        </is>
      </c>
      <c r="M695" s="5">
        <f>HYPERLINK("https://fin.land.naver.com/articles/2649569241", "매물Link")</f>
        <v/>
      </c>
      <c r="N695" s="5">
        <f>HYPERLINK("https://map.naver.com/p/search/나성동 829", "지도Link")</f>
        <v/>
      </c>
      <c r="O695" s="5">
        <f>HYPERLINK("http://www.eum.go.kr/web/ar/lu/luLandDet.jsp?pnu=3611010700108290000&amp;isNoScr=script&amp;mode=search", "토지이음")</f>
        <v/>
      </c>
      <c r="P695" s="3" t="inlineStr">
        <is>
          <t>삼익</t>
        </is>
      </c>
      <c r="Q695" s="3" t="n">
        <v>1</v>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300</v>
      </c>
      <c r="J696" s="3" t="inlineStr">
        <is>
          <t>1</t>
        </is>
      </c>
      <c r="K696" s="3" t="inlineStr">
        <is>
          <t>-</t>
        </is>
      </c>
      <c r="L696" s="3" t="inlineStr">
        <is>
          <t>층고 7m, 호이스트  전기 30kw</t>
        </is>
      </c>
      <c r="M696" s="5">
        <f>HYPERLINK("https://fin.land.naver.com/articles/2645581453", "매물Link")</f>
        <v/>
      </c>
      <c r="N696" s="5">
        <f>HYPERLINK("https://map.naver.com/p/search/나성동 829", "지도Link")</f>
        <v/>
      </c>
      <c r="O696" s="5">
        <f>HYPERLINK("http://www.eum.go.kr/web/ar/lu/luLandDet.jsp?pnu=3611010700108290000&amp;isNoScr=script&amp;mode=search", "토지이음")</f>
        <v/>
      </c>
      <c r="P696" s="3" t="inlineStr">
        <is>
          <t>산업</t>
        </is>
      </c>
      <c r="Q696" s="3" t="n">
        <v>1</v>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4115</v>
      </c>
      <c r="J697" s="3" t="inlineStr">
        <is>
          <t>2</t>
        </is>
      </c>
      <c r="K697" s="3" t="inlineStr">
        <is>
          <t>B1</t>
        </is>
      </c>
      <c r="L697" s="3" t="inlineStr">
        <is>
          <t>도심에 인접한 공장, 창고 등 활용가능한 관리 잘된 공장</t>
        </is>
      </c>
      <c r="M697" s="5">
        <f>HYPERLINK("https://fin.land.naver.com/articles/2649996834", "매물Link")</f>
        <v/>
      </c>
      <c r="N697" s="5">
        <f>HYPERLINK("https://map.naver.com/p/search/나성동 829", "지도Link")</f>
        <v/>
      </c>
      <c r="O697" s="5">
        <f>HYPERLINK("http://www.eum.go.kr/web/ar/lu/luLandDet.jsp?pnu=3611010700108290000&amp;isNoScr=script&amp;mode=search", "토지이음")</f>
        <v/>
      </c>
      <c r="P697" s="3" t="inlineStr">
        <is>
          <t>(주)미르</t>
        </is>
      </c>
      <c r="Q697" s="3" t="n">
        <v>2</v>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65</v>
      </c>
      <c r="J698" s="3" t="inlineStr">
        <is>
          <t>1</t>
        </is>
      </c>
      <c r="K698" s="3" t="inlineStr">
        <is>
          <t>-</t>
        </is>
      </c>
      <c r="L698" s="3" t="inlineStr">
        <is>
          <t>많은 호재속에 있는 투자 가치 높은 창고 매매</t>
        </is>
      </c>
      <c r="M698" s="5">
        <f>HYPERLINK("https://fin.land.naver.com/articles/2647226391", "매물Link")</f>
        <v/>
      </c>
      <c r="N698" s="5">
        <f>HYPERLINK("https://map.naver.com/p/search/나성동 829", "지도Link")</f>
        <v/>
      </c>
      <c r="O698" s="5">
        <f>HYPERLINK("http://www.eum.go.kr/web/ar/lu/luLandDet.jsp?pnu=3611010700108290000&amp;isNoScr=script&amp;mode=search", "토지이음")</f>
        <v/>
      </c>
      <c r="P698" s="3" t="inlineStr">
        <is>
          <t>왕중왕기업</t>
        </is>
      </c>
      <c r="Q698" s="3" t="n">
        <v>1</v>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2925</v>
      </c>
      <c r="J699" s="3" t="inlineStr">
        <is>
          <t>2</t>
        </is>
      </c>
      <c r="K699" s="3" t="inlineStr">
        <is>
          <t>B2</t>
        </is>
      </c>
      <c r="L699" s="3" t="inlineStr">
        <is>
          <t>읍내동 일반공업지역.대도로변광고효과최상.대형차진입가능</t>
        </is>
      </c>
      <c r="M699" s="5">
        <f>HYPERLINK("https://fin.land.naver.com/articles/2647138016", "매물Link")</f>
        <v/>
      </c>
      <c r="N699" s="5">
        <f>HYPERLINK("https://map.naver.com/p/search/나성동 829", "지도Link")</f>
        <v/>
      </c>
      <c r="O699" s="5">
        <f>HYPERLINK("http://www.eum.go.kr/web/ar/lu/luLandDet.jsp?pnu=3611010700108290000&amp;isNoScr=script&amp;mode=search", "토지이음")</f>
        <v/>
      </c>
      <c r="P699" s="3" t="inlineStr">
        <is>
          <t>한솔</t>
        </is>
      </c>
      <c r="Q699" s="3" t="n">
        <v>1</v>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1409</v>
      </c>
      <c r="J700" s="3" t="inlineStr">
        <is>
          <t>1</t>
        </is>
      </c>
      <c r="K700" s="3" t="inlineStr">
        <is>
          <t>-</t>
        </is>
      </c>
      <c r="L700" s="3" t="inlineStr">
        <is>
          <t>nan</t>
        </is>
      </c>
      <c r="M700" s="5">
        <f>HYPERLINK("https://fin.land.naver.com/articles/2645690445", "매물Link")</f>
        <v/>
      </c>
      <c r="N700" s="5">
        <f>HYPERLINK("https://map.naver.com/p/search/나성동 829", "지도Link")</f>
        <v/>
      </c>
      <c r="O700" s="5">
        <f>HYPERLINK("http://www.eum.go.kr/web/ar/lu/luLandDet.jsp?pnu=3611010700108290000&amp;isNoScr=script&amp;mode=search", "토지이음")</f>
        <v/>
      </c>
      <c r="P700" s="3" t="inlineStr">
        <is>
          <t>모아</t>
        </is>
      </c>
      <c r="Q700" s="3" t="n">
        <v>1</v>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476</v>
      </c>
      <c r="J701" s="3" t="inlineStr">
        <is>
          <t>2</t>
        </is>
      </c>
      <c r="K701" s="3" t="inlineStr">
        <is>
          <t>-</t>
        </is>
      </c>
      <c r="L701" s="3" t="inlineStr">
        <is>
          <t>nan</t>
        </is>
      </c>
      <c r="M701" s="5">
        <f>HYPERLINK("https://fin.land.naver.com/articles/2645439370", "매물Link")</f>
        <v/>
      </c>
      <c r="N701" s="5">
        <f>HYPERLINK("https://map.naver.com/p/search/나성동 829", "지도Link")</f>
        <v/>
      </c>
      <c r="O701" s="5">
        <f>HYPERLINK("http://www.eum.go.kr/web/ar/lu/luLandDet.jsp?pnu=3611010700108290000&amp;isNoScr=script&amp;mode=search", "토지이음")</f>
        <v/>
      </c>
      <c r="P701" s="3" t="inlineStr">
        <is>
          <t>미더스</t>
        </is>
      </c>
      <c r="Q701" s="3" t="n">
        <v>1</v>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1110</v>
      </c>
      <c r="J702" s="3" t="inlineStr">
        <is>
          <t>3</t>
        </is>
      </c>
      <c r="K702" s="3" t="inlineStr">
        <is>
          <t>-</t>
        </is>
      </c>
      <c r="L702" s="3" t="inlineStr">
        <is>
          <t>준신축이며, 공장 및 창고</t>
        </is>
      </c>
      <c r="M702" s="5">
        <f>HYPERLINK("https://fin.land.naver.com/articles/2646019663", "매물Link")</f>
        <v/>
      </c>
      <c r="N702" s="5">
        <f>HYPERLINK("https://map.naver.com/p/search/나성동 829", "지도Link")</f>
        <v/>
      </c>
      <c r="O702" s="5">
        <f>HYPERLINK("http://www.eum.go.kr/web/ar/lu/luLandDet.jsp?pnu=3611010700108290000&amp;isNoScr=script&amp;mode=search", "토지이음")</f>
        <v/>
      </c>
      <c r="P702" s="3" t="inlineStr">
        <is>
          <t>성지</t>
        </is>
      </c>
      <c r="Q702" s="3" t="n">
        <v>1</v>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180</v>
      </c>
      <c r="J703" s="3" t="inlineStr">
        <is>
          <t>2</t>
        </is>
      </c>
      <c r="K703" s="3" t="inlineStr">
        <is>
          <t>-</t>
        </is>
      </c>
      <c r="L703" s="3" t="inlineStr">
        <is>
          <t>와동 6차선 대로변 창고 매매</t>
        </is>
      </c>
      <c r="M703" s="5">
        <f>HYPERLINK("https://fin.land.naver.com/articles/2646039609", "매물Link")</f>
        <v/>
      </c>
      <c r="N703" s="5">
        <f>HYPERLINK("https://map.naver.com/p/search/나성동 829", "지도Link")</f>
        <v/>
      </c>
      <c r="O703" s="5">
        <f>HYPERLINK("http://www.eum.go.kr/web/ar/lu/luLandDet.jsp?pnu=3611010700108290000&amp;isNoScr=script&amp;mode=search", "토지이음")</f>
        <v/>
      </c>
      <c r="P703" s="3" t="inlineStr">
        <is>
          <t>왕중왕기업</t>
        </is>
      </c>
      <c r="Q703" s="3" t="n">
        <v>1</v>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362</v>
      </c>
      <c r="J704" s="3" t="inlineStr">
        <is>
          <t>1</t>
        </is>
      </c>
      <c r="K704" s="3" t="inlineStr">
        <is>
          <t>-</t>
        </is>
      </c>
      <c r="L704" s="3" t="inlineStr">
        <is>
          <t>층고 약 7m 호이스트 있는 공장 겸 창고 매매</t>
        </is>
      </c>
      <c r="M704" s="5">
        <f>HYPERLINK("https://fin.land.naver.com/articles/2644229480", "매물Link")</f>
        <v/>
      </c>
      <c r="N704" s="5">
        <f>HYPERLINK("https://map.naver.com/p/search/나성동 829", "지도Link")</f>
        <v/>
      </c>
      <c r="O704" s="5">
        <f>HYPERLINK("http://www.eum.go.kr/web/ar/lu/luLandDet.jsp?pnu=3611010700108290000&amp;isNoScr=script&amp;mode=search", "토지이음")</f>
        <v/>
      </c>
      <c r="P704" s="3" t="inlineStr">
        <is>
          <t>삼익</t>
        </is>
      </c>
      <c r="Q704" s="3" t="n">
        <v>1</v>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363</v>
      </c>
      <c r="J705" s="3" t="inlineStr">
        <is>
          <t>1</t>
        </is>
      </c>
      <c r="K705" s="3" t="inlineStr">
        <is>
          <t>-</t>
        </is>
      </c>
      <c r="L705" s="3" t="inlineStr">
        <is>
          <t>층고 8m, 호이스트, 공장임대 가능</t>
        </is>
      </c>
      <c r="M705" s="5">
        <f>HYPERLINK("https://fin.land.naver.com/articles/2647627819", "매물Link")</f>
        <v/>
      </c>
      <c r="N705" s="5">
        <f>HYPERLINK("https://map.naver.com/p/search/나성동 829", "지도Link")</f>
        <v/>
      </c>
      <c r="O705" s="5">
        <f>HYPERLINK("http://www.eum.go.kr/web/ar/lu/luLandDet.jsp?pnu=3611010700108290000&amp;isNoScr=script&amp;mode=search", "토지이음")</f>
        <v/>
      </c>
      <c r="P705" s="3" t="inlineStr">
        <is>
          <t>산업</t>
        </is>
      </c>
      <c r="Q705" s="3" t="n">
        <v>2</v>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1031</v>
      </c>
      <c r="J706" s="3" t="inlineStr">
        <is>
          <t>1</t>
        </is>
      </c>
      <c r="K706" s="3" t="inlineStr">
        <is>
          <t>-</t>
        </is>
      </c>
      <c r="L706" s="3" t="inlineStr">
        <is>
          <t>대전IC 초인접 소형창고</t>
        </is>
      </c>
      <c r="M706" s="5">
        <f>HYPERLINK("https://fin.land.naver.com/articles/2644432695", "매물Link")</f>
        <v/>
      </c>
      <c r="N706" s="5">
        <f>HYPERLINK("https://map.naver.com/p/search/나성동 829", "지도Link")</f>
        <v/>
      </c>
      <c r="O706" s="5">
        <f>HYPERLINK("http://www.eum.go.kr/web/ar/lu/luLandDet.jsp?pnu=3611010700108290000&amp;isNoScr=script&amp;mode=search", "토지이음")</f>
        <v/>
      </c>
      <c r="P706" s="3" t="inlineStr">
        <is>
          <t>탑</t>
        </is>
      </c>
      <c r="Q706" s="3" t="n">
        <v>1</v>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748</v>
      </c>
      <c r="J707" s="3" t="inlineStr">
        <is>
          <t>2</t>
        </is>
      </c>
      <c r="K707" s="3" t="inlineStr">
        <is>
          <t>B1</t>
        </is>
      </c>
      <c r="L707" s="3" t="inlineStr">
        <is>
          <t>대전 비래동, 비즈니스와 주거를 동시에 공장창고단독주택 매매</t>
        </is>
      </c>
      <c r="M707" s="5">
        <f>HYPERLINK("https://fin.land.naver.com/articles/2645551119", "매물Link")</f>
        <v/>
      </c>
      <c r="N707" s="5">
        <f>HYPERLINK("https://map.naver.com/p/search/나성동 829", "지도Link")</f>
        <v/>
      </c>
      <c r="O707" s="5">
        <f>HYPERLINK("http://www.eum.go.kr/web/ar/lu/luLandDet.jsp?pnu=3611010700108290000&amp;isNoScr=script&amp;mode=search", "토지이음")</f>
        <v/>
      </c>
      <c r="P707" s="3" t="inlineStr">
        <is>
          <t>신화성</t>
        </is>
      </c>
      <c r="Q707" s="3" t="n">
        <v>1</v>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465</v>
      </c>
      <c r="J708" s="3" t="inlineStr">
        <is>
          <t>1</t>
        </is>
      </c>
      <c r="K708" s="3" t="inlineStr">
        <is>
          <t>-</t>
        </is>
      </c>
      <c r="L708" s="3" t="inlineStr">
        <is>
          <t>nan</t>
        </is>
      </c>
      <c r="M708" s="5">
        <f>HYPERLINK("https://fin.land.naver.com/articles/2649166119", "매물Link")</f>
        <v/>
      </c>
      <c r="N708" s="5">
        <f>HYPERLINK("https://map.naver.com/p/search/나성동 829", "지도Link")</f>
        <v/>
      </c>
      <c r="O708" s="5">
        <f>HYPERLINK("http://www.eum.go.kr/web/ar/lu/luLandDet.jsp?pnu=3611010700108290000&amp;isNoScr=script&amp;mode=search", "토지이음")</f>
        <v/>
      </c>
      <c r="P708" s="3" t="inlineStr">
        <is>
          <t>비래</t>
        </is>
      </c>
      <c r="Q708" s="3" t="n">
        <v>1</v>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200</v>
      </c>
      <c r="J709" s="3" t="inlineStr">
        <is>
          <t>2</t>
        </is>
      </c>
      <c r="K709" s="3" t="inlineStr">
        <is>
          <t>-</t>
        </is>
      </c>
      <c r="L709" s="3" t="inlineStr">
        <is>
          <t>nan</t>
        </is>
      </c>
      <c r="M709" s="5">
        <f>HYPERLINK("https://fin.land.naver.com/articles/2647890255", "매물Link")</f>
        <v/>
      </c>
      <c r="N709" s="5">
        <f>HYPERLINK("https://map.naver.com/p/search/나성동 829", "지도Link")</f>
        <v/>
      </c>
      <c r="O709" s="5">
        <f>HYPERLINK("http://www.eum.go.kr/web/ar/lu/luLandDet.jsp?pnu=3611010700108290000&amp;isNoScr=script&amp;mode=search", "토지이음")</f>
        <v/>
      </c>
      <c r="P709" s="3" t="inlineStr">
        <is>
          <t>비래</t>
        </is>
      </c>
      <c r="Q709" s="3" t="n">
        <v>1</v>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82</v>
      </c>
      <c r="J710" s="3" t="inlineStr">
        <is>
          <t>2</t>
        </is>
      </c>
      <c r="K710" s="3" t="inlineStr">
        <is>
          <t>-</t>
        </is>
      </c>
      <c r="L710" s="3" t="inlineStr">
        <is>
          <t>소형공장, 호이스트자리있음</t>
        </is>
      </c>
      <c r="M710" s="5">
        <f>HYPERLINK("https://fin.land.naver.com/articles/2644176024", "매물Link")</f>
        <v/>
      </c>
      <c r="N710" s="5">
        <f>HYPERLINK("https://map.naver.com/p/search/나성동 829", "지도Link")</f>
        <v/>
      </c>
      <c r="O710" s="5">
        <f>HYPERLINK("http://www.eum.go.kr/web/ar/lu/luLandDet.jsp?pnu=3611010700108290000&amp;isNoScr=script&amp;mode=search", "토지이음")</f>
        <v/>
      </c>
      <c r="P710" s="3" t="inlineStr">
        <is>
          <t>성지</t>
        </is>
      </c>
      <c r="Q710" s="3" t="n">
        <v>1</v>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3032</v>
      </c>
      <c r="J711" s="3" t="inlineStr">
        <is>
          <t>3</t>
        </is>
      </c>
      <c r="K711" s="3" t="inlineStr">
        <is>
          <t>-</t>
        </is>
      </c>
      <c r="L711" s="3" t="inlineStr">
        <is>
          <t>층고 낮은 공장</t>
        </is>
      </c>
      <c r="M711" s="5">
        <f>HYPERLINK("https://fin.land.naver.com/articles/2646033024", "매물Link")</f>
        <v/>
      </c>
      <c r="N711" s="5">
        <f>HYPERLINK("https://map.naver.com/p/search/나성동 829", "지도Link")</f>
        <v/>
      </c>
      <c r="O711" s="5">
        <f>HYPERLINK("http://www.eum.go.kr/web/ar/lu/luLandDet.jsp?pnu=3611010700108290000&amp;isNoScr=script&amp;mode=search", "토지이음")</f>
        <v/>
      </c>
      <c r="P711" s="3" t="inlineStr">
        <is>
          <t>제일</t>
        </is>
      </c>
      <c r="Q711" s="3" t="n">
        <v>1</v>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3573</v>
      </c>
      <c r="J712" s="3" t="inlineStr">
        <is>
          <t>2</t>
        </is>
      </c>
      <c r="K712" s="3" t="inlineStr">
        <is>
          <t>-</t>
        </is>
      </c>
      <c r="L712" s="3" t="inlineStr">
        <is>
          <t>매매가 협의, 대전시내유일공장, 근로자통근최상,매매후임대가능,교통편리</t>
        </is>
      </c>
      <c r="M712" s="5">
        <f>HYPERLINK("https://fin.land.naver.com/articles/2646143061", "매물Link")</f>
        <v/>
      </c>
      <c r="N712" s="5">
        <f>HYPERLINK("https://map.naver.com/p/search/나성동 829", "지도Link")</f>
        <v/>
      </c>
      <c r="O712" s="5">
        <f>HYPERLINK("http://www.eum.go.kr/web/ar/lu/luLandDet.jsp?pnu=3611010700108290000&amp;isNoScr=script&amp;mode=search", "토지이음")</f>
        <v/>
      </c>
      <c r="P712" s="3" t="inlineStr">
        <is>
          <t>뉴욕</t>
        </is>
      </c>
      <c r="Q712" s="3" t="n">
        <v>1</v>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198</v>
      </c>
      <c r="J713" s="3" t="inlineStr">
        <is>
          <t>1</t>
        </is>
      </c>
      <c r="K713" s="3" t="inlineStr">
        <is>
          <t>-</t>
        </is>
      </c>
      <c r="L713" s="3" t="inlineStr">
        <is>
          <t>호이스트있음,신축, 공단내 공장.</t>
        </is>
      </c>
      <c r="M713" s="5">
        <f>HYPERLINK("https://fin.land.naver.com/articles/2646513682", "매물Link")</f>
        <v/>
      </c>
      <c r="N713" s="5">
        <f>HYPERLINK("https://map.naver.com/p/search/나성동 829", "지도Link")</f>
        <v/>
      </c>
      <c r="O713" s="5">
        <f>HYPERLINK("http://www.eum.go.kr/web/ar/lu/luLandDet.jsp?pnu=3611010700108290000&amp;isNoScr=script&amp;mode=search", "토지이음")</f>
        <v/>
      </c>
      <c r="P713" s="3" t="inlineStr">
        <is>
          <t>성지</t>
        </is>
      </c>
      <c r="Q713" s="3" t="n">
        <v>1</v>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1300</v>
      </c>
      <c r="J714" s="3" t="inlineStr">
        <is>
          <t>1</t>
        </is>
      </c>
      <c r="K714" s="3" t="inlineStr">
        <is>
          <t>-</t>
        </is>
      </c>
      <c r="L714" s="3" t="inlineStr">
        <is>
          <t>대형공장 임대  전기 300kw  층고 약 8m   사무실 있음</t>
        </is>
      </c>
      <c r="M714" s="5">
        <f>HYPERLINK("https://fin.land.naver.com/articles/2646188351", "매물Link")</f>
        <v/>
      </c>
      <c r="N714" s="5">
        <f>HYPERLINK("https://map.naver.com/p/search/나성동 829", "지도Link")</f>
        <v/>
      </c>
      <c r="O714" s="5">
        <f>HYPERLINK("http://www.eum.go.kr/web/ar/lu/luLandDet.jsp?pnu=3611010700108290000&amp;isNoScr=script&amp;mode=search", "토지이음")</f>
        <v/>
      </c>
      <c r="P714" s="3" t="inlineStr">
        <is>
          <t>삼익</t>
        </is>
      </c>
      <c r="Q714" s="3" t="n">
        <v>1</v>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661</v>
      </c>
      <c r="J715" s="3" t="inlineStr">
        <is>
          <t>2</t>
        </is>
      </c>
      <c r="K715" s="3" t="inlineStr">
        <is>
          <t>-</t>
        </is>
      </c>
      <c r="L715" s="3" t="inlineStr">
        <is>
          <t>2층 공장 임대  화물엘리베이터 있음  주차 편리</t>
        </is>
      </c>
      <c r="M715" s="5">
        <f>HYPERLINK("https://fin.land.naver.com/articles/2646182084", "매물Link")</f>
        <v/>
      </c>
      <c r="N715" s="5">
        <f>HYPERLINK("https://map.naver.com/p/search/나성동 829", "지도Link")</f>
        <v/>
      </c>
      <c r="O715" s="5">
        <f>HYPERLINK("http://www.eum.go.kr/web/ar/lu/luLandDet.jsp?pnu=3611010700108290000&amp;isNoScr=script&amp;mode=search", "토지이음")</f>
        <v/>
      </c>
      <c r="P715" s="3" t="inlineStr">
        <is>
          <t>삼익</t>
        </is>
      </c>
      <c r="Q715" s="3" t="n">
        <v>1</v>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448</v>
      </c>
      <c r="J716" s="3" t="inlineStr">
        <is>
          <t>1</t>
        </is>
      </c>
      <c r="K716" s="3" t="inlineStr">
        <is>
          <t>-</t>
        </is>
      </c>
      <c r="L716" s="3" t="inlineStr">
        <is>
          <t>호이스트 공장 임대   즉시입주가능</t>
        </is>
      </c>
      <c r="M716" s="5">
        <f>HYPERLINK("https://fin.land.naver.com/articles/2646177704", "매물Link")</f>
        <v/>
      </c>
      <c r="N716" s="5">
        <f>HYPERLINK("https://map.naver.com/p/search/나성동 829", "지도Link")</f>
        <v/>
      </c>
      <c r="O716" s="5">
        <f>HYPERLINK("http://www.eum.go.kr/web/ar/lu/luLandDet.jsp?pnu=3611010700108290000&amp;isNoScr=script&amp;mode=search", "토지이음")</f>
        <v/>
      </c>
      <c r="P716" s="3" t="inlineStr">
        <is>
          <t>삼익</t>
        </is>
      </c>
      <c r="Q716" s="3" t="n">
        <v>1</v>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292</v>
      </c>
      <c r="J717" s="3" t="inlineStr">
        <is>
          <t>1</t>
        </is>
      </c>
      <c r="K717" s="3" t="inlineStr">
        <is>
          <t>-</t>
        </is>
      </c>
      <c r="L717" s="3" t="inlineStr">
        <is>
          <t>대화동 공장 각종 장비 포함 임대, 층고 6m, 호이스트 2.8t</t>
        </is>
      </c>
      <c r="M717" s="5">
        <f>HYPERLINK("https://fin.land.naver.com/articles/2645791246", "매물Link")</f>
        <v/>
      </c>
      <c r="N717" s="5">
        <f>HYPERLINK("https://map.naver.com/p/search/나성동 829", "지도Link")</f>
        <v/>
      </c>
      <c r="O717" s="5">
        <f>HYPERLINK("http://www.eum.go.kr/web/ar/lu/luLandDet.jsp?pnu=3611010700108290000&amp;isNoScr=script&amp;mode=search", "토지이음")</f>
        <v/>
      </c>
      <c r="P717" s="3" t="inlineStr">
        <is>
          <t>왕중왕기업</t>
        </is>
      </c>
      <c r="Q717" s="3" t="n">
        <v>1</v>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5089</v>
      </c>
      <c r="J718" s="3" t="inlineStr">
        <is>
          <t>1</t>
        </is>
      </c>
      <c r="K718" s="3" t="inlineStr">
        <is>
          <t>-</t>
        </is>
      </c>
      <c r="L718" s="3" t="inlineStr">
        <is>
          <t>대덕구 대화동 공장 임대.</t>
        </is>
      </c>
      <c r="M718" s="5">
        <f>HYPERLINK("https://fin.land.naver.com/articles/2645621514", "매물Link")</f>
        <v/>
      </c>
      <c r="N718" s="5">
        <f>HYPERLINK("https://map.naver.com/p/search/나성동 829", "지도Link")</f>
        <v/>
      </c>
      <c r="O718" s="5">
        <f>HYPERLINK("http://www.eum.go.kr/web/ar/lu/luLandDet.jsp?pnu=3611010700108290000&amp;isNoScr=script&amp;mode=search", "토지이음")</f>
        <v/>
      </c>
      <c r="P718" s="3" t="inlineStr">
        <is>
          <t>왕중왕기업</t>
        </is>
      </c>
      <c r="Q718" s="3" t="n">
        <v>1</v>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2107</v>
      </c>
      <c r="J719" s="3" t="inlineStr">
        <is>
          <t>1</t>
        </is>
      </c>
      <c r="K719" s="3" t="inlineStr">
        <is>
          <t>-</t>
        </is>
      </c>
      <c r="L719" s="3" t="inlineStr">
        <is>
          <t>저렴한 가격, 자동차관련업체입주중, 임대및 직접사용가능.</t>
        </is>
      </c>
      <c r="M719" s="5">
        <f>HYPERLINK("https://fin.land.naver.com/articles/2645478792", "매물Link")</f>
        <v/>
      </c>
      <c r="N719" s="5">
        <f>HYPERLINK("https://map.naver.com/p/search/나성동 829", "지도Link")</f>
        <v/>
      </c>
      <c r="O719" s="5">
        <f>HYPERLINK("http://www.eum.go.kr/web/ar/lu/luLandDet.jsp?pnu=3611010700108290000&amp;isNoScr=script&amp;mode=search", "토지이음")</f>
        <v/>
      </c>
      <c r="P719" s="3" t="inlineStr">
        <is>
          <t>성지</t>
        </is>
      </c>
      <c r="Q719" s="3" t="n">
        <v>1</v>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5089</v>
      </c>
      <c r="J720" s="3" t="inlineStr">
        <is>
          <t>2</t>
        </is>
      </c>
      <c r="K720" s="3" t="inlineStr">
        <is>
          <t>B1</t>
        </is>
      </c>
      <c r="L720" s="3" t="inlineStr">
        <is>
          <t>nan</t>
        </is>
      </c>
      <c r="M720" s="5">
        <f>HYPERLINK("https://fin.land.naver.com/articles/2645343033", "매물Link")</f>
        <v/>
      </c>
      <c r="N720" s="5">
        <f>HYPERLINK("https://map.naver.com/p/search/나성동 829", "지도Link")</f>
        <v/>
      </c>
      <c r="O720" s="5">
        <f>HYPERLINK("http://www.eum.go.kr/web/ar/lu/luLandDet.jsp?pnu=3611010700108290000&amp;isNoScr=script&amp;mode=search", "토지이음")</f>
        <v/>
      </c>
      <c r="P720" s="3" t="inlineStr">
        <is>
          <t>왕중왕기업</t>
        </is>
      </c>
      <c r="Q720" s="3" t="n">
        <v>1</v>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262</v>
      </c>
      <c r="J721" s="3" t="inlineStr">
        <is>
          <t>2</t>
        </is>
      </c>
      <c r="K721" s="3" t="inlineStr">
        <is>
          <t>-</t>
        </is>
      </c>
      <c r="L721" s="3" t="inlineStr">
        <is>
          <t>1층같은 2층, 도로이용하여 공장내부로 차량유입가능</t>
        </is>
      </c>
      <c r="M721" s="5">
        <f>HYPERLINK("https://fin.land.naver.com/articles/2644663133", "매물Link")</f>
        <v/>
      </c>
      <c r="N721" s="5">
        <f>HYPERLINK("https://map.naver.com/p/search/나성동 829", "지도Link")</f>
        <v/>
      </c>
      <c r="O721" s="5">
        <f>HYPERLINK("http://www.eum.go.kr/web/ar/lu/luLandDet.jsp?pnu=3611010700108290000&amp;isNoScr=script&amp;mode=search", "토지이음")</f>
        <v/>
      </c>
      <c r="P721" s="3" t="inlineStr">
        <is>
          <t>성지</t>
        </is>
      </c>
      <c r="Q721" s="3" t="n">
        <v>1</v>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83</v>
      </c>
      <c r="J722" s="3" t="inlineStr">
        <is>
          <t>12</t>
        </is>
      </c>
      <c r="K722" s="3" t="inlineStr">
        <is>
          <t>B2</t>
        </is>
      </c>
      <c r="L722" s="3" t="inlineStr">
        <is>
          <t>지식산업센타, 신축, 사무실및 공장,창고사용가능.</t>
        </is>
      </c>
      <c r="M722" s="5">
        <f>HYPERLINK("https://fin.land.naver.com/articles/2644662987", "매물Link")</f>
        <v/>
      </c>
      <c r="N722" s="5">
        <f>HYPERLINK("https://map.naver.com/p/search/나성동 829", "지도Link")</f>
        <v/>
      </c>
      <c r="O722" s="5">
        <f>HYPERLINK("http://www.eum.go.kr/web/ar/lu/luLandDet.jsp?pnu=3611010700108290000&amp;isNoScr=script&amp;mode=search", "토지이음")</f>
        <v/>
      </c>
      <c r="P722" s="3" t="inlineStr">
        <is>
          <t>성지</t>
        </is>
      </c>
      <c r="Q722" s="3" t="n">
        <v>1</v>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186</v>
      </c>
      <c r="J723" s="3" t="inlineStr">
        <is>
          <t>1</t>
        </is>
      </c>
      <c r="K723" s="3" t="inlineStr">
        <is>
          <t>-</t>
        </is>
      </c>
      <c r="L723" s="3" t="inlineStr">
        <is>
          <t>대전IC부근,신축,층고8.5미터</t>
        </is>
      </c>
      <c r="M723" s="5">
        <f>HYPERLINK("https://fin.land.naver.com/articles/2647313315", "매물Link")</f>
        <v/>
      </c>
      <c r="N723" s="5">
        <f>HYPERLINK("https://map.naver.com/p/search/나성동 829", "지도Link")</f>
        <v/>
      </c>
      <c r="O723" s="5">
        <f>HYPERLINK("http://www.eum.go.kr/web/ar/lu/luLandDet.jsp?pnu=3611010700108290000&amp;isNoScr=script&amp;mode=search", "토지이음")</f>
        <v/>
      </c>
      <c r="P723" s="3" t="inlineStr">
        <is>
          <t>정안</t>
        </is>
      </c>
      <c r="Q723" s="3" t="n">
        <v>1</v>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792</v>
      </c>
      <c r="J724" s="3" t="inlineStr">
        <is>
          <t>2</t>
        </is>
      </c>
      <c r="K724" s="3" t="inlineStr">
        <is>
          <t>B1</t>
        </is>
      </c>
      <c r="L724" s="3" t="inlineStr">
        <is>
          <t>높은층고,호이스트2대, 넗은주차장.</t>
        </is>
      </c>
      <c r="M724" s="5">
        <f>HYPERLINK("https://fin.land.naver.com/articles/2644662834", "매물Link")</f>
        <v/>
      </c>
      <c r="N724" s="5">
        <f>HYPERLINK("https://map.naver.com/p/search/나성동 829", "지도Link")</f>
        <v/>
      </c>
      <c r="O724" s="5">
        <f>HYPERLINK("http://www.eum.go.kr/web/ar/lu/luLandDet.jsp?pnu=3611010700108290000&amp;isNoScr=script&amp;mode=search", "토지이음")</f>
        <v/>
      </c>
      <c r="P724" s="3" t="inlineStr">
        <is>
          <t>성지</t>
        </is>
      </c>
      <c r="Q724" s="3" t="n">
        <v>1</v>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2003</v>
      </c>
      <c r="J725" s="3" t="inlineStr">
        <is>
          <t>4</t>
        </is>
      </c>
      <c r="K725" s="3" t="inlineStr">
        <is>
          <t>B1</t>
        </is>
      </c>
      <c r="L725" s="3" t="inlineStr">
        <is>
          <t>대형 창고 임대  월세 저렴  단기 임대 가능분할 임대 가능</t>
        </is>
      </c>
      <c r="M725" s="5">
        <f>HYPERLINK("https://fin.land.naver.com/articles/2644512934", "매물Link")</f>
        <v/>
      </c>
      <c r="N725" s="5">
        <f>HYPERLINK("https://map.naver.com/p/search/나성동 829", "지도Link")</f>
        <v/>
      </c>
      <c r="O725" s="5">
        <f>HYPERLINK("http://www.eum.go.kr/web/ar/lu/luLandDet.jsp?pnu=3611010700108290000&amp;isNoScr=script&amp;mode=search", "토지이음")</f>
        <v/>
      </c>
      <c r="P725" s="3" t="inlineStr">
        <is>
          <t>삼익</t>
        </is>
      </c>
      <c r="Q725" s="3" t="n">
        <v>1</v>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1320</v>
      </c>
      <c r="J726" s="3" t="inlineStr">
        <is>
          <t>1</t>
        </is>
      </c>
      <c r="K726" s="3" t="inlineStr">
        <is>
          <t>-</t>
        </is>
      </c>
      <c r="L726" s="3" t="inlineStr">
        <is>
          <t>nan</t>
        </is>
      </c>
      <c r="M726" s="5">
        <f>HYPERLINK("https://fin.land.naver.com/articles/2644410739", "매물Link")</f>
        <v/>
      </c>
      <c r="N726" s="5">
        <f>HYPERLINK("https://map.naver.com/p/search/나성동 829", "지도Link")</f>
        <v/>
      </c>
      <c r="O726" s="5">
        <f>HYPERLINK("http://www.eum.go.kr/web/ar/lu/luLandDet.jsp?pnu=3611010700108290000&amp;isNoScr=script&amp;mode=search", "토지이음")</f>
        <v/>
      </c>
      <c r="P726" s="3" t="inlineStr">
        <is>
          <t>삼익</t>
        </is>
      </c>
      <c r="Q726" s="3" t="n">
        <v>1</v>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561</v>
      </c>
      <c r="J727" s="3" t="inlineStr">
        <is>
          <t>1</t>
        </is>
      </c>
      <c r="K727" s="3" t="inlineStr">
        <is>
          <t>-</t>
        </is>
      </c>
      <c r="L727" s="3" t="inlineStr">
        <is>
          <t>귀한 소형 공장</t>
        </is>
      </c>
      <c r="M727" s="5">
        <f>HYPERLINK("https://fin.land.naver.com/articles/2644267138", "매물Link")</f>
        <v/>
      </c>
      <c r="N727" s="5">
        <f>HYPERLINK("https://map.naver.com/p/search/나성동 829", "지도Link")</f>
        <v/>
      </c>
      <c r="O727" s="5">
        <f>HYPERLINK("http://www.eum.go.kr/web/ar/lu/luLandDet.jsp?pnu=3611010700108290000&amp;isNoScr=script&amp;mode=search", "토지이음")</f>
        <v/>
      </c>
      <c r="P727" s="3" t="inlineStr">
        <is>
          <t>제일</t>
        </is>
      </c>
      <c r="Q727" s="3" t="n">
        <v>1</v>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330</v>
      </c>
      <c r="J728" s="3" t="inlineStr">
        <is>
          <t>1</t>
        </is>
      </c>
      <c r="K728" s="3" t="inlineStr">
        <is>
          <t>-</t>
        </is>
      </c>
      <c r="L728" s="3" t="inlineStr">
        <is>
          <t>층고 낮은 공장 임대 내부 깔끔하고 관리 상태 우수한 공장입니다.</t>
        </is>
      </c>
      <c r="M728" s="5">
        <f>HYPERLINK("https://fin.land.naver.com/articles/2644237368", "매물Link")</f>
        <v/>
      </c>
      <c r="N728" s="5">
        <f>HYPERLINK("https://map.naver.com/p/search/나성동 829", "지도Link")</f>
        <v/>
      </c>
      <c r="O728" s="5">
        <f>HYPERLINK("http://www.eum.go.kr/web/ar/lu/luLandDet.jsp?pnu=3611010700108290000&amp;isNoScr=script&amp;mode=search", "토지이음")</f>
        <v/>
      </c>
      <c r="P728" s="3" t="inlineStr">
        <is>
          <t>삼익</t>
        </is>
      </c>
      <c r="Q728" s="3" t="n">
        <v>1</v>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7357</v>
      </c>
      <c r="J729" s="3" t="inlineStr">
        <is>
          <t>3</t>
        </is>
      </c>
      <c r="K729" s="3" t="inlineStr">
        <is>
          <t>-</t>
        </is>
      </c>
      <c r="L729" s="3" t="inlineStr">
        <is>
          <t>대전산업단지 공장매매</t>
        </is>
      </c>
      <c r="M729" s="5">
        <f>HYPERLINK("https://fin.land.naver.com/articles/2649363236", "매물Link")</f>
        <v/>
      </c>
      <c r="N729" s="5">
        <f>HYPERLINK("https://map.naver.com/p/search/나성동 829", "지도Link")</f>
        <v/>
      </c>
      <c r="O729" s="5">
        <f>HYPERLINK("http://www.eum.go.kr/web/ar/lu/luLandDet.jsp?pnu=3611010700108290000&amp;isNoScr=script&amp;mode=search", "토지이음")</f>
        <v/>
      </c>
      <c r="P729" s="3" t="inlineStr">
        <is>
          <t>(주)월드</t>
        </is>
      </c>
      <c r="Q729" s="3" t="n">
        <v>1</v>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2995</v>
      </c>
      <c r="J730" s="3" t="inlineStr">
        <is>
          <t>3</t>
        </is>
      </c>
      <c r="K730" s="3" t="inlineStr">
        <is>
          <t>B1</t>
        </is>
      </c>
      <c r="L730" s="3" t="inlineStr">
        <is>
          <t>호이스트 3대, 전기 충분</t>
        </is>
      </c>
      <c r="M730" s="5">
        <f>HYPERLINK("https://fin.land.naver.com/articles/2648856124", "매물Link")</f>
        <v/>
      </c>
      <c r="N730" s="5">
        <f>HYPERLINK("https://map.naver.com/p/search/나성동 829", "지도Link")</f>
        <v/>
      </c>
      <c r="O730" s="5">
        <f>HYPERLINK("http://www.eum.go.kr/web/ar/lu/luLandDet.jsp?pnu=3611010700108290000&amp;isNoScr=script&amp;mode=search", "토지이음")</f>
        <v/>
      </c>
      <c r="P730" s="3" t="inlineStr">
        <is>
          <t>제일</t>
        </is>
      </c>
      <c r="Q730" s="3" t="n">
        <v>1</v>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1479</v>
      </c>
      <c r="J731" s="3" t="inlineStr">
        <is>
          <t>2</t>
        </is>
      </c>
      <c r="K731" s="3" t="inlineStr">
        <is>
          <t>-</t>
        </is>
      </c>
      <c r="L731" s="3" t="inlineStr">
        <is>
          <t>대전산단내 저렴한공장, 사무실및 창고형 공장.</t>
        </is>
      </c>
      <c r="M731" s="5">
        <f>HYPERLINK("https://fin.land.naver.com/articles/2648071997", "매물Link")</f>
        <v/>
      </c>
      <c r="N731" s="5">
        <f>HYPERLINK("https://map.naver.com/p/search/나성동 829", "지도Link")</f>
        <v/>
      </c>
      <c r="O731" s="5">
        <f>HYPERLINK("http://www.eum.go.kr/web/ar/lu/luLandDet.jsp?pnu=3611010700108290000&amp;isNoScr=script&amp;mode=search", "토지이음")</f>
        <v/>
      </c>
      <c r="P731" s="3" t="inlineStr">
        <is>
          <t>성지</t>
        </is>
      </c>
      <c r="Q731" s="3" t="n">
        <v>1</v>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691</v>
      </c>
      <c r="J732" s="3" t="inlineStr">
        <is>
          <t>2</t>
        </is>
      </c>
      <c r="K732" s="3" t="inlineStr">
        <is>
          <t>-</t>
        </is>
      </c>
      <c r="L732" s="3" t="inlineStr">
        <is>
          <t>1톤차 진입 가능한 2층</t>
        </is>
      </c>
      <c r="M732" s="5">
        <f>HYPERLINK("https://fin.land.naver.com/articles/2647689740", "매물Link")</f>
        <v/>
      </c>
      <c r="N732" s="5">
        <f>HYPERLINK("https://map.naver.com/p/search/나성동 829", "지도Link")</f>
        <v/>
      </c>
      <c r="O732" s="5">
        <f>HYPERLINK("http://www.eum.go.kr/web/ar/lu/luLandDet.jsp?pnu=3611010700108290000&amp;isNoScr=script&amp;mode=search", "토지이음")</f>
        <v/>
      </c>
      <c r="P732" s="3" t="inlineStr">
        <is>
          <t>제일</t>
        </is>
      </c>
      <c r="Q732" s="3" t="n">
        <v>1</v>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3032</v>
      </c>
      <c r="J733" s="3" t="inlineStr">
        <is>
          <t>3</t>
        </is>
      </c>
      <c r="K733" s="3" t="inlineStr">
        <is>
          <t>-</t>
        </is>
      </c>
      <c r="L733" s="3" t="inlineStr">
        <is>
          <t>층고낮은 저렴한 공장</t>
        </is>
      </c>
      <c r="M733" s="5">
        <f>HYPERLINK("https://fin.land.naver.com/articles/2647688359", "매물Link")</f>
        <v/>
      </c>
      <c r="N733" s="5">
        <f>HYPERLINK("https://map.naver.com/p/search/나성동 829", "지도Link")</f>
        <v/>
      </c>
      <c r="O733" s="5">
        <f>HYPERLINK("http://www.eum.go.kr/web/ar/lu/luLandDet.jsp?pnu=3611010700108290000&amp;isNoScr=script&amp;mode=search", "토지이음")</f>
        <v/>
      </c>
      <c r="P733" s="3" t="inlineStr">
        <is>
          <t>제일</t>
        </is>
      </c>
      <c r="Q733" s="3" t="n">
        <v>1</v>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866</v>
      </c>
      <c r="J734" s="3" t="inlineStr">
        <is>
          <t>1</t>
        </is>
      </c>
      <c r="K734" s="3" t="inlineStr">
        <is>
          <t>-</t>
        </is>
      </c>
      <c r="L734" s="3" t="inlineStr">
        <is>
          <t>넓은주차장, 높은층고, 저렴하고 깨뜻한 공장.</t>
        </is>
      </c>
      <c r="M734" s="5">
        <f>HYPERLINK("https://fin.land.naver.com/articles/2644662798", "매물Link")</f>
        <v/>
      </c>
      <c r="N734" s="5">
        <f>HYPERLINK("https://map.naver.com/p/search/나성동 829", "지도Link")</f>
        <v/>
      </c>
      <c r="O734" s="5">
        <f>HYPERLINK("http://www.eum.go.kr/web/ar/lu/luLandDet.jsp?pnu=3611010700108290000&amp;isNoScr=script&amp;mode=search", "토지이음")</f>
        <v/>
      </c>
      <c r="P734" s="3" t="inlineStr">
        <is>
          <t>성지</t>
        </is>
      </c>
      <c r="Q734" s="3" t="n">
        <v>1</v>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158</v>
      </c>
      <c r="J735" s="3" t="inlineStr">
        <is>
          <t>1</t>
        </is>
      </c>
      <c r="K735" s="3" t="inlineStr">
        <is>
          <t>-</t>
        </is>
      </c>
      <c r="L735" s="3" t="inlineStr">
        <is>
          <t>대전IC인근 앞마당있는 저렴한 창고</t>
        </is>
      </c>
      <c r="M735" s="5">
        <f>HYPERLINK("https://fin.land.naver.com/articles/2647137064", "매물Link")</f>
        <v/>
      </c>
      <c r="N735" s="5">
        <f>HYPERLINK("https://map.naver.com/p/search/나성동 829", "지도Link")</f>
        <v/>
      </c>
      <c r="O735" s="5">
        <f>HYPERLINK("http://www.eum.go.kr/web/ar/lu/luLandDet.jsp?pnu=3611010700108290000&amp;isNoScr=script&amp;mode=search", "토지이음")</f>
        <v/>
      </c>
      <c r="P735" s="3" t="inlineStr">
        <is>
          <t>한솔</t>
        </is>
      </c>
      <c r="Q735" s="3" t="n">
        <v>1</v>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208</v>
      </c>
      <c r="J736" s="3" t="inlineStr">
        <is>
          <t>1</t>
        </is>
      </c>
      <c r="K736" s="3" t="inlineStr">
        <is>
          <t>-</t>
        </is>
      </c>
      <c r="L736" s="3" t="inlineStr">
        <is>
          <t>8m 도로에 접, 창고동과 사무동으로 구성</t>
        </is>
      </c>
      <c r="M736" s="5">
        <f>HYPERLINK("https://fin.land.naver.com/articles/2645580577", "매물Link")</f>
        <v/>
      </c>
      <c r="N736" s="5">
        <f>HYPERLINK("https://map.naver.com/p/search/나성동 829", "지도Link")</f>
        <v/>
      </c>
      <c r="O736" s="5">
        <f>HYPERLINK("http://www.eum.go.kr/web/ar/lu/luLandDet.jsp?pnu=3611010700108290000&amp;isNoScr=script&amp;mode=search", "토지이음")</f>
        <v/>
      </c>
      <c r="P736" s="3" t="inlineStr">
        <is>
          <t>산업</t>
        </is>
      </c>
      <c r="Q736" s="3" t="n">
        <v>1</v>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397</v>
      </c>
      <c r="J737" s="3" t="inlineStr">
        <is>
          <t>1</t>
        </is>
      </c>
      <c r="K737" s="3" t="inlineStr">
        <is>
          <t>-</t>
        </is>
      </c>
      <c r="L737" s="3" t="inlineStr">
        <is>
          <t>nan</t>
        </is>
      </c>
      <c r="M737" s="5">
        <f>HYPERLINK("https://fin.land.naver.com/articles/2645075478", "매물Link")</f>
        <v/>
      </c>
      <c r="N737" s="5">
        <f>HYPERLINK("https://map.naver.com/p/search/나성동 829", "지도Link")</f>
        <v/>
      </c>
      <c r="O737" s="5">
        <f>HYPERLINK("http://www.eum.go.kr/web/ar/lu/luLandDet.jsp?pnu=3611010700108290000&amp;isNoScr=script&amp;mode=search", "토지이음")</f>
        <v/>
      </c>
      <c r="P737" s="3" t="inlineStr">
        <is>
          <t>동아</t>
        </is>
      </c>
      <c r="Q737" s="3" t="n">
        <v>1</v>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626</v>
      </c>
      <c r="J738" s="3" t="inlineStr">
        <is>
          <t>2</t>
        </is>
      </c>
      <c r="K738" s="3" t="inlineStr">
        <is>
          <t>-</t>
        </is>
      </c>
      <c r="L738" s="3" t="inlineStr">
        <is>
          <t>대덕구 상서동 창고임대, 육가공가능</t>
        </is>
      </c>
      <c r="M738" s="5">
        <f>HYPERLINK("https://fin.land.naver.com/articles/2649099469", "매물Link")</f>
        <v/>
      </c>
      <c r="N738" s="5">
        <f>HYPERLINK("https://map.naver.com/p/search/나성동 829", "지도Link")</f>
        <v/>
      </c>
      <c r="O738" s="5">
        <f>HYPERLINK("http://www.eum.go.kr/web/ar/lu/luLandDet.jsp?pnu=3611010700108290000&amp;isNoScr=script&amp;mode=search", "토지이음")</f>
        <v/>
      </c>
      <c r="P738" s="3" t="inlineStr">
        <is>
          <t>왕중왕기업</t>
        </is>
      </c>
      <c r="Q738" s="3" t="n">
        <v>1</v>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1491</v>
      </c>
      <c r="J739" s="3" t="inlineStr">
        <is>
          <t>2</t>
        </is>
      </c>
      <c r="K739" s="3" t="inlineStr">
        <is>
          <t>-</t>
        </is>
      </c>
      <c r="L739" s="3" t="inlineStr">
        <is>
          <t>nan</t>
        </is>
      </c>
      <c r="M739" s="5">
        <f>HYPERLINK("https://fin.land.naver.com/articles/2647425227", "매물Link")</f>
        <v/>
      </c>
      <c r="N739" s="5">
        <f>HYPERLINK("https://map.naver.com/p/search/나성동 829", "지도Link")</f>
        <v/>
      </c>
      <c r="O739" s="5">
        <f>HYPERLINK("http://www.eum.go.kr/web/ar/lu/luLandDet.jsp?pnu=3611010700108290000&amp;isNoScr=script&amp;mode=search", "토지이음")</f>
        <v/>
      </c>
      <c r="P739" s="3" t="inlineStr">
        <is>
          <t>왕중왕기업</t>
        </is>
      </c>
      <c r="Q739" s="3" t="n">
        <v>1</v>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298</v>
      </c>
      <c r="J740" s="3" t="inlineStr">
        <is>
          <t>2</t>
        </is>
      </c>
      <c r="K740" s="3" t="inlineStr">
        <is>
          <t>-</t>
        </is>
      </c>
      <c r="L740" s="3" t="inlineStr">
        <is>
          <t>층고 7m, 3톤 호이스트</t>
        </is>
      </c>
      <c r="M740" s="5">
        <f>HYPERLINK("https://fin.land.naver.com/articles/2646896192", "매물Link")</f>
        <v/>
      </c>
      <c r="N740" s="5">
        <f>HYPERLINK("https://map.naver.com/p/search/나성동 829", "지도Link")</f>
        <v/>
      </c>
      <c r="O740" s="5">
        <f>HYPERLINK("http://www.eum.go.kr/web/ar/lu/luLandDet.jsp?pnu=3611010700108290000&amp;isNoScr=script&amp;mode=search", "토지이음")</f>
        <v/>
      </c>
      <c r="P740" s="3" t="inlineStr">
        <is>
          <t>산업</t>
        </is>
      </c>
      <c r="Q740" s="3" t="n">
        <v>1</v>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463</v>
      </c>
      <c r="J741" s="3" t="inlineStr">
        <is>
          <t>1</t>
        </is>
      </c>
      <c r="K741" s="3" t="inlineStr">
        <is>
          <t>-</t>
        </is>
      </c>
      <c r="L741" s="3" t="inlineStr">
        <is>
          <t>전기300kw 사용가능 폐수시설있는 공장매매 빠른 입주 가능</t>
        </is>
      </c>
      <c r="M741" s="5">
        <f>HYPERLINK("https://fin.land.naver.com/articles/2646106258", "매물Link")</f>
        <v/>
      </c>
      <c r="N741" s="5">
        <f>HYPERLINK("https://map.naver.com/p/search/나성동 829", "지도Link")</f>
        <v/>
      </c>
      <c r="O741" s="5">
        <f>HYPERLINK("http://www.eum.go.kr/web/ar/lu/luLandDet.jsp?pnu=3611010700108290000&amp;isNoScr=script&amp;mode=search", "토지이음")</f>
        <v/>
      </c>
      <c r="P741" s="3" t="inlineStr">
        <is>
          <t>삼익</t>
        </is>
      </c>
      <c r="Q741" s="3" t="n">
        <v>1</v>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271</v>
      </c>
      <c r="J742" s="3" t="inlineStr">
        <is>
          <t>1</t>
        </is>
      </c>
      <c r="K742" s="3" t="inlineStr">
        <is>
          <t>-</t>
        </is>
      </c>
      <c r="L742" s="3" t="inlineStr">
        <is>
          <t>신탄진 IC 인근 마당 넓은 저렴한 창고 매매</t>
        </is>
      </c>
      <c r="M742" s="5">
        <f>HYPERLINK("https://fin.land.naver.com/articles/2645999487", "매물Link")</f>
        <v/>
      </c>
      <c r="N742" s="5">
        <f>HYPERLINK("https://map.naver.com/p/search/나성동 829", "지도Link")</f>
        <v/>
      </c>
      <c r="O742" s="5">
        <f>HYPERLINK("http://www.eum.go.kr/web/ar/lu/luLandDet.jsp?pnu=3611010700108290000&amp;isNoScr=script&amp;mode=search", "토지이음")</f>
        <v/>
      </c>
      <c r="P742" s="3" t="inlineStr">
        <is>
          <t>KS</t>
        </is>
      </c>
      <c r="Q742" s="3" t="n">
        <v>1</v>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99</v>
      </c>
      <c r="J743" s="3" t="inlineStr">
        <is>
          <t>1</t>
        </is>
      </c>
      <c r="K743" s="3" t="inlineStr">
        <is>
          <t>-</t>
        </is>
      </c>
      <c r="L743" s="3" t="inlineStr">
        <is>
          <t>대덕구 상서동 공장 일부공간 및 사무공간임대</t>
        </is>
      </c>
      <c r="M743" s="5">
        <f>HYPERLINK("https://fin.land.naver.com/articles/2645801710", "매물Link")</f>
        <v/>
      </c>
      <c r="N743" s="5">
        <f>HYPERLINK("https://map.naver.com/p/search/나성동 829", "지도Link")</f>
        <v/>
      </c>
      <c r="O743" s="5">
        <f>HYPERLINK("http://www.eum.go.kr/web/ar/lu/luLandDet.jsp?pnu=3611010700108290000&amp;isNoScr=script&amp;mode=search", "토지이음")</f>
        <v/>
      </c>
      <c r="P743" s="3" t="inlineStr">
        <is>
          <t>신탄진다온</t>
        </is>
      </c>
      <c r="Q743" s="3" t="n">
        <v>1</v>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352</v>
      </c>
      <c r="J744" s="3" t="inlineStr">
        <is>
          <t>1</t>
        </is>
      </c>
      <c r="K744" s="3" t="inlineStr">
        <is>
          <t>-</t>
        </is>
      </c>
      <c r="L744" s="3" t="inlineStr">
        <is>
          <t>일반공업지역 공장동 2동 호이스트2.5톤 층고 6미터</t>
        </is>
      </c>
      <c r="M744" s="5">
        <f>HYPERLINK("https://fin.land.naver.com/articles/2644736530", "매물Link")</f>
        <v/>
      </c>
      <c r="N744" s="5">
        <f>HYPERLINK("https://map.naver.com/p/search/나성동 829", "지도Link")</f>
        <v/>
      </c>
      <c r="O744" s="5">
        <f>HYPERLINK("http://www.eum.go.kr/web/ar/lu/luLandDet.jsp?pnu=3611010700108290000&amp;isNoScr=script&amp;mode=search", "토지이음")</f>
        <v/>
      </c>
      <c r="P744" s="3" t="inlineStr">
        <is>
          <t>태영컨설팅</t>
        </is>
      </c>
      <c r="Q744" s="3" t="n">
        <v>1</v>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107</v>
      </c>
      <c r="J745" s="3" t="inlineStr">
        <is>
          <t>1</t>
        </is>
      </c>
      <c r="K745" s="3" t="inlineStr">
        <is>
          <t>-</t>
        </is>
      </c>
      <c r="L745" s="3" t="inlineStr">
        <is>
          <t>깔끔한 신축, 근생용도 단독창고 약33P 2층사무공간5P</t>
        </is>
      </c>
      <c r="M745" s="5">
        <f>HYPERLINK("https://fin.land.naver.com/articles/2645936368", "매물Link")</f>
        <v/>
      </c>
      <c r="N745" s="5">
        <f>HYPERLINK("https://map.naver.com/p/search/나성동 829", "지도Link")</f>
        <v/>
      </c>
      <c r="O745" s="5">
        <f>HYPERLINK("http://www.eum.go.kr/web/ar/lu/luLandDet.jsp?pnu=3611010700108290000&amp;isNoScr=script&amp;mode=search", "토지이음")</f>
        <v/>
      </c>
      <c r="P745" s="3" t="inlineStr">
        <is>
          <t>재벌무소</t>
        </is>
      </c>
      <c r="Q745" s="3" t="n">
        <v>1</v>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322</v>
      </c>
      <c r="J746" s="3" t="inlineStr">
        <is>
          <t>1</t>
        </is>
      </c>
      <c r="K746" s="3" t="inlineStr">
        <is>
          <t>-</t>
        </is>
      </c>
      <c r="L746" s="3" t="inlineStr">
        <is>
          <t>상서평촌지구 공업지역 내 위치한 공장</t>
        </is>
      </c>
      <c r="M746" s="5">
        <f>HYPERLINK("https://fin.land.naver.com/articles/2644732422", "매물Link")</f>
        <v/>
      </c>
      <c r="N746" s="5">
        <f>HYPERLINK("https://map.naver.com/p/search/나성동 829", "지도Link")</f>
        <v/>
      </c>
      <c r="O746" s="5">
        <f>HYPERLINK("http://www.eum.go.kr/web/ar/lu/luLandDet.jsp?pnu=3611010700108290000&amp;isNoScr=script&amp;mode=search", "토지이음")</f>
        <v/>
      </c>
      <c r="P746" s="3" t="inlineStr">
        <is>
          <t>태영컨설팅</t>
        </is>
      </c>
      <c r="Q746" s="3" t="n">
        <v>1</v>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132</v>
      </c>
      <c r="J747" s="3" t="inlineStr">
        <is>
          <t>2</t>
        </is>
      </c>
      <c r="K747" s="3" t="inlineStr">
        <is>
          <t>-</t>
        </is>
      </c>
      <c r="L747" s="3" t="inlineStr">
        <is>
          <t>상서 평촌지구 공업지역 내 위치한 토지임</t>
        </is>
      </c>
      <c r="M747" s="5">
        <f>HYPERLINK("https://fin.land.naver.com/articles/2644733219", "매물Link")</f>
        <v/>
      </c>
      <c r="N747" s="5">
        <f>HYPERLINK("https://map.naver.com/p/search/나성동 829", "지도Link")</f>
        <v/>
      </c>
      <c r="O747" s="5">
        <f>HYPERLINK("http://www.eum.go.kr/web/ar/lu/luLandDet.jsp?pnu=3611010700108290000&amp;isNoScr=script&amp;mode=search", "토지이음")</f>
        <v/>
      </c>
      <c r="P747" s="3" t="inlineStr">
        <is>
          <t>태영컨설팅</t>
        </is>
      </c>
      <c r="Q747" s="3" t="n">
        <v>1</v>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158</v>
      </c>
      <c r="J748" s="3" t="inlineStr">
        <is>
          <t>1</t>
        </is>
      </c>
      <c r="K748" s="3" t="inlineStr">
        <is>
          <t>-</t>
        </is>
      </c>
      <c r="L748" s="3" t="inlineStr">
        <is>
          <t>호이스트있음, 단독공장형 창고, 신축.</t>
        </is>
      </c>
      <c r="M748" s="5">
        <f>HYPERLINK("https://fin.land.naver.com/articles/2644662645", "매물Link")</f>
        <v/>
      </c>
      <c r="N748" s="5">
        <f>HYPERLINK("https://map.naver.com/p/search/나성동 829", "지도Link")</f>
        <v/>
      </c>
      <c r="O748" s="5">
        <f>HYPERLINK("http://www.eum.go.kr/web/ar/lu/luLandDet.jsp?pnu=3611010700108290000&amp;isNoScr=script&amp;mode=search", "토지이음")</f>
        <v/>
      </c>
      <c r="P748" s="3" t="inlineStr">
        <is>
          <t>성지</t>
        </is>
      </c>
      <c r="Q748" s="3" t="n">
        <v>1</v>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159</v>
      </c>
      <c r="J749" s="3" t="inlineStr">
        <is>
          <t>2</t>
        </is>
      </c>
      <c r="K749" s="3" t="inlineStr">
        <is>
          <t>-</t>
        </is>
      </c>
      <c r="L749" s="3" t="inlineStr">
        <is>
          <t>층고 7m. 호이스트, 신축공장</t>
        </is>
      </c>
      <c r="M749" s="5">
        <f>HYPERLINK("https://fin.land.naver.com/articles/2650103338", "매물Link")</f>
        <v/>
      </c>
      <c r="N749" s="5">
        <f>HYPERLINK("https://map.naver.com/p/search/나성동 829", "지도Link")</f>
        <v/>
      </c>
      <c r="O749" s="5">
        <f>HYPERLINK("http://www.eum.go.kr/web/ar/lu/luLandDet.jsp?pnu=3611010700108290000&amp;isNoScr=script&amp;mode=search", "토지이음")</f>
        <v/>
      </c>
      <c r="P749" s="3" t="inlineStr">
        <is>
          <t>산업</t>
        </is>
      </c>
      <c r="Q749" s="3" t="n">
        <v>1</v>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82</v>
      </c>
      <c r="J750" s="3" t="inlineStr">
        <is>
          <t>1</t>
        </is>
      </c>
      <c r="K750" s="3" t="inlineStr">
        <is>
          <t>-</t>
        </is>
      </c>
      <c r="L750" s="3" t="inlineStr">
        <is>
          <t>nan</t>
        </is>
      </c>
      <c r="M750" s="5">
        <f>HYPERLINK("https://fin.land.naver.com/articles/2649424753", "매물Link")</f>
        <v/>
      </c>
      <c r="N750" s="5">
        <f>HYPERLINK("https://map.naver.com/p/search/나성동 829", "지도Link")</f>
        <v/>
      </c>
      <c r="O750" s="5">
        <f>HYPERLINK("http://www.eum.go.kr/web/ar/lu/luLandDet.jsp?pnu=3611010700108290000&amp;isNoScr=script&amp;mode=search", "토지이음")</f>
        <v/>
      </c>
      <c r="P750" s="3" t="inlineStr">
        <is>
          <t>태영컨설팅</t>
        </is>
      </c>
      <c r="Q750" s="3" t="n">
        <v>1</v>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234</v>
      </c>
      <c r="J751" s="3" t="inlineStr">
        <is>
          <t>1</t>
        </is>
      </c>
      <c r="K751" s="3" t="inlineStr">
        <is>
          <t>-</t>
        </is>
      </c>
      <c r="L751" s="3" t="inlineStr">
        <is>
          <t>공업지역  호이스트있음
공업지역 호이스트 있음</t>
        </is>
      </c>
      <c r="M751" s="5">
        <f>HYPERLINK("https://fin.land.naver.com/articles/2649424541", "매물Link")</f>
        <v/>
      </c>
      <c r="N751" s="5">
        <f>HYPERLINK("https://map.naver.com/p/search/나성동 829", "지도Link")</f>
        <v/>
      </c>
      <c r="O751" s="5">
        <f>HYPERLINK("http://www.eum.go.kr/web/ar/lu/luLandDet.jsp?pnu=3611010700108290000&amp;isNoScr=script&amp;mode=search", "토지이음")</f>
        <v/>
      </c>
      <c r="P751" s="3" t="inlineStr">
        <is>
          <t>태영컨설팅</t>
        </is>
      </c>
      <c r="Q751" s="3" t="n">
        <v>1</v>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330</v>
      </c>
      <c r="J752" s="3" t="inlineStr">
        <is>
          <t>1</t>
        </is>
      </c>
      <c r="K752" s="3" t="inlineStr">
        <is>
          <t>-</t>
        </is>
      </c>
      <c r="L752" s="3" t="inlineStr">
        <is>
          <t>창고 및 근린시설 등 용도다양 
창고 근린시설 등 용도다양</t>
        </is>
      </c>
      <c r="M752" s="5">
        <f>HYPERLINK("https://fin.land.naver.com/articles/2649424327", "매물Link")</f>
        <v/>
      </c>
      <c r="N752" s="5">
        <f>HYPERLINK("https://map.naver.com/p/search/나성동 829", "지도Link")</f>
        <v/>
      </c>
      <c r="O752" s="5">
        <f>HYPERLINK("http://www.eum.go.kr/web/ar/lu/luLandDet.jsp?pnu=3611010700108290000&amp;isNoScr=script&amp;mode=search", "토지이음")</f>
        <v/>
      </c>
      <c r="P752" s="3" t="inlineStr">
        <is>
          <t>태영컨설팅</t>
        </is>
      </c>
      <c r="Q752" s="3" t="n">
        <v>1</v>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292</v>
      </c>
      <c r="J753" s="3" t="inlineStr">
        <is>
          <t>1</t>
        </is>
      </c>
      <c r="K753" s="3" t="inlineStr">
        <is>
          <t>-</t>
        </is>
      </c>
      <c r="L753" s="3" t="inlineStr">
        <is>
          <t>공업지역 내 위치 동력 30키로 호이스트3톤 층고7미터 대형차진입가능</t>
        </is>
      </c>
      <c r="M753" s="5">
        <f>HYPERLINK("https://fin.land.naver.com/articles/2649269841", "매물Link")</f>
        <v/>
      </c>
      <c r="N753" s="5">
        <f>HYPERLINK("https://map.naver.com/p/search/나성동 829", "지도Link")</f>
        <v/>
      </c>
      <c r="O753" s="5">
        <f>HYPERLINK("http://www.eum.go.kr/web/ar/lu/luLandDet.jsp?pnu=3611010700108290000&amp;isNoScr=script&amp;mode=search", "토지이음")</f>
        <v/>
      </c>
      <c r="P753" s="3" t="inlineStr">
        <is>
          <t>태영컨설팅</t>
        </is>
      </c>
      <c r="Q753" s="3" t="n">
        <v>1</v>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1096</v>
      </c>
      <c r="J754" s="3" t="inlineStr">
        <is>
          <t>2</t>
        </is>
      </c>
      <c r="K754" s="3" t="inlineStr">
        <is>
          <t>B1</t>
        </is>
      </c>
      <c r="L754" s="3" t="inlineStr">
        <is>
          <t>nan</t>
        </is>
      </c>
      <c r="M754" s="5">
        <f>HYPERLINK("https://fin.land.naver.com/articles/2648826528", "매물Link")</f>
        <v/>
      </c>
      <c r="N754" s="5">
        <f>HYPERLINK("https://map.naver.com/p/search/나성동 829", "지도Link")</f>
        <v/>
      </c>
      <c r="O754" s="5">
        <f>HYPERLINK("http://www.eum.go.kr/web/ar/lu/luLandDet.jsp?pnu=3611010700108290000&amp;isNoScr=script&amp;mode=search", "토지이음")</f>
        <v/>
      </c>
      <c r="P754" s="3" t="inlineStr">
        <is>
          <t>태영</t>
        </is>
      </c>
      <c r="Q754" s="3" t="n">
        <v>1</v>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1380</v>
      </c>
      <c r="J755" s="3" t="inlineStr">
        <is>
          <t>2</t>
        </is>
      </c>
      <c r="K755" s="3" t="inlineStr">
        <is>
          <t>-</t>
        </is>
      </c>
      <c r="L755" s="3" t="inlineStr">
        <is>
          <t>nan</t>
        </is>
      </c>
      <c r="M755" s="5">
        <f>HYPERLINK("https://fin.land.naver.com/articles/2648272668", "매물Link")</f>
        <v/>
      </c>
      <c r="N755" s="5">
        <f>HYPERLINK("https://map.naver.com/p/search/나성동 829", "지도Link")</f>
        <v/>
      </c>
      <c r="O755" s="5">
        <f>HYPERLINK("http://www.eum.go.kr/web/ar/lu/luLandDet.jsp?pnu=3611010700108290000&amp;isNoScr=script&amp;mode=search", "토지이음")</f>
        <v/>
      </c>
      <c r="P755" s="3" t="inlineStr">
        <is>
          <t>신영</t>
        </is>
      </c>
      <c r="Q755" s="3" t="n">
        <v>1</v>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299</v>
      </c>
      <c r="J756" s="3" t="inlineStr">
        <is>
          <t>3</t>
        </is>
      </c>
      <c r="K756" s="3" t="inlineStr">
        <is>
          <t>-</t>
        </is>
      </c>
      <c r="L756" s="3" t="inlineStr">
        <is>
          <t>층고 7m,호이스트,신축공장</t>
        </is>
      </c>
      <c r="M756" s="5">
        <f>HYPERLINK("https://fin.land.naver.com/articles/2646917661", "매물Link")</f>
        <v/>
      </c>
      <c r="N756" s="5">
        <f>HYPERLINK("https://map.naver.com/p/search/나성동 829", "지도Link")</f>
        <v/>
      </c>
      <c r="O756" s="5">
        <f>HYPERLINK("http://www.eum.go.kr/web/ar/lu/luLandDet.jsp?pnu=3611010700108290000&amp;isNoScr=script&amp;mode=search", "토지이음")</f>
        <v/>
      </c>
      <c r="P756" s="3" t="inlineStr">
        <is>
          <t>산업</t>
        </is>
      </c>
      <c r="Q756" s="3" t="n">
        <v>1</v>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1008</v>
      </c>
      <c r="J757" s="3" t="inlineStr">
        <is>
          <t>1</t>
        </is>
      </c>
      <c r="K757" s="3" t="inlineStr">
        <is>
          <t>-</t>
        </is>
      </c>
      <c r="L757" s="3" t="inlineStr">
        <is>
          <t>대덕구 상서동 공장 매매, 2015년 준공된 건물로 내. 외관 깨끗함</t>
        </is>
      </c>
      <c r="M757" s="5">
        <f>HYPERLINK("https://fin.land.naver.com/articles/2646694155", "매물Link")</f>
        <v/>
      </c>
      <c r="N757" s="5">
        <f>HYPERLINK("https://map.naver.com/p/search/나성동 829", "지도Link")</f>
        <v/>
      </c>
      <c r="O757" s="5">
        <f>HYPERLINK("http://www.eum.go.kr/web/ar/lu/luLandDet.jsp?pnu=3611010700108290000&amp;isNoScr=script&amp;mode=search", "토지이음")</f>
        <v/>
      </c>
      <c r="P757" s="3" t="inlineStr">
        <is>
          <t>왕중왕기업</t>
        </is>
      </c>
      <c r="Q757" s="3" t="n">
        <v>1</v>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187</v>
      </c>
      <c r="J758" s="3" t="inlineStr">
        <is>
          <t>1</t>
        </is>
      </c>
      <c r="K758" s="3" t="inlineStr">
        <is>
          <t>-</t>
        </is>
      </c>
      <c r="L758" s="3" t="inlineStr">
        <is>
          <t>신탄톨게이트 2분거리 주차공간 충분</t>
        </is>
      </c>
      <c r="M758" s="5">
        <f>HYPERLINK("https://fin.land.naver.com/articles/2644730264", "매물Link")</f>
        <v/>
      </c>
      <c r="N758" s="5">
        <f>HYPERLINK("https://map.naver.com/p/search/나성동 829", "지도Link")</f>
        <v/>
      </c>
      <c r="O758" s="5">
        <f>HYPERLINK("http://www.eum.go.kr/web/ar/lu/luLandDet.jsp?pnu=3611010700108290000&amp;isNoScr=script&amp;mode=search", "토지이음")</f>
        <v/>
      </c>
      <c r="P758" s="3" t="inlineStr">
        <is>
          <t>태영컨설팅</t>
        </is>
      </c>
      <c r="Q758" s="3" t="n">
        <v>1</v>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348</v>
      </c>
      <c r="J759" s="3" t="inlineStr">
        <is>
          <t>2</t>
        </is>
      </c>
      <c r="K759" s="3" t="inlineStr">
        <is>
          <t>-</t>
        </is>
      </c>
      <c r="L759" s="3" t="inlineStr">
        <is>
          <t>17번 국도에 접한 1급정비공장</t>
        </is>
      </c>
      <c r="M759" s="5">
        <f>HYPERLINK("https://fin.land.naver.com/articles/2646451013", "매물Link")</f>
        <v/>
      </c>
      <c r="N759" s="5">
        <f>HYPERLINK("https://map.naver.com/p/search/나성동 829", "지도Link")</f>
        <v/>
      </c>
      <c r="O759" s="5">
        <f>HYPERLINK("http://www.eum.go.kr/web/ar/lu/luLandDet.jsp?pnu=3611010700108290000&amp;isNoScr=script&amp;mode=search", "토지이음")</f>
        <v/>
      </c>
      <c r="P759" s="3" t="inlineStr">
        <is>
          <t>금정</t>
        </is>
      </c>
      <c r="Q759" s="3" t="n">
        <v>1</v>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297</v>
      </c>
      <c r="J760" s="3" t="inlineStr">
        <is>
          <t>1</t>
        </is>
      </c>
      <c r="K760" s="3" t="inlineStr">
        <is>
          <t>-</t>
        </is>
      </c>
      <c r="L760" s="3" t="inlineStr">
        <is>
          <t>신탄톨게이트1분거리 2차선에 접해있는 귀한매물임 냉동냉장창고로 사용했음</t>
        </is>
      </c>
      <c r="M760" s="5">
        <f>HYPERLINK("https://fin.land.naver.com/articles/2649424926", "매물Link")</f>
        <v/>
      </c>
      <c r="N760" s="5">
        <f>HYPERLINK("https://map.naver.com/p/search/나성동 829", "지도Link")</f>
        <v/>
      </c>
      <c r="O760" s="5">
        <f>HYPERLINK("http://www.eum.go.kr/web/ar/lu/luLandDet.jsp?pnu=3611010700108290000&amp;isNoScr=script&amp;mode=search", "토지이음")</f>
        <v/>
      </c>
      <c r="P760" s="3" t="inlineStr">
        <is>
          <t>태영컨설팅</t>
        </is>
      </c>
      <c r="Q760" s="3" t="n">
        <v>1</v>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548</v>
      </c>
      <c r="J761" s="3" t="inlineStr">
        <is>
          <t>1</t>
        </is>
      </c>
      <c r="K761" s="3" t="inlineStr">
        <is>
          <t>-</t>
        </is>
      </c>
      <c r="L761" s="3" t="inlineStr">
        <is>
          <t>nan</t>
        </is>
      </c>
      <c r="M761" s="5">
        <f>HYPERLINK("https://fin.land.naver.com/articles/2646731089", "매물Link")</f>
        <v/>
      </c>
      <c r="N761" s="5">
        <f>HYPERLINK("https://map.naver.com/p/search/나성동 829", "지도Link")</f>
        <v/>
      </c>
      <c r="O761" s="5">
        <f>HYPERLINK("http://www.eum.go.kr/web/ar/lu/luLandDet.jsp?pnu=3611010700108290000&amp;isNoScr=script&amp;mode=search", "토지이음")</f>
        <v/>
      </c>
      <c r="P761" s="3" t="inlineStr">
        <is>
          <t>대전명품</t>
        </is>
      </c>
      <c r="Q761" s="3" t="n">
        <v>1</v>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2073</v>
      </c>
      <c r="J762" s="3" t="inlineStr">
        <is>
          <t>1</t>
        </is>
      </c>
      <c r="K762" s="3" t="inlineStr">
        <is>
          <t>-</t>
        </is>
      </c>
      <c r="L762" s="3" t="inlineStr">
        <is>
          <t>층고 6m</t>
        </is>
      </c>
      <c r="M762" s="5">
        <f>HYPERLINK("https://fin.land.naver.com/articles/2648212808", "매물Link")</f>
        <v/>
      </c>
      <c r="N762" s="5">
        <f>HYPERLINK("https://map.naver.com/p/search/나성동 829", "지도Link")</f>
        <v/>
      </c>
      <c r="O762" s="5">
        <f>HYPERLINK("http://www.eum.go.kr/web/ar/lu/luLandDet.jsp?pnu=3611010700108290000&amp;isNoScr=script&amp;mode=search", "토지이음")</f>
        <v/>
      </c>
      <c r="P762" s="3" t="inlineStr">
        <is>
          <t>산업</t>
        </is>
      </c>
      <c r="Q762" s="3" t="n">
        <v>1</v>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745</v>
      </c>
      <c r="J763" s="3" t="inlineStr">
        <is>
          <t>2</t>
        </is>
      </c>
      <c r="K763" s="3" t="inlineStr">
        <is>
          <t>-</t>
        </is>
      </c>
      <c r="L763" s="3" t="inlineStr">
        <is>
          <t>저렴한공장, 높이7M정도.</t>
        </is>
      </c>
      <c r="M763" s="5">
        <f>HYPERLINK("https://fin.land.naver.com/articles/2647418860", "매물Link")</f>
        <v/>
      </c>
      <c r="N763" s="5">
        <f>HYPERLINK("https://map.naver.com/p/search/나성동 829", "지도Link")</f>
        <v/>
      </c>
      <c r="O763" s="5">
        <f>HYPERLINK("http://www.eum.go.kr/web/ar/lu/luLandDet.jsp?pnu=3611010700108290000&amp;isNoScr=script&amp;mode=search", "토지이음")</f>
        <v/>
      </c>
      <c r="P763" s="3" t="inlineStr">
        <is>
          <t>성지</t>
        </is>
      </c>
      <c r="Q763" s="3" t="n">
        <v>1</v>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330</v>
      </c>
      <c r="J764" s="3" t="inlineStr">
        <is>
          <t>4</t>
        </is>
      </c>
      <c r="K764" s="3" t="inlineStr">
        <is>
          <t>-</t>
        </is>
      </c>
      <c r="L764" s="3" t="inlineStr">
        <is>
          <t>화물리프트있음, 깨끗한공장, 높이3M,창고및 사무실가능.</t>
        </is>
      </c>
      <c r="M764" s="5">
        <f>HYPERLINK("https://fin.land.naver.com/articles/2646657920", "매물Link")</f>
        <v/>
      </c>
      <c r="N764" s="5">
        <f>HYPERLINK("https://map.naver.com/p/search/나성동 829", "지도Link")</f>
        <v/>
      </c>
      <c r="O764" s="5">
        <f>HYPERLINK("http://www.eum.go.kr/web/ar/lu/luLandDet.jsp?pnu=3611010700108290000&amp;isNoScr=script&amp;mode=search", "토지이음")</f>
        <v/>
      </c>
      <c r="P764" s="3" t="inlineStr">
        <is>
          <t>성지</t>
        </is>
      </c>
      <c r="Q764" s="3" t="n">
        <v>1</v>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3300</v>
      </c>
      <c r="J765" s="3" t="inlineStr">
        <is>
          <t>3</t>
        </is>
      </c>
      <c r="K765" s="3" t="inlineStr">
        <is>
          <t>-</t>
        </is>
      </c>
      <c r="L765" s="3" t="inlineStr">
        <is>
          <t>코너각지, 넓은 주차장</t>
        </is>
      </c>
      <c r="M765" s="5">
        <f>HYPERLINK("https://fin.land.naver.com/articles/2648205279", "매물Link")</f>
        <v/>
      </c>
      <c r="N765" s="5">
        <f>HYPERLINK("https://map.naver.com/p/search/나성동 829", "지도Link")</f>
        <v/>
      </c>
      <c r="O765" s="5">
        <f>HYPERLINK("http://www.eum.go.kr/web/ar/lu/luLandDet.jsp?pnu=3611010700108290000&amp;isNoScr=script&amp;mode=search", "토지이음")</f>
        <v/>
      </c>
      <c r="P765" s="3" t="inlineStr">
        <is>
          <t>산업</t>
        </is>
      </c>
      <c r="Q765" s="3" t="n">
        <v>1</v>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2070</v>
      </c>
      <c r="J766" s="3" t="inlineStr">
        <is>
          <t>2</t>
        </is>
      </c>
      <c r="K766" s="3" t="inlineStr">
        <is>
          <t>-</t>
        </is>
      </c>
      <c r="L766" s="3" t="inlineStr">
        <is>
          <t>공장동 2개, 사무동 1개로 구성, 가격협의 가능,</t>
        </is>
      </c>
      <c r="M766" s="5">
        <f>HYPERLINK("https://fin.land.naver.com/articles/2647625610", "매물Link")</f>
        <v/>
      </c>
      <c r="N766" s="5">
        <f>HYPERLINK("https://map.naver.com/p/search/나성동 829", "지도Link")</f>
        <v/>
      </c>
      <c r="O766" s="5">
        <f>HYPERLINK("http://www.eum.go.kr/web/ar/lu/luLandDet.jsp?pnu=3611010700108290000&amp;isNoScr=script&amp;mode=search", "토지이음")</f>
        <v/>
      </c>
      <c r="P766" s="3" t="inlineStr">
        <is>
          <t>산업</t>
        </is>
      </c>
      <c r="Q766" s="3" t="n">
        <v>1</v>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1500</v>
      </c>
      <c r="J767" s="3" t="inlineStr">
        <is>
          <t>2</t>
        </is>
      </c>
      <c r="K767" s="3" t="inlineStr">
        <is>
          <t>-</t>
        </is>
      </c>
      <c r="L767" s="3" t="inlineStr">
        <is>
          <t>11월 초 입주가능, 층고 7m, 전기 100kw 내부사무실 구비</t>
        </is>
      </c>
      <c r="M767" s="5">
        <f>HYPERLINK("https://fin.land.naver.com/articles/2644488565", "매물Link")</f>
        <v/>
      </c>
      <c r="N767" s="5">
        <f>HYPERLINK("https://map.naver.com/p/search/나성동 829", "지도Link")</f>
        <v/>
      </c>
      <c r="O767" s="5">
        <f>HYPERLINK("http://www.eum.go.kr/web/ar/lu/luLandDet.jsp?pnu=3611010700108290000&amp;isNoScr=script&amp;mode=search", "토지이음")</f>
        <v/>
      </c>
      <c r="P767" s="3" t="inlineStr">
        <is>
          <t>산업</t>
        </is>
      </c>
      <c r="Q767" s="3" t="n">
        <v>1</v>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169</v>
      </c>
      <c r="J768" s="3" t="inlineStr">
        <is>
          <t>2</t>
        </is>
      </c>
      <c r="K768" s="3" t="inlineStr">
        <is>
          <t>-</t>
        </is>
      </c>
      <c r="L768" s="3" t="inlineStr">
        <is>
          <t>높이4M 정도,  창고로사용가능. 철근콘크리트구조건물,.공단내 창고</t>
        </is>
      </c>
      <c r="M768" s="5">
        <f>HYPERLINK("https://fin.land.naver.com/articles/2649525308", "매물Link")</f>
        <v/>
      </c>
      <c r="N768" s="5">
        <f>HYPERLINK("https://map.naver.com/p/search/나성동 829", "지도Link")</f>
        <v/>
      </c>
      <c r="O768" s="5">
        <f>HYPERLINK("http://www.eum.go.kr/web/ar/lu/luLandDet.jsp?pnu=3611010700108290000&amp;isNoScr=script&amp;mode=search", "토지이음")</f>
        <v/>
      </c>
      <c r="P768" s="3" t="inlineStr">
        <is>
          <t>성지</t>
        </is>
      </c>
      <c r="Q768" s="3" t="n">
        <v>1</v>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1995</v>
      </c>
      <c r="J769" s="3" t="inlineStr">
        <is>
          <t>3</t>
        </is>
      </c>
      <c r="K769" s="3" t="inlineStr">
        <is>
          <t>-</t>
        </is>
      </c>
      <c r="L769" s="3" t="inlineStr">
        <is>
          <t>대덕 산업단지내 식품제조가  가능한 공장 입니다</t>
        </is>
      </c>
      <c r="M769" s="5">
        <f>HYPERLINK("https://fin.land.naver.com/articles/2647534589", "매물Link")</f>
        <v/>
      </c>
      <c r="N769" s="5">
        <f>HYPERLINK("https://map.naver.com/p/search/나성동 829", "지도Link")</f>
        <v/>
      </c>
      <c r="O769" s="5">
        <f>HYPERLINK("http://www.eum.go.kr/web/ar/lu/luLandDet.jsp?pnu=3611010700108290000&amp;isNoScr=script&amp;mode=search", "토지이음")</f>
        <v/>
      </c>
      <c r="P769" s="3" t="inlineStr">
        <is>
          <t>더행복</t>
        </is>
      </c>
      <c r="Q769" s="3" t="n">
        <v>1</v>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701</v>
      </c>
      <c r="J770" s="3" t="inlineStr">
        <is>
          <t>3</t>
        </is>
      </c>
      <c r="K770" s="3" t="inlineStr">
        <is>
          <t>-</t>
        </is>
      </c>
      <c r="L770" s="3" t="inlineStr">
        <is>
          <t>저렴한 공장임대 즉시입주 화물엘베 있음주차 편리</t>
        </is>
      </c>
      <c r="M770" s="5">
        <f>HYPERLINK("https://fin.land.naver.com/articles/2648313171", "매물Link")</f>
        <v/>
      </c>
      <c r="N770" s="5">
        <f>HYPERLINK("https://map.naver.com/p/search/나성동 829", "지도Link")</f>
        <v/>
      </c>
      <c r="O770" s="5">
        <f>HYPERLINK("http://www.eum.go.kr/web/ar/lu/luLandDet.jsp?pnu=3611010700108290000&amp;isNoScr=script&amp;mode=search", "토지이음")</f>
        <v/>
      </c>
      <c r="P770" s="3" t="inlineStr">
        <is>
          <t>삼익</t>
        </is>
      </c>
      <c r="Q770" s="3" t="n">
        <v>1</v>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1410</v>
      </c>
      <c r="J771" s="3" t="inlineStr">
        <is>
          <t>2</t>
        </is>
      </c>
      <c r="K771" s="3" t="inlineStr">
        <is>
          <t>-</t>
        </is>
      </c>
      <c r="L771" s="3" t="inlineStr">
        <is>
          <t>산업단지 내 고전력 공장 매매호이스트 다수 설치</t>
        </is>
      </c>
      <c r="M771" s="5">
        <f>HYPERLINK("https://fin.land.naver.com/articles/2648126894", "매물Link")</f>
        <v/>
      </c>
      <c r="N771" s="5">
        <f>HYPERLINK("https://map.naver.com/p/search/나성동 829", "지도Link")</f>
        <v/>
      </c>
      <c r="O771" s="5">
        <f>HYPERLINK("http://www.eum.go.kr/web/ar/lu/luLandDet.jsp?pnu=3611010700108290000&amp;isNoScr=script&amp;mode=search", "토지이음")</f>
        <v/>
      </c>
      <c r="P771" s="3" t="inlineStr">
        <is>
          <t>삼익</t>
        </is>
      </c>
      <c r="Q771" s="3" t="n">
        <v>1</v>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363</v>
      </c>
      <c r="J772" s="3" t="inlineStr">
        <is>
          <t>1</t>
        </is>
      </c>
      <c r="K772" s="3" t="inlineStr">
        <is>
          <t>-</t>
        </is>
      </c>
      <c r="L772" s="3" t="inlineStr">
        <is>
          <t>신탄진IC 3분, 냉동창고 완비,2차선 도로변, 기숙사 완비</t>
        </is>
      </c>
      <c r="M772" s="5">
        <f>HYPERLINK("https://fin.land.naver.com/articles/2644034946", "매물Link")</f>
        <v/>
      </c>
      <c r="N772" s="5">
        <f>HYPERLINK("https://map.naver.com/p/search/나성동 829", "지도Link")</f>
        <v/>
      </c>
      <c r="O772" s="5">
        <f>HYPERLINK("http://www.eum.go.kr/web/ar/lu/luLandDet.jsp?pnu=3611010700108290000&amp;isNoScr=script&amp;mode=search", "토지이음")</f>
        <v/>
      </c>
      <c r="P772" s="3" t="inlineStr">
        <is>
          <t>대성오투그란데</t>
        </is>
      </c>
      <c r="Q772" s="3" t="n">
        <v>1</v>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582</v>
      </c>
      <c r="J773" s="3" t="inlineStr">
        <is>
          <t>2</t>
        </is>
      </c>
      <c r="K773" s="3" t="inlineStr">
        <is>
          <t>-</t>
        </is>
      </c>
      <c r="L773" s="3" t="inlineStr">
        <is>
          <t>대전 신탄진4산업단지 소형 단독공장 신탄진IC 상서동나들목 인근 교통편리</t>
        </is>
      </c>
      <c r="M773" s="5">
        <f>HYPERLINK("https://fin.land.naver.com/articles/2647305333", "매물Link")</f>
        <v/>
      </c>
      <c r="N773" s="5">
        <f>HYPERLINK("https://map.naver.com/p/search/나성동 829", "지도Link")</f>
        <v/>
      </c>
      <c r="O773" s="5">
        <f>HYPERLINK("http://www.eum.go.kr/web/ar/lu/luLandDet.jsp?pnu=3611010700108290000&amp;isNoScr=script&amp;mode=search", "토지이음")</f>
        <v/>
      </c>
      <c r="P773" s="3" t="inlineStr">
        <is>
          <t>테크노반석</t>
        </is>
      </c>
      <c r="Q773" s="3" t="n">
        <v>1</v>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1995</v>
      </c>
      <c r="J774" s="3" t="inlineStr">
        <is>
          <t>3</t>
        </is>
      </c>
      <c r="K774" s="3" t="inlineStr">
        <is>
          <t>-</t>
        </is>
      </c>
      <c r="L774" s="3" t="inlineStr">
        <is>
          <t>3층이고, 화물용 리프트2톤가 있으며, 상태 깨끗함</t>
        </is>
      </c>
      <c r="M774" s="5">
        <f>HYPERLINK("https://fin.land.naver.com/articles/2646745955", "매물Link")</f>
        <v/>
      </c>
      <c r="N774" s="5">
        <f>HYPERLINK("https://map.naver.com/p/search/나성동 829", "지도Link")</f>
        <v/>
      </c>
      <c r="O774" s="5">
        <f>HYPERLINK("http://www.eum.go.kr/web/ar/lu/luLandDet.jsp?pnu=3611010700108290000&amp;isNoScr=script&amp;mode=search", "토지이음")</f>
        <v/>
      </c>
      <c r="P774" s="3" t="inlineStr">
        <is>
          <t>대전명품</t>
        </is>
      </c>
      <c r="Q774" s="3" t="n">
        <v>1</v>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563</v>
      </c>
      <c r="J775" s="3" t="inlineStr">
        <is>
          <t>2</t>
        </is>
      </c>
      <c r="K775" s="3" t="inlineStr">
        <is>
          <t>-</t>
        </is>
      </c>
      <c r="L775" s="3" t="inlineStr">
        <is>
          <t>전력150kw  공장임대   호이스트   사무실 있음</t>
        </is>
      </c>
      <c r="M775" s="5">
        <f>HYPERLINK("https://fin.land.naver.com/articles/2645981447", "매물Link")</f>
        <v/>
      </c>
      <c r="N775" s="5">
        <f>HYPERLINK("https://map.naver.com/p/search/나성동 829", "지도Link")</f>
        <v/>
      </c>
      <c r="O775" s="5">
        <f>HYPERLINK("http://www.eum.go.kr/web/ar/lu/luLandDet.jsp?pnu=3611010700108290000&amp;isNoScr=script&amp;mode=search", "토지이음")</f>
        <v/>
      </c>
      <c r="P775" s="3" t="inlineStr">
        <is>
          <t>삼익</t>
        </is>
      </c>
      <c r="Q775" s="3" t="n">
        <v>1</v>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582</v>
      </c>
      <c r="J776" s="3" t="inlineStr">
        <is>
          <t>2</t>
        </is>
      </c>
      <c r="K776" s="3" t="inlineStr">
        <is>
          <t>-</t>
        </is>
      </c>
      <c r="L776" s="3" t="inlineStr">
        <is>
          <t>대전4산업단지 귀한 소형공장 실용성 높고  신탄진IC 가까와 교통편리</t>
        </is>
      </c>
      <c r="M776" s="5">
        <f>HYPERLINK("https://fin.land.naver.com/articles/2645361094", "매물Link")</f>
        <v/>
      </c>
      <c r="N776" s="5">
        <f>HYPERLINK("https://map.naver.com/p/search/나성동 829", "지도Link")</f>
        <v/>
      </c>
      <c r="O776" s="5">
        <f>HYPERLINK("http://www.eum.go.kr/web/ar/lu/luLandDet.jsp?pnu=3611010700108290000&amp;isNoScr=script&amp;mode=search", "토지이음")</f>
        <v/>
      </c>
      <c r="P776" s="3" t="inlineStr">
        <is>
          <t>테크노반석</t>
        </is>
      </c>
      <c r="Q776" s="3" t="n">
        <v>1</v>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668</v>
      </c>
      <c r="J777" s="3" t="inlineStr">
        <is>
          <t>2</t>
        </is>
      </c>
      <c r="K777" s="3" t="inlineStr">
        <is>
          <t>-</t>
        </is>
      </c>
      <c r="L777" s="3" t="inlineStr">
        <is>
          <t>폐수장 시설있음, 유동인구많은 주변공장. 근생으로 사용가능,가격조정가능.</t>
        </is>
      </c>
      <c r="M777" s="5">
        <f>HYPERLINK("https://fin.land.naver.com/articles/2644409849", "매물Link")</f>
        <v/>
      </c>
      <c r="N777" s="5">
        <f>HYPERLINK("https://map.naver.com/p/search/나성동 829", "지도Link")</f>
        <v/>
      </c>
      <c r="O777" s="5">
        <f>HYPERLINK("http://www.eum.go.kr/web/ar/lu/luLandDet.jsp?pnu=3611010700108290000&amp;isNoScr=script&amp;mode=search", "토지이음")</f>
        <v/>
      </c>
      <c r="P777" s="3" t="inlineStr">
        <is>
          <t>성지</t>
        </is>
      </c>
      <c r="Q777" s="3" t="n">
        <v>1</v>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2529</v>
      </c>
      <c r="J778" s="3" t="inlineStr">
        <is>
          <t>3</t>
        </is>
      </c>
      <c r="K778" s="3" t="inlineStr">
        <is>
          <t>-</t>
        </is>
      </c>
      <c r="L778" s="3" t="inlineStr">
        <is>
          <t>공장동 3개, 사무동 1개로 구성, 가격협의 가능,</t>
        </is>
      </c>
      <c r="M778" s="5">
        <f>HYPERLINK("https://fin.land.naver.com/articles/2647623913", "매물Link")</f>
        <v/>
      </c>
      <c r="N778" s="5">
        <f>HYPERLINK("https://map.naver.com/p/search/나성동 829", "지도Link")</f>
        <v/>
      </c>
      <c r="O778" s="5">
        <f>HYPERLINK("http://www.eum.go.kr/web/ar/lu/luLandDet.jsp?pnu=3611010700108290000&amp;isNoScr=script&amp;mode=search", "토지이음")</f>
        <v/>
      </c>
      <c r="P778" s="3" t="inlineStr">
        <is>
          <t>산업</t>
        </is>
      </c>
      <c r="Q778" s="3" t="n">
        <v>1</v>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175</v>
      </c>
      <c r="J779" s="3" t="inlineStr">
        <is>
          <t>1</t>
        </is>
      </c>
      <c r="K779" s="3" t="inlineStr">
        <is>
          <t>-</t>
        </is>
      </c>
      <c r="L779" s="3" t="inlineStr">
        <is>
          <t>신탄진4공단 공장부속건물 1층 신탄진IC인근 교통편리</t>
        </is>
      </c>
      <c r="M779" s="5">
        <f>HYPERLINK("https://fin.land.naver.com/articles/2647456048", "매물Link")</f>
        <v/>
      </c>
      <c r="N779" s="5">
        <f>HYPERLINK("https://map.naver.com/p/search/나성동 829", "지도Link")</f>
        <v/>
      </c>
      <c r="O779" s="5">
        <f>HYPERLINK("http://www.eum.go.kr/web/ar/lu/luLandDet.jsp?pnu=3611010700108290000&amp;isNoScr=script&amp;mode=search", "토지이음")</f>
        <v/>
      </c>
      <c r="P779" s="3" t="inlineStr">
        <is>
          <t>테크노반석</t>
        </is>
      </c>
      <c r="Q779" s="3" t="n">
        <v>1</v>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1235</v>
      </c>
      <c r="J780" s="3" t="inlineStr">
        <is>
          <t>1</t>
        </is>
      </c>
      <c r="K780" s="3" t="inlineStr">
        <is>
          <t>-</t>
        </is>
      </c>
      <c r="L780" s="3" t="inlineStr">
        <is>
          <t>nan</t>
        </is>
      </c>
      <c r="M780" s="5">
        <f>HYPERLINK("https://fin.land.naver.com/articles/2645274810", "매물Link")</f>
        <v/>
      </c>
      <c r="N780" s="5">
        <f>HYPERLINK("https://map.naver.com/p/search/나성동 829", "지도Link")</f>
        <v/>
      </c>
      <c r="O780" s="5">
        <f>HYPERLINK("http://www.eum.go.kr/web/ar/lu/luLandDet.jsp?pnu=3611010700108290000&amp;isNoScr=script&amp;mode=search", "토지이음")</f>
        <v/>
      </c>
      <c r="P780" s="3" t="inlineStr">
        <is>
          <t>태영컨설팅</t>
        </is>
      </c>
      <c r="Q780" s="3" t="n">
        <v>1</v>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85</v>
      </c>
      <c r="J781" s="3" t="inlineStr">
        <is>
          <t>1</t>
        </is>
      </c>
      <c r="K781" s="3" t="inlineStr">
        <is>
          <t>-</t>
        </is>
      </c>
      <c r="L781" s="3" t="inlineStr">
        <is>
          <t>넓은주차장. 입주협의</t>
        </is>
      </c>
      <c r="M781" s="5">
        <f>HYPERLINK("https://fin.land.naver.com/articles/2645164472", "매물Link")</f>
        <v/>
      </c>
      <c r="N781" s="5">
        <f>HYPERLINK("https://map.naver.com/p/search/나성동 829", "지도Link")</f>
        <v/>
      </c>
      <c r="O781" s="5">
        <f>HYPERLINK("http://www.eum.go.kr/web/ar/lu/luLandDet.jsp?pnu=3611010700108290000&amp;isNoScr=script&amp;mode=search", "토지이음")</f>
        <v/>
      </c>
      <c r="P781" s="3" t="inlineStr">
        <is>
          <t>웰컴</t>
        </is>
      </c>
      <c r="Q781" s="3" t="n">
        <v>1</v>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555</v>
      </c>
      <c r="J782" s="3" t="inlineStr">
        <is>
          <t>1</t>
        </is>
      </c>
      <c r="K782" s="3" t="inlineStr">
        <is>
          <t>-</t>
        </is>
      </c>
      <c r="L782" s="3" t="inlineStr">
        <is>
          <t>대덕산업단지 공장 1동 단독사용, 즉시입주, 호이스트, 동력충분, 대로접</t>
        </is>
      </c>
      <c r="M782" s="5">
        <f>HYPERLINK("https://fin.land.naver.com/articles/2645117336", "매물Link")</f>
        <v/>
      </c>
      <c r="N782" s="5">
        <f>HYPERLINK("https://map.naver.com/p/search/나성동 829", "지도Link")</f>
        <v/>
      </c>
      <c r="O782" s="5">
        <f>HYPERLINK("http://www.eum.go.kr/web/ar/lu/luLandDet.jsp?pnu=3611010700108290000&amp;isNoScr=script&amp;mode=search", "토지이음")</f>
        <v/>
      </c>
      <c r="P782" s="3" t="inlineStr">
        <is>
          <t>신탄진다온</t>
        </is>
      </c>
      <c r="Q782" s="3" t="n">
        <v>1</v>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4700</v>
      </c>
      <c r="J783" s="3" t="inlineStr">
        <is>
          <t>3</t>
        </is>
      </c>
      <c r="K783" s="3" t="inlineStr">
        <is>
          <t>-</t>
        </is>
      </c>
      <c r="L783" s="3" t="inlineStr">
        <is>
          <t>대덕특구 내 대형공장 및 연구소 추천
가격 협의 및 분할가능</t>
        </is>
      </c>
      <c r="M783" s="5">
        <f>HYPERLINK("https://fin.land.naver.com/articles/2644475763", "매물Link")</f>
        <v/>
      </c>
      <c r="N783" s="5">
        <f>HYPERLINK("https://map.naver.com/p/search/나성동 829", "지도Link")</f>
        <v/>
      </c>
      <c r="O783" s="5">
        <f>HYPERLINK("http://www.eum.go.kr/web/ar/lu/luLandDet.jsp?pnu=3611010700108290000&amp;isNoScr=script&amp;mode=search", "토지이음")</f>
        <v/>
      </c>
      <c r="P783" s="3" t="inlineStr">
        <is>
          <t>산업</t>
        </is>
      </c>
      <c r="Q783" s="3" t="n">
        <v>1</v>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22819</v>
      </c>
      <c r="J784" s="3" t="inlineStr">
        <is>
          <t>2</t>
        </is>
      </c>
      <c r="K784" s="3" t="inlineStr">
        <is>
          <t>B1</t>
        </is>
      </c>
      <c r="L784" s="3" t="inlineStr">
        <is>
          <t>경부선 호남선 모두 차량 10분내 도달 가능, 일반산업단지 대형공장</t>
        </is>
      </c>
      <c r="M784" s="5">
        <f>HYPERLINK("https://fin.land.naver.com/articles/2647057924", "매물Link")</f>
        <v/>
      </c>
      <c r="N784" s="5">
        <f>HYPERLINK("https://map.naver.com/p/search/나성동 829", "지도Link")</f>
        <v/>
      </c>
      <c r="O784" s="5">
        <f>HYPERLINK("http://www.eum.go.kr/web/ar/lu/luLandDet.jsp?pnu=3611010700108290000&amp;isNoScr=script&amp;mode=search", "토지이음")</f>
        <v/>
      </c>
      <c r="P784" s="3" t="inlineStr">
        <is>
          <t>(주)미르</t>
        </is>
      </c>
      <c r="Q784" s="3" t="n">
        <v>1</v>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243</v>
      </c>
      <c r="J785" s="3" t="inlineStr">
        <is>
          <t>1</t>
        </is>
      </c>
      <c r="K785" s="3" t="inlineStr">
        <is>
          <t>-</t>
        </is>
      </c>
      <c r="L785" s="3" t="inlineStr">
        <is>
          <t>nan</t>
        </is>
      </c>
      <c r="M785" s="5">
        <f>HYPERLINK("https://fin.land.naver.com/articles/2649125902", "매물Link")</f>
        <v/>
      </c>
      <c r="N785" s="5">
        <f>HYPERLINK("https://map.naver.com/p/search/나성동 829", "지도Link")</f>
        <v/>
      </c>
      <c r="O785" s="5">
        <f>HYPERLINK("http://www.eum.go.kr/web/ar/lu/luLandDet.jsp?pnu=3611010700108290000&amp;isNoScr=script&amp;mode=search", "토지이음")</f>
        <v/>
      </c>
      <c r="P785" s="3" t="inlineStr">
        <is>
          <t>김창덕</t>
        </is>
      </c>
      <c r="Q785" s="3" t="n">
        <v>1</v>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493</v>
      </c>
      <c r="J786" s="3" t="inlineStr">
        <is>
          <t>1</t>
        </is>
      </c>
      <c r="K786" s="3" t="inlineStr">
        <is>
          <t>-</t>
        </is>
      </c>
      <c r="L786" s="3" t="inlineStr">
        <is>
          <t>nan</t>
        </is>
      </c>
      <c r="M786" s="5">
        <f>HYPERLINK("https://fin.land.naver.com/articles/2645997339", "매물Link")</f>
        <v/>
      </c>
      <c r="N786" s="5">
        <f>HYPERLINK("https://map.naver.com/p/search/나성동 829", "지도Link")</f>
        <v/>
      </c>
      <c r="O786" s="5">
        <f>HYPERLINK("http://www.eum.go.kr/web/ar/lu/luLandDet.jsp?pnu=3611010700108290000&amp;isNoScr=script&amp;mode=search", "토지이음")</f>
        <v/>
      </c>
      <c r="P786" s="3" t="inlineStr">
        <is>
          <t>대광</t>
        </is>
      </c>
      <c r="Q786" s="3" t="n">
        <v>1</v>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990</v>
      </c>
      <c r="J787" s="3" t="inlineStr">
        <is>
          <t>1</t>
        </is>
      </c>
      <c r="K787" s="3" t="inlineStr">
        <is>
          <t>-</t>
        </is>
      </c>
      <c r="L787" s="3" t="inlineStr">
        <is>
          <t>세종시 명학산단에 접한 저렴한 창고</t>
        </is>
      </c>
      <c r="M787" s="5">
        <f>HYPERLINK("https://fin.land.naver.com/articles/2644290960", "매물Link")</f>
        <v/>
      </c>
      <c r="N787" s="5">
        <f>HYPERLINK("https://map.naver.com/p/search/나성동 829", "지도Link")</f>
        <v/>
      </c>
      <c r="O787" s="5">
        <f>HYPERLINK("http://www.eum.go.kr/web/ar/lu/luLandDet.jsp?pnu=3611010700108290000&amp;isNoScr=script&amp;mode=search", "토지이음")</f>
        <v/>
      </c>
      <c r="P787" s="3" t="inlineStr">
        <is>
          <t>명당</t>
        </is>
      </c>
      <c r="Q787" s="3" t="n">
        <v>1</v>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195</v>
      </c>
      <c r="J788" s="3" t="inlineStr">
        <is>
          <t>1</t>
        </is>
      </c>
      <c r="K788" s="3" t="inlineStr">
        <is>
          <t>-</t>
        </is>
      </c>
      <c r="L788" s="3" t="inlineStr">
        <is>
          <t>남청주IC5분,2종근생제조용도,2차선변,대형차진입,층고6m,10월입주협의</t>
        </is>
      </c>
      <c r="M788" s="5">
        <f>HYPERLINK("https://fin.land.naver.com/articles/2648411479", "매물Link")</f>
        <v/>
      </c>
      <c r="N788" s="5">
        <f>HYPERLINK("https://map.naver.com/p/search/나성동 829", "지도Link")</f>
        <v/>
      </c>
      <c r="O788" s="5">
        <f>HYPERLINK("http://www.eum.go.kr/web/ar/lu/luLandDet.jsp?pnu=3611010700108290000&amp;isNoScr=script&amp;mode=search", "토지이음")</f>
        <v/>
      </c>
      <c r="P788" s="3" t="inlineStr">
        <is>
          <t>OK허니</t>
        </is>
      </c>
      <c r="Q788" s="3" t="n">
        <v>1</v>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6971</v>
      </c>
      <c r="J789" s="3" t="inlineStr">
        <is>
          <t>1</t>
        </is>
      </c>
      <c r="K789" s="3" t="inlineStr">
        <is>
          <t>-</t>
        </is>
      </c>
      <c r="L789" s="3" t="inlineStr">
        <is>
          <t>남청주IC와 가깝고 세종 청주 접근성 좋으며, 도크시설이 있는 곳</t>
        </is>
      </c>
      <c r="M789" s="5">
        <f>HYPERLINK("https://fin.land.naver.com/articles/2649998568", "매물Link")</f>
        <v/>
      </c>
      <c r="N789" s="5">
        <f>HYPERLINK("https://map.naver.com/p/search/나성동 829", "지도Link")</f>
        <v/>
      </c>
      <c r="O789" s="5">
        <f>HYPERLINK("http://www.eum.go.kr/web/ar/lu/luLandDet.jsp?pnu=3611010700108290000&amp;isNoScr=script&amp;mode=search", "토지이음")</f>
        <v/>
      </c>
      <c r="P789" s="3" t="inlineStr">
        <is>
          <t>(주)미르</t>
        </is>
      </c>
      <c r="Q789" s="3" t="n">
        <v>1</v>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3679</v>
      </c>
      <c r="J790" s="3" t="inlineStr">
        <is>
          <t>1</t>
        </is>
      </c>
      <c r="K790" s="3" t="inlineStr">
        <is>
          <t>-</t>
        </is>
      </c>
      <c r="L790" s="3" t="inlineStr">
        <is>
          <t>남청주IC에서 10분거리, 신축대형공장으로 대형차진출입이 편리한 곳</t>
        </is>
      </c>
      <c r="M790" s="5">
        <f>HYPERLINK("https://fin.land.naver.com/articles/2649989463", "매물Link")</f>
        <v/>
      </c>
      <c r="N790" s="5">
        <f>HYPERLINK("https://map.naver.com/p/search/나성동 829", "지도Link")</f>
        <v/>
      </c>
      <c r="O790" s="5">
        <f>HYPERLINK("http://www.eum.go.kr/web/ar/lu/luLandDet.jsp?pnu=3611010700108290000&amp;isNoScr=script&amp;mode=search", "토지이음")</f>
        <v/>
      </c>
      <c r="P790" s="3" t="inlineStr">
        <is>
          <t>(주)미르</t>
        </is>
      </c>
      <c r="Q790" s="3" t="n">
        <v>1</v>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990</v>
      </c>
      <c r="J791" s="3" t="inlineStr">
        <is>
          <t>1</t>
        </is>
      </c>
      <c r="K791" s="3" t="inlineStr">
        <is>
          <t>-</t>
        </is>
      </c>
      <c r="L791" s="3" t="inlineStr">
        <is>
          <t>세종시 부강면 공장 및 창고 임대, 6월말 입주가능</t>
        </is>
      </c>
      <c r="M791" s="5">
        <f>HYPERLINK("https://fin.land.naver.com/articles/2649940454", "매물Link")</f>
        <v/>
      </c>
      <c r="N791" s="5">
        <f>HYPERLINK("https://map.naver.com/p/search/나성동 829", "지도Link")</f>
        <v/>
      </c>
      <c r="O791" s="5">
        <f>HYPERLINK("http://www.eum.go.kr/web/ar/lu/luLandDet.jsp?pnu=3611010700108290000&amp;isNoScr=script&amp;mode=search", "토지이음")</f>
        <v/>
      </c>
      <c r="P791" s="3" t="inlineStr">
        <is>
          <t>신탄진다온</t>
        </is>
      </c>
      <c r="Q791" s="3" t="n">
        <v>1</v>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733</v>
      </c>
      <c r="J792" s="3" t="inlineStr">
        <is>
          <t>1</t>
        </is>
      </c>
      <c r="K792" s="3" t="inlineStr">
        <is>
          <t>-</t>
        </is>
      </c>
      <c r="L792" s="3" t="inlineStr">
        <is>
          <t>남청주ic 접근성 좋음 임대료 저렴 대형차 진출입 원활 전력100kw이상</t>
        </is>
      </c>
      <c r="M792" s="5">
        <f>HYPERLINK("https://fin.land.naver.com/articles/2649683099", "매물Link")</f>
        <v/>
      </c>
      <c r="N792" s="5">
        <f>HYPERLINK("https://map.naver.com/p/search/나성동 829", "지도Link")</f>
        <v/>
      </c>
      <c r="O792" s="5">
        <f>HYPERLINK("http://www.eum.go.kr/web/ar/lu/luLandDet.jsp?pnu=3611010700108290000&amp;isNoScr=script&amp;mode=search", "토지이음")</f>
        <v/>
      </c>
      <c r="P792" s="3" t="inlineStr">
        <is>
          <t>더원</t>
        </is>
      </c>
      <c r="Q792" s="3" t="n">
        <v>1</v>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445</v>
      </c>
      <c r="J793" s="3" t="inlineStr">
        <is>
          <t>1</t>
        </is>
      </c>
      <c r="K793" s="3" t="inlineStr">
        <is>
          <t>-</t>
        </is>
      </c>
      <c r="L793" s="3" t="inlineStr">
        <is>
          <t>남청주 IC 인근 공장 노호리 매매</t>
        </is>
      </c>
      <c r="M793" s="5">
        <f>HYPERLINK("https://fin.land.naver.com/articles/2648936492", "매물Link")</f>
        <v/>
      </c>
      <c r="N793" s="5">
        <f>HYPERLINK("https://map.naver.com/p/search/나성동 829", "지도Link")</f>
        <v/>
      </c>
      <c r="O793" s="5">
        <f>HYPERLINK("http://www.eum.go.kr/web/ar/lu/luLandDet.jsp?pnu=3611010700108290000&amp;isNoScr=script&amp;mode=search", "토지이음")</f>
        <v/>
      </c>
      <c r="P793" s="3" t="inlineStr">
        <is>
          <t>우리동네</t>
        </is>
      </c>
      <c r="Q793" s="3" t="n">
        <v>1</v>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176</v>
      </c>
      <c r="J794" s="3" t="inlineStr">
        <is>
          <t>1</t>
        </is>
      </c>
      <c r="K794" s="3" t="inlineStr">
        <is>
          <t>-</t>
        </is>
      </c>
      <c r="L794" s="3" t="inlineStr">
        <is>
          <t>남청주ic5분.2차선도로접.광고효과최상.소형물류추천.신축.화장실실내설치</t>
        </is>
      </c>
      <c r="M794" s="5">
        <f>HYPERLINK("https://fin.land.naver.com/articles/2648866961", "매물Link")</f>
        <v/>
      </c>
      <c r="N794" s="5">
        <f>HYPERLINK("https://map.naver.com/p/search/나성동 829", "지도Link")</f>
        <v/>
      </c>
      <c r="O794" s="5">
        <f>HYPERLINK("http://www.eum.go.kr/web/ar/lu/luLandDet.jsp?pnu=3611010700108290000&amp;isNoScr=script&amp;mode=search", "토지이음")</f>
        <v/>
      </c>
      <c r="P794" s="3" t="inlineStr">
        <is>
          <t>세종연동탑</t>
        </is>
      </c>
      <c r="Q794" s="3" t="n">
        <v>1</v>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390</v>
      </c>
      <c r="J795" s="3" t="inlineStr">
        <is>
          <t>1</t>
        </is>
      </c>
      <c r="K795" s="3" t="inlineStr">
        <is>
          <t>-</t>
        </is>
      </c>
      <c r="L795" s="3" t="inlineStr">
        <is>
          <t>남청주IC5분,제조용도,2종근생,2차선변,대형차진입,층고6m,각동분할가능</t>
        </is>
      </c>
      <c r="M795" s="5">
        <f>HYPERLINK("https://fin.land.naver.com/articles/2648415982", "매물Link")</f>
        <v/>
      </c>
      <c r="N795" s="5">
        <f>HYPERLINK("https://map.naver.com/p/search/나성동 829", "지도Link")</f>
        <v/>
      </c>
      <c r="O795" s="5">
        <f>HYPERLINK("http://www.eum.go.kr/web/ar/lu/luLandDet.jsp?pnu=3611010700108290000&amp;isNoScr=script&amp;mode=search", "토지이음")</f>
        <v/>
      </c>
      <c r="P795" s="3" t="inlineStr">
        <is>
          <t>OK허니</t>
        </is>
      </c>
      <c r="Q795" s="3" t="n">
        <v>1</v>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192</v>
      </c>
      <c r="J796" s="3" t="inlineStr">
        <is>
          <t>1</t>
        </is>
      </c>
      <c r="K796" s="3" t="inlineStr">
        <is>
          <t>-</t>
        </is>
      </c>
      <c r="L796" s="3" t="inlineStr">
        <is>
          <t>제조업.소형물류.청주대전세종인접.청주남청주ic10분.광고효과최상</t>
        </is>
      </c>
      <c r="M796" s="5">
        <f>HYPERLINK("https://fin.land.naver.com/articles/2646841346", "매물Link")</f>
        <v/>
      </c>
      <c r="N796" s="5">
        <f>HYPERLINK("https://map.naver.com/p/search/나성동 829", "지도Link")</f>
        <v/>
      </c>
      <c r="O796" s="5">
        <f>HYPERLINK("http://www.eum.go.kr/web/ar/lu/luLandDet.jsp?pnu=3611010700108290000&amp;isNoScr=script&amp;mode=search", "토지이음")</f>
        <v/>
      </c>
      <c r="P796" s="3" t="inlineStr">
        <is>
          <t>세종연동탑</t>
        </is>
      </c>
      <c r="Q796" s="3" t="n">
        <v>1</v>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397</v>
      </c>
      <c r="J797" s="3" t="inlineStr">
        <is>
          <t>1</t>
        </is>
      </c>
      <c r="K797" s="3" t="inlineStr">
        <is>
          <t>-</t>
        </is>
      </c>
      <c r="L797" s="3" t="inlineStr">
        <is>
          <t>남청주IC10분거리로 고속도로 접근성좋고 공장등록가능 전력120kw</t>
        </is>
      </c>
      <c r="M797" s="5">
        <f>HYPERLINK("https://fin.land.naver.com/articles/2646668750", "매물Link")</f>
        <v/>
      </c>
      <c r="N797" s="5">
        <f>HYPERLINK("https://map.naver.com/p/search/나성동 829", "지도Link")</f>
        <v/>
      </c>
      <c r="O797" s="5">
        <f>HYPERLINK("http://www.eum.go.kr/web/ar/lu/luLandDet.jsp?pnu=3611010700108290000&amp;isNoScr=script&amp;mode=search", "토지이음")</f>
        <v/>
      </c>
      <c r="P797" s="3" t="inlineStr">
        <is>
          <t>더원</t>
        </is>
      </c>
      <c r="Q797" s="3" t="n">
        <v>1</v>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496</v>
      </c>
      <c r="J798" s="3" t="inlineStr">
        <is>
          <t>1</t>
        </is>
      </c>
      <c r="K798" s="3" t="inlineStr">
        <is>
          <t>-</t>
        </is>
      </c>
      <c r="L798" s="3" t="inlineStr">
        <is>
          <t>남청주ic 10분거리 접근성 좋은 위치이며저렴한 임대료 공장등록가능</t>
        </is>
      </c>
      <c r="M798" s="5">
        <f>HYPERLINK("https://fin.land.naver.com/articles/2646668494", "매물Link")</f>
        <v/>
      </c>
      <c r="N798" s="5">
        <f>HYPERLINK("https://map.naver.com/p/search/나성동 829", "지도Link")</f>
        <v/>
      </c>
      <c r="O798" s="5">
        <f>HYPERLINK("http://www.eum.go.kr/web/ar/lu/luLandDet.jsp?pnu=3611010700108290000&amp;isNoScr=script&amp;mode=search", "토지이음")</f>
        <v/>
      </c>
      <c r="P798" s="3" t="inlineStr">
        <is>
          <t>더원</t>
        </is>
      </c>
      <c r="Q798" s="3" t="n">
        <v>1</v>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8175</v>
      </c>
      <c r="J799" s="3" t="inlineStr">
        <is>
          <t>1</t>
        </is>
      </c>
      <c r="K799" s="3" t="inlineStr">
        <is>
          <t>-</t>
        </is>
      </c>
      <c r="L799" s="3" t="inlineStr">
        <is>
          <t>남청주ic 10분거리 세종청주대전 접근성 최상인 물류창고</t>
        </is>
      </c>
      <c r="M799" s="5">
        <f>HYPERLINK("https://fin.land.naver.com/articles/2646668220", "매물Link")</f>
        <v/>
      </c>
      <c r="N799" s="5">
        <f>HYPERLINK("https://map.naver.com/p/search/나성동 829", "지도Link")</f>
        <v/>
      </c>
      <c r="O799" s="5">
        <f>HYPERLINK("http://www.eum.go.kr/web/ar/lu/luLandDet.jsp?pnu=3611010700108290000&amp;isNoScr=script&amp;mode=search", "토지이음")</f>
        <v/>
      </c>
      <c r="P799" s="3" t="inlineStr">
        <is>
          <t>더원</t>
        </is>
      </c>
      <c r="Q799" s="3" t="n">
        <v>1</v>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4454</v>
      </c>
      <c r="J800" s="3" t="inlineStr">
        <is>
          <t>1</t>
        </is>
      </c>
      <c r="K800" s="3" t="inlineStr">
        <is>
          <t>-</t>
        </is>
      </c>
      <c r="L800" s="3" t="inlineStr">
        <is>
          <t>nan</t>
        </is>
      </c>
      <c r="M800" s="5">
        <f>HYPERLINK("https://fin.land.naver.com/articles/2648227073", "매물Link")</f>
        <v/>
      </c>
      <c r="N800" s="5">
        <f>HYPERLINK("https://map.naver.com/p/search/나성동 829", "지도Link")</f>
        <v/>
      </c>
      <c r="O800" s="5">
        <f>HYPERLINK("http://www.eum.go.kr/web/ar/lu/luLandDet.jsp?pnu=3611010700108290000&amp;isNoScr=script&amp;mode=search", "토지이음")</f>
        <v/>
      </c>
      <c r="P800" s="3" t="inlineStr">
        <is>
          <t>효성</t>
        </is>
      </c>
      <c r="Q800" s="3" t="n">
        <v>2</v>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252</v>
      </c>
      <c r="J801" s="3" t="inlineStr">
        <is>
          <t>1</t>
        </is>
      </c>
      <c r="K801" s="3" t="inlineStr">
        <is>
          <t>-</t>
        </is>
      </c>
      <c r="L801" s="3" t="inlineStr">
        <is>
          <t>남청주ic15분 대전청주근접 대형차량출입용이 2차선도로 소형물류창고추천</t>
        </is>
      </c>
      <c r="M801" s="5">
        <f>HYPERLINK("https://fin.land.naver.com/articles/2647920315", "매물Link")</f>
        <v/>
      </c>
      <c r="N801" s="5">
        <f>HYPERLINK("https://map.naver.com/p/search/나성동 829", "지도Link")</f>
        <v/>
      </c>
      <c r="O801" s="5">
        <f>HYPERLINK("http://www.eum.go.kr/web/ar/lu/luLandDet.jsp?pnu=3611010700108290000&amp;isNoScr=script&amp;mode=search", "토지이음")</f>
        <v/>
      </c>
      <c r="P801" s="3" t="inlineStr">
        <is>
          <t>세종연동탑</t>
        </is>
      </c>
      <c r="Q801" s="3" t="n">
        <v>1</v>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733</v>
      </c>
      <c r="J802" s="3" t="inlineStr">
        <is>
          <t>1</t>
        </is>
      </c>
      <c r="K802" s="3" t="inlineStr">
        <is>
          <t>-</t>
        </is>
      </c>
      <c r="L802" s="3" t="inlineStr">
        <is>
          <t>남청주ic 10분거리이며 대형차 진출입원활하고 공장등록가능</t>
        </is>
      </c>
      <c r="M802" s="5">
        <f>HYPERLINK("https://fin.land.naver.com/articles/2646667892", "매물Link")</f>
        <v/>
      </c>
      <c r="N802" s="5">
        <f>HYPERLINK("https://map.naver.com/p/search/나성동 829", "지도Link")</f>
        <v/>
      </c>
      <c r="O802" s="5">
        <f>HYPERLINK("http://www.eum.go.kr/web/ar/lu/luLandDet.jsp?pnu=3611010700108290000&amp;isNoScr=script&amp;mode=search", "토지이음")</f>
        <v/>
      </c>
      <c r="P802" s="3" t="inlineStr">
        <is>
          <t>더원</t>
        </is>
      </c>
      <c r="Q802" s="3" t="n">
        <v>1</v>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1150</v>
      </c>
      <c r="J803" s="3" t="inlineStr">
        <is>
          <t>2</t>
        </is>
      </c>
      <c r="K803" s="3" t="inlineStr">
        <is>
          <t>-</t>
        </is>
      </c>
      <c r="L803" s="3" t="inlineStr">
        <is>
          <t>4차선인접.세종5생인근지역.대전세종청주출퇴근유리.대형차량출입가능</t>
        </is>
      </c>
      <c r="M803" s="5">
        <f>HYPERLINK("https://fin.land.naver.com/articles/2646840883", "매물Link")</f>
        <v/>
      </c>
      <c r="N803" s="5">
        <f>HYPERLINK("https://map.naver.com/p/search/나성동 829", "지도Link")</f>
        <v/>
      </c>
      <c r="O803" s="5">
        <f>HYPERLINK("http://www.eum.go.kr/web/ar/lu/luLandDet.jsp?pnu=3611010700108290000&amp;isNoScr=script&amp;mode=search", "토지이음")</f>
        <v/>
      </c>
      <c r="P803" s="3" t="inlineStr">
        <is>
          <t>세종연동탑</t>
        </is>
      </c>
      <c r="Q803" s="3" t="n">
        <v>1</v>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12208</v>
      </c>
      <c r="J804" s="3" t="inlineStr">
        <is>
          <t>3</t>
        </is>
      </c>
      <c r="K804" s="3" t="inlineStr">
        <is>
          <t>-</t>
        </is>
      </c>
      <c r="L804" s="3" t="inlineStr">
        <is>
          <t>명학산단위치. 가설동300p포함 3,693p대형공장임대.호이스트.고전력</t>
        </is>
      </c>
      <c r="M804" s="5">
        <f>HYPERLINK("https://fin.land.naver.com/articles/2645523596", "매물Link")</f>
        <v/>
      </c>
      <c r="N804" s="5">
        <f>HYPERLINK("https://map.naver.com/p/search/나성동 829", "지도Link")</f>
        <v/>
      </c>
      <c r="O804" s="5">
        <f>HYPERLINK("http://www.eum.go.kr/web/ar/lu/luLandDet.jsp?pnu=3611010700108290000&amp;isNoScr=script&amp;mode=search", "토지이음")</f>
        <v/>
      </c>
      <c r="P804" s="3" t="inlineStr">
        <is>
          <t>맨하탄</t>
        </is>
      </c>
      <c r="Q804" s="3" t="n">
        <v>1</v>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51485</v>
      </c>
      <c r="J805" s="3" t="inlineStr">
        <is>
          <t>2</t>
        </is>
      </c>
      <c r="K805" s="3" t="inlineStr">
        <is>
          <t>B1</t>
        </is>
      </c>
      <c r="L805" s="3" t="inlineStr">
        <is>
          <t>남청주IC에서 5분</t>
        </is>
      </c>
      <c r="M805" s="5">
        <f>HYPERLINK("https://fin.land.naver.com/articles/2644741630", "매물Link")</f>
        <v/>
      </c>
      <c r="N805" s="5">
        <f>HYPERLINK("https://map.naver.com/p/search/나성동 829", "지도Link")</f>
        <v/>
      </c>
      <c r="O805" s="5">
        <f>HYPERLINK("http://www.eum.go.kr/web/ar/lu/luLandDet.jsp?pnu=3611010700108290000&amp;isNoScr=script&amp;mode=search", "토지이음")</f>
        <v/>
      </c>
      <c r="P805" s="3" t="inlineStr">
        <is>
          <t>미더스</t>
        </is>
      </c>
      <c r="Q805" s="3" t="n">
        <v>1</v>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5853</v>
      </c>
      <c r="J806" s="3" t="inlineStr">
        <is>
          <t>1</t>
        </is>
      </c>
      <c r="K806" s="3" t="inlineStr">
        <is>
          <t>-</t>
        </is>
      </c>
      <c r="L806" s="3" t="inlineStr">
        <is>
          <t>세종시 5생활권 인근에 공장창고</t>
        </is>
      </c>
      <c r="M806" s="5">
        <f>HYPERLINK("https://fin.land.naver.com/articles/2644620518", "매물Link")</f>
        <v/>
      </c>
      <c r="N806" s="5">
        <f>HYPERLINK("https://map.naver.com/p/search/나성동 829", "지도Link")</f>
        <v/>
      </c>
      <c r="O806" s="5">
        <f>HYPERLINK("http://www.eum.go.kr/web/ar/lu/luLandDet.jsp?pnu=3611010700108290000&amp;isNoScr=script&amp;mode=search", "토지이음")</f>
        <v/>
      </c>
      <c r="P806" s="3" t="inlineStr">
        <is>
          <t>명당</t>
        </is>
      </c>
      <c r="Q806" s="3" t="n">
        <v>1</v>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1793</v>
      </c>
      <c r="J807" s="3" t="inlineStr">
        <is>
          <t>1</t>
        </is>
      </c>
      <c r="K807" s="3" t="inlineStr">
        <is>
          <t>-</t>
        </is>
      </c>
      <c r="L807" s="3" t="inlineStr">
        <is>
          <t>세종시 부강면 공장임대 계획관리지역 전기700kw 층고10m 호이스트3톤</t>
        </is>
      </c>
      <c r="M807" s="5">
        <f>HYPERLINK("https://fin.land.naver.com/articles/2645965447", "매물Link")</f>
        <v/>
      </c>
      <c r="N807" s="5">
        <f>HYPERLINK("https://map.naver.com/p/search/나성동 829", "지도Link")</f>
        <v/>
      </c>
      <c r="O807" s="5">
        <f>HYPERLINK("http://www.eum.go.kr/web/ar/lu/luLandDet.jsp?pnu=3611010700108290000&amp;isNoScr=script&amp;mode=search", "토지이음")</f>
        <v/>
      </c>
      <c r="P807" s="3" t="inlineStr">
        <is>
          <t>태양</t>
        </is>
      </c>
      <c r="Q807" s="3" t="n">
        <v>1</v>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489</v>
      </c>
      <c r="J808" s="3" t="inlineStr">
        <is>
          <t>1</t>
        </is>
      </c>
      <c r="K808" s="3" t="inlineStr">
        <is>
          <t>-</t>
        </is>
      </c>
      <c r="L808" s="3" t="inlineStr">
        <is>
          <t>제조가능. 금액조절가능. 잔금일 협의가능</t>
        </is>
      </c>
      <c r="M808" s="5">
        <f>HYPERLINK("https://fin.land.naver.com/articles/2644895608", "매물Link")</f>
        <v/>
      </c>
      <c r="N808" s="5">
        <f>HYPERLINK("https://map.naver.com/p/search/나성동 829", "지도Link")</f>
        <v/>
      </c>
      <c r="O808" s="5">
        <f>HYPERLINK("http://www.eum.go.kr/web/ar/lu/luLandDet.jsp?pnu=3611010700108290000&amp;isNoScr=script&amp;mode=search", "토지이음")</f>
        <v/>
      </c>
      <c r="P808" s="3" t="inlineStr">
        <is>
          <t>정문</t>
        </is>
      </c>
      <c r="Q808" s="3" t="n">
        <v>1</v>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494</v>
      </c>
      <c r="J809" s="3" t="inlineStr">
        <is>
          <t>1</t>
        </is>
      </c>
      <c r="K809" s="3" t="inlineStr">
        <is>
          <t>-</t>
        </is>
      </c>
      <c r="L809" s="3" t="inlineStr">
        <is>
          <t>IC인접 높은층고 출입편리한 넓은공간 접근성좋은 위치최상창고</t>
        </is>
      </c>
      <c r="M809" s="5">
        <f>HYPERLINK("https://fin.land.naver.com/articles/2646089794", "매물Link")</f>
        <v/>
      </c>
      <c r="N809" s="5">
        <f>HYPERLINK("https://map.naver.com/p/search/나성동 829", "지도Link")</f>
        <v/>
      </c>
      <c r="O809" s="5">
        <f>HYPERLINK("http://www.eum.go.kr/web/ar/lu/luLandDet.jsp?pnu=3611010700108290000&amp;isNoScr=script&amp;mode=search", "토지이음")</f>
        <v/>
      </c>
      <c r="P809" s="3" t="inlineStr">
        <is>
          <t>벽산마을</t>
        </is>
      </c>
      <c r="Q809" s="3" t="n">
        <v>1</v>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220</v>
      </c>
      <c r="J810" s="3" t="inlineStr">
        <is>
          <t>1</t>
        </is>
      </c>
      <c r="K810" s="3" t="inlineStr">
        <is>
          <t>-</t>
        </is>
      </c>
      <c r="L810" s="3" t="inlineStr">
        <is>
          <t>안영I.C차량시간 5분내 접근 가능</t>
        </is>
      </c>
      <c r="M810" s="5">
        <f>HYPERLINK("https://fin.land.naver.com/articles/2648536204", "매물Link")</f>
        <v/>
      </c>
      <c r="N810" s="5">
        <f>HYPERLINK("https://map.naver.com/p/search/나성동 829", "지도Link")</f>
        <v/>
      </c>
      <c r="O810" s="5">
        <f>HYPERLINK("http://www.eum.go.kr/web/ar/lu/luLandDet.jsp?pnu=3611010700108290000&amp;isNoScr=script&amp;mode=search", "토지이음")</f>
        <v/>
      </c>
      <c r="P810" s="3" t="inlineStr">
        <is>
          <t>미래로</t>
        </is>
      </c>
      <c r="Q810" s="3" t="n">
        <v>1</v>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162</v>
      </c>
      <c r="J811" s="3" t="inlineStr">
        <is>
          <t>1</t>
        </is>
      </c>
      <c r="K811" s="3" t="inlineStr">
        <is>
          <t>-</t>
        </is>
      </c>
      <c r="L811" s="3" t="inlineStr">
        <is>
          <t>안영동 창고매매, 2015년 준공된 깨끗한 창고</t>
        </is>
      </c>
      <c r="M811" s="5">
        <f>HYPERLINK("https://fin.land.naver.com/articles/2646694575", "매물Link")</f>
        <v/>
      </c>
      <c r="N811" s="5">
        <f>HYPERLINK("https://map.naver.com/p/search/나성동 829", "지도Link")</f>
        <v/>
      </c>
      <c r="O811" s="5">
        <f>HYPERLINK("http://www.eum.go.kr/web/ar/lu/luLandDet.jsp?pnu=3611010700108290000&amp;isNoScr=script&amp;mode=search", "토지이음")</f>
        <v/>
      </c>
      <c r="P811" s="3" t="inlineStr">
        <is>
          <t>왕중왕기업</t>
        </is>
      </c>
      <c r="Q811" s="3" t="n">
        <v>1</v>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146</v>
      </c>
      <c r="J812" s="3" t="inlineStr">
        <is>
          <t>1</t>
        </is>
      </c>
      <c r="K812" s="3" t="inlineStr">
        <is>
          <t>-</t>
        </is>
      </c>
      <c r="L812" s="3" t="inlineStr">
        <is>
          <t>nan</t>
        </is>
      </c>
      <c r="M812" s="5">
        <f>HYPERLINK("https://fin.land.naver.com/articles/2646694451", "매물Link")</f>
        <v/>
      </c>
      <c r="N812" s="5">
        <f>HYPERLINK("https://map.naver.com/p/search/나성동 829", "지도Link")</f>
        <v/>
      </c>
      <c r="O812" s="5">
        <f>HYPERLINK("http://www.eum.go.kr/web/ar/lu/luLandDet.jsp?pnu=3611010700108290000&amp;isNoScr=script&amp;mode=search", "토지이음")</f>
        <v/>
      </c>
      <c r="P812" s="3" t="inlineStr">
        <is>
          <t>왕중왕기업</t>
        </is>
      </c>
      <c r="Q812" s="3" t="n">
        <v>1</v>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353</v>
      </c>
      <c r="J813" s="3" t="inlineStr">
        <is>
          <t>2</t>
        </is>
      </c>
      <c r="K813" s="3" t="inlineStr">
        <is>
          <t>-</t>
        </is>
      </c>
      <c r="L813" s="3" t="inlineStr">
        <is>
          <t>상업지에 위치하여 투자용이나 임대사업,또는 실사용으로 적합.</t>
        </is>
      </c>
      <c r="M813" s="5">
        <f>HYPERLINK("https://fin.land.naver.com/articles/2646356539", "매물Link")</f>
        <v/>
      </c>
      <c r="N813" s="5">
        <f>HYPERLINK("https://map.naver.com/p/search/나성동 829", "지도Link")</f>
        <v/>
      </c>
      <c r="O813" s="5">
        <f>HYPERLINK("http://www.eum.go.kr/web/ar/lu/luLandDet.jsp?pnu=3611010700108290000&amp;isNoScr=script&amp;mode=search", "토지이음")</f>
        <v/>
      </c>
      <c r="P813" s="3" t="inlineStr">
        <is>
          <t>뉴탑</t>
        </is>
      </c>
      <c r="Q813" s="3" t="n">
        <v>1</v>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6971</v>
      </c>
      <c r="J814" s="3" t="inlineStr">
        <is>
          <t>1</t>
        </is>
      </c>
      <c r="K814" s="3" t="inlineStr">
        <is>
          <t>-</t>
        </is>
      </c>
      <c r="L814" s="3" t="inlineStr">
        <is>
          <t>신축급 창고시설, 남청주IC 9분</t>
        </is>
      </c>
      <c r="M814" s="5">
        <f>HYPERLINK("https://fin.land.naver.com/articles/2644743001", "매물Link")</f>
        <v/>
      </c>
      <c r="N814" s="5">
        <f>HYPERLINK("https://map.naver.com/p/search/나성동 829", "지도Link")</f>
        <v/>
      </c>
      <c r="O814" s="5">
        <f>HYPERLINK("http://www.eum.go.kr/web/ar/lu/luLandDet.jsp?pnu=3611010700108290000&amp;isNoScr=script&amp;mode=search", "토지이음")</f>
        <v/>
      </c>
      <c r="P814" s="3" t="inlineStr">
        <is>
          <t>미더스</t>
        </is>
      </c>
      <c r="Q814" s="3" t="n">
        <v>1</v>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352</v>
      </c>
      <c r="J815" s="3" t="inlineStr">
        <is>
          <t>1</t>
        </is>
      </c>
      <c r="K815" s="3" t="inlineStr">
        <is>
          <t>-</t>
        </is>
      </c>
      <c r="L815" s="3" t="inlineStr">
        <is>
          <t>남청주ic 9분 세종 부강일반산업단지 옆 소형 공장매매</t>
        </is>
      </c>
      <c r="M815" s="5">
        <f>HYPERLINK("https://fin.land.naver.com/articles/2644664705", "매물Link")</f>
        <v/>
      </c>
      <c r="N815" s="5">
        <f>HYPERLINK("https://map.naver.com/p/search/나성동 829", "지도Link")</f>
        <v/>
      </c>
      <c r="O815" s="5">
        <f>HYPERLINK("http://www.eum.go.kr/web/ar/lu/luLandDet.jsp?pnu=3611010700108290000&amp;isNoScr=script&amp;mode=search", "토지이음")</f>
        <v/>
      </c>
      <c r="P815" s="3" t="inlineStr">
        <is>
          <t>더원</t>
        </is>
      </c>
      <c r="Q815" s="3" t="n">
        <v>1</v>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6971</v>
      </c>
      <c r="J816" s="3" t="inlineStr">
        <is>
          <t>2</t>
        </is>
      </c>
      <c r="K816" s="3" t="inlineStr">
        <is>
          <t>-</t>
        </is>
      </c>
      <c r="L816" s="3" t="inlineStr">
        <is>
          <t>남청주ic접근성 좋으며 대형차진출입용이 도크시설 되어는 창고</t>
        </is>
      </c>
      <c r="M816" s="5">
        <f>HYPERLINK("https://fin.land.naver.com/articles/2644663247", "매물Link")</f>
        <v/>
      </c>
      <c r="N816" s="5">
        <f>HYPERLINK("https://map.naver.com/p/search/나성동 829", "지도Link")</f>
        <v/>
      </c>
      <c r="O816" s="5">
        <f>HYPERLINK("http://www.eum.go.kr/web/ar/lu/luLandDet.jsp?pnu=3611010700108290000&amp;isNoScr=script&amp;mode=search", "토지이음")</f>
        <v/>
      </c>
      <c r="P816" s="3" t="inlineStr">
        <is>
          <t>더원</t>
        </is>
      </c>
      <c r="Q816" s="3" t="n">
        <v>1</v>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6987</v>
      </c>
      <c r="J817" s="3" t="inlineStr">
        <is>
          <t>1</t>
        </is>
      </c>
      <c r="K817" s="3" t="inlineStr">
        <is>
          <t>-</t>
        </is>
      </c>
      <c r="L817" s="3" t="inlineStr">
        <is>
          <t>남청주ic 7km 접근성 좋은 위치의 신축공장 매매</t>
        </is>
      </c>
      <c r="M817" s="5">
        <f>HYPERLINK("https://fin.land.naver.com/articles/2644663192", "매물Link")</f>
        <v/>
      </c>
      <c r="N817" s="5">
        <f>HYPERLINK("https://map.naver.com/p/search/나성동 829", "지도Link")</f>
        <v/>
      </c>
      <c r="O817" s="5">
        <f>HYPERLINK("http://www.eum.go.kr/web/ar/lu/luLandDet.jsp?pnu=3611010700108290000&amp;isNoScr=script&amp;mode=search", "토지이음")</f>
        <v/>
      </c>
      <c r="P817" s="3" t="inlineStr">
        <is>
          <t>더원</t>
        </is>
      </c>
      <c r="Q817" s="3" t="n">
        <v>1</v>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397</v>
      </c>
      <c r="J818" s="3" t="inlineStr">
        <is>
          <t>1</t>
        </is>
      </c>
      <c r="K818" s="3" t="inlineStr">
        <is>
          <t>-</t>
        </is>
      </c>
      <c r="L818" s="3" t="inlineStr">
        <is>
          <t>남청주ic10분.대형차량접근가.2차선도로근접.광고효과최상.공장창고추천</t>
        </is>
      </c>
      <c r="M818" s="5">
        <f>HYPERLINK("https://fin.land.naver.com/articles/2644356749", "매물Link")</f>
        <v/>
      </c>
      <c r="N818" s="5">
        <f>HYPERLINK("https://map.naver.com/p/search/나성동 829", "지도Link")</f>
        <v/>
      </c>
      <c r="O818" s="5">
        <f>HYPERLINK("http://www.eum.go.kr/web/ar/lu/luLandDet.jsp?pnu=3611010700108290000&amp;isNoScr=script&amp;mode=search", "토지이음")</f>
        <v/>
      </c>
      <c r="P818" s="3" t="inlineStr">
        <is>
          <t>세종연동탑</t>
        </is>
      </c>
      <c r="Q818" s="3" t="n">
        <v>1</v>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496</v>
      </c>
      <c r="J819" s="3" t="inlineStr">
        <is>
          <t>1</t>
        </is>
      </c>
      <c r="K819" s="3" t="inlineStr">
        <is>
          <t>-</t>
        </is>
      </c>
      <c r="L819" s="3" t="inlineStr">
        <is>
          <t>남청주ic10분 2차선도로 대형차량출입가능 신축건물 대전세종청주인접</t>
        </is>
      </c>
      <c r="M819" s="5">
        <f>HYPERLINK("https://fin.land.naver.com/articles/2644355733", "매물Link")</f>
        <v/>
      </c>
      <c r="N819" s="5">
        <f>HYPERLINK("https://map.naver.com/p/search/나성동 829", "지도Link")</f>
        <v/>
      </c>
      <c r="O819" s="5">
        <f>HYPERLINK("http://www.eum.go.kr/web/ar/lu/luLandDet.jsp?pnu=3611010700108290000&amp;isNoScr=script&amp;mode=search", "토지이음")</f>
        <v/>
      </c>
      <c r="P819" s="3" t="inlineStr">
        <is>
          <t>세종연동탑</t>
        </is>
      </c>
      <c r="Q819" s="3" t="n">
        <v>1</v>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1288</v>
      </c>
      <c r="J820" s="3" t="inlineStr">
        <is>
          <t>2</t>
        </is>
      </c>
      <c r="K820" s="3" t="inlineStr">
        <is>
          <t>-</t>
        </is>
      </c>
      <c r="L820" s="3" t="inlineStr">
        <is>
          <t>민원 없는 근린생활시설  3개동 구성  적재주차 편리</t>
        </is>
      </c>
      <c r="M820" s="5">
        <f>HYPERLINK("https://fin.land.naver.com/articles/2644205867", "매물Link")</f>
        <v/>
      </c>
      <c r="N820" s="5">
        <f>HYPERLINK("https://map.naver.com/p/search/나성동 829", "지도Link")</f>
        <v/>
      </c>
      <c r="O820" s="5">
        <f>HYPERLINK("http://www.eum.go.kr/web/ar/lu/luLandDet.jsp?pnu=3611010700108290000&amp;isNoScr=script&amp;mode=search", "토지이음")</f>
        <v/>
      </c>
      <c r="P820" s="3" t="inlineStr">
        <is>
          <t>삼익</t>
        </is>
      </c>
      <c r="Q820" s="3" t="n">
        <v>1</v>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446</v>
      </c>
      <c r="J821" s="3" t="inlineStr">
        <is>
          <t>1</t>
        </is>
      </c>
      <c r="K821" s="3" t="inlineStr">
        <is>
          <t>-</t>
        </is>
      </c>
      <c r="L821" s="3" t="inlineStr">
        <is>
          <t>남청주ic7분.대형차량접근가.2차선도로근접.광고효과최상.공장창고추천</t>
        </is>
      </c>
      <c r="M821" s="5">
        <f>HYPERLINK("https://fin.land.naver.com/articles/2643941070", "매물Link")</f>
        <v/>
      </c>
      <c r="N821" s="5">
        <f>HYPERLINK("https://map.naver.com/p/search/나성동 829", "지도Link")</f>
        <v/>
      </c>
      <c r="O821" s="5">
        <f>HYPERLINK("http://www.eum.go.kr/web/ar/lu/luLandDet.jsp?pnu=3611010700108290000&amp;isNoScr=script&amp;mode=search", "토지이음")</f>
        <v/>
      </c>
      <c r="P821" s="3" t="inlineStr">
        <is>
          <t>세종연동탑</t>
        </is>
      </c>
      <c r="Q821" s="3" t="n">
        <v>1</v>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471</v>
      </c>
      <c r="J822" s="3" t="inlineStr">
        <is>
          <t>2</t>
        </is>
      </c>
      <c r="K822" s="3" t="inlineStr">
        <is>
          <t>-</t>
        </is>
      </c>
      <c r="L822" s="3" t="inlineStr">
        <is>
          <t>남청주ic5분  대전세종청주접근성좋음 물류 공장 창고추천</t>
        </is>
      </c>
      <c r="M822" s="5">
        <f>HYPERLINK("https://fin.land.naver.com/articles/2643940520", "매물Link")</f>
        <v/>
      </c>
      <c r="N822" s="5">
        <f>HYPERLINK("https://map.naver.com/p/search/나성동 829", "지도Link")</f>
        <v/>
      </c>
      <c r="O822" s="5">
        <f>HYPERLINK("http://www.eum.go.kr/web/ar/lu/luLandDet.jsp?pnu=3611010700108290000&amp;isNoScr=script&amp;mode=search", "토지이음")</f>
        <v/>
      </c>
      <c r="P822" s="3" t="inlineStr">
        <is>
          <t>세종연동탑</t>
        </is>
      </c>
      <c r="Q822" s="3" t="n">
        <v>1</v>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269</v>
      </c>
      <c r="J823" s="3" t="inlineStr">
        <is>
          <t>2</t>
        </is>
      </c>
      <c r="K823" s="3" t="inlineStr">
        <is>
          <t>-</t>
        </is>
      </c>
      <c r="L823" s="3" t="inlineStr">
        <is>
          <t>금액 저렴한 냉동창고 있음 과일유통 육가공 적합</t>
        </is>
      </c>
      <c r="M823" s="5">
        <f>HYPERLINK("https://fin.land.naver.com/articles/2648359132", "매물Link")</f>
        <v/>
      </c>
      <c r="N823" s="5">
        <f>HYPERLINK("https://map.naver.com/p/search/나성동 829", "지도Link")</f>
        <v/>
      </c>
      <c r="O823" s="5">
        <f>HYPERLINK("http://www.eum.go.kr/web/ar/lu/luLandDet.jsp?pnu=3611010700108290000&amp;isNoScr=script&amp;mode=search", "토지이음")</f>
        <v/>
      </c>
      <c r="P823" s="3" t="inlineStr">
        <is>
          <t>남대전</t>
        </is>
      </c>
      <c r="Q823" s="3" t="n">
        <v>2</v>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270</v>
      </c>
      <c r="J824" s="3" t="inlineStr">
        <is>
          <t>2</t>
        </is>
      </c>
      <c r="K824" s="3" t="inlineStr">
        <is>
          <t>-</t>
        </is>
      </c>
      <c r="L824" s="3" t="inlineStr">
        <is>
          <t>저온창고있음,주차편리</t>
        </is>
      </c>
      <c r="M824" s="5">
        <f>HYPERLINK("https://fin.land.naver.com/articles/2647015919", "매물Link")</f>
        <v/>
      </c>
      <c r="N824" s="5">
        <f>HYPERLINK("https://map.naver.com/p/search/나성동 829", "지도Link")</f>
        <v/>
      </c>
      <c r="O824" s="5">
        <f>HYPERLINK("http://www.eum.go.kr/web/ar/lu/luLandDet.jsp?pnu=3611010700108290000&amp;isNoScr=script&amp;mode=search", "토지이음")</f>
        <v/>
      </c>
      <c r="P824" s="3" t="inlineStr">
        <is>
          <t>남대전</t>
        </is>
      </c>
      <c r="Q824" s="3" t="n">
        <v>1</v>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113</v>
      </c>
      <c r="J825" s="3" t="inlineStr">
        <is>
          <t>1</t>
        </is>
      </c>
      <c r="K825" s="3" t="inlineStr">
        <is>
          <t>-</t>
        </is>
      </c>
      <c r="L825" s="3" t="inlineStr">
        <is>
          <t>15미터 도로변 공장 창고 추천 차량 진입하기 좋음</t>
        </is>
      </c>
      <c r="M825" s="5">
        <f>HYPERLINK("https://fin.land.naver.com/articles/2648085285", "매물Link")</f>
        <v/>
      </c>
      <c r="N825" s="5">
        <f>HYPERLINK("https://map.naver.com/p/search/나성동 829", "지도Link")</f>
        <v/>
      </c>
      <c r="O825" s="5">
        <f>HYPERLINK("http://www.eum.go.kr/web/ar/lu/luLandDet.jsp?pnu=3611010700108290000&amp;isNoScr=script&amp;mode=search", "토지이음")</f>
        <v/>
      </c>
      <c r="P825" s="3" t="inlineStr">
        <is>
          <t>삼익</t>
        </is>
      </c>
      <c r="Q825" s="3" t="n">
        <v>1</v>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125</v>
      </c>
      <c r="J826" s="3" t="inlineStr">
        <is>
          <t>1</t>
        </is>
      </c>
      <c r="K826" s="3" t="inlineStr">
        <is>
          <t>-</t>
        </is>
      </c>
      <c r="L826" s="3" t="inlineStr">
        <is>
          <t>햅썹시설 되어 있음 냉동 창고 대형차 진입가능</t>
        </is>
      </c>
      <c r="M826" s="5">
        <f>HYPERLINK("https://fin.land.naver.com/articles/2645356674", "매물Link")</f>
        <v/>
      </c>
      <c r="N826" s="5">
        <f>HYPERLINK("https://map.naver.com/p/search/나성동 829", "지도Link")</f>
        <v/>
      </c>
      <c r="O826" s="5">
        <f>HYPERLINK("http://www.eum.go.kr/web/ar/lu/luLandDet.jsp?pnu=3611010700108290000&amp;isNoScr=script&amp;mode=search", "토지이음")</f>
        <v/>
      </c>
      <c r="P826" s="3" t="inlineStr">
        <is>
          <t>대성오투그란데</t>
        </is>
      </c>
      <c r="Q826" s="3" t="n">
        <v>1</v>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144</v>
      </c>
      <c r="J827" s="3" t="inlineStr">
        <is>
          <t>1</t>
        </is>
      </c>
      <c r="K827" s="3" t="inlineStr">
        <is>
          <t>-</t>
        </is>
      </c>
      <c r="L827" s="3" t="inlineStr">
        <is>
          <t>nan</t>
        </is>
      </c>
      <c r="M827" s="5">
        <f>HYPERLINK("https://fin.land.naver.com/articles/2647378465", "매물Link")</f>
        <v/>
      </c>
      <c r="N827" s="5">
        <f>HYPERLINK("https://map.naver.com/p/search/나성동 829", "지도Link")</f>
        <v/>
      </c>
      <c r="O827" s="5">
        <f>HYPERLINK("http://www.eum.go.kr/web/ar/lu/luLandDet.jsp?pnu=3611010700108290000&amp;isNoScr=script&amp;mode=search", "토지이음")</f>
        <v/>
      </c>
      <c r="P827" s="3" t="inlineStr">
        <is>
          <t>남대전</t>
        </is>
      </c>
      <c r="Q827" s="3" t="n">
        <v>1</v>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307</v>
      </c>
      <c r="J828" s="3" t="inlineStr">
        <is>
          <t>1</t>
        </is>
      </c>
      <c r="K828" s="3" t="inlineStr">
        <is>
          <t>-</t>
        </is>
      </c>
      <c r="L828" s="3" t="inlineStr">
        <is>
          <t>신축 카센타적지</t>
        </is>
      </c>
      <c r="M828" s="5">
        <f>HYPERLINK("https://fin.land.naver.com/articles/2647016542", "매물Link")</f>
        <v/>
      </c>
      <c r="N828" s="5">
        <f>HYPERLINK("https://map.naver.com/p/search/나성동 829", "지도Link")</f>
        <v/>
      </c>
      <c r="O828" s="5">
        <f>HYPERLINK("http://www.eum.go.kr/web/ar/lu/luLandDet.jsp?pnu=3611010700108290000&amp;isNoScr=script&amp;mode=search", "토지이음")</f>
        <v/>
      </c>
      <c r="P828" s="3" t="inlineStr">
        <is>
          <t>남대전</t>
        </is>
      </c>
      <c r="Q828" s="3" t="n">
        <v>1</v>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343</v>
      </c>
      <c r="J829" s="3" t="inlineStr">
        <is>
          <t>1</t>
        </is>
      </c>
      <c r="K829" s="3" t="inlineStr">
        <is>
          <t>-</t>
        </is>
      </c>
      <c r="L829" s="3" t="inlineStr">
        <is>
          <t>용전사거리 40M 대로변재건축 추천 창고 매매</t>
        </is>
      </c>
      <c r="M829" s="5">
        <f>HYPERLINK("https://fin.land.naver.com/articles/2645899215", "매물Link")</f>
        <v/>
      </c>
      <c r="N829" s="5">
        <f>HYPERLINK("https://map.naver.com/p/search/나성동 829", "지도Link")</f>
        <v/>
      </c>
      <c r="O829" s="5">
        <f>HYPERLINK("http://www.eum.go.kr/web/ar/lu/luLandDet.jsp?pnu=3611010700108290000&amp;isNoScr=script&amp;mode=search", "토지이음")</f>
        <v/>
      </c>
      <c r="P829" s="3" t="inlineStr">
        <is>
          <t>한울합동</t>
        </is>
      </c>
      <c r="Q829" s="3" t="n">
        <v>1</v>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234</v>
      </c>
      <c r="J830" s="3" t="inlineStr">
        <is>
          <t>1</t>
        </is>
      </c>
      <c r="K830" s="3" t="inlineStr">
        <is>
          <t>-</t>
        </is>
      </c>
      <c r="L830" s="3" t="inlineStr">
        <is>
          <t>단독공장  임대  호이스트2대   사무실 있음   전기 30kw</t>
        </is>
      </c>
      <c r="M830" s="5">
        <f>HYPERLINK("https://fin.land.naver.com/articles/2646184537", "매물Link")</f>
        <v/>
      </c>
      <c r="N830" s="5">
        <f>HYPERLINK("https://map.naver.com/p/search/나성동 829", "지도Link")</f>
        <v/>
      </c>
      <c r="O830" s="5">
        <f>HYPERLINK("http://www.eum.go.kr/web/ar/lu/luLandDet.jsp?pnu=3611010700108290000&amp;isNoScr=script&amp;mode=search", "토지이음")</f>
        <v/>
      </c>
      <c r="P830" s="3" t="inlineStr">
        <is>
          <t>삼익</t>
        </is>
      </c>
      <c r="Q830" s="3" t="n">
        <v>1</v>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234</v>
      </c>
      <c r="J831" s="3" t="inlineStr">
        <is>
          <t>1</t>
        </is>
      </c>
      <c r="K831" s="3" t="inlineStr">
        <is>
          <t>-</t>
        </is>
      </c>
      <c r="L831" s="3" t="inlineStr">
        <is>
          <t>공장매매 호이스트 있음  협의 입주 가능</t>
        </is>
      </c>
      <c r="M831" s="5">
        <f>HYPERLINK("https://fin.land.naver.com/articles/2644395402", "매물Link")</f>
        <v/>
      </c>
      <c r="N831" s="5">
        <f>HYPERLINK("https://map.naver.com/p/search/나성동 829", "지도Link")</f>
        <v/>
      </c>
      <c r="O831" s="5">
        <f>HYPERLINK("http://www.eum.go.kr/web/ar/lu/luLandDet.jsp?pnu=3611010700108290000&amp;isNoScr=script&amp;mode=search", "토지이음")</f>
        <v/>
      </c>
      <c r="P831" s="3" t="inlineStr">
        <is>
          <t>삼익</t>
        </is>
      </c>
      <c r="Q831" s="3" t="n">
        <v>1</v>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64</v>
      </c>
      <c r="J832" s="3" t="inlineStr">
        <is>
          <t>1</t>
        </is>
      </c>
      <c r="K832" s="3" t="inlineStr">
        <is>
          <t>-</t>
        </is>
      </c>
      <c r="L832" s="3" t="inlineStr">
        <is>
          <t>저온창고사용가능    3년임대시50035가능</t>
        </is>
      </c>
      <c r="M832" s="5">
        <f>HYPERLINK("https://fin.land.naver.com/articles/2649673375", "매물Link")</f>
        <v/>
      </c>
      <c r="N832" s="5">
        <f>HYPERLINK("https://map.naver.com/p/search/나성동 829", "지도Link")</f>
        <v/>
      </c>
      <c r="O832" s="5">
        <f>HYPERLINK("http://www.eum.go.kr/web/ar/lu/luLandDet.jsp?pnu=3611010700108290000&amp;isNoScr=script&amp;mode=search", "토지이음")</f>
        <v/>
      </c>
      <c r="P832" s="3" t="inlineStr">
        <is>
          <t>어진마을</t>
        </is>
      </c>
      <c r="Q832" s="3" t="n">
        <v>1</v>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340</v>
      </c>
      <c r="J833" s="3" t="inlineStr">
        <is>
          <t>2</t>
        </is>
      </c>
      <c r="K833" s="3" t="inlineStr">
        <is>
          <t>-</t>
        </is>
      </c>
      <c r="L833" s="3" t="inlineStr">
        <is>
          <t>층고 9.7m, 1층 256m2 ,내부계단 2층 사무실 84m2</t>
        </is>
      </c>
      <c r="M833" s="5">
        <f>HYPERLINK("https://fin.land.naver.com/articles/2644678365", "매물Link")</f>
        <v/>
      </c>
      <c r="N833" s="5">
        <f>HYPERLINK("https://map.naver.com/p/search/나성동 829", "지도Link")</f>
        <v/>
      </c>
      <c r="O833" s="5">
        <f>HYPERLINK("http://www.eum.go.kr/web/ar/lu/luLandDet.jsp?pnu=3611010700108290000&amp;isNoScr=script&amp;mode=search", "토지이음")</f>
        <v/>
      </c>
      <c r="P833" s="3" t="inlineStr">
        <is>
          <t>대복</t>
        </is>
      </c>
      <c r="Q833" s="3" t="n">
        <v>1</v>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198</v>
      </c>
      <c r="J834" s="3" t="inlineStr">
        <is>
          <t>1</t>
        </is>
      </c>
      <c r="K834" s="3" t="inlineStr">
        <is>
          <t>-</t>
        </is>
      </c>
      <c r="L834" s="3" t="inlineStr">
        <is>
          <t>저렴한 창고, 하천뷰 창고, 1톤차 진입 가능</t>
        </is>
      </c>
      <c r="M834" s="5">
        <f>HYPERLINK("https://fin.land.naver.com/articles/2646516961", "매물Link")</f>
        <v/>
      </c>
      <c r="N834" s="5">
        <f>HYPERLINK("https://map.naver.com/p/search/나성동 829", "지도Link")</f>
        <v/>
      </c>
      <c r="O834" s="5">
        <f>HYPERLINK("http://www.eum.go.kr/web/ar/lu/luLandDet.jsp?pnu=3611010700108290000&amp;isNoScr=script&amp;mode=search", "토지이음")</f>
        <v/>
      </c>
      <c r="P834" s="3" t="inlineStr">
        <is>
          <t>대성오투그란데</t>
        </is>
      </c>
      <c r="Q834" s="3" t="n">
        <v>1</v>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325</v>
      </c>
      <c r="J835" s="3" t="inlineStr">
        <is>
          <t>2</t>
        </is>
      </c>
      <c r="K835" s="3" t="inlineStr">
        <is>
          <t>-</t>
        </is>
      </c>
      <c r="L835" s="3" t="inlineStr">
        <is>
          <t>교통이 좋은곳에 입지한 창고 입니다. 도로에 접한 곳 입니다</t>
        </is>
      </c>
      <c r="M835" s="5">
        <f>HYPERLINK("https://fin.land.naver.com/articles/2646692349", "매물Link")</f>
        <v/>
      </c>
      <c r="N835" s="5">
        <f>HYPERLINK("https://map.naver.com/p/search/나성동 829", "지도Link")</f>
        <v/>
      </c>
      <c r="O835" s="5">
        <f>HYPERLINK("http://www.eum.go.kr/web/ar/lu/luLandDet.jsp?pnu=3611010700108290000&amp;isNoScr=script&amp;mode=search", "토지이음")</f>
        <v/>
      </c>
      <c r="P835" s="3" t="inlineStr">
        <is>
          <t>삼보</t>
        </is>
      </c>
      <c r="Q835" s="3" t="n">
        <v>1</v>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226</v>
      </c>
      <c r="J836" s="3" t="inlineStr">
        <is>
          <t>1</t>
        </is>
      </c>
      <c r="K836" s="3" t="inlineStr">
        <is>
          <t>-</t>
        </is>
      </c>
      <c r="L836" s="3" t="inlineStr">
        <is>
          <t>nan</t>
        </is>
      </c>
      <c r="M836" s="5">
        <f>HYPERLINK("https://fin.land.naver.com/articles/2649979146", "매물Link")</f>
        <v/>
      </c>
      <c r="N836" s="5">
        <f>HYPERLINK("https://map.naver.com/p/search/나성동 829", "지도Link")</f>
        <v/>
      </c>
      <c r="O836" s="5">
        <f>HYPERLINK("http://www.eum.go.kr/web/ar/lu/luLandDet.jsp?pnu=3611010700108290000&amp;isNoScr=script&amp;mode=search", "토지이음")</f>
        <v/>
      </c>
      <c r="P836" s="3" t="inlineStr">
        <is>
          <t>KS</t>
        </is>
      </c>
      <c r="Q836" s="3" t="n">
        <v>1</v>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9219</v>
      </c>
      <c r="J837" s="3" t="inlineStr">
        <is>
          <t>6</t>
        </is>
      </c>
      <c r="K837" s="3" t="inlineStr">
        <is>
          <t>B1</t>
        </is>
      </c>
      <c r="L837" s="3" t="inlineStr">
        <is>
          <t>전용237 판암IC 초근접 판암동 대형 공장사무실 임대</t>
        </is>
      </c>
      <c r="M837" s="5">
        <f>HYPERLINK("https://fin.land.naver.com/articles/2646997414", "매물Link")</f>
        <v/>
      </c>
      <c r="N837" s="5">
        <f>HYPERLINK("https://map.naver.com/p/search/나성동 829", "지도Link")</f>
        <v/>
      </c>
      <c r="O837" s="5">
        <f>HYPERLINK("http://www.eum.go.kr/web/ar/lu/luLandDet.jsp?pnu=3611010700108290000&amp;isNoScr=script&amp;mode=search", "토지이음")</f>
        <v/>
      </c>
      <c r="P837" s="3" t="inlineStr">
        <is>
          <t>한종</t>
        </is>
      </c>
      <c r="Q837" s="3" t="n">
        <v>1</v>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99</v>
      </c>
      <c r="J838" s="3" t="inlineStr">
        <is>
          <t>2</t>
        </is>
      </c>
      <c r="K838" s="3" t="inlineStr">
        <is>
          <t>-</t>
        </is>
      </c>
      <c r="L838" s="3" t="inlineStr">
        <is>
          <t>판암IC 부근 창고임대</t>
        </is>
      </c>
      <c r="M838" s="5">
        <f>HYPERLINK("https://fin.land.naver.com/articles/2644913888", "매물Link")</f>
        <v/>
      </c>
      <c r="N838" s="5">
        <f>HYPERLINK("https://map.naver.com/p/search/나성동 829", "지도Link")</f>
        <v/>
      </c>
      <c r="O838" s="5">
        <f>HYPERLINK("http://www.eum.go.kr/web/ar/lu/luLandDet.jsp?pnu=3611010700108290000&amp;isNoScr=script&amp;mode=search", "토지이음")</f>
        <v/>
      </c>
      <c r="P838" s="3" t="inlineStr">
        <is>
          <t>예스</t>
        </is>
      </c>
      <c r="Q838" s="3" t="n">
        <v>1</v>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9219</v>
      </c>
      <c r="J839" s="3" t="inlineStr">
        <is>
          <t>6</t>
        </is>
      </c>
      <c r="K839" s="3" t="inlineStr">
        <is>
          <t>B1</t>
        </is>
      </c>
      <c r="L839" s="3" t="inlineStr">
        <is>
          <t>전용51 판암IC 초근접 판암동 공장사무실 임대</t>
        </is>
      </c>
      <c r="M839" s="5">
        <f>HYPERLINK("https://fin.land.naver.com/articles/2644401154", "매물Link")</f>
        <v/>
      </c>
      <c r="N839" s="5">
        <f>HYPERLINK("https://map.naver.com/p/search/나성동 829", "지도Link")</f>
        <v/>
      </c>
      <c r="O839" s="5">
        <f>HYPERLINK("http://www.eum.go.kr/web/ar/lu/luLandDet.jsp?pnu=3611010700108290000&amp;isNoScr=script&amp;mode=search", "토지이음")</f>
        <v/>
      </c>
      <c r="P839" s="3" t="inlineStr">
        <is>
          <t>한종</t>
        </is>
      </c>
      <c r="Q839" s="3" t="n">
        <v>1</v>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1248</v>
      </c>
      <c r="J840" s="3" t="inlineStr">
        <is>
          <t>3</t>
        </is>
      </c>
      <c r="K840" s="3" t="inlineStr">
        <is>
          <t>B1</t>
        </is>
      </c>
      <c r="L840" s="3" t="inlineStr">
        <is>
          <t>nan</t>
        </is>
      </c>
      <c r="M840" s="5">
        <f>HYPERLINK("https://fin.land.naver.com/articles/2649529391", "매물Link")</f>
        <v/>
      </c>
      <c r="N840" s="5">
        <f>HYPERLINK("https://map.naver.com/p/search/나성동 829", "지도Link")</f>
        <v/>
      </c>
      <c r="O840" s="5">
        <f>HYPERLINK("http://www.eum.go.kr/web/ar/lu/luLandDet.jsp?pnu=3611010700108290000&amp;isNoScr=script&amp;mode=search", "토지이음")</f>
        <v/>
      </c>
      <c r="P840" s="3" t="inlineStr">
        <is>
          <t>왕중왕기업</t>
        </is>
      </c>
      <c r="Q840" s="3" t="n">
        <v>1</v>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259</v>
      </c>
      <c r="J841" s="3" t="inlineStr">
        <is>
          <t>2</t>
        </is>
      </c>
      <c r="K841" s="3" t="inlineStr">
        <is>
          <t>-</t>
        </is>
      </c>
      <c r="L841" s="3" t="inlineStr">
        <is>
          <t>위치좋은 귀한 창고, 내부계단 2층 층고 7.7m  1층 68, 2층</t>
        </is>
      </c>
      <c r="M841" s="5">
        <f>HYPERLINK("https://fin.land.naver.com/articles/2647887738", "매물Link")</f>
        <v/>
      </c>
      <c r="N841" s="5">
        <f>HYPERLINK("https://map.naver.com/p/search/나성동 829", "지도Link")</f>
        <v/>
      </c>
      <c r="O841" s="5">
        <f>HYPERLINK("http://www.eum.go.kr/web/ar/lu/luLandDet.jsp?pnu=3611010700108290000&amp;isNoScr=script&amp;mode=search", "토지이음")</f>
        <v/>
      </c>
      <c r="P841" s="3" t="inlineStr">
        <is>
          <t>로또</t>
        </is>
      </c>
      <c r="Q841" s="3" t="n">
        <v>1</v>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339</v>
      </c>
      <c r="J842" s="3" t="inlineStr">
        <is>
          <t>2</t>
        </is>
      </c>
      <c r="K842" s="3" t="inlineStr">
        <is>
          <t>-</t>
        </is>
      </c>
      <c r="L842" s="3" t="inlineStr">
        <is>
          <t>사진 有 마당 넓은 도심 속 준신축 창고</t>
        </is>
      </c>
      <c r="M842" s="5">
        <f>HYPERLINK("https://fin.land.naver.com/articles/2649883422", "매물Link")</f>
        <v/>
      </c>
      <c r="N842" s="5">
        <f>HYPERLINK("https://map.naver.com/p/search/나성동 829", "지도Link")</f>
        <v/>
      </c>
      <c r="O842" s="5">
        <f>HYPERLINK("http://www.eum.go.kr/web/ar/lu/luLandDet.jsp?pnu=3611010700108290000&amp;isNoScr=script&amp;mode=search", "토지이음")</f>
        <v/>
      </c>
      <c r="P842" s="3" t="inlineStr">
        <is>
          <t>KS</t>
        </is>
      </c>
      <c r="Q842" s="3" t="n">
        <v>1</v>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339</v>
      </c>
      <c r="J843" s="3" t="inlineStr">
        <is>
          <t>2</t>
        </is>
      </c>
      <c r="K843" s="3" t="inlineStr">
        <is>
          <t>-</t>
        </is>
      </c>
      <c r="L843" s="3" t="inlineStr">
        <is>
          <t>해썹시설 허가난 제조업소로 사용되는 공장겸 창고 입니다.</t>
        </is>
      </c>
      <c r="M843" s="5">
        <f>HYPERLINK("https://fin.land.naver.com/articles/2644686352", "매물Link")</f>
        <v/>
      </c>
      <c r="N843" s="5">
        <f>HYPERLINK("https://map.naver.com/p/search/나성동 829", "지도Link")</f>
        <v/>
      </c>
      <c r="O843" s="5">
        <f>HYPERLINK("http://www.eum.go.kr/web/ar/lu/luLandDet.jsp?pnu=3611010700108290000&amp;isNoScr=script&amp;mode=search", "토지이음")</f>
        <v/>
      </c>
      <c r="P843" s="3" t="inlineStr">
        <is>
          <t>크로바</t>
        </is>
      </c>
      <c r="Q843" s="3" t="n">
        <v>1</v>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167</v>
      </c>
      <c r="J844" s="3" t="inlineStr">
        <is>
          <t>1</t>
        </is>
      </c>
      <c r="K844" s="3" t="inlineStr">
        <is>
          <t>-</t>
        </is>
      </c>
      <c r="L844" s="3" t="inlineStr">
        <is>
          <t>대전IC5분거리 교통편리한 용전동 복층형 창고</t>
        </is>
      </c>
      <c r="M844" s="5">
        <f>HYPERLINK("https://fin.land.naver.com/articles/2647137329", "매물Link")</f>
        <v/>
      </c>
      <c r="N844" s="5">
        <f>HYPERLINK("https://map.naver.com/p/search/나성동 829", "지도Link")</f>
        <v/>
      </c>
      <c r="O844" s="5">
        <f>HYPERLINK("http://www.eum.go.kr/web/ar/lu/luLandDet.jsp?pnu=3611010700108290000&amp;isNoScr=script&amp;mode=search", "토지이음")</f>
        <v/>
      </c>
      <c r="P844" s="3" t="inlineStr">
        <is>
          <t>한솔</t>
        </is>
      </c>
      <c r="Q844" s="3" t="n">
        <v>1</v>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420</v>
      </c>
      <c r="J845" s="3" t="inlineStr">
        <is>
          <t>2</t>
        </is>
      </c>
      <c r="K845" s="3" t="inlineStr">
        <is>
          <t>-</t>
        </is>
      </c>
      <c r="L845" s="3" t="inlineStr">
        <is>
          <t>가내공장 및 창고적지 매매</t>
        </is>
      </c>
      <c r="M845" s="5">
        <f>HYPERLINK("https://fin.land.naver.com/articles/2645715499", "매물Link")</f>
        <v/>
      </c>
      <c r="N845" s="5">
        <f>HYPERLINK("https://map.naver.com/p/search/나성동 829", "지도Link")</f>
        <v/>
      </c>
      <c r="O845" s="5">
        <f>HYPERLINK("http://www.eum.go.kr/web/ar/lu/luLandDet.jsp?pnu=3611010700108290000&amp;isNoScr=script&amp;mode=search", "토지이음")</f>
        <v/>
      </c>
      <c r="P845" s="3" t="inlineStr">
        <is>
          <t>좋은터</t>
        </is>
      </c>
      <c r="Q845" s="3" t="n">
        <v>1</v>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206</v>
      </c>
      <c r="J846" s="3" t="inlineStr">
        <is>
          <t>2</t>
        </is>
      </c>
      <c r="K846" s="3" t="inlineStr">
        <is>
          <t>-</t>
        </is>
      </c>
      <c r="L846" s="3" t="inlineStr">
        <is>
          <t>nan</t>
        </is>
      </c>
      <c r="M846" s="5">
        <f>HYPERLINK("https://fin.land.naver.com/articles/2650130187", "매물Link")</f>
        <v/>
      </c>
      <c r="N846" s="5">
        <f>HYPERLINK("https://map.naver.com/p/search/나성동 829", "지도Link")</f>
        <v/>
      </c>
      <c r="O846" s="5">
        <f>HYPERLINK("http://www.eum.go.kr/web/ar/lu/luLandDet.jsp?pnu=3611010700108290000&amp;isNoScr=script&amp;mode=search", "토지이음")</f>
        <v/>
      </c>
      <c r="P846" s="3" t="inlineStr">
        <is>
          <t>메가주식회사</t>
        </is>
      </c>
      <c r="Q846" s="3" t="n">
        <v>1</v>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452</v>
      </c>
      <c r="J847" s="3" t="inlineStr">
        <is>
          <t>1</t>
        </is>
      </c>
      <c r="K847" s="3" t="inlineStr">
        <is>
          <t>-</t>
        </is>
      </c>
      <c r="L847" s="3" t="inlineStr">
        <is>
          <t>대전 동구 상소동 공장임대</t>
        </is>
      </c>
      <c r="M847" s="5">
        <f>HYPERLINK("https://fin.land.naver.com/articles/2649099303", "매물Link")</f>
        <v/>
      </c>
      <c r="N847" s="5">
        <f>HYPERLINK("https://map.naver.com/p/search/나성동 829", "지도Link")</f>
        <v/>
      </c>
      <c r="O847" s="5">
        <f>HYPERLINK("http://www.eum.go.kr/web/ar/lu/luLandDet.jsp?pnu=3611010700108290000&amp;isNoScr=script&amp;mode=search", "토지이음")</f>
        <v/>
      </c>
      <c r="P847" s="3" t="inlineStr">
        <is>
          <t>왕중왕기업</t>
        </is>
      </c>
      <c r="Q847" s="3" t="n">
        <v>1</v>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1020</v>
      </c>
      <c r="J848" s="3" t="inlineStr">
        <is>
          <t>1</t>
        </is>
      </c>
      <c r="K848" s="3" t="inlineStr">
        <is>
          <t>-</t>
        </is>
      </c>
      <c r="L848" s="3" t="inlineStr">
        <is>
          <t>산내 청소년수련원 초입제조공장3동 매매</t>
        </is>
      </c>
      <c r="M848" s="5">
        <f>HYPERLINK("https://fin.land.naver.com/articles/2646593378", "매물Link")</f>
        <v/>
      </c>
      <c r="N848" s="5">
        <f>HYPERLINK("https://map.naver.com/p/search/나성동 829", "지도Link")</f>
        <v/>
      </c>
      <c r="O848" s="5">
        <f>HYPERLINK("http://www.eum.go.kr/web/ar/lu/luLandDet.jsp?pnu=3611010700108290000&amp;isNoScr=script&amp;mode=search", "토지이음")</f>
        <v/>
      </c>
      <c r="P848" s="3" t="inlineStr">
        <is>
          <t>한울합동</t>
        </is>
      </c>
      <c r="Q848" s="3" t="n">
        <v>1</v>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560</v>
      </c>
      <c r="J849" s="3" t="inlineStr">
        <is>
          <t>1</t>
        </is>
      </c>
      <c r="K849" s="3" t="inlineStr">
        <is>
          <t>-</t>
        </is>
      </c>
      <c r="L849" s="3" t="inlineStr">
        <is>
          <t>하소동산업단지 가기 전  ic인근의  전면이 긴 2차선도로변</t>
        </is>
      </c>
      <c r="M849" s="5">
        <f>HYPERLINK("https://fin.land.naver.com/articles/2644443734", "매물Link")</f>
        <v/>
      </c>
      <c r="N849" s="5">
        <f>HYPERLINK("https://map.naver.com/p/search/나성동 829", "지도Link")</f>
        <v/>
      </c>
      <c r="O849" s="5">
        <f>HYPERLINK("http://www.eum.go.kr/web/ar/lu/luLandDet.jsp?pnu=3611010700108290000&amp;isNoScr=script&amp;mode=search", "토지이음")</f>
        <v/>
      </c>
      <c r="P849" s="3" t="inlineStr">
        <is>
          <t>믿음</t>
        </is>
      </c>
      <c r="Q849" s="3" t="n">
        <v>1</v>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1575</v>
      </c>
      <c r="J850" s="3" t="inlineStr">
        <is>
          <t>1</t>
        </is>
      </c>
      <c r="K850" s="3" t="inlineStr">
        <is>
          <t>-</t>
        </is>
      </c>
      <c r="L850" s="3" t="inlineStr">
        <is>
          <t>하소동산업단지 남대전IC인근으로 교통편리 실용적공장 건축물상태 아주 양호</t>
        </is>
      </c>
      <c r="M850" s="5">
        <f>HYPERLINK("https://fin.land.naver.com/articles/2646745237", "매물Link")</f>
        <v/>
      </c>
      <c r="N850" s="5">
        <f>HYPERLINK("https://map.naver.com/p/search/나성동 829", "지도Link")</f>
        <v/>
      </c>
      <c r="O850" s="5">
        <f>HYPERLINK("http://www.eum.go.kr/web/ar/lu/luLandDet.jsp?pnu=3611010700108290000&amp;isNoScr=script&amp;mode=search", "토지이음")</f>
        <v/>
      </c>
      <c r="P850" s="3" t="inlineStr">
        <is>
          <t>테크노반석</t>
        </is>
      </c>
      <c r="Q850" s="3" t="n">
        <v>1</v>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1575</v>
      </c>
      <c r="J851" s="3" t="inlineStr">
        <is>
          <t>1</t>
        </is>
      </c>
      <c r="K851" s="3" t="inlineStr">
        <is>
          <t>-</t>
        </is>
      </c>
      <c r="L851" s="3" t="inlineStr">
        <is>
          <t>초급매 하소동산업단지 신축공장창고 남대전IC인근으로 교통편리 건물상태양호</t>
        </is>
      </c>
      <c r="M851" s="5">
        <f>HYPERLINK("https://fin.land.naver.com/articles/2646744237", "매물Link")</f>
        <v/>
      </c>
      <c r="N851" s="5">
        <f>HYPERLINK("https://map.naver.com/p/search/나성동 829", "지도Link")</f>
        <v/>
      </c>
      <c r="O851" s="5">
        <f>HYPERLINK("http://www.eum.go.kr/web/ar/lu/luLandDet.jsp?pnu=3611010700108290000&amp;isNoScr=script&amp;mode=search", "토지이음")</f>
        <v/>
      </c>
      <c r="P851" s="3" t="inlineStr">
        <is>
          <t>테크노반석</t>
        </is>
      </c>
      <c r="Q851" s="3" t="n">
        <v>1</v>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680</v>
      </c>
      <c r="J852" s="3" t="inlineStr">
        <is>
          <t>4</t>
        </is>
      </c>
      <c r="K852" s="3" t="inlineStr">
        <is>
          <t>B1</t>
        </is>
      </c>
      <c r="L852" s="3" t="inlineStr">
        <is>
          <t>대로변 B1층 넓은면적, 사무실,창고,작업실 등 다용도, 가격저렴</t>
        </is>
      </c>
      <c r="M852" s="5">
        <f>HYPERLINK("https://fin.land.naver.com/articles/2645697002", "매물Link")</f>
        <v/>
      </c>
      <c r="N852" s="5">
        <f>HYPERLINK("https://map.naver.com/p/search/나성동 829", "지도Link")</f>
        <v/>
      </c>
      <c r="O852" s="5">
        <f>HYPERLINK("http://www.eum.go.kr/web/ar/lu/luLandDet.jsp?pnu=3611010700108290000&amp;isNoScr=script&amp;mode=search", "토지이음")</f>
        <v/>
      </c>
      <c r="P852" s="3" t="inlineStr">
        <is>
          <t>오케이</t>
        </is>
      </c>
      <c r="Q852" s="3" t="n">
        <v>1</v>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201</v>
      </c>
      <c r="J853" s="3" t="inlineStr">
        <is>
          <t>1</t>
        </is>
      </c>
      <c r="K853" s="3" t="inlineStr">
        <is>
          <t>-</t>
        </is>
      </c>
      <c r="L853" s="3" t="inlineStr">
        <is>
          <t>카센타 임대 중구 석교동 대로변 카센타 임대</t>
        </is>
      </c>
      <c r="M853" s="5">
        <f>HYPERLINK("https://fin.land.naver.com/articles/2648830752", "매물Link")</f>
        <v/>
      </c>
      <c r="N853" s="5">
        <f>HYPERLINK("https://map.naver.com/p/search/나성동 829", "지도Link")</f>
        <v/>
      </c>
      <c r="O853" s="5">
        <f>HYPERLINK("http://www.eum.go.kr/web/ar/lu/luLandDet.jsp?pnu=3611010700108290000&amp;isNoScr=script&amp;mode=search", "토지이음")</f>
        <v/>
      </c>
      <c r="P853" s="3" t="inlineStr">
        <is>
          <t>왕중왕기업</t>
        </is>
      </c>
      <c r="Q853" s="3" t="n">
        <v>1</v>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131</v>
      </c>
      <c r="J854" s="3" t="inlineStr">
        <is>
          <t>1</t>
        </is>
      </c>
      <c r="K854" s="3" t="inlineStr">
        <is>
          <t>-</t>
        </is>
      </c>
      <c r="L854" s="3" t="inlineStr">
        <is>
          <t>석교동 천변 도로앞 주차편리한 시멘트블럭조 공장임대 2종근생으로 업종자유</t>
        </is>
      </c>
      <c r="M854" s="5">
        <f>HYPERLINK("https://fin.land.naver.com/articles/2645667198", "매물Link")</f>
        <v/>
      </c>
      <c r="N854" s="5">
        <f>HYPERLINK("https://map.naver.com/p/search/나성동 829", "지도Link")</f>
        <v/>
      </c>
      <c r="O854" s="5">
        <f>HYPERLINK("http://www.eum.go.kr/web/ar/lu/luLandDet.jsp?pnu=3611010700108290000&amp;isNoScr=script&amp;mode=search", "토지이음")</f>
        <v/>
      </c>
      <c r="P854" s="3" t="inlineStr">
        <is>
          <t>이루마</t>
        </is>
      </c>
      <c r="Q854" s="3" t="n">
        <v>1</v>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1645</v>
      </c>
      <c r="J855" s="3" t="inlineStr">
        <is>
          <t>3</t>
        </is>
      </c>
      <c r="K855" s="3" t="inlineStr">
        <is>
          <t>-</t>
        </is>
      </c>
      <c r="L855" s="3" t="inlineStr">
        <is>
          <t>nan</t>
        </is>
      </c>
      <c r="M855" s="5">
        <f>HYPERLINK("https://fin.land.naver.com/articles/2646662672", "매물Link")</f>
        <v/>
      </c>
      <c r="N855" s="5">
        <f>HYPERLINK("https://map.naver.com/p/search/나성동 829", "지도Link")</f>
        <v/>
      </c>
      <c r="O855" s="5">
        <f>HYPERLINK("http://www.eum.go.kr/web/ar/lu/luLandDet.jsp?pnu=3611010700108290000&amp;isNoScr=script&amp;mode=search", "토지이음")</f>
        <v/>
      </c>
      <c r="P855" s="3" t="inlineStr">
        <is>
          <t>오로</t>
        </is>
      </c>
      <c r="Q855" s="3" t="n">
        <v>1</v>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489</v>
      </c>
      <c r="J856" s="3" t="inlineStr">
        <is>
          <t>1</t>
        </is>
      </c>
      <c r="K856" s="3" t="inlineStr">
        <is>
          <t>-</t>
        </is>
      </c>
      <c r="L856" s="3" t="inlineStr">
        <is>
          <t>교통편리</t>
        </is>
      </c>
      <c r="M856" s="5">
        <f>HYPERLINK("https://fin.land.naver.com/articles/2648454819", "매물Link")</f>
        <v/>
      </c>
      <c r="N856" s="5">
        <f>HYPERLINK("https://map.naver.com/p/search/나성동 829", "지도Link")</f>
        <v/>
      </c>
      <c r="O856" s="5">
        <f>HYPERLINK("http://www.eum.go.kr/web/ar/lu/luLandDet.jsp?pnu=3611010700108290000&amp;isNoScr=script&amp;mode=search", "토지이음")</f>
        <v/>
      </c>
      <c r="P856" s="3" t="inlineStr">
        <is>
          <t>미래개발</t>
        </is>
      </c>
      <c r="Q856" s="3" t="n">
        <v>1</v>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115</v>
      </c>
      <c r="J857" s="3" t="inlineStr">
        <is>
          <t>1</t>
        </is>
      </c>
      <c r="K857" s="3" t="inlineStr">
        <is>
          <t>-</t>
        </is>
      </c>
      <c r="L857" s="3" t="inlineStr">
        <is>
          <t>가성비 좋은 정비공장, 법정장비일체 전부 포함</t>
        </is>
      </c>
      <c r="M857" s="5">
        <f>HYPERLINK("https://fin.land.naver.com/articles/2649974350", "매물Link")</f>
        <v/>
      </c>
      <c r="N857" s="5">
        <f>HYPERLINK("https://map.naver.com/p/search/나성동 829", "지도Link")</f>
        <v/>
      </c>
      <c r="O857" s="5">
        <f>HYPERLINK("http://www.eum.go.kr/web/ar/lu/luLandDet.jsp?pnu=3611010700108290000&amp;isNoScr=script&amp;mode=search", "토지이음")</f>
        <v/>
      </c>
      <c r="P857" s="3" t="inlineStr">
        <is>
          <t>이즈리더스시티대표</t>
        </is>
      </c>
      <c r="Q857" s="3" t="n">
        <v>1</v>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165</v>
      </c>
      <c r="J858" s="3" t="inlineStr">
        <is>
          <t>1</t>
        </is>
      </c>
      <c r="K858" s="3" t="inlineStr">
        <is>
          <t>-</t>
        </is>
      </c>
      <c r="L858" s="3" t="inlineStr">
        <is>
          <t>저렴한 공장, 2.5 톤 진입가능. 높이45M. 소음 공장가능.</t>
        </is>
      </c>
      <c r="M858" s="5">
        <f>HYPERLINK("https://fin.land.naver.com/articles/2647419555", "매물Link")</f>
        <v/>
      </c>
      <c r="N858" s="5">
        <f>HYPERLINK("https://map.naver.com/p/search/나성동 829", "지도Link")</f>
        <v/>
      </c>
      <c r="O858" s="5">
        <f>HYPERLINK("http://www.eum.go.kr/web/ar/lu/luLandDet.jsp?pnu=3611010700108290000&amp;isNoScr=script&amp;mode=search", "토지이음")</f>
        <v/>
      </c>
      <c r="P858" s="3" t="inlineStr">
        <is>
          <t>성지</t>
        </is>
      </c>
      <c r="Q858" s="3" t="n">
        <v>1</v>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330</v>
      </c>
      <c r="J859" s="3" t="inlineStr">
        <is>
          <t>2</t>
        </is>
      </c>
      <c r="K859" s="3" t="inlineStr">
        <is>
          <t>-</t>
        </is>
      </c>
      <c r="L859" s="3" t="inlineStr">
        <is>
          <t>사진, 남대전IC인접, 공장등록,  창고가능,사무실유, 층고8m,임대가능</t>
        </is>
      </c>
      <c r="M859" s="5">
        <f>HYPERLINK("https://fin.land.naver.com/articles/2646864736", "매물Link")</f>
        <v/>
      </c>
      <c r="N859" s="5">
        <f>HYPERLINK("https://map.naver.com/p/search/나성동 829", "지도Link")</f>
        <v/>
      </c>
      <c r="O859" s="5">
        <f>HYPERLINK("http://www.eum.go.kr/web/ar/lu/luLandDet.jsp?pnu=3611010700108290000&amp;isNoScr=script&amp;mode=search", "토지이음")</f>
        <v/>
      </c>
      <c r="P859" s="3" t="inlineStr">
        <is>
          <t>OK허니</t>
        </is>
      </c>
      <c r="Q859" s="3" t="n">
        <v>1</v>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330</v>
      </c>
      <c r="J860" s="3" t="inlineStr">
        <is>
          <t>2</t>
        </is>
      </c>
      <c r="K860" s="3" t="inlineStr">
        <is>
          <t>-</t>
        </is>
      </c>
      <c r="L860" s="3" t="inlineStr">
        <is>
          <t>사진, 남대전IC인접, 공장등록,  창고가능,사무실유, 층고8m,임대가능</t>
        </is>
      </c>
      <c r="M860" s="5">
        <f>HYPERLINK("https://fin.land.naver.com/articles/2646860852", "매물Link")</f>
        <v/>
      </c>
      <c r="N860" s="5">
        <f>HYPERLINK("https://map.naver.com/p/search/나성동 829", "지도Link")</f>
        <v/>
      </c>
      <c r="O860" s="5">
        <f>HYPERLINK("http://www.eum.go.kr/web/ar/lu/luLandDet.jsp?pnu=3611010700108290000&amp;isNoScr=script&amp;mode=search", "토지이음")</f>
        <v/>
      </c>
      <c r="P860" s="3" t="inlineStr">
        <is>
          <t>OK허니</t>
        </is>
      </c>
      <c r="Q860" s="3" t="n">
        <v>1</v>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1443</v>
      </c>
      <c r="J861" s="3" t="inlineStr">
        <is>
          <t>2</t>
        </is>
      </c>
      <c r="K861" s="3" t="inlineStr">
        <is>
          <t>-</t>
        </is>
      </c>
      <c r="L861" s="3" t="inlineStr">
        <is>
          <t>남대전IC 인근   공장임대   창고 추천   즉시 입주 가능</t>
        </is>
      </c>
      <c r="M861" s="5">
        <f>HYPERLINK("https://fin.land.naver.com/articles/2648995117", "매물Link")</f>
        <v/>
      </c>
      <c r="N861" s="5">
        <f>HYPERLINK("https://map.naver.com/p/search/나성동 829", "지도Link")</f>
        <v/>
      </c>
      <c r="O861" s="5">
        <f>HYPERLINK("http://www.eum.go.kr/web/ar/lu/luLandDet.jsp?pnu=3611010700108290000&amp;isNoScr=script&amp;mode=search", "토지이음")</f>
        <v/>
      </c>
      <c r="P861" s="3" t="inlineStr">
        <is>
          <t>삼익</t>
        </is>
      </c>
      <c r="Q861" s="3" t="n">
        <v>1</v>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494</v>
      </c>
      <c r="J862" s="3" t="inlineStr">
        <is>
          <t>1</t>
        </is>
      </c>
      <c r="K862" s="3" t="inlineStr">
        <is>
          <t>-</t>
        </is>
      </c>
      <c r="L862" s="3" t="inlineStr">
        <is>
          <t>평단가 저렴한 남대전ic 옆 층고 높은 물류창고</t>
        </is>
      </c>
      <c r="M862" s="5">
        <f>HYPERLINK("https://fin.land.naver.com/articles/2648847548", "매물Link")</f>
        <v/>
      </c>
      <c r="N862" s="5">
        <f>HYPERLINK("https://map.naver.com/p/search/나성동 829", "지도Link")</f>
        <v/>
      </c>
      <c r="O862" s="5">
        <f>HYPERLINK("http://www.eum.go.kr/web/ar/lu/luLandDet.jsp?pnu=3611010700108290000&amp;isNoScr=script&amp;mode=search", "토지이음")</f>
        <v/>
      </c>
      <c r="P862" s="3" t="inlineStr">
        <is>
          <t>KS</t>
        </is>
      </c>
      <c r="Q862" s="3" t="n">
        <v>1</v>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1157</v>
      </c>
      <c r="J863" s="3" t="inlineStr">
        <is>
          <t>2</t>
        </is>
      </c>
      <c r="K863" s="3" t="inlineStr">
        <is>
          <t>-</t>
        </is>
      </c>
      <c r="L863" s="3" t="inlineStr">
        <is>
          <t>창고 및 공장 사무실</t>
        </is>
      </c>
      <c r="M863" s="5">
        <f>HYPERLINK("https://fin.land.naver.com/articles/2648916886", "매물Link")</f>
        <v/>
      </c>
      <c r="N863" s="5">
        <f>HYPERLINK("https://map.naver.com/p/search/나성동 829", "지도Link")</f>
        <v/>
      </c>
      <c r="O863" s="5">
        <f>HYPERLINK("http://www.eum.go.kr/web/ar/lu/luLandDet.jsp?pnu=3611010700108290000&amp;isNoScr=script&amp;mode=search", "토지이음")</f>
        <v/>
      </c>
      <c r="P863" s="3" t="inlineStr">
        <is>
          <t>국제</t>
        </is>
      </c>
      <c r="Q863" s="3" t="n">
        <v>1</v>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715</v>
      </c>
      <c r="J864" s="3" t="inlineStr">
        <is>
          <t>1</t>
        </is>
      </c>
      <c r="K864" s="3" t="inlineStr">
        <is>
          <t>-</t>
        </is>
      </c>
      <c r="L864" s="3" t="inlineStr">
        <is>
          <t>nan</t>
        </is>
      </c>
      <c r="M864" s="5">
        <f>HYPERLINK("https://fin.land.naver.com/articles/2647708383", "매물Link")</f>
        <v/>
      </c>
      <c r="N864" s="5">
        <f>HYPERLINK("https://map.naver.com/p/search/나성동 829", "지도Link")</f>
        <v/>
      </c>
      <c r="O864" s="5">
        <f>HYPERLINK("http://www.eum.go.kr/web/ar/lu/luLandDet.jsp?pnu=3611010700108290000&amp;isNoScr=script&amp;mode=search", "토지이음")</f>
        <v/>
      </c>
      <c r="P864" s="3" t="inlineStr">
        <is>
          <t>대명</t>
        </is>
      </c>
      <c r="Q864" s="3" t="n">
        <v>1</v>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1300</v>
      </c>
      <c r="J865" s="3" t="inlineStr">
        <is>
          <t>1</t>
        </is>
      </c>
      <c r="K865" s="3" t="inlineStr">
        <is>
          <t>-</t>
        </is>
      </c>
      <c r="L865" s="3" t="inlineStr">
        <is>
          <t>창고 및 공장 가능, 11월 말 입주 가능</t>
        </is>
      </c>
      <c r="M865" s="5">
        <f>HYPERLINK("https://fin.land.naver.com/articles/2647623472", "매물Link")</f>
        <v/>
      </c>
      <c r="N865" s="5">
        <f>HYPERLINK("https://map.naver.com/p/search/나성동 829", "지도Link")</f>
        <v/>
      </c>
      <c r="O865" s="5">
        <f>HYPERLINK("http://www.eum.go.kr/web/ar/lu/luLandDet.jsp?pnu=3611010700108290000&amp;isNoScr=script&amp;mode=search", "토지이음")</f>
        <v/>
      </c>
      <c r="P865" s="3" t="inlineStr">
        <is>
          <t>산업</t>
        </is>
      </c>
      <c r="Q865" s="3" t="n">
        <v>1</v>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721</v>
      </c>
      <c r="J866" s="3" t="inlineStr">
        <is>
          <t>2</t>
        </is>
      </c>
      <c r="K866" s="3" t="inlineStr">
        <is>
          <t>-</t>
        </is>
      </c>
      <c r="L866" s="3" t="inlineStr">
        <is>
          <t>실면적218, HACCP, 내부화장실, 내부사무실</t>
        </is>
      </c>
      <c r="M866" s="5">
        <f>HYPERLINK("https://fin.land.naver.com/articles/2647596306", "매물Link")</f>
        <v/>
      </c>
      <c r="N866" s="5">
        <f>HYPERLINK("https://map.naver.com/p/search/나성동 829", "지도Link")</f>
        <v/>
      </c>
      <c r="O866" s="5">
        <f>HYPERLINK("http://www.eum.go.kr/web/ar/lu/luLandDet.jsp?pnu=3611010700108290000&amp;isNoScr=script&amp;mode=search", "토지이음")</f>
        <v/>
      </c>
      <c r="P866" s="3" t="inlineStr">
        <is>
          <t>가온비즈타워</t>
        </is>
      </c>
      <c r="Q866" s="3" t="n">
        <v>1</v>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98</v>
      </c>
      <c r="J867" s="3" t="inlineStr">
        <is>
          <t>1</t>
        </is>
      </c>
      <c r="K867" s="3" t="inlineStr">
        <is>
          <t>-</t>
        </is>
      </c>
      <c r="L867" s="3" t="inlineStr">
        <is>
          <t>원내동  소형창고 및 사무실 입니다</t>
        </is>
      </c>
      <c r="M867" s="5">
        <f>HYPERLINK("https://fin.land.naver.com/articles/2650117455", "매물Link")</f>
        <v/>
      </c>
      <c r="N867" s="5">
        <f>HYPERLINK("https://map.naver.com/p/search/나성동 829", "지도Link")</f>
        <v/>
      </c>
      <c r="O867" s="5">
        <f>HYPERLINK("http://www.eum.go.kr/web/ar/lu/luLandDet.jsp?pnu=3611010700108290000&amp;isNoScr=script&amp;mode=search", "토지이음")</f>
        <v/>
      </c>
      <c r="P867" s="3" t="inlineStr">
        <is>
          <t>더행복</t>
        </is>
      </c>
      <c r="Q867" s="3" t="n">
        <v>1</v>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363</v>
      </c>
      <c r="J868" s="3" t="inlineStr">
        <is>
          <t>1</t>
        </is>
      </c>
      <c r="K868" s="3" t="inlineStr">
        <is>
          <t>-</t>
        </is>
      </c>
      <c r="L868" s="3" t="inlineStr">
        <is>
          <t>평수넓고 월세저렴한 1층창고 넓은 주차장으로 주차편리 즉시사용</t>
        </is>
      </c>
      <c r="M868" s="5">
        <f>HYPERLINK("https://fin.land.naver.com/articles/2649244230", "매물Link")</f>
        <v/>
      </c>
      <c r="N868" s="5">
        <f>HYPERLINK("https://map.naver.com/p/search/나성동 829", "지도Link")</f>
        <v/>
      </c>
      <c r="O868" s="5">
        <f>HYPERLINK("http://www.eum.go.kr/web/ar/lu/luLandDet.jsp?pnu=3611010700108290000&amp;isNoScr=script&amp;mode=search", "토지이음")</f>
        <v/>
      </c>
      <c r="P868" s="3" t="inlineStr">
        <is>
          <t>제이파크</t>
        </is>
      </c>
      <c r="Q868" s="3" t="n">
        <v>1</v>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363</v>
      </c>
      <c r="J869" s="3" t="inlineStr">
        <is>
          <t>1</t>
        </is>
      </c>
      <c r="K869" s="3" t="inlineStr">
        <is>
          <t>-</t>
        </is>
      </c>
      <c r="L869" s="3" t="inlineStr">
        <is>
          <t>원내동 단독 아주 저렴한 창고 입니다</t>
        </is>
      </c>
      <c r="M869" s="5">
        <f>HYPERLINK("https://fin.land.naver.com/articles/2646374488", "매물Link")</f>
        <v/>
      </c>
      <c r="N869" s="5">
        <f>HYPERLINK("https://map.naver.com/p/search/나성동 829", "지도Link")</f>
        <v/>
      </c>
      <c r="O869" s="5">
        <f>HYPERLINK("http://www.eum.go.kr/web/ar/lu/luLandDet.jsp?pnu=3611010700108290000&amp;isNoScr=script&amp;mode=search", "토지이음")</f>
        <v/>
      </c>
      <c r="P869" s="3" t="inlineStr">
        <is>
          <t>더행복</t>
        </is>
      </c>
      <c r="Q869" s="3" t="n">
        <v>1</v>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200</v>
      </c>
      <c r="J870" s="3" t="inlineStr">
        <is>
          <t>2</t>
        </is>
      </c>
      <c r="K870" s="3" t="inlineStr">
        <is>
          <t>-</t>
        </is>
      </c>
      <c r="L870" s="3" t="inlineStr">
        <is>
          <t>서대전IC근접 진출입편리  주차편리  단독사용하는 창고겸 사무실</t>
        </is>
      </c>
      <c r="M870" s="5">
        <f>HYPERLINK("https://fin.land.naver.com/articles/2648557079", "매물Link")</f>
        <v/>
      </c>
      <c r="N870" s="5">
        <f>HYPERLINK("https://map.naver.com/p/search/나성동 829", "지도Link")</f>
        <v/>
      </c>
      <c r="O870" s="5">
        <f>HYPERLINK("http://www.eum.go.kr/web/ar/lu/luLandDet.jsp?pnu=3611010700108290000&amp;isNoScr=script&amp;mode=search", "토지이음")</f>
        <v/>
      </c>
      <c r="P870" s="3" t="inlineStr">
        <is>
          <t>뉴재벌</t>
        </is>
      </c>
      <c r="Q870" s="3" t="n">
        <v>1</v>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198</v>
      </c>
      <c r="J871" s="3" t="inlineStr">
        <is>
          <t>1</t>
        </is>
      </c>
      <c r="K871" s="3" t="inlineStr">
        <is>
          <t>-</t>
        </is>
      </c>
      <c r="L871" s="3" t="inlineStr">
        <is>
          <t>서대전ic 근접.  유통,제조업가능 .1,2층올근린생활시설</t>
        </is>
      </c>
      <c r="M871" s="5">
        <f>HYPERLINK("https://fin.land.naver.com/articles/2644602806", "매물Link")</f>
        <v/>
      </c>
      <c r="N871" s="5">
        <f>HYPERLINK("https://map.naver.com/p/search/나성동 829", "지도Link")</f>
        <v/>
      </c>
      <c r="O871" s="5">
        <f>HYPERLINK("http://www.eum.go.kr/web/ar/lu/luLandDet.jsp?pnu=3611010700108290000&amp;isNoScr=script&amp;mode=search", "토지이음")</f>
        <v/>
      </c>
      <c r="P871" s="3" t="inlineStr">
        <is>
          <t>지구촌</t>
        </is>
      </c>
      <c r="Q871" s="3" t="n">
        <v>1</v>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214</v>
      </c>
      <c r="J872" s="3" t="inlineStr">
        <is>
          <t>1</t>
        </is>
      </c>
      <c r="K872" s="3" t="inlineStr">
        <is>
          <t>-</t>
        </is>
      </c>
      <c r="L872" s="3" t="inlineStr">
        <is>
          <t>서대전ic  근접. 유통,  제조 가능  .진출입.주차편리</t>
        </is>
      </c>
      <c r="M872" s="5">
        <f>HYPERLINK("https://fin.land.naver.com/articles/2644600243", "매물Link")</f>
        <v/>
      </c>
      <c r="N872" s="5">
        <f>HYPERLINK("https://map.naver.com/p/search/나성동 829", "지도Link")</f>
        <v/>
      </c>
      <c r="O872" s="5">
        <f>HYPERLINK("http://www.eum.go.kr/web/ar/lu/luLandDet.jsp?pnu=3611010700108290000&amp;isNoScr=script&amp;mode=search", "토지이음")</f>
        <v/>
      </c>
      <c r="P872" s="3" t="inlineStr">
        <is>
          <t>지구촌</t>
        </is>
      </c>
      <c r="Q872" s="3" t="n">
        <v>1</v>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709</v>
      </c>
      <c r="J873" s="3" t="inlineStr">
        <is>
          <t>1</t>
        </is>
      </c>
      <c r="K873" s="3" t="inlineStr">
        <is>
          <t>-</t>
        </is>
      </c>
      <c r="L873" s="3" t="inlineStr">
        <is>
          <t>대전 서구 평촌산업단지와 접한 공장</t>
        </is>
      </c>
      <c r="M873" s="5">
        <f>HYPERLINK("https://fin.land.naver.com/articles/2646695774", "매물Link")</f>
        <v/>
      </c>
      <c r="N873" s="5">
        <f>HYPERLINK("https://map.naver.com/p/search/나성동 829", "지도Link")</f>
        <v/>
      </c>
      <c r="O873" s="5">
        <f>HYPERLINK("http://www.eum.go.kr/web/ar/lu/luLandDet.jsp?pnu=3611010700108290000&amp;isNoScr=script&amp;mode=search", "토지이음")</f>
        <v/>
      </c>
      <c r="P873" s="3" t="inlineStr">
        <is>
          <t>왕중왕기업</t>
        </is>
      </c>
      <c r="Q873" s="3" t="n">
        <v>1</v>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698</v>
      </c>
      <c r="J874" s="3" t="inlineStr">
        <is>
          <t>1</t>
        </is>
      </c>
      <c r="K874" s="3" t="inlineStr">
        <is>
          <t>-</t>
        </is>
      </c>
      <c r="L874" s="3" t="inlineStr">
        <is>
          <t>대전인근 넓은 부지의 깨끗한 공장</t>
        </is>
      </c>
      <c r="M874" s="5">
        <f>HYPERLINK("https://fin.land.naver.com/articles/2646841007", "매물Link")</f>
        <v/>
      </c>
      <c r="N874" s="5">
        <f>HYPERLINK("https://map.naver.com/p/search/나성동 829", "지도Link")</f>
        <v/>
      </c>
      <c r="O874" s="5">
        <f>HYPERLINK("http://www.eum.go.kr/web/ar/lu/luLandDet.jsp?pnu=3611010700108290000&amp;isNoScr=script&amp;mode=search", "토지이음")</f>
        <v/>
      </c>
      <c r="P874" s="3" t="inlineStr">
        <is>
          <t>미래로</t>
        </is>
      </c>
      <c r="Q874" s="3" t="n">
        <v>1</v>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286</v>
      </c>
      <c r="J875" s="3" t="inlineStr">
        <is>
          <t>2</t>
        </is>
      </c>
      <c r="K875" s="3" t="inlineStr">
        <is>
          <t>-</t>
        </is>
      </c>
      <c r="L875" s="3" t="inlineStr">
        <is>
          <t>창고 및 사무실건물 매매  전면 넓어 상하차용이 층고높음 입주협의</t>
        </is>
      </c>
      <c r="M875" s="5">
        <f>HYPERLINK("https://fin.land.naver.com/articles/2645709956", "매물Link")</f>
        <v/>
      </c>
      <c r="N875" s="5">
        <f>HYPERLINK("https://map.naver.com/p/search/나성동 829", "지도Link")</f>
        <v/>
      </c>
      <c r="O875" s="5">
        <f>HYPERLINK("http://www.eum.go.kr/web/ar/lu/luLandDet.jsp?pnu=3611010700108290000&amp;isNoScr=script&amp;mode=search", "토지이음")</f>
        <v/>
      </c>
      <c r="P875" s="3" t="inlineStr">
        <is>
          <t>학하랜드</t>
        </is>
      </c>
      <c r="Q875" s="3" t="n">
        <v>1</v>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353</v>
      </c>
      <c r="J876" s="3" t="inlineStr">
        <is>
          <t>2</t>
        </is>
      </c>
      <c r="K876" s="3" t="inlineStr">
        <is>
          <t>-</t>
        </is>
      </c>
      <c r="L876" s="3" t="inlineStr">
        <is>
          <t>상업지 위치 신축급 창고 매수후 실사용 또는   수익성 임대사업 추천</t>
        </is>
      </c>
      <c r="M876" s="5">
        <f>HYPERLINK("https://fin.land.naver.com/articles/2644718649", "매물Link")</f>
        <v/>
      </c>
      <c r="N876" s="5">
        <f>HYPERLINK("https://map.naver.com/p/search/나성동 829", "지도Link")</f>
        <v/>
      </c>
      <c r="O876" s="5">
        <f>HYPERLINK("http://www.eum.go.kr/web/ar/lu/luLandDet.jsp?pnu=3611010700108290000&amp;isNoScr=script&amp;mode=search", "토지이음")</f>
        <v/>
      </c>
      <c r="P876" s="3" t="inlineStr">
        <is>
          <t>학하랜드</t>
        </is>
      </c>
      <c r="Q876" s="3" t="n">
        <v>1</v>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130</v>
      </c>
      <c r="J877" s="3" t="inlineStr">
        <is>
          <t>1</t>
        </is>
      </c>
      <c r="K877" s="3" t="inlineStr">
        <is>
          <t>-</t>
        </is>
      </c>
      <c r="L877" s="3" t="inlineStr">
        <is>
          <t>nan</t>
        </is>
      </c>
      <c r="M877" s="5">
        <f>HYPERLINK("https://fin.land.naver.com/articles/2648140642", "매물Link")</f>
        <v/>
      </c>
      <c r="N877" s="5">
        <f>HYPERLINK("https://map.naver.com/p/search/나성동 829", "지도Link")</f>
        <v/>
      </c>
      <c r="O877" s="5">
        <f>HYPERLINK("http://www.eum.go.kr/web/ar/lu/luLandDet.jsp?pnu=3611010700108290000&amp;isNoScr=script&amp;mode=search", "토지이음")</f>
        <v/>
      </c>
      <c r="P877" s="3" t="inlineStr">
        <is>
          <t>가경</t>
        </is>
      </c>
      <c r="Q877" s="3" t="n">
        <v>1</v>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256</v>
      </c>
      <c r="J878" s="3" t="inlineStr">
        <is>
          <t>2</t>
        </is>
      </c>
      <c r="K878" s="3" t="inlineStr">
        <is>
          <t>-</t>
        </is>
      </c>
      <c r="L878" s="3" t="inlineStr">
        <is>
          <t>위치좋은 점포 창고시설 근린생활시설 용도로 협의입점 가능합니다</t>
        </is>
      </c>
      <c r="M878" s="5">
        <f>HYPERLINK("https://fin.land.naver.com/articles/2645866594", "매물Link")</f>
        <v/>
      </c>
      <c r="N878" s="5">
        <f>HYPERLINK("https://map.naver.com/p/search/나성동 829", "지도Link")</f>
        <v/>
      </c>
      <c r="O878" s="5">
        <f>HYPERLINK("http://www.eum.go.kr/web/ar/lu/luLandDet.jsp?pnu=3611010700108290000&amp;isNoScr=script&amp;mode=search", "토지이음")</f>
        <v/>
      </c>
      <c r="P878" s="3" t="inlineStr">
        <is>
          <t>드리움행운</t>
        </is>
      </c>
      <c r="Q878" s="3" t="n">
        <v>1</v>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593</v>
      </c>
      <c r="J879" s="3" t="inlineStr">
        <is>
          <t>1</t>
        </is>
      </c>
      <c r="K879" s="3" t="inlineStr">
        <is>
          <t>-</t>
        </is>
      </c>
      <c r="L879" s="3" t="inlineStr">
        <is>
          <t>서대전IC차량시간 5분대접근 가능한 창고</t>
        </is>
      </c>
      <c r="M879" s="5">
        <f>HYPERLINK("https://fin.land.naver.com/articles/2645570110", "매물Link")</f>
        <v/>
      </c>
      <c r="N879" s="5">
        <f>HYPERLINK("https://map.naver.com/p/search/나성동 829", "지도Link")</f>
        <v/>
      </c>
      <c r="O879" s="5">
        <f>HYPERLINK("http://www.eum.go.kr/web/ar/lu/luLandDet.jsp?pnu=3611010700108290000&amp;isNoScr=script&amp;mode=search", "토지이음")</f>
        <v/>
      </c>
      <c r="P879" s="3" t="inlineStr">
        <is>
          <t>미래로</t>
        </is>
      </c>
      <c r="Q879" s="3" t="n">
        <v>1</v>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429</v>
      </c>
      <c r="J880" s="3" t="inlineStr">
        <is>
          <t>1</t>
        </is>
      </c>
      <c r="K880" s="3" t="inlineStr">
        <is>
          <t>-</t>
        </is>
      </c>
      <c r="L880" s="3" t="inlineStr">
        <is>
          <t>사진, 서세종IC10분, 리모델링완료, 호이스트5톤, 외부겐트리,민원없음</t>
        </is>
      </c>
      <c r="M880" s="5">
        <f>HYPERLINK("https://fin.land.naver.com/articles/2644885623", "매물Link")</f>
        <v/>
      </c>
      <c r="N880" s="5">
        <f>HYPERLINK("https://map.naver.com/p/search/나성동 829", "지도Link")</f>
        <v/>
      </c>
      <c r="O880" s="5">
        <f>HYPERLINK("http://www.eum.go.kr/web/ar/lu/luLandDet.jsp?pnu=3611010700108290000&amp;isNoScr=script&amp;mode=search", "토지이음")</f>
        <v/>
      </c>
      <c r="P880" s="3" t="inlineStr">
        <is>
          <t>OK허니</t>
        </is>
      </c>
      <c r="Q880" s="3" t="n">
        <v>1</v>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343</v>
      </c>
      <c r="J881" s="3" t="inlineStr">
        <is>
          <t>1</t>
        </is>
      </c>
      <c r="K881" s="3" t="inlineStr">
        <is>
          <t>B1</t>
        </is>
      </c>
      <c r="L881" s="3" t="inlineStr">
        <is>
          <t>탄방동 창고와 대지 매매</t>
        </is>
      </c>
      <c r="M881" s="5">
        <f>HYPERLINK("https://fin.land.naver.com/articles/2644679526", "매물Link")</f>
        <v/>
      </c>
      <c r="N881" s="5">
        <f>HYPERLINK("https://map.naver.com/p/search/나성동 829", "지도Link")</f>
        <v/>
      </c>
      <c r="O881" s="5">
        <f>HYPERLINK("http://www.eum.go.kr/web/ar/lu/luLandDet.jsp?pnu=3611010700108290000&amp;isNoScr=script&amp;mode=search", "토지이음")</f>
        <v/>
      </c>
      <c r="P881" s="3" t="inlineStr">
        <is>
          <t>대별</t>
        </is>
      </c>
      <c r="Q881" s="3" t="n">
        <v>1</v>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4986</v>
      </c>
      <c r="J882" s="3" t="inlineStr">
        <is>
          <t>1</t>
        </is>
      </c>
      <c r="K882" s="3" t="inlineStr">
        <is>
          <t>-</t>
        </is>
      </c>
      <c r="L882" s="3" t="inlineStr">
        <is>
          <t>물류창고</t>
        </is>
      </c>
      <c r="M882" s="5">
        <f>HYPERLINK("https://fin.land.naver.com/articles/2645408390", "매물Link")</f>
        <v/>
      </c>
      <c r="N882" s="5">
        <f>HYPERLINK("https://map.naver.com/p/search/나성동 829", "지도Link")</f>
        <v/>
      </c>
      <c r="O882" s="5">
        <f>HYPERLINK("http://www.eum.go.kr/web/ar/lu/luLandDet.jsp?pnu=3611010700108290000&amp;isNoScr=script&amp;mode=search", "토지이음")</f>
        <v/>
      </c>
      <c r="P882" s="3" t="inlineStr">
        <is>
          <t>운산</t>
        </is>
      </c>
      <c r="Q882" s="3" t="n">
        <v>1</v>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430</v>
      </c>
      <c r="J883" s="3" t="inlineStr">
        <is>
          <t>2</t>
        </is>
      </c>
      <c r="K883" s="3" t="inlineStr">
        <is>
          <t>-</t>
        </is>
      </c>
      <c r="L883" s="3" t="inlineStr">
        <is>
          <t>nan</t>
        </is>
      </c>
      <c r="M883" s="5">
        <f>HYPERLINK("https://fin.land.naver.com/articles/2645117975", "매물Link")</f>
        <v/>
      </c>
      <c r="N883" s="5">
        <f>HYPERLINK("https://map.naver.com/p/search/나성동 829", "지도Link")</f>
        <v/>
      </c>
      <c r="O883" s="5">
        <f>HYPERLINK("http://www.eum.go.kr/web/ar/lu/luLandDet.jsp?pnu=3611010700108290000&amp;isNoScr=script&amp;mode=search", "토지이음")</f>
        <v/>
      </c>
      <c r="P883" s="3" t="inlineStr">
        <is>
          <t>신탄진다온</t>
        </is>
      </c>
      <c r="Q883" s="3" t="n">
        <v>1</v>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1793</v>
      </c>
      <c r="J884" s="3" t="inlineStr">
        <is>
          <t>2</t>
        </is>
      </c>
      <c r="K884" s="3" t="inlineStr">
        <is>
          <t>-</t>
        </is>
      </c>
      <c r="L884" s="3" t="inlineStr">
        <is>
          <t>현도면행정복지센터에서 약 3km 인근 공장</t>
        </is>
      </c>
      <c r="M884" s="5">
        <f>HYPERLINK("https://fin.land.naver.com/articles/2644778526", "매물Link")</f>
        <v/>
      </c>
      <c r="N884" s="5">
        <f>HYPERLINK("https://map.naver.com/p/search/나성동 829", "지도Link")</f>
        <v/>
      </c>
      <c r="O884" s="5">
        <f>HYPERLINK("http://www.eum.go.kr/web/ar/lu/luLandDet.jsp?pnu=3611010700108290000&amp;isNoScr=script&amp;mode=search", "토지이음")</f>
        <v/>
      </c>
      <c r="P884" s="3" t="inlineStr">
        <is>
          <t>태평</t>
        </is>
      </c>
      <c r="Q884" s="3" t="n">
        <v>1</v>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6971</v>
      </c>
      <c r="J885" s="3" t="inlineStr">
        <is>
          <t>2</t>
        </is>
      </c>
      <c r="K885" s="3" t="inlineStr">
        <is>
          <t>-</t>
        </is>
      </c>
      <c r="L885" s="3" t="inlineStr">
        <is>
          <t>남청주I.C에서 7km 거리에 물류창고 2100(3.3m2)</t>
        </is>
      </c>
      <c r="M885" s="5">
        <f>HYPERLINK("https://fin.land.naver.com/articles/2644294295", "매물Link")</f>
        <v/>
      </c>
      <c r="N885" s="5">
        <f>HYPERLINK("https://map.naver.com/p/search/나성동 829", "지도Link")</f>
        <v/>
      </c>
      <c r="O885" s="5">
        <f>HYPERLINK("http://www.eum.go.kr/web/ar/lu/luLandDet.jsp?pnu=3611010700108290000&amp;isNoScr=script&amp;mode=search", "토지이음")</f>
        <v/>
      </c>
      <c r="P885" s="3" t="inlineStr">
        <is>
          <t>명당</t>
        </is>
      </c>
      <c r="Q885" s="3" t="n">
        <v>1</v>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196</v>
      </c>
      <c r="J886" s="3" t="inlineStr">
        <is>
          <t>1</t>
        </is>
      </c>
      <c r="K886" s="3" t="inlineStr">
        <is>
          <t>-</t>
        </is>
      </c>
      <c r="L886" s="3" t="inlineStr">
        <is>
          <t>세종시 귀한 창고임대 저렴  협의입주</t>
        </is>
      </c>
      <c r="M886" s="5">
        <f>HYPERLINK("https://fin.land.naver.com/articles/2648062677", "매물Link")</f>
        <v/>
      </c>
      <c r="N886" s="5">
        <f>HYPERLINK("https://map.naver.com/p/search/나성동 829", "지도Link")</f>
        <v/>
      </c>
      <c r="O886" s="5">
        <f>HYPERLINK("http://www.eum.go.kr/web/ar/lu/luLandDet.jsp?pnu=3611010700108290000&amp;isNoScr=script&amp;mode=search", "토지이음")</f>
        <v/>
      </c>
      <c r="P886" s="3" t="inlineStr">
        <is>
          <t>행복주는</t>
        </is>
      </c>
      <c r="Q886" s="3" t="n">
        <v>1</v>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196</v>
      </c>
      <c r="J887" s="3" t="inlineStr">
        <is>
          <t>1</t>
        </is>
      </c>
      <c r="K887" s="3" t="inlineStr">
        <is>
          <t>-</t>
        </is>
      </c>
      <c r="L887" s="3" t="inlineStr">
        <is>
          <t>세종시 귀한창고임대</t>
        </is>
      </c>
      <c r="M887" s="5">
        <f>HYPERLINK("https://fin.land.naver.com/articles/2648062675", "매물Link")</f>
        <v/>
      </c>
      <c r="N887" s="5">
        <f>HYPERLINK("https://map.naver.com/p/search/나성동 829", "지도Link")</f>
        <v/>
      </c>
      <c r="O887" s="5">
        <f>HYPERLINK("http://www.eum.go.kr/web/ar/lu/luLandDet.jsp?pnu=3611010700108290000&amp;isNoScr=script&amp;mode=search", "토지이음")</f>
        <v/>
      </c>
      <c r="P887" s="3" t="inlineStr">
        <is>
          <t>행복주는</t>
        </is>
      </c>
      <c r="Q887" s="3" t="n">
        <v>1</v>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807</v>
      </c>
      <c r="J888" s="3" t="inlineStr">
        <is>
          <t>2</t>
        </is>
      </c>
      <c r="K888" s="3" t="inlineStr">
        <is>
          <t>-</t>
        </is>
      </c>
      <c r="L888" s="3" t="inlineStr">
        <is>
          <t>대전과 세종 접근성 좋은 물류창고 매매합니다.</t>
        </is>
      </c>
      <c r="M888" s="5">
        <f>HYPERLINK("https://fin.land.naver.com/articles/2649717932", "매물Link")</f>
        <v/>
      </c>
      <c r="N888" s="5">
        <f>HYPERLINK("https://map.naver.com/p/search/나성동 829", "지도Link")</f>
        <v/>
      </c>
      <c r="O888" s="5">
        <f>HYPERLINK("http://www.eum.go.kr/web/ar/lu/luLandDet.jsp?pnu=3611010700108290000&amp;isNoScr=script&amp;mode=search", "토지이음")</f>
        <v/>
      </c>
      <c r="P888" s="3" t="inlineStr">
        <is>
          <t>티오피(주)</t>
        </is>
      </c>
      <c r="Q888" s="3" t="n">
        <v>1</v>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196</v>
      </c>
      <c r="J889" s="3" t="inlineStr">
        <is>
          <t>1</t>
        </is>
      </c>
      <c r="K889" s="3" t="inlineStr">
        <is>
          <t>-</t>
        </is>
      </c>
      <c r="L889" s="3" t="inlineStr">
        <is>
          <t>사진, 유성세종, 남세종IC10분,전용마당,1종근생,내부화장실,바닥에폭시</t>
        </is>
      </c>
      <c r="M889" s="5">
        <f>HYPERLINK("https://fin.land.naver.com/articles/2649570381", "매물Link")</f>
        <v/>
      </c>
      <c r="N889" s="5">
        <f>HYPERLINK("https://map.naver.com/p/search/나성동 829", "지도Link")</f>
        <v/>
      </c>
      <c r="O889" s="5">
        <f>HYPERLINK("http://www.eum.go.kr/web/ar/lu/luLandDet.jsp?pnu=3611010700108290000&amp;isNoScr=script&amp;mode=search", "토지이음")</f>
        <v/>
      </c>
      <c r="P889" s="3" t="inlineStr">
        <is>
          <t>OK허니</t>
        </is>
      </c>
      <c r="Q889" s="3" t="n">
        <v>1</v>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196</v>
      </c>
      <c r="J890" s="3" t="inlineStr">
        <is>
          <t>1</t>
        </is>
      </c>
      <c r="K890" s="3" t="inlineStr">
        <is>
          <t>-</t>
        </is>
      </c>
      <c r="L890" s="3" t="inlineStr">
        <is>
          <t>사진, 남세종IC10분,민원없음,전용마당,1종근생,내부화장실,바닥에폭시</t>
        </is>
      </c>
      <c r="M890" s="5">
        <f>HYPERLINK("https://fin.land.naver.com/articles/2649569250", "매물Link")</f>
        <v/>
      </c>
      <c r="N890" s="5">
        <f>HYPERLINK("https://map.naver.com/p/search/나성동 829", "지도Link")</f>
        <v/>
      </c>
      <c r="O890" s="5">
        <f>HYPERLINK("http://www.eum.go.kr/web/ar/lu/luLandDet.jsp?pnu=3611010700108290000&amp;isNoScr=script&amp;mode=search", "토지이음")</f>
        <v/>
      </c>
      <c r="P890" s="3" t="inlineStr">
        <is>
          <t>OK허니</t>
        </is>
      </c>
      <c r="Q890" s="3" t="n">
        <v>1</v>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127</v>
      </c>
      <c r="J891" s="3" t="inlineStr">
        <is>
          <t>2</t>
        </is>
      </c>
      <c r="K891" s="3" t="inlineStr">
        <is>
          <t>-</t>
        </is>
      </c>
      <c r="L891" s="3" t="inlineStr">
        <is>
          <t>대전과 세종인근의 저렴 창고 임대, 남세종IC 10분이내</t>
        </is>
      </c>
      <c r="M891" s="5">
        <f>HYPERLINK("https://fin.land.naver.com/articles/2649324805", "매물Link")</f>
        <v/>
      </c>
      <c r="N891" s="5">
        <f>HYPERLINK("https://map.naver.com/p/search/나성동 829", "지도Link")</f>
        <v/>
      </c>
      <c r="O891" s="5">
        <f>HYPERLINK("http://www.eum.go.kr/web/ar/lu/luLandDet.jsp?pnu=3611010700108290000&amp;isNoScr=script&amp;mode=search", "토지이음")</f>
        <v/>
      </c>
      <c r="P891" s="3" t="inlineStr">
        <is>
          <t>세종다올</t>
        </is>
      </c>
      <c r="Q891" s="3" t="n">
        <v>1</v>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256</v>
      </c>
      <c r="J892" s="3" t="inlineStr">
        <is>
          <t>1</t>
        </is>
      </c>
      <c r="K892" s="3" t="inlineStr">
        <is>
          <t>-</t>
        </is>
      </c>
      <c r="L892" s="3" t="inlineStr">
        <is>
          <t>농수산물 가공 가능한 창고</t>
        </is>
      </c>
      <c r="M892" s="5">
        <f>HYPERLINK("https://fin.land.naver.com/articles/2644001805", "매물Link")</f>
        <v/>
      </c>
      <c r="N892" s="5">
        <f>HYPERLINK("https://map.naver.com/p/search/나성동 829", "지도Link")</f>
        <v/>
      </c>
      <c r="O892" s="5">
        <f>HYPERLINK("http://www.eum.go.kr/web/ar/lu/luLandDet.jsp?pnu=3611010700108290000&amp;isNoScr=script&amp;mode=search", "토지이음")</f>
        <v/>
      </c>
      <c r="P892" s="3" t="inlineStr">
        <is>
          <t>새땅</t>
        </is>
      </c>
      <c r="Q892" s="3" t="n">
        <v>1</v>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195</v>
      </c>
      <c r="J893" s="3" t="inlineStr">
        <is>
          <t>1</t>
        </is>
      </c>
      <c r="K893" s="3" t="inlineStr">
        <is>
          <t>-</t>
        </is>
      </c>
      <c r="L893" s="3" t="inlineStr">
        <is>
          <t>흑석동 민원 절대 없는 창고매매</t>
        </is>
      </c>
      <c r="M893" s="5">
        <f>HYPERLINK("https://fin.land.naver.com/articles/2646040902", "매물Link")</f>
        <v/>
      </c>
      <c r="N893" s="5">
        <f>HYPERLINK("https://map.naver.com/p/search/나성동 829", "지도Link")</f>
        <v/>
      </c>
      <c r="O893" s="5">
        <f>HYPERLINK("http://www.eum.go.kr/web/ar/lu/luLandDet.jsp?pnu=3611010700108290000&amp;isNoScr=script&amp;mode=search", "토지이음")</f>
        <v/>
      </c>
      <c r="P893" s="3" t="inlineStr">
        <is>
          <t>왕중왕기업</t>
        </is>
      </c>
      <c r="Q893" s="3" t="n">
        <v>1</v>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189</v>
      </c>
      <c r="J894" s="3" t="inlineStr">
        <is>
          <t>1</t>
        </is>
      </c>
      <c r="K894" s="3" t="inlineStr">
        <is>
          <t>-</t>
        </is>
      </c>
      <c r="L894" s="3" t="inlineStr">
        <is>
          <t>서대전 ic 1분 마당 있는 창고 겸 사무실 가능</t>
        </is>
      </c>
      <c r="M894" s="5">
        <f>HYPERLINK("https://fin.land.naver.com/articles/2648850872", "매물Link")</f>
        <v/>
      </c>
      <c r="N894" s="5">
        <f>HYPERLINK("https://map.naver.com/p/search/나성동 829", "지도Link")</f>
        <v/>
      </c>
      <c r="O894" s="5">
        <f>HYPERLINK("http://www.eum.go.kr/web/ar/lu/luLandDet.jsp?pnu=3611010700108290000&amp;isNoScr=script&amp;mode=search", "토지이음")</f>
        <v/>
      </c>
      <c r="P894" s="3" t="inlineStr">
        <is>
          <t>KS</t>
        </is>
      </c>
      <c r="Q894" s="3" t="n">
        <v>1</v>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2135</v>
      </c>
      <c r="J895" s="3" t="inlineStr">
        <is>
          <t>3</t>
        </is>
      </c>
      <c r="K895" s="3" t="inlineStr">
        <is>
          <t>-</t>
        </is>
      </c>
      <c r="L895" s="3" t="inlineStr">
        <is>
          <t>관저동 대로변 접근성 좋은 창고 임대</t>
        </is>
      </c>
      <c r="M895" s="5">
        <f>HYPERLINK("https://fin.land.naver.com/articles/2648783374", "매물Link")</f>
        <v/>
      </c>
      <c r="N895" s="5">
        <f>HYPERLINK("https://map.naver.com/p/search/나성동 829", "지도Link")</f>
        <v/>
      </c>
      <c r="O895" s="5">
        <f>HYPERLINK("http://www.eum.go.kr/web/ar/lu/luLandDet.jsp?pnu=3611010700108290000&amp;isNoScr=script&amp;mode=search", "토지이음")</f>
        <v/>
      </c>
      <c r="P895" s="3" t="inlineStr">
        <is>
          <t>관저밀리온</t>
        </is>
      </c>
      <c r="Q895" s="3" t="n">
        <v>1</v>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165</v>
      </c>
      <c r="J896" s="3" t="inlineStr">
        <is>
          <t>1</t>
        </is>
      </c>
      <c r="K896" s="3" t="inlineStr">
        <is>
          <t>B1</t>
        </is>
      </c>
      <c r="L896" s="3" t="inlineStr">
        <is>
          <t>12미터 도로 접한   위치 좋고 시세보다 저렴한  토지  매매</t>
        </is>
      </c>
      <c r="M896" s="5">
        <f>HYPERLINK("https://fin.land.naver.com/articles/2644746022", "매물Link")</f>
        <v/>
      </c>
      <c r="N896" s="5">
        <f>HYPERLINK("https://map.naver.com/p/search/나성동 829", "지도Link")</f>
        <v/>
      </c>
      <c r="O896" s="5">
        <f>HYPERLINK("http://www.eum.go.kr/web/ar/lu/luLandDet.jsp?pnu=3611010700108290000&amp;isNoScr=script&amp;mode=search", "토지이음")</f>
        <v/>
      </c>
      <c r="P896" s="3" t="inlineStr">
        <is>
          <t>코끼리</t>
        </is>
      </c>
      <c r="Q896" s="3" t="n">
        <v>1</v>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418</v>
      </c>
      <c r="J897" s="3" t="inlineStr">
        <is>
          <t>2</t>
        </is>
      </c>
      <c r="K897" s="3" t="inlineStr">
        <is>
          <t>B1</t>
        </is>
      </c>
      <c r="L897" s="3" t="inlineStr">
        <is>
          <t>가수원동 깨끗한 창고 건물</t>
        </is>
      </c>
      <c r="M897" s="5">
        <f>HYPERLINK("https://fin.land.naver.com/articles/2646924705", "매물Link")</f>
        <v/>
      </c>
      <c r="N897" s="5">
        <f>HYPERLINK("https://map.naver.com/p/search/나성동 829", "지도Link")</f>
        <v/>
      </c>
      <c r="O897" s="5">
        <f>HYPERLINK("http://www.eum.go.kr/web/ar/lu/luLandDet.jsp?pnu=3611010700108290000&amp;isNoScr=script&amp;mode=search", "토지이음")</f>
        <v/>
      </c>
      <c r="P897" s="3" t="inlineStr">
        <is>
          <t>미래로</t>
        </is>
      </c>
      <c r="Q897" s="3" t="n">
        <v>1</v>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288</v>
      </c>
      <c r="J898" s="3" t="inlineStr">
        <is>
          <t>1</t>
        </is>
      </c>
      <c r="K898" s="3" t="inlineStr">
        <is>
          <t>-</t>
        </is>
      </c>
      <c r="L898" s="3" t="inlineStr">
        <is>
          <t>공장 및 창고 최적의 위치</t>
        </is>
      </c>
      <c r="M898" s="5">
        <f>HYPERLINK("https://fin.land.naver.com/articles/2647120866", "매물Link")</f>
        <v/>
      </c>
      <c r="N898" s="5">
        <f>HYPERLINK("https://map.naver.com/p/search/나성동 829", "지도Link")</f>
        <v/>
      </c>
      <c r="O898" s="5">
        <f>HYPERLINK("http://www.eum.go.kr/web/ar/lu/luLandDet.jsp?pnu=3611010700108290000&amp;isNoScr=script&amp;mode=search", "토지이음")</f>
        <v/>
      </c>
      <c r="P898" s="3" t="inlineStr">
        <is>
          <t>신영</t>
        </is>
      </c>
      <c r="Q898" s="3" t="n">
        <v>1</v>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180</v>
      </c>
      <c r="J899" s="3" t="inlineStr">
        <is>
          <t>2</t>
        </is>
      </c>
      <c r="K899" s="3" t="inlineStr">
        <is>
          <t>-</t>
        </is>
      </c>
      <c r="L899" s="3" t="inlineStr">
        <is>
          <t>대전근교창고시설</t>
        </is>
      </c>
      <c r="M899" s="5">
        <f>HYPERLINK("https://fin.land.naver.com/articles/2648321141", "매물Link")</f>
        <v/>
      </c>
      <c r="N899" s="5">
        <f>HYPERLINK("https://map.naver.com/p/search/나성동 829", "지도Link")</f>
        <v/>
      </c>
      <c r="O899" s="5">
        <f>HYPERLINK("http://www.eum.go.kr/web/ar/lu/luLandDet.jsp?pnu=3611010700108290000&amp;isNoScr=script&amp;mode=search", "토지이음")</f>
        <v/>
      </c>
      <c r="P899" s="3" t="inlineStr">
        <is>
          <t>관저리슈빌</t>
        </is>
      </c>
      <c r="Q899" s="3" t="n">
        <v>1</v>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758</v>
      </c>
      <c r="J900" s="3" t="inlineStr">
        <is>
          <t>2</t>
        </is>
      </c>
      <c r="K900" s="3" t="inlineStr">
        <is>
          <t>-</t>
        </is>
      </c>
      <c r="L900" s="3" t="inlineStr">
        <is>
          <t>접근성좋은 소형공장, 2차선변위치</t>
        </is>
      </c>
      <c r="M900" s="5">
        <f>HYPERLINK("https://fin.land.naver.com/articles/2649707505", "매물Link")</f>
        <v/>
      </c>
      <c r="N900" s="5">
        <f>HYPERLINK("https://map.naver.com/p/search/부강면 갈산리 402", "지도Link")</f>
        <v/>
      </c>
      <c r="O900" s="5">
        <f>HYPERLINK("http://www.eum.go.kr/web/ar/lu/luLandDet.jsp?pnu=3611033024104020000&amp;isNoScr=script&amp;mode=search", "토지이음")</f>
        <v/>
      </c>
      <c r="P900" s="3" t="inlineStr">
        <is>
          <t>창고의여왕</t>
        </is>
      </c>
      <c r="Q900" s="3" t="n">
        <v>2</v>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493</v>
      </c>
      <c r="J901" s="3" t="inlineStr">
        <is>
          <t>2</t>
        </is>
      </c>
      <c r="K901" s="3" t="inlineStr">
        <is>
          <t>-</t>
        </is>
      </c>
      <c r="L901" s="3" t="inlineStr">
        <is>
          <t>nan</t>
        </is>
      </c>
      <c r="M901" s="5">
        <f>HYPERLINK("https://fin.land.naver.com/articles/2648397794", "매물Link")</f>
        <v/>
      </c>
      <c r="N901" s="5">
        <f>HYPERLINK("https://map.naver.com/p/search/부강면 갈산리 402", "지도Link")</f>
        <v/>
      </c>
      <c r="O901" s="5">
        <f>HYPERLINK("http://www.eum.go.kr/web/ar/lu/luLandDet.jsp?pnu=3611033024104020000&amp;isNoScr=script&amp;mode=search", "토지이음")</f>
        <v/>
      </c>
      <c r="P901" s="3" t="inlineStr">
        <is>
          <t>e플러스</t>
        </is>
      </c>
      <c r="Q901" s="3" t="n">
        <v>1</v>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758</v>
      </c>
      <c r="J902" s="3" t="inlineStr">
        <is>
          <t>2</t>
        </is>
      </c>
      <c r="K902" s="3" t="inlineStr">
        <is>
          <t>-</t>
        </is>
      </c>
      <c r="L902" s="3" t="inlineStr">
        <is>
          <t>교통편리한 부강교차로 옆 저렴한 공장창고 임대</t>
        </is>
      </c>
      <c r="M902" s="5">
        <f>HYPERLINK("https://fin.land.naver.com/articles/2646987700", "매물Link")</f>
        <v/>
      </c>
      <c r="N902" s="5">
        <f>HYPERLINK("https://map.naver.com/p/search/부강면 갈산리 402", "지도Link")</f>
        <v/>
      </c>
      <c r="O902" s="5">
        <f>HYPERLINK("http://www.eum.go.kr/web/ar/lu/luLandDet.jsp?pnu=3611033024104020000&amp;isNoScr=script&amp;mode=search", "토지이음")</f>
        <v/>
      </c>
      <c r="P902" s="3" t="inlineStr">
        <is>
          <t>세종행복한</t>
        </is>
      </c>
      <c r="Q902" s="3" t="n">
        <v>1</v>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306</v>
      </c>
      <c r="J903" s="3" t="inlineStr">
        <is>
          <t>1</t>
        </is>
      </c>
      <c r="K903" s="3" t="inlineStr">
        <is>
          <t>-</t>
        </is>
      </c>
      <c r="L903" s="3" t="inlineStr">
        <is>
          <t>nan</t>
        </is>
      </c>
      <c r="M903" s="5">
        <f>HYPERLINK("https://fin.land.naver.com/articles/2648769930", "매물Link")</f>
        <v/>
      </c>
      <c r="N903" s="5">
        <f>HYPERLINK("https://map.naver.com/p/search/부강면 금호리 222-1", "지도Link")</f>
        <v/>
      </c>
      <c r="O903" s="5">
        <f>HYPERLINK("http://www.eum.go.kr/web/ar/lu/luLandDet.jsp?pnu=3611033028102220001&amp;isNoScr=script&amp;mode=search", "토지이음")</f>
        <v/>
      </c>
      <c r="P903" s="3" t="inlineStr">
        <is>
          <t>다온팩토리</t>
        </is>
      </c>
      <c r="Q903" s="3" t="n">
        <v>1</v>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352</v>
      </c>
      <c r="J904" s="3" t="inlineStr">
        <is>
          <t>1</t>
        </is>
      </c>
      <c r="K904" s="3" t="inlineStr">
        <is>
          <t>-</t>
        </is>
      </c>
      <c r="L904" s="3" t="inlineStr">
        <is>
          <t>nan</t>
        </is>
      </c>
      <c r="M904" s="5">
        <f>HYPERLINK("https://fin.land.naver.com/articles/2644445671", "매물Link")</f>
        <v/>
      </c>
      <c r="N904" s="5">
        <f>HYPERLINK("https://map.naver.com/p/search/부강면 금호리 277-2", "지도Link")</f>
        <v/>
      </c>
      <c r="O904" s="5">
        <f>HYPERLINK("http://www.eum.go.kr/web/ar/lu/luLandDet.jsp?pnu=3611033028102770002&amp;isNoScr=script&amp;mode=search", "토지이음")</f>
        <v/>
      </c>
      <c r="P904" s="3" t="inlineStr">
        <is>
          <t>e플러스</t>
        </is>
      </c>
      <c r="Q904" s="3" t="n">
        <v>1</v>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352</v>
      </c>
      <c r="J905" s="3" t="inlineStr">
        <is>
          <t>1</t>
        </is>
      </c>
      <c r="K905" s="3" t="inlineStr">
        <is>
          <t>-</t>
        </is>
      </c>
      <c r="L905" s="3" t="inlineStr">
        <is>
          <t>층고가 높아 3단 적재도 충분한 창고</t>
        </is>
      </c>
      <c r="M905" s="5">
        <f>HYPERLINK("https://fin.land.naver.com/articles/2646672444", "매물Link")</f>
        <v/>
      </c>
      <c r="N905" s="5">
        <f>HYPERLINK("https://map.naver.com/p/search/부강면 금호리 277-2", "지도Link")</f>
        <v/>
      </c>
      <c r="O905" s="5">
        <f>HYPERLINK("http://www.eum.go.kr/web/ar/lu/luLandDet.jsp?pnu=3611033028102770002&amp;isNoScr=script&amp;mode=search", "토지이음")</f>
        <v/>
      </c>
      <c r="P905" s="3" t="inlineStr">
        <is>
          <t>창고의여왕</t>
        </is>
      </c>
      <c r="Q905" s="3" t="n">
        <v>2</v>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352</v>
      </c>
      <c r="J906" s="3" t="inlineStr">
        <is>
          <t>1</t>
        </is>
      </c>
      <c r="K906" s="3" t="inlineStr">
        <is>
          <t>-</t>
        </is>
      </c>
      <c r="L906" s="3" t="inlineStr">
        <is>
          <t>세종시 층고 높은 제조업소임대 보증금3000만원 월260만원 부가세 별도</t>
        </is>
      </c>
      <c r="M906" s="5">
        <f>HYPERLINK("https://fin.land.naver.com/articles/2647680181", "매물Link")</f>
        <v/>
      </c>
      <c r="N906" s="5">
        <f>HYPERLINK("https://map.naver.com/p/search/부강면 금호리 277-2", "지도Link")</f>
        <v/>
      </c>
      <c r="O906" s="5">
        <f>HYPERLINK("http://www.eum.go.kr/web/ar/lu/luLandDet.jsp?pnu=3611033028102770002&amp;isNoScr=script&amp;mode=search", "토지이음")</f>
        <v/>
      </c>
      <c r="P906" s="3" t="inlineStr">
        <is>
          <t>대박</t>
        </is>
      </c>
      <c r="Q906" s="3" t="n">
        <v>1</v>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352</v>
      </c>
      <c r="J907" s="3" t="inlineStr">
        <is>
          <t>1</t>
        </is>
      </c>
      <c r="K907" s="3" t="inlineStr">
        <is>
          <t>-</t>
        </is>
      </c>
      <c r="L907" s="3" t="inlineStr">
        <is>
          <t>남청주ic 9분 세종 부강일반산업단지 옆 단독 소형 공장임대</t>
        </is>
      </c>
      <c r="M907" s="5">
        <f>HYPERLINK("https://fin.land.naver.com/articles/2644199195", "매물Link")</f>
        <v/>
      </c>
      <c r="N907" s="5">
        <f>HYPERLINK("https://map.naver.com/p/search/부강면 금호리 277-2", "지도Link")</f>
        <v/>
      </c>
      <c r="O907" s="5">
        <f>HYPERLINK("http://www.eum.go.kr/web/ar/lu/luLandDet.jsp?pnu=3611033028102770002&amp;isNoScr=script&amp;mode=search", "토지이음")</f>
        <v/>
      </c>
      <c r="P907" s="3" t="inlineStr">
        <is>
          <t>더원</t>
        </is>
      </c>
      <c r="Q907" s="3" t="n">
        <v>3</v>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104</v>
      </c>
      <c r="J908" s="3" t="inlineStr">
        <is>
          <t>1</t>
        </is>
      </c>
      <c r="K908" s="3" t="inlineStr">
        <is>
          <t>-</t>
        </is>
      </c>
      <c r="L908" s="3" t="inlineStr">
        <is>
          <t>부강산업단지 인접한 공장,창고 용지 입니다</t>
        </is>
      </c>
      <c r="M908" s="5">
        <f>HYPERLINK("https://fin.land.naver.com/articles/2646821987", "매물Link")</f>
        <v/>
      </c>
      <c r="N908" s="5">
        <f>HYPERLINK("https://map.naver.com/p/search/부강면 금호리 30-2", "지도Link")</f>
        <v/>
      </c>
      <c r="O908" s="5">
        <f>HYPERLINK("http://www.eum.go.kr/web/ar/lu/luLandDet.jsp?pnu=3611033028100300002&amp;isNoScr=script&amp;mode=search", "토지이음")</f>
        <v/>
      </c>
      <c r="P908" s="3" t="inlineStr">
        <is>
          <t>더행복</t>
        </is>
      </c>
      <c r="Q908" s="3" t="n">
        <v>1</v>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193</v>
      </c>
      <c r="J909" s="3" t="inlineStr">
        <is>
          <t>1</t>
        </is>
      </c>
      <c r="K909" s="3" t="inlineStr">
        <is>
          <t>-</t>
        </is>
      </c>
      <c r="L909" s="3" t="inlineStr">
        <is>
          <t>앞면도로접함 주차공간 많음,일반산업단지와IC근교,일반음식점,물류창고최적</t>
        </is>
      </c>
      <c r="M909" s="5">
        <f>HYPERLINK("https://fin.land.naver.com/articles/2644730312", "매물Link")</f>
        <v/>
      </c>
      <c r="N909" s="5">
        <f>HYPERLINK("https://map.naver.com/p/search/부강면 금호리 389-1", "지도Link")</f>
        <v/>
      </c>
      <c r="O909" s="5">
        <f>HYPERLINK("http://www.eum.go.kr/web/ar/lu/luLandDet.jsp?pnu=3611033028103890001&amp;isNoScr=script&amp;mode=search", "토지이음")</f>
        <v/>
      </c>
      <c r="P909" s="3" t="inlineStr">
        <is>
          <t>원내</t>
        </is>
      </c>
      <c r="Q909" s="3" t="n">
        <v>1</v>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6367</v>
      </c>
      <c r="J910" s="3" t="inlineStr">
        <is>
          <t>1</t>
        </is>
      </c>
      <c r="K910" s="3" t="inlineStr">
        <is>
          <t>B1</t>
        </is>
      </c>
      <c r="L910" s="3" t="inlineStr">
        <is>
          <t>세종시 외곽 금강변 층고높은 대형창고 공장임대</t>
        </is>
      </c>
      <c r="M910" s="5">
        <f>HYPERLINK("https://fin.land.naver.com/articles/2646844566", "매물Link")</f>
        <v/>
      </c>
      <c r="N910" s="5">
        <f>HYPERLINK("https://map.naver.com/p/search/부강면 금호리 413-1", "지도Link")</f>
        <v/>
      </c>
      <c r="O910" s="5">
        <f>HYPERLINK("http://www.eum.go.kr/web/ar/lu/luLandDet.jsp?pnu=3611033028104130001&amp;isNoScr=script&amp;mode=search", "토지이음")</f>
        <v/>
      </c>
      <c r="P910" s="3" t="inlineStr">
        <is>
          <t>기업전문주식회사</t>
        </is>
      </c>
      <c r="Q910" s="3" t="n">
        <v>1</v>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497</v>
      </c>
      <c r="J911" s="3" t="inlineStr">
        <is>
          <t>1</t>
        </is>
      </c>
      <c r="K911" s="3" t="inlineStr">
        <is>
          <t>-</t>
        </is>
      </c>
      <c r="L911" s="3" t="inlineStr">
        <is>
          <t>부강 산업단지 인접한 공장 및 창고 입니다</t>
        </is>
      </c>
      <c r="M911" s="5">
        <f>HYPERLINK("https://fin.land.naver.com/articles/2645402463", "매물Link")</f>
        <v/>
      </c>
      <c r="N911" s="5">
        <f>HYPERLINK("https://map.naver.com/p/search/부강면 금호리 456", "지도Link")</f>
        <v/>
      </c>
      <c r="O911" s="5">
        <f>HYPERLINK("http://www.eum.go.kr/web/ar/lu/luLandDet.jsp?pnu=3611033028104560000&amp;isNoScr=script&amp;mode=search", "토지이음")</f>
        <v/>
      </c>
      <c r="P911" s="3" t="inlineStr">
        <is>
          <t>더행복</t>
        </is>
      </c>
      <c r="Q911" s="3" t="n">
        <v>1</v>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497</v>
      </c>
      <c r="J912" s="3" t="inlineStr">
        <is>
          <t>1</t>
        </is>
      </c>
      <c r="K912" s="3" t="inlineStr">
        <is>
          <t>-</t>
        </is>
      </c>
      <c r="L912" s="3" t="inlineStr">
        <is>
          <t>세종 부강산업단지 인근 야적장 넓은 공장 창고 임대</t>
        </is>
      </c>
      <c r="M912" s="5">
        <f>HYPERLINK("https://fin.land.naver.com/articles/2646571767", "매물Link")</f>
        <v/>
      </c>
      <c r="N912" s="5">
        <f>HYPERLINK("https://map.naver.com/p/search/부강면 금호리 456", "지도Link")</f>
        <v/>
      </c>
      <c r="O912" s="5">
        <f>HYPERLINK("http://www.eum.go.kr/web/ar/lu/luLandDet.jsp?pnu=3611033028104560000&amp;isNoScr=script&amp;mode=search", "토지이음")</f>
        <v/>
      </c>
      <c r="P912" s="3" t="inlineStr">
        <is>
          <t>KS</t>
        </is>
      </c>
      <c r="Q912" s="3" t="n">
        <v>1</v>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497</v>
      </c>
      <c r="J913" s="3" t="inlineStr">
        <is>
          <t>1</t>
        </is>
      </c>
      <c r="K913" s="3" t="inlineStr">
        <is>
          <t>-</t>
        </is>
      </c>
      <c r="L913" s="3" t="inlineStr">
        <is>
          <t>층고 높고 마당 넓음, 부강산업단지 인근, 즉시입주 가능</t>
        </is>
      </c>
      <c r="M913" s="5">
        <f>HYPERLINK("https://fin.land.naver.com/articles/2645318268", "매물Link")</f>
        <v/>
      </c>
      <c r="N913" s="5">
        <f>HYPERLINK("https://map.naver.com/p/search/부강면 금호리 456", "지도Link")</f>
        <v/>
      </c>
      <c r="O913" s="5">
        <f>HYPERLINK("http://www.eum.go.kr/web/ar/lu/luLandDet.jsp?pnu=3611033028104560000&amp;isNoScr=script&amp;mode=search", "토지이음")</f>
        <v/>
      </c>
      <c r="P913" s="3" t="inlineStr">
        <is>
          <t>제이</t>
        </is>
      </c>
      <c r="Q913" s="3" t="n">
        <v>4</v>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448</v>
      </c>
      <c r="J914" s="3" t="inlineStr">
        <is>
          <t>1</t>
        </is>
      </c>
      <c r="K914" s="3" t="inlineStr">
        <is>
          <t>-</t>
        </is>
      </c>
      <c r="L914" s="3" t="inlineStr">
        <is>
          <t>사진有 폐기물재활용시설 공장 매매</t>
        </is>
      </c>
      <c r="M914" s="5">
        <f>HYPERLINK("https://fin.land.naver.com/articles/2649598812", "매물Link")</f>
        <v/>
      </c>
      <c r="N914" s="5">
        <f>HYPERLINK("https://map.naver.com/p/search/부강면 금호리 683-1", "지도Link")</f>
        <v/>
      </c>
      <c r="O914" s="5">
        <f>HYPERLINK("http://www.eum.go.kr/web/ar/lu/luLandDet.jsp?pnu=3611033028106830001&amp;isNoScr=script&amp;mode=search", "토지이음")</f>
        <v/>
      </c>
      <c r="P914" s="3" t="inlineStr">
        <is>
          <t>월드</t>
        </is>
      </c>
      <c r="Q914" s="3" t="n">
        <v>1</v>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448</v>
      </c>
      <c r="J915" s="3" t="inlineStr">
        <is>
          <t>1</t>
        </is>
      </c>
      <c r="K915" s="3" t="inlineStr">
        <is>
          <t>-</t>
        </is>
      </c>
      <c r="L915" s="3" t="inlineStr">
        <is>
          <t>폐기물 재활용 공장 및 창고, 환경5급으로 귀한 매물</t>
        </is>
      </c>
      <c r="M915" s="5">
        <f>HYPERLINK("https://fin.land.naver.com/articles/2644400342", "매물Link")</f>
        <v/>
      </c>
      <c r="N915" s="5">
        <f>HYPERLINK("https://map.naver.com/p/search/부강면 금호리 683-1", "지도Link")</f>
        <v/>
      </c>
      <c r="O915" s="5">
        <f>HYPERLINK("http://www.eum.go.kr/web/ar/lu/luLandDet.jsp?pnu=3611033028106830001&amp;isNoScr=script&amp;mode=search", "토지이음")</f>
        <v/>
      </c>
      <c r="P915" s="3" t="inlineStr">
        <is>
          <t>하늘땅</t>
        </is>
      </c>
      <c r="Q915" s="3" t="n">
        <v>1</v>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755</v>
      </c>
      <c r="J916" s="3" t="inlineStr">
        <is>
          <t>2</t>
        </is>
      </c>
      <c r="K916" s="3" t="inlineStr">
        <is>
          <t>-</t>
        </is>
      </c>
      <c r="L916" s="3" t="inlineStr">
        <is>
          <t>부강일반산업단지 인근 리모델링완료된 단독 공장 매매</t>
        </is>
      </c>
      <c r="M916" s="5">
        <f>HYPERLINK("https://fin.land.naver.com/articles/2646311764", "매물Link")</f>
        <v/>
      </c>
      <c r="N916" s="5">
        <f>HYPERLINK("https://map.naver.com/p/search/부강면 금호리 689", "지도Link")</f>
        <v/>
      </c>
      <c r="O916" s="5">
        <f>HYPERLINK("http://www.eum.go.kr/web/ar/lu/luLandDet.jsp?pnu=3611033028106890000&amp;isNoScr=script&amp;mode=search", "토지이음")</f>
        <v/>
      </c>
      <c r="P916" s="3" t="inlineStr">
        <is>
          <t>드림옥션사무소</t>
        </is>
      </c>
      <c r="Q916" s="3" t="n">
        <v>1</v>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755</v>
      </c>
      <c r="J917" s="3" t="inlineStr">
        <is>
          <t>2</t>
        </is>
      </c>
      <c r="K917" s="3" t="inlineStr">
        <is>
          <t>-</t>
        </is>
      </c>
      <c r="L917" s="3" t="inlineStr">
        <is>
          <t>부강산업단지인근 도로옆 단독공장 2년전 리모델링완비</t>
        </is>
      </c>
      <c r="M917" s="5">
        <f>HYPERLINK("https://fin.land.naver.com/articles/2644664007", "매물Link")</f>
        <v/>
      </c>
      <c r="N917" s="5">
        <f>HYPERLINK("https://map.naver.com/p/search/부강면 금호리 689", "지도Link")</f>
        <v/>
      </c>
      <c r="O917" s="5">
        <f>HYPERLINK("http://www.eum.go.kr/web/ar/lu/luLandDet.jsp?pnu=3611033028106890000&amp;isNoScr=script&amp;mode=search", "토지이음")</f>
        <v/>
      </c>
      <c r="P917" s="3" t="inlineStr">
        <is>
          <t>더원</t>
        </is>
      </c>
      <c r="Q917" s="3" t="n">
        <v>1</v>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755</v>
      </c>
      <c r="J918" s="3" t="inlineStr">
        <is>
          <t>2</t>
        </is>
      </c>
      <c r="K918" s="3" t="inlineStr">
        <is>
          <t>-</t>
        </is>
      </c>
      <c r="L918" s="3" t="inlineStr">
        <is>
          <t>2년전 리모델링 완료, 단독건물, 1층소매점,2층공장 겸 사무실</t>
        </is>
      </c>
      <c r="M918" s="5">
        <f>HYPERLINK("https://fin.land.naver.com/articles/2645101765", "매물Link")</f>
        <v/>
      </c>
      <c r="N918" s="5">
        <f>HYPERLINK("https://map.naver.com/p/search/부강면 금호리 689", "지도Link")</f>
        <v/>
      </c>
      <c r="O918" s="5">
        <f>HYPERLINK("http://www.eum.go.kr/web/ar/lu/luLandDet.jsp?pnu=3611033028106890000&amp;isNoScr=script&amp;mode=search", "토지이음")</f>
        <v/>
      </c>
      <c r="P918" s="3" t="inlineStr">
        <is>
          <t>(주)미르</t>
        </is>
      </c>
      <c r="Q918" s="3" t="n">
        <v>1</v>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755</v>
      </c>
      <c r="J919" s="3" t="inlineStr">
        <is>
          <t>2</t>
        </is>
      </c>
      <c r="K919" s="3" t="inlineStr">
        <is>
          <t>-</t>
        </is>
      </c>
      <c r="L919" s="3" t="inlineStr">
        <is>
          <t>2년전 리모델링완비, 전시판매장추천,1000여평 국유지임대가능</t>
        </is>
      </c>
      <c r="M919" s="5">
        <f>HYPERLINK("https://fin.land.naver.com/articles/2644683566", "매물Link")</f>
        <v/>
      </c>
      <c r="N919" s="5">
        <f>HYPERLINK("https://map.naver.com/p/search/부강면 금호리 689", "지도Link")</f>
        <v/>
      </c>
      <c r="O919" s="5">
        <f>HYPERLINK("http://www.eum.go.kr/web/ar/lu/luLandDet.jsp?pnu=3611033028106890000&amp;isNoScr=script&amp;mode=search", "토지이음")</f>
        <v/>
      </c>
      <c r="P919" s="3" t="inlineStr">
        <is>
          <t>소소사무소</t>
        </is>
      </c>
      <c r="Q919" s="3" t="n">
        <v>1</v>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1793</v>
      </c>
      <c r="J920" s="3" t="inlineStr">
        <is>
          <t>2</t>
        </is>
      </c>
      <c r="K920" s="3" t="inlineStr">
        <is>
          <t>-</t>
        </is>
      </c>
      <c r="L920" s="3" t="inlineStr">
        <is>
          <t>계획관리지역 넓은 야드 층고 높은 공장임대 보1억5천 월1500 매매가능</t>
        </is>
      </c>
      <c r="M920" s="5">
        <f>HYPERLINK("https://fin.land.naver.com/articles/2648078347", "매물Link")</f>
        <v/>
      </c>
      <c r="N920" s="5">
        <f>HYPERLINK("https://map.naver.com/p/search/부강면 노호리 155-1", "지도Link")</f>
        <v/>
      </c>
      <c r="O920" s="5">
        <f>HYPERLINK("http://www.eum.go.kr/web/ar/lu/luLandDet.jsp?pnu=3611033027101550001&amp;isNoScr=script&amp;mode=search", "토지이음")</f>
        <v/>
      </c>
      <c r="P920" s="3" t="inlineStr">
        <is>
          <t>불당대원</t>
        </is>
      </c>
      <c r="Q920" s="3" t="n">
        <v>1</v>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1793</v>
      </c>
      <c r="J921" s="3" t="inlineStr">
        <is>
          <t>1</t>
        </is>
      </c>
      <c r="K921" s="3" t="inlineStr">
        <is>
          <t>-</t>
        </is>
      </c>
      <c r="L921" s="3" t="inlineStr">
        <is>
          <t>세종 노호리 부지 넓은 대형공장 매매</t>
        </is>
      </c>
      <c r="M921" s="5">
        <f>HYPERLINK("https://fin.land.naver.com/articles/2646807808", "매물Link")</f>
        <v/>
      </c>
      <c r="N921" s="5">
        <f>HYPERLINK("https://map.naver.com/p/search/부강면 노호리 155-1", "지도Link")</f>
        <v/>
      </c>
      <c r="O921" s="5">
        <f>HYPERLINK("http://www.eum.go.kr/web/ar/lu/luLandDet.jsp?pnu=3611033027101550001&amp;isNoScr=script&amp;mode=search", "토지이음")</f>
        <v/>
      </c>
      <c r="P921" s="3" t="inlineStr">
        <is>
          <t>SK랜드</t>
        </is>
      </c>
      <c r="Q921" s="3" t="n">
        <v>3</v>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1793</v>
      </c>
      <c r="J922" s="3" t="inlineStr">
        <is>
          <t>2</t>
        </is>
      </c>
      <c r="K922" s="3" t="inlineStr">
        <is>
          <t>-</t>
        </is>
      </c>
      <c r="L922" s="3" t="inlineStr">
        <is>
          <t>사진有 공장 매매</t>
        </is>
      </c>
      <c r="M922" s="5">
        <f>HYPERLINK("https://fin.land.naver.com/articles/2649597220", "매물Link")</f>
        <v/>
      </c>
      <c r="N922" s="5">
        <f>HYPERLINK("https://map.naver.com/p/search/부강면 노호리 155-1", "지도Link")</f>
        <v/>
      </c>
      <c r="O922" s="5">
        <f>HYPERLINK("http://www.eum.go.kr/web/ar/lu/luLandDet.jsp?pnu=3611033027101550001&amp;isNoScr=script&amp;mode=search", "토지이음")</f>
        <v/>
      </c>
      <c r="P922" s="3" t="inlineStr">
        <is>
          <t>월드</t>
        </is>
      </c>
      <c r="Q922" s="3" t="n">
        <v>1</v>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1793</v>
      </c>
      <c r="J923" s="3" t="inlineStr">
        <is>
          <t>2</t>
        </is>
      </c>
      <c r="K923" s="3" t="inlineStr">
        <is>
          <t>-</t>
        </is>
      </c>
      <c r="L923" s="3" t="inlineStr">
        <is>
          <t>민원소지 없는 야드 넓은 공장임대</t>
        </is>
      </c>
      <c r="M923" s="5">
        <f>HYPERLINK("https://fin.land.naver.com/articles/2646132601", "매물Link")</f>
        <v/>
      </c>
      <c r="N923" s="5">
        <f>HYPERLINK("https://map.naver.com/p/search/부강면 노호리 155-1", "지도Link")</f>
        <v/>
      </c>
      <c r="O923" s="5">
        <f>HYPERLINK("http://www.eum.go.kr/web/ar/lu/luLandDet.jsp?pnu=3611033027101550001&amp;isNoScr=script&amp;mode=search", "토지이음")</f>
        <v/>
      </c>
      <c r="P923" s="3" t="inlineStr">
        <is>
          <t>금화랜드</t>
        </is>
      </c>
      <c r="Q923" s="3" t="n">
        <v>1</v>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1793</v>
      </c>
      <c r="J924" s="3" t="inlineStr">
        <is>
          <t>1</t>
        </is>
      </c>
      <c r="K924" s="3" t="inlineStr">
        <is>
          <t>-</t>
        </is>
      </c>
      <c r="L924" s="3" t="inlineStr">
        <is>
          <t>남청주IC 9분, 2분의 1 분할매매 가능</t>
        </is>
      </c>
      <c r="M924" s="5">
        <f>HYPERLINK("https://fin.land.naver.com/articles/2646087516", "매물Link")</f>
        <v/>
      </c>
      <c r="N924" s="5">
        <f>HYPERLINK("https://map.naver.com/p/search/부강면 노호리 155-1", "지도Link")</f>
        <v/>
      </c>
      <c r="O924" s="5">
        <f>HYPERLINK("http://www.eum.go.kr/web/ar/lu/luLandDet.jsp?pnu=3611033027101550001&amp;isNoScr=script&amp;mode=search", "토지이음")</f>
        <v/>
      </c>
      <c r="P924" s="3" t="inlineStr">
        <is>
          <t>미더스</t>
        </is>
      </c>
      <c r="Q924" s="3" t="n">
        <v>2</v>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1793</v>
      </c>
      <c r="J925" s="3" t="inlineStr">
        <is>
          <t>1</t>
        </is>
      </c>
      <c r="K925" s="3" t="inlineStr">
        <is>
          <t>-</t>
        </is>
      </c>
      <c r="L925" s="3" t="inlineStr">
        <is>
          <t>신탄진IC남청주IC와 중간위치, 대형차 진출입이 편리한곳,호이스트있음</t>
        </is>
      </c>
      <c r="M925" s="5">
        <f>HYPERLINK("https://fin.land.naver.com/articles/2649085983", "매물Link")</f>
        <v/>
      </c>
      <c r="N925" s="5">
        <f>HYPERLINK("https://map.naver.com/p/search/부강면 노호리 155-1", "지도Link")</f>
        <v/>
      </c>
      <c r="O925" s="5">
        <f>HYPERLINK("http://www.eum.go.kr/web/ar/lu/luLandDet.jsp?pnu=3611033027101550001&amp;isNoScr=script&amp;mode=search", "토지이음")</f>
        <v/>
      </c>
      <c r="P925" s="3" t="inlineStr">
        <is>
          <t>(주)미르</t>
        </is>
      </c>
      <c r="Q925" s="3" t="n">
        <v>1</v>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1288</v>
      </c>
      <c r="J926" s="3" t="inlineStr">
        <is>
          <t>2</t>
        </is>
      </c>
      <c r="K926" s="3" t="inlineStr">
        <is>
          <t>-</t>
        </is>
      </c>
      <c r="L926" s="3" t="inlineStr">
        <is>
          <t>사진有 공장 매매</t>
        </is>
      </c>
      <c r="M926" s="5">
        <f>HYPERLINK("https://fin.land.naver.com/articles/2649597836", "매물Link")</f>
        <v/>
      </c>
      <c r="N926" s="5">
        <f>HYPERLINK("https://map.naver.com/p/search/부강면 노호리 76", "지도Link")</f>
        <v/>
      </c>
      <c r="O926" s="5">
        <f>HYPERLINK("http://www.eum.go.kr/web/ar/lu/luLandDet.jsp?pnu=3611033027100760000&amp;isNoScr=script&amp;mode=search", "토지이음")</f>
        <v/>
      </c>
      <c r="P926" s="3" t="inlineStr">
        <is>
          <t>월드</t>
        </is>
      </c>
      <c r="Q926" s="3" t="n">
        <v>1</v>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273</v>
      </c>
      <c r="J927" s="3" t="inlineStr">
        <is>
          <t>2</t>
        </is>
      </c>
      <c r="K927" s="3" t="inlineStr">
        <is>
          <t>B2</t>
        </is>
      </c>
      <c r="L927" s="3" t="inlineStr">
        <is>
          <t>지정폐기물수집보관성업중</t>
        </is>
      </c>
      <c r="M927" s="5">
        <f>HYPERLINK("https://fin.land.naver.com/articles/2649233153", "매물Link")</f>
        <v/>
      </c>
      <c r="N927" s="5">
        <f>HYPERLINK("https://map.naver.com/p/search/부강면 등곡리 350-9", "지도Link")</f>
        <v/>
      </c>
      <c r="O927" s="5">
        <f>HYPERLINK("http://www.eum.go.kr/web/ar/lu/luLandDet.jsp?pnu=3611033026103500009&amp;isNoScr=script&amp;mode=search", "토지이음")</f>
        <v/>
      </c>
      <c r="P927" s="3" t="inlineStr">
        <is>
          <t>우리래미안</t>
        </is>
      </c>
      <c r="Q927" s="3" t="n">
        <v>1</v>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2303</v>
      </c>
      <c r="J928" s="3" t="inlineStr">
        <is>
          <t>2</t>
        </is>
      </c>
      <c r="K928" s="3" t="inlineStr">
        <is>
          <t>-</t>
        </is>
      </c>
      <c r="L928" s="3" t="inlineStr">
        <is>
          <t>남청주IC 2분거리, 마당 넓고 층고 높은 대형차량 진출입 용이한 창고</t>
        </is>
      </c>
      <c r="M928" s="5">
        <f>HYPERLINK("https://fin.land.naver.com/articles/2648909950", "매물Link")</f>
        <v/>
      </c>
      <c r="N928" s="5">
        <f>HYPERLINK("https://map.naver.com/p/search/부강면 문곡리 128-3", "지도Link")</f>
        <v/>
      </c>
      <c r="O928" s="5">
        <f>HYPERLINK("http://www.eum.go.kr/web/ar/lu/luLandDet.jsp?pnu=3611033025101280003&amp;isNoScr=script&amp;mode=search", "토지이음")</f>
        <v/>
      </c>
      <c r="P928" s="3" t="inlineStr">
        <is>
          <t>금화랜드</t>
        </is>
      </c>
      <c r="Q928" s="3" t="n">
        <v>1</v>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2303</v>
      </c>
      <c r="J929" s="3" t="inlineStr">
        <is>
          <t>1</t>
        </is>
      </c>
      <c r="K929" s="3" t="inlineStr">
        <is>
          <t>B1</t>
        </is>
      </c>
      <c r="L929" s="3" t="inlineStr">
        <is>
          <t>남청주IC 인근 창고, 대형차 진출입 용이</t>
        </is>
      </c>
      <c r="M929" s="5">
        <f>HYPERLINK("https://fin.land.naver.com/articles/2649744370", "매물Link")</f>
        <v/>
      </c>
      <c r="N929" s="5">
        <f>HYPERLINK("https://map.naver.com/p/search/부강면 문곡리 140", "지도Link")</f>
        <v/>
      </c>
      <c r="O929" s="5">
        <f>HYPERLINK("http://www.eum.go.kr/web/ar/lu/luLandDet.jsp?pnu=3611033025101400000&amp;isNoScr=script&amp;mode=search", "토지이음")</f>
        <v/>
      </c>
      <c r="P929" s="3" t="inlineStr">
        <is>
          <t>라이프</t>
        </is>
      </c>
      <c r="Q929" s="3" t="n">
        <v>1</v>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1408</v>
      </c>
      <c r="J930" s="3" t="inlineStr">
        <is>
          <t>2</t>
        </is>
      </c>
      <c r="K930" s="3" t="inlineStr">
        <is>
          <t>-</t>
        </is>
      </c>
      <c r="L930" s="3" t="inlineStr">
        <is>
          <t>nan</t>
        </is>
      </c>
      <c r="M930" s="5">
        <f>HYPERLINK("https://fin.land.naver.com/articles/2647508713", "매물Link")</f>
        <v/>
      </c>
      <c r="N930" s="5">
        <f>HYPERLINK("https://map.naver.com/p/search/부강면 문곡리 140", "지도Link")</f>
        <v/>
      </c>
      <c r="O930" s="5">
        <f>HYPERLINK("http://www.eum.go.kr/web/ar/lu/luLandDet.jsp?pnu=3611033025101400000&amp;isNoScr=script&amp;mode=search", "토지이음")</f>
        <v/>
      </c>
      <c r="P930" s="3" t="inlineStr">
        <is>
          <t>다온</t>
        </is>
      </c>
      <c r="Q930" s="3" t="n">
        <v>1</v>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2303</v>
      </c>
      <c r="J931" s="3" t="inlineStr">
        <is>
          <t>2</t>
        </is>
      </c>
      <c r="K931" s="3" t="inlineStr">
        <is>
          <t>-</t>
        </is>
      </c>
      <c r="L931" s="3" t="inlineStr">
        <is>
          <t>o사진o 경부고속3km 처마10m 입지좋은 물류창고 매매</t>
        </is>
      </c>
      <c r="M931" s="5">
        <f>HYPERLINK("https://fin.land.naver.com/articles/2649776333", "매물Link")</f>
        <v/>
      </c>
      <c r="N931" s="5">
        <f>HYPERLINK("https://map.naver.com/p/search/부강면 문곡리 140", "지도Link")</f>
        <v/>
      </c>
      <c r="O931" s="5">
        <f>HYPERLINK("http://www.eum.go.kr/web/ar/lu/luLandDet.jsp?pnu=3611033025101400000&amp;isNoScr=script&amp;mode=search", "토지이음")</f>
        <v/>
      </c>
      <c r="P931" s="3" t="inlineStr">
        <is>
          <t>서정</t>
        </is>
      </c>
      <c r="Q931" s="3" t="n">
        <v>3</v>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1543</v>
      </c>
      <c r="J932" s="3" t="inlineStr">
        <is>
          <t>2</t>
        </is>
      </c>
      <c r="K932" s="3" t="inlineStr">
        <is>
          <t>B1</t>
        </is>
      </c>
      <c r="L932" s="3" t="inlineStr">
        <is>
          <t>남청주IC에서 가까워 대형차 진출입이 원활한 곳,증축 가능한 곳</t>
        </is>
      </c>
      <c r="M932" s="5">
        <f>HYPERLINK("https://fin.land.naver.com/articles/2645070095", "매물Link")</f>
        <v/>
      </c>
      <c r="N932" s="5">
        <f>HYPERLINK("https://map.naver.com/p/search/부강면 문곡리 154-2", "지도Link")</f>
        <v/>
      </c>
      <c r="O932" s="5">
        <f>HYPERLINK("http://www.eum.go.kr/web/ar/lu/luLandDet.jsp?pnu=3611033025101540002&amp;isNoScr=script&amp;mode=search", "토지이음")</f>
        <v/>
      </c>
      <c r="P932" s="3" t="inlineStr">
        <is>
          <t>(주)미르</t>
        </is>
      </c>
      <c r="Q932" s="3" t="n">
        <v>1</v>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756</v>
      </c>
      <c r="J933" s="3" t="inlineStr">
        <is>
          <t>1</t>
        </is>
      </c>
      <c r="K933" s="3" t="inlineStr">
        <is>
          <t>-</t>
        </is>
      </c>
      <c r="L933" s="3" t="inlineStr">
        <is>
          <t>접근성이 좋은 세종시에 위치한 제조공장 매매</t>
        </is>
      </c>
      <c r="M933" s="5">
        <f>HYPERLINK("https://fin.land.naver.com/articles/2649150131", "매물Link")</f>
        <v/>
      </c>
      <c r="N933" s="5">
        <f>HYPERLINK("https://map.naver.com/p/search/부강면 문곡리 463-27", "지도Link")</f>
        <v/>
      </c>
      <c r="O933" s="5">
        <f>HYPERLINK("http://www.eum.go.kr/web/ar/lu/luLandDet.jsp?pnu=3611033025104630027&amp;isNoScr=script&amp;mode=search", "토지이음")</f>
        <v/>
      </c>
      <c r="P933" s="3" t="inlineStr">
        <is>
          <t>한화타운</t>
        </is>
      </c>
      <c r="Q933" s="3" t="n">
        <v>1</v>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756</v>
      </c>
      <c r="J934" s="3" t="inlineStr">
        <is>
          <t>1</t>
        </is>
      </c>
      <c r="K934" s="3" t="inlineStr">
        <is>
          <t>-</t>
        </is>
      </c>
      <c r="L934" s="3" t="inlineStr">
        <is>
          <t>남청주IC와 가깝고 대형차 진출입이 용이한 곳, 층고 11.5m</t>
        </is>
      </c>
      <c r="M934" s="5">
        <f>HYPERLINK("https://fin.land.naver.com/articles/2649085169", "매물Link")</f>
        <v/>
      </c>
      <c r="N934" s="5">
        <f>HYPERLINK("https://map.naver.com/p/search/부강면 문곡리 463-27", "지도Link")</f>
        <v/>
      </c>
      <c r="O934" s="5">
        <f>HYPERLINK("http://www.eum.go.kr/web/ar/lu/luLandDet.jsp?pnu=3611033025104630027&amp;isNoScr=script&amp;mode=search", "토지이음")</f>
        <v/>
      </c>
      <c r="P934" s="3" t="inlineStr">
        <is>
          <t>(주)미르</t>
        </is>
      </c>
      <c r="Q934" s="3" t="n">
        <v>1</v>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987</v>
      </c>
      <c r="J935" s="3" t="inlineStr">
        <is>
          <t>1</t>
        </is>
      </c>
      <c r="K935" s="3" t="inlineStr">
        <is>
          <t>-</t>
        </is>
      </c>
      <c r="L935" s="3" t="inlineStr">
        <is>
          <t>남청주IC 인근에 있어 진출입이 용이하고 창고시설, 물류센터추천</t>
        </is>
      </c>
      <c r="M935" s="5">
        <f>HYPERLINK("https://fin.land.naver.com/articles/2647740658", "매물Link")</f>
        <v/>
      </c>
      <c r="N935" s="5">
        <f>HYPERLINK("https://map.naver.com/p/search/부강면 문곡리 463-32", "지도Link")</f>
        <v/>
      </c>
      <c r="O935" s="5">
        <f>HYPERLINK("http://www.eum.go.kr/web/ar/lu/luLandDet.jsp?pnu=3611033025104630032&amp;isNoScr=script&amp;mode=search", "토지이음")</f>
        <v/>
      </c>
      <c r="P935" s="3" t="inlineStr">
        <is>
          <t>금화랜드</t>
        </is>
      </c>
      <c r="Q935" s="3" t="n">
        <v>2</v>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4986</v>
      </c>
      <c r="J936" s="3" t="inlineStr">
        <is>
          <t>2</t>
        </is>
      </c>
      <c r="K936" s="3" t="inlineStr">
        <is>
          <t>-</t>
        </is>
      </c>
      <c r="L936" s="3" t="inlineStr">
        <is>
          <t>남청주IC인근, 층고 높고 마당이 넓어 활용도 좋은 대형 물류창고</t>
        </is>
      </c>
      <c r="M936" s="5">
        <f>HYPERLINK("https://fin.land.naver.com/articles/2650178094", "매물Link")</f>
        <v/>
      </c>
      <c r="N936" s="5">
        <f>HYPERLINK("https://map.naver.com/p/search/부강면 문곡리 680", "지도Link")</f>
        <v/>
      </c>
      <c r="O936" s="5">
        <f>HYPERLINK("http://www.eum.go.kr/web/ar/lu/luLandDet.jsp?pnu=3611033025106800000&amp;isNoScr=script&amp;mode=search", "토지이음")</f>
        <v/>
      </c>
      <c r="P936" s="3" t="inlineStr">
        <is>
          <t>(주)미르</t>
        </is>
      </c>
      <c r="Q936" s="3" t="n">
        <v>1</v>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4986</v>
      </c>
      <c r="J937" s="3" t="inlineStr">
        <is>
          <t>2</t>
        </is>
      </c>
      <c r="K937" s="3" t="inlineStr">
        <is>
          <t>-</t>
        </is>
      </c>
      <c r="L937" s="3" t="inlineStr">
        <is>
          <t>사진有 물류창고 매매</t>
        </is>
      </c>
      <c r="M937" s="5">
        <f>HYPERLINK("https://fin.land.naver.com/articles/2649599413", "매물Link")</f>
        <v/>
      </c>
      <c r="N937" s="5">
        <f>HYPERLINK("https://map.naver.com/p/search/부강면 문곡리 680", "지도Link")</f>
        <v/>
      </c>
      <c r="O937" s="5">
        <f>HYPERLINK("http://www.eum.go.kr/web/ar/lu/luLandDet.jsp?pnu=3611033025106800000&amp;isNoScr=script&amp;mode=search", "토지이음")</f>
        <v/>
      </c>
      <c r="P937" s="3" t="inlineStr">
        <is>
          <t>월드</t>
        </is>
      </c>
      <c r="Q937" s="3" t="n">
        <v>1</v>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4986</v>
      </c>
      <c r="J938" s="3" t="inlineStr">
        <is>
          <t>2</t>
        </is>
      </c>
      <c r="K938" s="3" t="inlineStr">
        <is>
          <t>-</t>
        </is>
      </c>
      <c r="L938" s="3" t="inlineStr">
        <is>
          <t>남청주ic 5분 거리이며 2차선도로 접한 대형물류창고 도크시설 완비</t>
        </is>
      </c>
      <c r="M938" s="5">
        <f>HYPERLINK("https://fin.land.naver.com/articles/2648089946", "매물Link")</f>
        <v/>
      </c>
      <c r="N938" s="5">
        <f>HYPERLINK("https://map.naver.com/p/search/부강면 문곡리 680", "지도Link")</f>
        <v/>
      </c>
      <c r="O938" s="5">
        <f>HYPERLINK("http://www.eum.go.kr/web/ar/lu/luLandDet.jsp?pnu=3611033025106800000&amp;isNoScr=script&amp;mode=search", "토지이음")</f>
        <v/>
      </c>
      <c r="P938" s="3" t="inlineStr">
        <is>
          <t>더원</t>
        </is>
      </c>
      <c r="Q938" s="3" t="n">
        <v>1</v>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195</v>
      </c>
      <c r="J939" s="3" t="inlineStr">
        <is>
          <t>1</t>
        </is>
      </c>
      <c r="K939" s="3" t="inlineStr">
        <is>
          <t>-</t>
        </is>
      </c>
      <c r="L939" s="3" t="inlineStr">
        <is>
          <t>사진0, 제조업 가능하고 대형차량 진입 자유로운 창고임대</t>
        </is>
      </c>
      <c r="M939" s="5">
        <f>HYPERLINK("https://fin.land.naver.com/articles/2649726439", "매물Link")</f>
        <v/>
      </c>
      <c r="N939" s="5">
        <f>HYPERLINK("https://map.naver.com/p/search/부강면 문곡리 729", "지도Link")</f>
        <v/>
      </c>
      <c r="O939" s="5">
        <f>HYPERLINK("http://www.eum.go.kr/web/ar/lu/luLandDet.jsp?pnu=3611033025107290000&amp;isNoScr=script&amp;mode=search", "토지이음")</f>
        <v/>
      </c>
      <c r="P939" s="3" t="inlineStr">
        <is>
          <t>비전</t>
        </is>
      </c>
      <c r="Q939" s="3" t="n">
        <v>1</v>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195</v>
      </c>
      <c r="J940" s="3" t="inlineStr">
        <is>
          <t>1</t>
        </is>
      </c>
      <c r="K940" s="3" t="inlineStr">
        <is>
          <t>B1</t>
        </is>
      </c>
      <c r="L940" s="3" t="inlineStr">
        <is>
          <t>10월중순 입주협의, 2개동까지 임대 가능, 연청로 근접</t>
        </is>
      </c>
      <c r="M940" s="5">
        <f>HYPERLINK("https://fin.land.naver.com/articles/2649933957", "매물Link")</f>
        <v/>
      </c>
      <c r="N940" s="5">
        <f>HYPERLINK("https://map.naver.com/p/search/부강면 문곡리 729", "지도Link")</f>
        <v/>
      </c>
      <c r="O940" s="5">
        <f>HYPERLINK("http://www.eum.go.kr/web/ar/lu/luLandDet.jsp?pnu=3611033025107290000&amp;isNoScr=script&amp;mode=search", "토지이음")</f>
        <v/>
      </c>
      <c r="P940" s="3" t="inlineStr">
        <is>
          <t>세종잘하는</t>
        </is>
      </c>
      <c r="Q940" s="3" t="n">
        <v>1</v>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195</v>
      </c>
      <c r="J941" s="3" t="inlineStr">
        <is>
          <t>1</t>
        </is>
      </c>
      <c r="K941" s="3" t="inlineStr">
        <is>
          <t>-</t>
        </is>
      </c>
      <c r="L941" s="3" t="inlineStr">
        <is>
          <t>교통편리한 부강면 저렴한 소형창고 임대</t>
        </is>
      </c>
      <c r="M941" s="5">
        <f>HYPERLINK("https://fin.land.naver.com/articles/2647101871", "매물Link")</f>
        <v/>
      </c>
      <c r="N941" s="5">
        <f>HYPERLINK("https://map.naver.com/p/search/부강면 문곡리 729", "지도Link")</f>
        <v/>
      </c>
      <c r="O941" s="5">
        <f>HYPERLINK("http://www.eum.go.kr/web/ar/lu/luLandDet.jsp?pnu=3611033025107290000&amp;isNoScr=script&amp;mode=search", "토지이음")</f>
        <v/>
      </c>
      <c r="P941" s="3" t="inlineStr">
        <is>
          <t>세종행복한</t>
        </is>
      </c>
      <c r="Q941" s="3" t="n">
        <v>1</v>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195</v>
      </c>
      <c r="J942" s="3" t="inlineStr">
        <is>
          <t>1</t>
        </is>
      </c>
      <c r="K942" s="3" t="inlineStr">
        <is>
          <t>-</t>
        </is>
      </c>
      <c r="L942" s="3" t="inlineStr">
        <is>
          <t>소형 창고 임대 대로변에 접하여 진출입 매우 용이 근생건물</t>
        </is>
      </c>
      <c r="M942" s="5">
        <f>HYPERLINK("https://fin.land.naver.com/articles/2649200158", "매물Link")</f>
        <v/>
      </c>
      <c r="N942" s="5">
        <f>HYPERLINK("https://map.naver.com/p/search/부강면 문곡리 729", "지도Link")</f>
        <v/>
      </c>
      <c r="O942" s="5">
        <f>HYPERLINK("http://www.eum.go.kr/web/ar/lu/luLandDet.jsp?pnu=3611033025107290000&amp;isNoScr=script&amp;mode=search", "토지이음")</f>
        <v/>
      </c>
      <c r="P942" s="3" t="inlineStr">
        <is>
          <t>태광</t>
        </is>
      </c>
      <c r="Q942" s="3" t="n">
        <v>1</v>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195</v>
      </c>
      <c r="J943" s="3" t="inlineStr">
        <is>
          <t>1</t>
        </is>
      </c>
      <c r="K943" s="3" t="inlineStr">
        <is>
          <t>-</t>
        </is>
      </c>
      <c r="L943" s="3" t="inlineStr">
        <is>
          <t>진출입편리한 남청주인근 소형창고</t>
        </is>
      </c>
      <c r="M943" s="5">
        <f>HYPERLINK("https://fin.land.naver.com/articles/2649562576", "매물Link")</f>
        <v/>
      </c>
      <c r="N943" s="5">
        <f>HYPERLINK("https://map.naver.com/p/search/부강면 문곡리 729", "지도Link")</f>
        <v/>
      </c>
      <c r="O943" s="5">
        <f>HYPERLINK("http://www.eum.go.kr/web/ar/lu/luLandDet.jsp?pnu=3611033025107290000&amp;isNoScr=script&amp;mode=search", "토지이음")</f>
        <v/>
      </c>
      <c r="P943" s="3" t="inlineStr">
        <is>
          <t>창고의여왕</t>
        </is>
      </c>
      <c r="Q943" s="3" t="n">
        <v>1</v>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176</v>
      </c>
      <c r="J944" s="3" t="inlineStr">
        <is>
          <t>1</t>
        </is>
      </c>
      <c r="K944" s="3" t="inlineStr">
        <is>
          <t>-</t>
        </is>
      </c>
      <c r="L944" s="3" t="inlineStr">
        <is>
          <t>2차선도로변접한위치의 소형창고 소매점 창고가능 남청주ic 5분거리</t>
        </is>
      </c>
      <c r="M944" s="5">
        <f>HYPERLINK("https://fin.land.naver.com/articles/2648089835", "매물Link")</f>
        <v/>
      </c>
      <c r="N944" s="5">
        <f>HYPERLINK("https://map.naver.com/p/search/부강면 문곡리 729-2", "지도Link")</f>
        <v/>
      </c>
      <c r="O944" s="5">
        <f>HYPERLINK("http://www.eum.go.kr/web/ar/lu/luLandDet.jsp?pnu=3611033025107290002&amp;isNoScr=script&amp;mode=search", "토지이음")</f>
        <v/>
      </c>
      <c r="P944" s="3" t="inlineStr">
        <is>
          <t>더원</t>
        </is>
      </c>
      <c r="Q944" s="3" t="n">
        <v>1</v>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1133</v>
      </c>
      <c r="J945" s="3" t="inlineStr">
        <is>
          <t>1</t>
        </is>
      </c>
      <c r="K945" s="3" t="inlineStr">
        <is>
          <t>-</t>
        </is>
      </c>
      <c r="L945" s="3" t="inlineStr">
        <is>
          <t>남청주IC 5분거리,대형차량 진출입 편리,민원 걱정 없는곳</t>
        </is>
      </c>
      <c r="M945" s="5">
        <f>HYPERLINK("https://fin.land.naver.com/articles/2646384385", "매물Link")</f>
        <v/>
      </c>
      <c r="N945" s="5">
        <f>HYPERLINK("https://map.naver.com/p/search/부강면 문곡리 769-1", "지도Link")</f>
        <v/>
      </c>
      <c r="O945" s="5">
        <f>HYPERLINK("http://www.eum.go.kr/web/ar/lu/luLandDet.jsp?pnu=3611033025107690001&amp;isNoScr=script&amp;mode=search", "토지이음")</f>
        <v/>
      </c>
      <c r="P945" s="3" t="inlineStr">
        <is>
          <t>금화랜드</t>
        </is>
      </c>
      <c r="Q945" s="3" t="n">
        <v>1</v>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446</v>
      </c>
      <c r="J946" s="3" t="inlineStr">
        <is>
          <t>1</t>
        </is>
      </c>
      <c r="K946" s="3" t="inlineStr">
        <is>
          <t>-</t>
        </is>
      </c>
      <c r="L946" s="3" t="inlineStr">
        <is>
          <t>남청주 IC 인근 대형차 진출입 가능한 공장 및 창고</t>
        </is>
      </c>
      <c r="M946" s="5">
        <f>HYPERLINK("https://fin.land.naver.com/articles/2647420368", "매물Link")</f>
        <v/>
      </c>
      <c r="N946" s="5">
        <f>HYPERLINK("https://map.naver.com/p/search/부강면 문곡리 903", "지도Link")</f>
        <v/>
      </c>
      <c r="O946" s="5">
        <f>HYPERLINK("http://www.eum.go.kr/web/ar/lu/luLandDet.jsp?pnu=3611033025109030000&amp;isNoScr=script&amp;mode=search", "토지이음")</f>
        <v/>
      </c>
      <c r="P946" s="3" t="inlineStr">
        <is>
          <t>대전토지로무소</t>
        </is>
      </c>
      <c r="Q946" s="3" t="n">
        <v>1</v>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929</v>
      </c>
      <c r="J947" s="3" t="inlineStr">
        <is>
          <t>2</t>
        </is>
      </c>
      <c r="K947" s="3" t="inlineStr">
        <is>
          <t>-</t>
        </is>
      </c>
      <c r="L947" s="3" t="inlineStr">
        <is>
          <t>민원 없는  남 청주 IC인근 대형차 진 출입 편리한 공장, 창고</t>
        </is>
      </c>
      <c r="M947" s="5">
        <f>HYPERLINK("https://fin.land.naver.com/articles/2646118668", "매물Link")</f>
        <v/>
      </c>
      <c r="N947" s="5">
        <f>HYPERLINK("https://map.naver.com/p/search/부강면 문곡리 904-4", "지도Link")</f>
        <v/>
      </c>
      <c r="O947" s="5">
        <f>HYPERLINK("http://www.eum.go.kr/web/ar/lu/luLandDet.jsp?pnu=3611033025109040004&amp;isNoScr=script&amp;mode=search", "토지이음")</f>
        <v/>
      </c>
      <c r="P947" s="3" t="inlineStr">
        <is>
          <t>대전토지로무소</t>
        </is>
      </c>
      <c r="Q947" s="3" t="n">
        <v>1</v>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1375</v>
      </c>
      <c r="J948" s="3" t="inlineStr">
        <is>
          <t>1</t>
        </is>
      </c>
      <c r="K948" s="3" t="inlineStr">
        <is>
          <t>-</t>
        </is>
      </c>
      <c r="L948" s="3" t="inlineStr">
        <is>
          <t>민원없는 지역 공장 매매 건물2개동으로 분할매매 가능 남청주 IC 인접</t>
        </is>
      </c>
      <c r="M948" s="5">
        <f>HYPERLINK("https://fin.land.naver.com/articles/2646378295", "매물Link")</f>
        <v/>
      </c>
      <c r="N948" s="5">
        <f>HYPERLINK("https://map.naver.com/p/search/부강면 문곡리 904-4", "지도Link")</f>
        <v/>
      </c>
      <c r="O948" s="5">
        <f>HYPERLINK("http://www.eum.go.kr/web/ar/lu/luLandDet.jsp?pnu=3611033025109040004&amp;isNoScr=script&amp;mode=search", "토지이음")</f>
        <v/>
      </c>
      <c r="P948" s="3" t="inlineStr">
        <is>
          <t>대전토지로무소</t>
        </is>
      </c>
      <c r="Q948" s="3" t="n">
        <v>1</v>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929</v>
      </c>
      <c r="J949" s="3" t="inlineStr">
        <is>
          <t>2</t>
        </is>
      </c>
      <c r="K949" s="3" t="inlineStr">
        <is>
          <t>-</t>
        </is>
      </c>
      <c r="L949" s="3" t="inlineStr">
        <is>
          <t>1층 창고, 2층 제조업소 각 임대 가능</t>
        </is>
      </c>
      <c r="M949" s="5">
        <f>HYPERLINK("https://fin.land.naver.com/articles/2648014664", "매물Link")</f>
        <v/>
      </c>
      <c r="N949" s="5">
        <f>HYPERLINK("https://map.naver.com/p/search/부강면 문곡리 904-4", "지도Link")</f>
        <v/>
      </c>
      <c r="O949" s="5">
        <f>HYPERLINK("http://www.eum.go.kr/web/ar/lu/luLandDet.jsp?pnu=3611033025109040004&amp;isNoScr=script&amp;mode=search", "토지이음")</f>
        <v/>
      </c>
      <c r="P949" s="3" t="inlineStr">
        <is>
          <t>어반나래</t>
        </is>
      </c>
      <c r="Q949" s="3" t="n">
        <v>1</v>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1375</v>
      </c>
      <c r="J950" s="3" t="inlineStr">
        <is>
          <t>1</t>
        </is>
      </c>
      <c r="K950" s="3" t="inlineStr">
        <is>
          <t>-</t>
        </is>
      </c>
      <c r="L950" s="3" t="inlineStr">
        <is>
          <t>남청주IC 5분</t>
        </is>
      </c>
      <c r="M950" s="5">
        <f>HYPERLINK("https://fin.land.naver.com/articles/2645438483", "매물Link")</f>
        <v/>
      </c>
      <c r="N950" s="5">
        <f>HYPERLINK("https://map.naver.com/p/search/부강면 문곡리 904-4", "지도Link")</f>
        <v/>
      </c>
      <c r="O950" s="5">
        <f>HYPERLINK("http://www.eum.go.kr/web/ar/lu/luLandDet.jsp?pnu=3611033025109040004&amp;isNoScr=script&amp;mode=search", "토지이음")</f>
        <v/>
      </c>
      <c r="P950" s="3" t="inlineStr">
        <is>
          <t>미더스</t>
        </is>
      </c>
      <c r="Q950" s="3" t="n">
        <v>2</v>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244</v>
      </c>
      <c r="J951" s="3" t="inlineStr">
        <is>
          <t>1</t>
        </is>
      </c>
      <c r="K951" s="3" t="inlineStr">
        <is>
          <t>-</t>
        </is>
      </c>
      <c r="L951" s="3" t="inlineStr">
        <is>
          <t>사진ok, 제2종근린생활시설  제조업가능한  창고매매 .</t>
        </is>
      </c>
      <c r="M951" s="5">
        <f>HYPERLINK("https://fin.land.naver.com/articles/2649470959", "매물Link")</f>
        <v/>
      </c>
      <c r="N951" s="5">
        <f>HYPERLINK("https://map.naver.com/p/search/부강면 부강리 377-11", "지도Link")</f>
        <v/>
      </c>
      <c r="O951" s="5">
        <f>HYPERLINK("http://www.eum.go.kr/web/ar/lu/luLandDet.jsp?pnu=3611033021103770011&amp;isNoScr=script&amp;mode=search", "토지이음")</f>
        <v/>
      </c>
      <c r="P951" s="3" t="inlineStr">
        <is>
          <t>비전</t>
        </is>
      </c>
      <c r="Q951" s="3" t="n">
        <v>1</v>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244</v>
      </c>
      <c r="J952" s="3" t="inlineStr">
        <is>
          <t>1</t>
        </is>
      </c>
      <c r="K952" s="3" t="inlineStr">
        <is>
          <t>-</t>
        </is>
      </c>
      <c r="L952" s="3" t="inlineStr">
        <is>
          <t>남청주IC 7분,공장등록가능, 대기업 사업 아이템인수가능</t>
        </is>
      </c>
      <c r="M952" s="5">
        <f>HYPERLINK("https://fin.land.naver.com/articles/2649486165", "매물Link")</f>
        <v/>
      </c>
      <c r="N952" s="5">
        <f>HYPERLINK("https://map.naver.com/p/search/부강면 부강리 377-11", "지도Link")</f>
        <v/>
      </c>
      <c r="O952" s="5">
        <f>HYPERLINK("http://www.eum.go.kr/web/ar/lu/luLandDet.jsp?pnu=3611033021103770011&amp;isNoScr=script&amp;mode=search", "토지이음")</f>
        <v/>
      </c>
      <c r="P952" s="3" t="inlineStr">
        <is>
          <t>대성오투그란데</t>
        </is>
      </c>
      <c r="Q952" s="3" t="n">
        <v>1</v>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793</v>
      </c>
      <c r="J953" s="3" t="inlineStr">
        <is>
          <t>1</t>
        </is>
      </c>
      <c r="K953" s="3" t="inlineStr">
        <is>
          <t>-</t>
        </is>
      </c>
      <c r="L953" s="3" t="inlineStr">
        <is>
          <t>남청주ic 접근성 좋은 위치 마당넓어 대형차 진출입 가능</t>
        </is>
      </c>
      <c r="M953" s="5">
        <f>HYPERLINK("https://fin.land.naver.com/articles/2649683295", "매물Link")</f>
        <v/>
      </c>
      <c r="N953" s="5">
        <f>HYPERLINK("https://map.naver.com/p/search/부강면 산수리 105-1", "지도Link")</f>
        <v/>
      </c>
      <c r="O953" s="5">
        <f>HYPERLINK("http://www.eum.go.kr/web/ar/lu/luLandDet.jsp?pnu=3611033023101050001&amp;isNoScr=script&amp;mode=search", "토지이음")</f>
        <v/>
      </c>
      <c r="P953" s="3" t="inlineStr">
        <is>
          <t>더원</t>
        </is>
      </c>
      <c r="Q953" s="3" t="n">
        <v>1</v>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733</v>
      </c>
      <c r="J954" s="3" t="inlineStr">
        <is>
          <t>1</t>
        </is>
      </c>
      <c r="K954" s="3" t="inlineStr">
        <is>
          <t>-</t>
        </is>
      </c>
      <c r="L954" s="3" t="inlineStr">
        <is>
          <t>남청주IC인근 임대료 저렴한 넓은 창고임대 진출입 용이 전력높음</t>
        </is>
      </c>
      <c r="M954" s="5">
        <f>HYPERLINK("https://fin.land.naver.com/articles/2649682702", "매물Link")</f>
        <v/>
      </c>
      <c r="N954" s="5">
        <f>HYPERLINK("https://map.naver.com/p/search/부강면 산수리 105-3", "지도Link")</f>
        <v/>
      </c>
      <c r="O954" s="5">
        <f>HYPERLINK("http://www.eum.go.kr/web/ar/lu/luLandDet.jsp?pnu=3611033023101050003&amp;isNoScr=script&amp;mode=search", "토지이음")</f>
        <v/>
      </c>
      <c r="P954" s="3" t="inlineStr">
        <is>
          <t>태광</t>
        </is>
      </c>
      <c r="Q954" s="3" t="n">
        <v>1</v>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959</v>
      </c>
      <c r="J955" s="3" t="inlineStr">
        <is>
          <t>1</t>
        </is>
      </c>
      <c r="K955" s="3" t="inlineStr">
        <is>
          <t>-</t>
        </is>
      </c>
      <c r="L955" s="3" t="inlineStr">
        <is>
          <t>남청주ic 10분거리 냉동창고 전실 냉장작업장 사무실 부속창고있음</t>
        </is>
      </c>
      <c r="M955" s="5">
        <f>HYPERLINK("https://fin.land.naver.com/articles/2646668462", "매물Link")</f>
        <v/>
      </c>
      <c r="N955" s="5">
        <f>HYPERLINK("https://map.naver.com/p/search/부강면 산수리 105-3", "지도Link")</f>
        <v/>
      </c>
      <c r="O955" s="5">
        <f>HYPERLINK("http://www.eum.go.kr/web/ar/lu/luLandDet.jsp?pnu=3611033023101050003&amp;isNoScr=script&amp;mode=search", "토지이음")</f>
        <v/>
      </c>
      <c r="P955" s="3" t="inlineStr">
        <is>
          <t>더원</t>
        </is>
      </c>
      <c r="Q955" s="3" t="n">
        <v>1</v>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760</v>
      </c>
      <c r="J956" s="3" t="inlineStr">
        <is>
          <t>1</t>
        </is>
      </c>
      <c r="K956" s="3" t="inlineStr">
        <is>
          <t>-</t>
        </is>
      </c>
      <c r="L956" s="3" t="inlineStr">
        <is>
          <t>귀한 냉동창고와 냉장저온작업실을 구비한 창고 사무실 공간 완비</t>
        </is>
      </c>
      <c r="M956" s="5">
        <f>HYPERLINK("https://fin.land.naver.com/articles/2648959391", "매물Link")</f>
        <v/>
      </c>
      <c r="N956" s="5">
        <f>HYPERLINK("https://map.naver.com/p/search/부강면 산수리 105-3", "지도Link")</f>
        <v/>
      </c>
      <c r="O956" s="5">
        <f>HYPERLINK("http://www.eum.go.kr/web/ar/lu/luLandDet.jsp?pnu=3611033023101050003&amp;isNoScr=script&amp;mode=search", "토지이음")</f>
        <v/>
      </c>
      <c r="P956" s="3" t="inlineStr">
        <is>
          <t>태광</t>
        </is>
      </c>
      <c r="Q956" s="3" t="n">
        <v>1</v>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727</v>
      </c>
      <c r="J957" s="3" t="inlineStr">
        <is>
          <t>1</t>
        </is>
      </c>
      <c r="K957" s="3" t="inlineStr">
        <is>
          <t>-</t>
        </is>
      </c>
      <c r="L957" s="3" t="inlineStr">
        <is>
          <t>남청주IC약 10분거리 공장 및 창고 입니다</t>
        </is>
      </c>
      <c r="M957" s="5">
        <f>HYPERLINK("https://fin.land.naver.com/articles/2649720688", "매물Link")</f>
        <v/>
      </c>
      <c r="N957" s="5">
        <f>HYPERLINK("https://map.naver.com/p/search/부강면 산수리 105-3", "지도Link")</f>
        <v/>
      </c>
      <c r="O957" s="5">
        <f>HYPERLINK("http://www.eum.go.kr/web/ar/lu/luLandDet.jsp?pnu=3611033023101050003&amp;isNoScr=script&amp;mode=search", "토지이음")</f>
        <v/>
      </c>
      <c r="P957" s="3" t="inlineStr">
        <is>
          <t>더행복</t>
        </is>
      </c>
      <c r="Q957" s="3" t="n">
        <v>1</v>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983</v>
      </c>
      <c r="J958" s="3" t="inlineStr">
        <is>
          <t>1</t>
        </is>
      </c>
      <c r="K958" s="3" t="inlineStr">
        <is>
          <t>-</t>
        </is>
      </c>
      <c r="L958" s="3" t="inlineStr">
        <is>
          <t>민원 발생 소지 없음, 2차선 도로에 접함, 호이스트 5톤 2대, 계근대</t>
        </is>
      </c>
      <c r="M958" s="5">
        <f>HYPERLINK("https://fin.land.naver.com/articles/2649581867", "매물Link")</f>
        <v/>
      </c>
      <c r="N958" s="5">
        <f>HYPERLINK("https://map.naver.com/p/search/부강면 행산리 150-1", "지도Link")</f>
        <v/>
      </c>
      <c r="O958" s="5">
        <f>HYPERLINK("http://www.eum.go.kr/web/ar/lu/luLandDet.jsp?pnu=3611033022101500001&amp;isNoScr=script&amp;mode=search", "토지이음")</f>
        <v/>
      </c>
      <c r="P958" s="3" t="inlineStr">
        <is>
          <t>제이</t>
        </is>
      </c>
      <c r="Q958" s="3" t="n">
        <v>1</v>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983</v>
      </c>
      <c r="J959" s="3" t="inlineStr">
        <is>
          <t>1</t>
        </is>
      </c>
      <c r="K959" s="3" t="inlineStr">
        <is>
          <t>-</t>
        </is>
      </c>
      <c r="L959" s="3" t="inlineStr">
        <is>
          <t>세종 청주 접근성 우수 2차선도로변 호이스트 3기 완비된 공장 임대</t>
        </is>
      </c>
      <c r="M959" s="5">
        <f>HYPERLINK("https://fin.land.naver.com/articles/2649493657", "매물Link")</f>
        <v/>
      </c>
      <c r="N959" s="5">
        <f>HYPERLINK("https://map.naver.com/p/search/부강면 행산리 150-1", "지도Link")</f>
        <v/>
      </c>
      <c r="O959" s="5">
        <f>HYPERLINK("http://www.eum.go.kr/web/ar/lu/luLandDet.jsp?pnu=3611033022101500001&amp;isNoScr=script&amp;mode=search", "토지이음")</f>
        <v/>
      </c>
      <c r="P959" s="3" t="inlineStr">
        <is>
          <t>청담</t>
        </is>
      </c>
      <c r="Q959" s="3" t="n">
        <v>1</v>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192</v>
      </c>
      <c r="J960" s="3" t="inlineStr">
        <is>
          <t>1</t>
        </is>
      </c>
      <c r="K960" s="3" t="inlineStr">
        <is>
          <t>-</t>
        </is>
      </c>
      <c r="L960" s="3" t="inlineStr">
        <is>
          <t>세종시 부강면 2차선 도로 접한 소형창고, 소매점 임대</t>
        </is>
      </c>
      <c r="M960" s="5">
        <f>HYPERLINK("https://fin.land.naver.com/articles/2643920309", "매물Link")</f>
        <v/>
      </c>
      <c r="N960" s="5">
        <f>HYPERLINK("https://map.naver.com/p/search/부강면 행산리 154-1", "지도Link")</f>
        <v/>
      </c>
      <c r="O960" s="5">
        <f>HYPERLINK("http://www.eum.go.kr/web/ar/lu/luLandDet.jsp?pnu=3611033022101540001&amp;isNoScr=script&amp;mode=search", "토지이음")</f>
        <v/>
      </c>
      <c r="P960" s="3" t="inlineStr">
        <is>
          <t>세종행복한</t>
        </is>
      </c>
      <c r="Q960" s="3" t="n">
        <v>1</v>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192</v>
      </c>
      <c r="J961" s="3" t="inlineStr">
        <is>
          <t>1</t>
        </is>
      </c>
      <c r="K961" s="3" t="inlineStr">
        <is>
          <t>-</t>
        </is>
      </c>
      <c r="L961" s="3" t="inlineStr">
        <is>
          <t>남청주ic 접근성 좋고 청주세종간도로인근 2차선도로변</t>
        </is>
      </c>
      <c r="M961" s="5">
        <f>HYPERLINK("https://fin.land.naver.com/articles/2646670161", "매물Link")</f>
        <v/>
      </c>
      <c r="N961" s="5">
        <f>HYPERLINK("https://map.naver.com/p/search/부강면 행산리 154-1", "지도Link")</f>
        <v/>
      </c>
      <c r="O961" s="5">
        <f>HYPERLINK("http://www.eum.go.kr/web/ar/lu/luLandDet.jsp?pnu=3611033022101540001&amp;isNoScr=script&amp;mode=search", "토지이음")</f>
        <v/>
      </c>
      <c r="P961" s="3" t="inlineStr">
        <is>
          <t>더원</t>
        </is>
      </c>
      <c r="Q961" s="3" t="n">
        <v>1</v>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810</v>
      </c>
      <c r="J962" s="3" t="inlineStr">
        <is>
          <t>1</t>
        </is>
      </c>
      <c r="K962" s="3" t="inlineStr">
        <is>
          <t>-</t>
        </is>
      </c>
      <c r="L962" s="3" t="inlineStr">
        <is>
          <t>공장하기 편리한곳, 민원없는곳 추천드립니다.</t>
        </is>
      </c>
      <c r="M962" s="5">
        <f>HYPERLINK("https://fin.land.naver.com/articles/2645626752", "매물Link")</f>
        <v/>
      </c>
      <c r="N962" s="5">
        <f>HYPERLINK("https://map.naver.com/p/search/부강면 행산리 335-1", "지도Link")</f>
        <v/>
      </c>
      <c r="O962" s="5">
        <f>HYPERLINK("http://www.eum.go.kr/web/ar/lu/luLandDet.jsp?pnu=3611033022103350001&amp;isNoScr=script&amp;mode=search", "토지이음")</f>
        <v/>
      </c>
      <c r="P962" s="3" t="inlineStr">
        <is>
          <t>대박</t>
        </is>
      </c>
      <c r="Q962" s="3" t="n">
        <v>2</v>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436</v>
      </c>
      <c r="J963" s="3" t="inlineStr">
        <is>
          <t>2</t>
        </is>
      </c>
      <c r="K963" s="3" t="inlineStr">
        <is>
          <t>-</t>
        </is>
      </c>
      <c r="L963" s="3" t="inlineStr">
        <is>
          <t>성업중인공장.진입도로확장예정.매도후재임대가능.남청주IC인근.중부물류터미널</t>
        </is>
      </c>
      <c r="M963" s="5">
        <f>HYPERLINK("https://fin.land.naver.com/articles/2643927321", "매물Link")</f>
        <v/>
      </c>
      <c r="N963" s="5">
        <f>HYPERLINK("https://map.naver.com/p/search/부강면 행산리 371", "지도Link")</f>
        <v/>
      </c>
      <c r="O963" s="5">
        <f>HYPERLINK("http://www.eum.go.kr/web/ar/lu/luLandDet.jsp?pnu=3611033022103710000&amp;isNoScr=script&amp;mode=search", "토지이음")</f>
        <v/>
      </c>
      <c r="P963" s="3" t="inlineStr">
        <is>
          <t>돈방석</t>
        </is>
      </c>
      <c r="Q963" s="3" t="n">
        <v>2</v>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360</v>
      </c>
      <c r="J964" s="3" t="inlineStr">
        <is>
          <t>2</t>
        </is>
      </c>
      <c r="K964" s="3" t="inlineStr">
        <is>
          <t>-</t>
        </is>
      </c>
      <c r="L964" s="3" t="inlineStr">
        <is>
          <t>세종 다업종가능 식품제조 공장 급매매 2종근린생활시설 준신축급</t>
        </is>
      </c>
      <c r="M964" s="5">
        <f>HYPERLINK("https://fin.land.naver.com/articles/2645162215", "매물Link")</f>
        <v/>
      </c>
      <c r="N964" s="5">
        <f>HYPERLINK("https://map.naver.com/p/search/부강면 행산리 371", "지도Link")</f>
        <v/>
      </c>
      <c r="O964" s="5">
        <f>HYPERLINK("http://www.eum.go.kr/web/ar/lu/luLandDet.jsp?pnu=3611033022103710000&amp;isNoScr=script&amp;mode=search", "토지이음")</f>
        <v/>
      </c>
      <c r="P964" s="3" t="inlineStr">
        <is>
          <t>공장네트웍스</t>
        </is>
      </c>
      <c r="Q964" s="3" t="n">
        <v>2</v>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960</v>
      </c>
      <c r="J965" s="3" t="inlineStr">
        <is>
          <t>1</t>
        </is>
      </c>
      <c r="K965" s="3" t="inlineStr">
        <is>
          <t>-</t>
        </is>
      </c>
      <c r="L965" s="3" t="inlineStr">
        <is>
          <t>세종시 클린룸공장</t>
        </is>
      </c>
      <c r="M965" s="5">
        <f>HYPERLINK("https://fin.land.naver.com/articles/2645610105", "매물Link")</f>
        <v/>
      </c>
      <c r="N965" s="5">
        <f>HYPERLINK("https://map.naver.com/p/search/소정면 고등리 686", "지도Link")</f>
        <v/>
      </c>
      <c r="O965" s="5">
        <f>HYPERLINK("http://www.eum.go.kr/web/ar/lu/luLandDet.jsp?pnu=3611039024106860000&amp;isNoScr=script&amp;mode=search", "토지이음")</f>
        <v/>
      </c>
      <c r="P965" s="3" t="inlineStr">
        <is>
          <t>북세종</t>
        </is>
      </c>
      <c r="Q965" s="3" t="n">
        <v>1</v>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960</v>
      </c>
      <c r="J966" s="3" t="inlineStr">
        <is>
          <t>1</t>
        </is>
      </c>
      <c r="K966" s="3" t="inlineStr">
        <is>
          <t>B1</t>
        </is>
      </c>
      <c r="L966" s="3" t="inlineStr">
        <is>
          <t>2020년 준공2022년 크린룸 신설  최신 제조공장, 즉시 입주</t>
        </is>
      </c>
      <c r="M966" s="5">
        <f>HYPERLINK("https://fin.land.naver.com/articles/2645890114", "매물Link")</f>
        <v/>
      </c>
      <c r="N966" s="5">
        <f>HYPERLINK("https://map.naver.com/p/search/소정면 고등리 686", "지도Link")</f>
        <v/>
      </c>
      <c r="O966" s="5">
        <f>HYPERLINK("http://www.eum.go.kr/web/ar/lu/luLandDet.jsp?pnu=3611039024106860000&amp;isNoScr=script&amp;mode=search", "토지이음")</f>
        <v/>
      </c>
      <c r="P966" s="3" t="inlineStr">
        <is>
          <t>진진</t>
        </is>
      </c>
      <c r="Q966" s="3" t="n">
        <v>1</v>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4251</v>
      </c>
      <c r="J967" s="3" t="inlineStr">
        <is>
          <t>1</t>
        </is>
      </c>
      <c r="K967" s="3" t="inlineStr">
        <is>
          <t>-</t>
        </is>
      </c>
      <c r="L967" s="3" t="inlineStr">
        <is>
          <t>세종첨단산단 호이스트 C24 C25 C29 추천 대형공장 임대</t>
        </is>
      </c>
      <c r="M967" s="5">
        <f>HYPERLINK("https://fin.land.naver.com/articles/2648622154", "매물Link")</f>
        <v/>
      </c>
      <c r="N967" s="5">
        <f>HYPERLINK("https://map.naver.com/p/search/소정면 고등리 695", "지도Link")</f>
        <v/>
      </c>
      <c r="O967" s="5">
        <f>HYPERLINK("http://www.eum.go.kr/web/ar/lu/luLandDet.jsp?pnu=3611039024106950000&amp;isNoScr=script&amp;mode=search", "토지이음")</f>
        <v/>
      </c>
      <c r="P967" s="3" t="inlineStr">
        <is>
          <t>불당대원</t>
        </is>
      </c>
      <c r="Q967" s="3" t="n">
        <v>1</v>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2248</v>
      </c>
      <c r="J968" s="3" t="inlineStr">
        <is>
          <t>1</t>
        </is>
      </c>
      <c r="K968" s="3" t="inlineStr">
        <is>
          <t>-</t>
        </is>
      </c>
      <c r="L968" s="3" t="inlineStr">
        <is>
          <t>소정면 남천안IC근접 호이스트 공장임대</t>
        </is>
      </c>
      <c r="M968" s="5">
        <f>HYPERLINK("https://fin.land.naver.com/articles/2649039902", "매물Link")</f>
        <v/>
      </c>
      <c r="N968" s="5">
        <f>HYPERLINK("https://map.naver.com/p/search/소정면 고등리 695", "지도Link")</f>
        <v/>
      </c>
      <c r="O968" s="5">
        <f>HYPERLINK("http://www.eum.go.kr/web/ar/lu/luLandDet.jsp?pnu=3611039024106950000&amp;isNoScr=script&amp;mode=search", "토지이음")</f>
        <v/>
      </c>
      <c r="P968" s="3" t="inlineStr">
        <is>
          <t>한울</t>
        </is>
      </c>
      <c r="Q968" s="3" t="n">
        <v>1</v>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3676</v>
      </c>
      <c r="J969" s="3" t="inlineStr">
        <is>
          <t>2</t>
        </is>
      </c>
      <c r="K969" s="3" t="inlineStr">
        <is>
          <t>-</t>
        </is>
      </c>
      <c r="L969" s="3" t="inlineStr">
        <is>
          <t>호이스트 6기 높은 층고, 넓은 마당 대형 공장 임대</t>
        </is>
      </c>
      <c r="M969" s="5">
        <f>HYPERLINK("https://fin.land.naver.com/articles/2646265880", "매물Link")</f>
        <v/>
      </c>
      <c r="N969" s="5">
        <f>HYPERLINK("https://map.naver.com/p/search/소정면 고등리 710-1", "지도Link")</f>
        <v/>
      </c>
      <c r="O969" s="5">
        <f>HYPERLINK("http://www.eum.go.kr/web/ar/lu/luLandDet.jsp?pnu=3611039024107100001&amp;isNoScr=script&amp;mode=search", "토지이음")</f>
        <v/>
      </c>
      <c r="P969" s="3" t="inlineStr">
        <is>
          <t>청담</t>
        </is>
      </c>
      <c r="Q969" s="3" t="n">
        <v>1</v>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5515</v>
      </c>
      <c r="J970" s="3" t="inlineStr">
        <is>
          <t>1</t>
        </is>
      </c>
      <c r="K970" s="3" t="inlineStr">
        <is>
          <t>-</t>
        </is>
      </c>
      <c r="L970" s="3" t="inlineStr">
        <is>
          <t>세종첨담산업단지내 공장매매 전기990kw 층고12m 호이스트다수 C25</t>
        </is>
      </c>
      <c r="M970" s="5">
        <f>HYPERLINK("https://fin.land.naver.com/articles/2645665400", "매물Link")</f>
        <v/>
      </c>
      <c r="N970" s="5">
        <f>HYPERLINK("https://map.naver.com/p/search/소정면 고등리 710-1", "지도Link")</f>
        <v/>
      </c>
      <c r="O970" s="5">
        <f>HYPERLINK("http://www.eum.go.kr/web/ar/lu/luLandDet.jsp?pnu=3611039024107100001&amp;isNoScr=script&amp;mode=search", "토지이음")</f>
        <v/>
      </c>
      <c r="P970" s="3" t="inlineStr">
        <is>
          <t>태양</t>
        </is>
      </c>
      <c r="Q970" s="3" t="n">
        <v>1</v>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5515</v>
      </c>
      <c r="J971" s="3" t="inlineStr">
        <is>
          <t>1</t>
        </is>
      </c>
      <c r="K971" s="3" t="inlineStr">
        <is>
          <t>-</t>
        </is>
      </c>
      <c r="L971" s="3" t="inlineStr">
        <is>
          <t>남천안IC 6분 세종첨단산업단지내 여유부지 넓은야드 C25 대형공장</t>
        </is>
      </c>
      <c r="M971" s="5">
        <f>HYPERLINK("https://fin.land.naver.com/articles/2648078682", "매물Link")</f>
        <v/>
      </c>
      <c r="N971" s="5">
        <f>HYPERLINK("https://map.naver.com/p/search/소정면 고등리 710-1", "지도Link")</f>
        <v/>
      </c>
      <c r="O971" s="5">
        <f>HYPERLINK("http://www.eum.go.kr/web/ar/lu/luLandDet.jsp?pnu=3611039024107100001&amp;isNoScr=script&amp;mode=search", "토지이음")</f>
        <v/>
      </c>
      <c r="P971" s="3" t="inlineStr">
        <is>
          <t>불당대원</t>
        </is>
      </c>
      <c r="Q971" s="3" t="n">
        <v>2</v>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5515</v>
      </c>
      <c r="J972" s="3" t="inlineStr">
        <is>
          <t>2</t>
        </is>
      </c>
      <c r="K972" s="3" t="inlineStr">
        <is>
          <t>-</t>
        </is>
      </c>
      <c r="L972" s="3" t="inlineStr">
        <is>
          <t>남천안IC 6분 세종첨단산업단지내 호이스트 넓은야드 C25 대형공장</t>
        </is>
      </c>
      <c r="M972" s="5">
        <f>HYPERLINK("https://fin.land.naver.com/articles/2648078708", "매물Link")</f>
        <v/>
      </c>
      <c r="N972" s="5">
        <f>HYPERLINK("https://map.naver.com/p/search/소정면 고등리 710-1", "지도Link")</f>
        <v/>
      </c>
      <c r="O972" s="5">
        <f>HYPERLINK("http://www.eum.go.kr/web/ar/lu/luLandDet.jsp?pnu=3611039024107100001&amp;isNoScr=script&amp;mode=search", "토지이음")</f>
        <v/>
      </c>
      <c r="P972" s="3" t="inlineStr">
        <is>
          <t>불당대원</t>
        </is>
      </c>
      <c r="Q972" s="3" t="n">
        <v>1</v>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5520</v>
      </c>
      <c r="J973" s="3" t="inlineStr">
        <is>
          <t>1</t>
        </is>
      </c>
      <c r="K973" s="3" t="inlineStr">
        <is>
          <t>-</t>
        </is>
      </c>
      <c r="L973" s="3" t="inlineStr">
        <is>
          <t>남천안IC 6분, 남풍세IC 9분 소요</t>
        </is>
      </c>
      <c r="M973" s="5">
        <f>HYPERLINK("https://fin.land.naver.com/articles/2648919758", "매물Link")</f>
        <v/>
      </c>
      <c r="N973" s="5">
        <f>HYPERLINK("https://map.naver.com/p/search/소정면 고등리 710-1", "지도Link")</f>
        <v/>
      </c>
      <c r="O973" s="5">
        <f>HYPERLINK("http://www.eum.go.kr/web/ar/lu/luLandDet.jsp?pnu=3611039024107100001&amp;isNoScr=script&amp;mode=search", "토지이음")</f>
        <v/>
      </c>
      <c r="P973" s="3" t="inlineStr">
        <is>
          <t>미더스</t>
        </is>
      </c>
      <c r="Q973" s="3" t="n">
        <v>3</v>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1312</v>
      </c>
      <c r="J974" s="3" t="inlineStr">
        <is>
          <t>2</t>
        </is>
      </c>
      <c r="K974" s="3" t="inlineStr">
        <is>
          <t>-</t>
        </is>
      </c>
      <c r="L974" s="3" t="inlineStr">
        <is>
          <t>남풍세ic 남천안ic 접근성 좋은 위치 호이스트 3톤2대 전력700kw</t>
        </is>
      </c>
      <c r="M974" s="5">
        <f>HYPERLINK("https://fin.land.naver.com/articles/2649682312", "매물Link")</f>
        <v/>
      </c>
      <c r="N974" s="5">
        <f>HYPERLINK("https://map.naver.com/p/search/소정면 고등리 712", "지도Link")</f>
        <v/>
      </c>
      <c r="O974" s="5">
        <f>HYPERLINK("http://www.eum.go.kr/web/ar/lu/luLandDet.jsp?pnu=3611039024107120000&amp;isNoScr=script&amp;mode=search", "토지이음")</f>
        <v/>
      </c>
      <c r="P974" s="3" t="inlineStr">
        <is>
          <t>더원</t>
        </is>
      </c>
      <c r="Q974" s="3" t="n">
        <v>1</v>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1322</v>
      </c>
      <c r="J975" s="3" t="inlineStr">
        <is>
          <t>1</t>
        </is>
      </c>
      <c r="K975" s="3" t="inlineStr">
        <is>
          <t>-</t>
        </is>
      </c>
      <c r="L975" s="3" t="inlineStr">
        <is>
          <t>소정면 세종첨단산업단지내 공장임대 전기700kw 층고10m 호이스트2대</t>
        </is>
      </c>
      <c r="M975" s="5">
        <f>HYPERLINK("https://fin.land.naver.com/articles/2644534711", "매물Link")</f>
        <v/>
      </c>
      <c r="N975" s="5">
        <f>HYPERLINK("https://map.naver.com/p/search/소정면 고등리 712", "지도Link")</f>
        <v/>
      </c>
      <c r="O975" s="5">
        <f>HYPERLINK("http://www.eum.go.kr/web/ar/lu/luLandDet.jsp?pnu=3611039024107120000&amp;isNoScr=script&amp;mode=search", "토지이음")</f>
        <v/>
      </c>
      <c r="P975" s="3" t="inlineStr">
        <is>
          <t>태양</t>
        </is>
      </c>
      <c r="Q975" s="3" t="n">
        <v>1</v>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4959</v>
      </c>
      <c r="J976" s="3" t="inlineStr">
        <is>
          <t>2</t>
        </is>
      </c>
      <c r="K976" s="3" t="inlineStr">
        <is>
          <t>-</t>
        </is>
      </c>
      <c r="L976" s="3" t="inlineStr">
        <is>
          <t>남천안IC와 5분거리, 호이스트 3톤 2, 대형화물차 진입가능</t>
        </is>
      </c>
      <c r="M976" s="5">
        <f>HYPERLINK("https://fin.land.naver.com/articles/2644760411", "매물Link")</f>
        <v/>
      </c>
      <c r="N976" s="5">
        <f>HYPERLINK("https://map.naver.com/p/search/소정면 고등리 712", "지도Link")</f>
        <v/>
      </c>
      <c r="O976" s="5">
        <f>HYPERLINK("http://www.eum.go.kr/web/ar/lu/luLandDet.jsp?pnu=3611039024107120000&amp;isNoScr=script&amp;mode=search", "토지이음")</f>
        <v/>
      </c>
      <c r="P976" s="3" t="inlineStr">
        <is>
          <t>불당114</t>
        </is>
      </c>
      <c r="Q976" s="3" t="n">
        <v>2</v>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3" t="inlineStr">
        <is>
          <t>2</t>
        </is>
      </c>
      <c r="K977" s="3" t="inlineStr">
        <is>
          <t>-</t>
        </is>
      </c>
      <c r="L977" s="3" t="inlineStr">
        <is>
          <t>세종시 소정면 남풍세IC 10분 사무실 갖춰진 대형 공장 임대</t>
        </is>
      </c>
      <c r="M977" s="5">
        <f>HYPERLINK("https://fin.land.naver.com/articles/2645608941", "매물Link")</f>
        <v/>
      </c>
      <c r="N977" s="5">
        <f>HYPERLINK("https://map.naver.com/p/search/소정면 고등리 712", "지도Link")</f>
        <v/>
      </c>
      <c r="O977" s="5">
        <f>HYPERLINK("http://www.eum.go.kr/web/ar/lu/luLandDet.jsp?pnu=3611039024107120000&amp;isNoScr=script&amp;mode=search", "토지이음")</f>
        <v/>
      </c>
      <c r="P977" s="3" t="inlineStr">
        <is>
          <t>청담</t>
        </is>
      </c>
      <c r="Q977" s="3" t="n">
        <v>1</v>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2399</v>
      </c>
      <c r="J978" s="3" t="inlineStr">
        <is>
          <t>2</t>
        </is>
      </c>
      <c r="K978" s="3" t="inlineStr">
        <is>
          <t>-</t>
        </is>
      </c>
      <c r="L978" s="3" t="inlineStr">
        <is>
          <t>남풍세ic 남천안ic  접근성 좋은 위치 호이스트3톤2대 전력 700kw</t>
        </is>
      </c>
      <c r="M978" s="5">
        <f>HYPERLINK("https://fin.land.naver.com/articles/2649663236", "매물Link")</f>
        <v/>
      </c>
      <c r="N978" s="5">
        <f>HYPERLINK("https://map.naver.com/p/search/소정면 고등리 712", "지도Link")</f>
        <v/>
      </c>
      <c r="O978" s="5">
        <f>HYPERLINK("http://www.eum.go.kr/web/ar/lu/luLandDet.jsp?pnu=3611039024107120000&amp;isNoScr=script&amp;mode=search", "토지이음")</f>
        <v/>
      </c>
      <c r="P978" s="3" t="inlineStr">
        <is>
          <t>더원</t>
        </is>
      </c>
      <c r="Q978" s="3" t="n">
        <v>2</v>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559</v>
      </c>
      <c r="J979" s="3" t="inlineStr">
        <is>
          <t>1</t>
        </is>
      </c>
      <c r="K979" s="3" t="inlineStr">
        <is>
          <t>-</t>
        </is>
      </c>
      <c r="L979" s="3" t="inlineStr">
        <is>
          <t>세종특별자치시 공장 매매</t>
        </is>
      </c>
      <c r="M979" s="5">
        <f>HYPERLINK("https://fin.land.naver.com/articles/2646309035", "매물Link")</f>
        <v/>
      </c>
      <c r="N979" s="5">
        <f>HYPERLINK("https://map.naver.com/p/search/소정면 대곡리 195", "지도Link")</f>
        <v/>
      </c>
      <c r="O979" s="5">
        <f>HYPERLINK("http://www.eum.go.kr/web/ar/lu/luLandDet.jsp?pnu=3611039023101950000&amp;isNoScr=script&amp;mode=search", "토지이음")</f>
        <v/>
      </c>
      <c r="P979" s="3" t="inlineStr">
        <is>
          <t>성성합동</t>
        </is>
      </c>
      <c r="Q979" s="3" t="n">
        <v>1</v>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559</v>
      </c>
      <c r="J980" s="3" t="inlineStr">
        <is>
          <t>1</t>
        </is>
      </c>
      <c r="K980" s="3" t="inlineStr">
        <is>
          <t>-</t>
        </is>
      </c>
      <c r="L980" s="3" t="inlineStr">
        <is>
          <t>남풍세IC 7분 1번국도 2분 넓은야드 가설건축물 고가성비 공장 매매</t>
        </is>
      </c>
      <c r="M980" s="5">
        <f>HYPERLINK("https://fin.land.naver.com/articles/2648078614", "매물Link")</f>
        <v/>
      </c>
      <c r="N980" s="5">
        <f>HYPERLINK("https://map.naver.com/p/search/소정면 대곡리 195", "지도Link")</f>
        <v/>
      </c>
      <c r="O980" s="5">
        <f>HYPERLINK("http://www.eum.go.kr/web/ar/lu/luLandDet.jsp?pnu=3611039023101950000&amp;isNoScr=script&amp;mode=search", "토지이음")</f>
        <v/>
      </c>
      <c r="P980" s="3" t="inlineStr">
        <is>
          <t>불당대원</t>
        </is>
      </c>
      <c r="Q980" s="3" t="n">
        <v>1</v>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494</v>
      </c>
      <c r="J981" s="3" t="inlineStr">
        <is>
          <t>1</t>
        </is>
      </c>
      <c r="K981" s="3" t="inlineStr">
        <is>
          <t>B1</t>
        </is>
      </c>
      <c r="L981" s="3" t="inlineStr">
        <is>
          <t>nan</t>
        </is>
      </c>
      <c r="M981" s="5">
        <f>HYPERLINK("https://fin.land.naver.com/articles/2649633063", "매물Link")</f>
        <v/>
      </c>
      <c r="N981" s="5">
        <f>HYPERLINK("https://map.naver.com/p/search/소정면 대곡리 196", "지도Link")</f>
        <v/>
      </c>
      <c r="O981" s="5">
        <f>HYPERLINK("http://www.eum.go.kr/web/ar/lu/luLandDet.jsp?pnu=3611039023101960000&amp;isNoScr=script&amp;mode=search", "토지이음")</f>
        <v/>
      </c>
      <c r="P981" s="3" t="inlineStr">
        <is>
          <t>상가원탑</t>
        </is>
      </c>
      <c r="Q981" s="3" t="n">
        <v>2</v>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494</v>
      </c>
      <c r="J982" s="3" t="inlineStr">
        <is>
          <t>1</t>
        </is>
      </c>
      <c r="K982" s="3" t="inlineStr">
        <is>
          <t>-</t>
        </is>
      </c>
      <c r="L982" s="3" t="inlineStr">
        <is>
          <t>세종시 소정면 대곡리 공장</t>
        </is>
      </c>
      <c r="M982" s="5">
        <f>HYPERLINK("https://fin.land.naver.com/articles/2647998213", "매물Link")</f>
        <v/>
      </c>
      <c r="N982" s="5">
        <f>HYPERLINK("https://map.naver.com/p/search/소정면 대곡리 196", "지도Link")</f>
        <v/>
      </c>
      <c r="O982" s="5">
        <f>HYPERLINK("http://www.eum.go.kr/web/ar/lu/luLandDet.jsp?pnu=3611039023101960000&amp;isNoScr=script&amp;mode=search", "토지이음")</f>
        <v/>
      </c>
      <c r="P982" s="3" t="inlineStr">
        <is>
          <t>성성합동</t>
        </is>
      </c>
      <c r="Q982" s="3" t="n">
        <v>1</v>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1594</v>
      </c>
      <c r="J983" s="3" t="inlineStr">
        <is>
          <t>1</t>
        </is>
      </c>
      <c r="K983" s="3" t="inlineStr">
        <is>
          <t>-</t>
        </is>
      </c>
      <c r="L983" s="3" t="inlineStr">
        <is>
          <t>남천안IC  5분,   남풍세IC  7분 소요</t>
        </is>
      </c>
      <c r="M983" s="5">
        <f>HYPERLINK("https://fin.land.naver.com/articles/2646775233", "매물Link")</f>
        <v/>
      </c>
      <c r="N983" s="5">
        <f>HYPERLINK("https://map.naver.com/p/search/소정면 대곡리 299-2", "지도Link")</f>
        <v/>
      </c>
      <c r="O983" s="5">
        <f>HYPERLINK("http://www.eum.go.kr/web/ar/lu/luLandDet.jsp?pnu=3611039023102990002&amp;isNoScr=script&amp;mode=search", "토지이음")</f>
        <v/>
      </c>
      <c r="P983" s="3" t="inlineStr">
        <is>
          <t>미더스</t>
        </is>
      </c>
      <c r="Q983" s="3" t="n">
        <v>1</v>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1591</v>
      </c>
      <c r="J984" s="3" t="inlineStr">
        <is>
          <t>2</t>
        </is>
      </c>
      <c r="K984" s="3" t="inlineStr">
        <is>
          <t>-</t>
        </is>
      </c>
      <c r="L984" s="3" t="inlineStr">
        <is>
          <t>고속도로 근,바로사용가능.물류창고적지.급매</t>
        </is>
      </c>
      <c r="M984" s="5">
        <f>HYPERLINK("https://fin.land.naver.com/articles/2647449183", "매물Link")</f>
        <v/>
      </c>
      <c r="N984" s="5">
        <f>HYPERLINK("https://map.naver.com/p/search/소정면 대곡리 299-2", "지도Link")</f>
        <v/>
      </c>
      <c r="O984" s="5">
        <f>HYPERLINK("http://www.eum.go.kr/web/ar/lu/luLandDet.jsp?pnu=3611039023102990002&amp;isNoScr=script&amp;mode=search", "토지이음")</f>
        <v/>
      </c>
      <c r="P984" s="3" t="inlineStr">
        <is>
          <t>명가.dnc</t>
        </is>
      </c>
      <c r="Q984" s="3" t="n">
        <v>1</v>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1275</v>
      </c>
      <c r="J985" s="3" t="inlineStr">
        <is>
          <t>1</t>
        </is>
      </c>
      <c r="K985" s="3" t="inlineStr">
        <is>
          <t>-</t>
        </is>
      </c>
      <c r="L985" s="3" t="inlineStr">
        <is>
          <t>nan</t>
        </is>
      </c>
      <c r="M985" s="5">
        <f>HYPERLINK("https://fin.land.naver.com/articles/2645234001", "매물Link")</f>
        <v/>
      </c>
      <c r="N985" s="5">
        <f>HYPERLINK("https://map.naver.com/p/search/소정면 대곡리 361-1", "지도Link")</f>
        <v/>
      </c>
      <c r="O985" s="5">
        <f>HYPERLINK("http://www.eum.go.kr/web/ar/lu/luLandDet.jsp?pnu=3611039023103610001&amp;isNoScr=script&amp;mode=search", "토지이음")</f>
        <v/>
      </c>
      <c r="P985" s="3" t="inlineStr">
        <is>
          <t>나라</t>
        </is>
      </c>
      <c r="Q985" s="3" t="n">
        <v>1</v>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389</v>
      </c>
      <c r="J986" s="3" t="inlineStr">
        <is>
          <t>1</t>
        </is>
      </c>
      <c r="K986" s="3" t="inlineStr">
        <is>
          <t>B1</t>
        </is>
      </c>
      <c r="L986" s="3" t="inlineStr">
        <is>
          <t>nan</t>
        </is>
      </c>
      <c r="M986" s="5">
        <f>HYPERLINK("https://fin.land.naver.com/articles/2647783576", "매물Link")</f>
        <v/>
      </c>
      <c r="N986" s="5">
        <f>HYPERLINK("https://map.naver.com/p/search/소정면 대곡리 368-6", "지도Link")</f>
        <v/>
      </c>
      <c r="O986" s="5">
        <f>HYPERLINK("http://www.eum.go.kr/web/ar/lu/luLandDet.jsp?pnu=3611039023103680006&amp;isNoScr=script&amp;mode=search", "토지이음")</f>
        <v/>
      </c>
      <c r="P986" s="3" t="inlineStr">
        <is>
          <t>두정태화</t>
        </is>
      </c>
      <c r="Q986" s="3" t="n">
        <v>1</v>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4329</v>
      </c>
      <c r="J987" s="3" t="inlineStr">
        <is>
          <t>2</t>
        </is>
      </c>
      <c r="K987" s="3" t="inlineStr">
        <is>
          <t>-</t>
        </is>
      </c>
      <c r="L987" s="3" t="inlineStr">
        <is>
          <t>남청주IC 10분,세종시청 20분거리,빠른 입주 가능</t>
        </is>
      </c>
      <c r="M987" s="5">
        <f>HYPERLINK("https://fin.land.naver.com/articles/2649056345", "매물Link")</f>
        <v/>
      </c>
      <c r="N987" s="5">
        <f>HYPERLINK("https://map.naver.com/p/search/연동면 내판리 167-3", "지도Link")</f>
        <v/>
      </c>
      <c r="O987" s="5">
        <f>HYPERLINK("http://www.eum.go.kr/web/ar/lu/luLandDet.jsp?pnu=3611032021101670003&amp;isNoScr=script&amp;mode=search", "토지이음")</f>
        <v/>
      </c>
      <c r="P987" s="3" t="inlineStr">
        <is>
          <t>금화랜드</t>
        </is>
      </c>
      <c r="Q987" s="3" t="n">
        <v>2</v>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4329</v>
      </c>
      <c r="J988" s="3" t="inlineStr">
        <is>
          <t>2</t>
        </is>
      </c>
      <c r="K988" s="3" t="inlineStr">
        <is>
          <t>-</t>
        </is>
      </c>
      <c r="L988" s="3" t="inlineStr">
        <is>
          <t>천평 임대,층고5m 깔끔한 공장,현재 공실로 즉시입주 가능</t>
        </is>
      </c>
      <c r="M988" s="5">
        <f>HYPERLINK("https://fin.land.naver.com/articles/2644615200", "매물Link")</f>
        <v/>
      </c>
      <c r="N988" s="5">
        <f>HYPERLINK("https://map.naver.com/p/search/연동면 내판리 167-3", "지도Link")</f>
        <v/>
      </c>
      <c r="O988" s="5">
        <f>HYPERLINK("http://www.eum.go.kr/web/ar/lu/luLandDet.jsp?pnu=3611032021101670003&amp;isNoScr=script&amp;mode=search", "토지이음")</f>
        <v/>
      </c>
      <c r="P988" s="3" t="inlineStr">
        <is>
          <t>금화랜드</t>
        </is>
      </c>
      <c r="Q988" s="3" t="n">
        <v>1</v>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1328</v>
      </c>
      <c r="J989" s="3" t="inlineStr">
        <is>
          <t>2</t>
        </is>
      </c>
      <c r="K989" s="3" t="inlineStr">
        <is>
          <t>-</t>
        </is>
      </c>
      <c r="L989" s="3" t="inlineStr">
        <is>
          <t>연동면 내판리 공장 매매, 5생활권 및 명학산단 인근 위치, 국유지 사용</t>
        </is>
      </c>
      <c r="M989" s="5">
        <f>HYPERLINK("https://fin.land.naver.com/articles/2649816046", "매물Link")</f>
        <v/>
      </c>
      <c r="N989" s="5">
        <f>HYPERLINK("https://map.naver.com/p/search/연동면 내판리 602", "지도Link")</f>
        <v/>
      </c>
      <c r="O989" s="5">
        <f>HYPERLINK("http://www.eum.go.kr/web/ar/lu/luLandDet.jsp?pnu=3611032021106020000&amp;isNoScr=script&amp;mode=search", "토지이음")</f>
        <v/>
      </c>
      <c r="P989" s="3" t="inlineStr">
        <is>
          <t>스카이</t>
        </is>
      </c>
      <c r="Q989" s="3" t="n">
        <v>2</v>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987</v>
      </c>
      <c r="J990" s="3" t="inlineStr">
        <is>
          <t>2</t>
        </is>
      </c>
      <c r="K990" s="3" t="inlineStr">
        <is>
          <t>-</t>
        </is>
      </c>
      <c r="L990" s="3" t="inlineStr">
        <is>
          <t>명학산업단지 귀한 공장 급매</t>
        </is>
      </c>
      <c r="M990" s="5">
        <f>HYPERLINK("https://fin.land.naver.com/articles/2646246944", "매물Link")</f>
        <v/>
      </c>
      <c r="N990" s="5">
        <f>HYPERLINK("https://map.naver.com/p/search/연동면 내판리 711", "지도Link")</f>
        <v/>
      </c>
      <c r="O990" s="5">
        <f>HYPERLINK("http://www.eum.go.kr/web/ar/lu/luLandDet.jsp?pnu=3611032021107110000&amp;isNoScr=script&amp;mode=search", "토지이음")</f>
        <v/>
      </c>
      <c r="P990" s="3" t="inlineStr">
        <is>
          <t>청담</t>
        </is>
      </c>
      <c r="Q990" s="3" t="n">
        <v>1</v>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187</v>
      </c>
      <c r="J991" s="3" t="inlineStr">
        <is>
          <t>1</t>
        </is>
      </c>
      <c r="K991" s="3" t="inlineStr">
        <is>
          <t>-</t>
        </is>
      </c>
      <c r="L991" s="3" t="inlineStr">
        <is>
          <t>nan</t>
        </is>
      </c>
      <c r="M991" s="5">
        <f>HYPERLINK("https://fin.land.naver.com/articles/2649624084", "매물Link")</f>
        <v/>
      </c>
      <c r="N991" s="5">
        <f>HYPERLINK("https://map.naver.com/p/search/연동면 명학리 621-2", "지도Link")</f>
        <v/>
      </c>
      <c r="O991" s="5">
        <f>HYPERLINK("http://www.eum.go.kr/web/ar/lu/luLandDet.jsp?pnu=3611032023106210002&amp;isNoScr=script&amp;mode=search", "토지이음")</f>
        <v/>
      </c>
      <c r="P991" s="3" t="inlineStr">
        <is>
          <t>효자</t>
        </is>
      </c>
      <c r="Q991" s="3" t="n">
        <v>1</v>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11128</v>
      </c>
      <c r="J992" s="3" t="inlineStr">
        <is>
          <t>3</t>
        </is>
      </c>
      <c r="K992" s="3" t="inlineStr">
        <is>
          <t>-</t>
        </is>
      </c>
      <c r="L992" s="3" t="inlineStr">
        <is>
          <t>사진有 공장 매매</t>
        </is>
      </c>
      <c r="M992" s="5">
        <f>HYPERLINK("https://fin.land.naver.com/articles/2649599958", "매물Link")</f>
        <v/>
      </c>
      <c r="N992" s="5">
        <f>HYPERLINK("https://map.naver.com/p/search/연동면 명학리 964", "지도Link")</f>
        <v/>
      </c>
      <c r="O992" s="5">
        <f>HYPERLINK("http://www.eum.go.kr/web/ar/lu/luLandDet.jsp?pnu=3611032023109640000&amp;isNoScr=script&amp;mode=search", "토지이음")</f>
        <v/>
      </c>
      <c r="P992" s="3" t="inlineStr">
        <is>
          <t>월드</t>
        </is>
      </c>
      <c r="Q992" s="3" t="n">
        <v>1</v>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11128</v>
      </c>
      <c r="J993" s="3" t="inlineStr">
        <is>
          <t>3</t>
        </is>
      </c>
      <c r="K993" s="3" t="inlineStr">
        <is>
          <t>-</t>
        </is>
      </c>
      <c r="L993" s="3" t="inlineStr">
        <is>
          <t>세종시 일반공업지역의 호이스트 및 층고 높은 대형공장</t>
        </is>
      </c>
      <c r="M993" s="5">
        <f>HYPERLINK("https://fin.land.naver.com/articles/2648890752", "매물Link")</f>
        <v/>
      </c>
      <c r="N993" s="5">
        <f>HYPERLINK("https://map.naver.com/p/search/연동면 명학리 964", "지도Link")</f>
        <v/>
      </c>
      <c r="O993" s="5">
        <f>HYPERLINK("http://www.eum.go.kr/web/ar/lu/luLandDet.jsp?pnu=3611032023109640000&amp;isNoScr=script&amp;mode=search", "토지이음")</f>
        <v/>
      </c>
      <c r="P993" s="3" t="inlineStr">
        <is>
          <t>(주)미르</t>
        </is>
      </c>
      <c r="Q993" s="3" t="n">
        <v>2</v>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4454</v>
      </c>
      <c r="J994" s="3" t="inlineStr">
        <is>
          <t>1</t>
        </is>
      </c>
      <c r="K994" s="3" t="inlineStr">
        <is>
          <t>-</t>
        </is>
      </c>
      <c r="L994" s="3" t="inlineStr">
        <is>
          <t>세종시의 대형공장 및 창고,물류센터 추천, 남청주IC에서 7km 위치</t>
        </is>
      </c>
      <c r="M994" s="5">
        <f>HYPERLINK("https://fin.land.naver.com/articles/2648903808", "매물Link")</f>
        <v/>
      </c>
      <c r="N994" s="5">
        <f>HYPERLINK("https://map.naver.com/p/search/연동면 응암리 108-4", "지도Link")</f>
        <v/>
      </c>
      <c r="O994" s="5">
        <f>HYPERLINK("http://www.eum.go.kr/web/ar/lu/luLandDet.jsp?pnu=3611032024101080004&amp;isNoScr=script&amp;mode=search", "토지이음")</f>
        <v/>
      </c>
      <c r="P994" s="3" t="inlineStr">
        <is>
          <t>금화랜드</t>
        </is>
      </c>
      <c r="Q994" s="3" t="n">
        <v>2</v>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4454</v>
      </c>
      <c r="J995" s="3" t="inlineStr">
        <is>
          <t>1</t>
        </is>
      </c>
      <c r="K995" s="3" t="inlineStr">
        <is>
          <t>-</t>
        </is>
      </c>
      <c r="L995" s="3" t="inlineStr">
        <is>
          <t>대형 공장 창고 매매</t>
        </is>
      </c>
      <c r="M995" s="5">
        <f>HYPERLINK("https://fin.land.naver.com/articles/2649706179", "매물Link")</f>
        <v/>
      </c>
      <c r="N995" s="5">
        <f>HYPERLINK("https://map.naver.com/p/search/연동면 응암리 108-4", "지도Link")</f>
        <v/>
      </c>
      <c r="O995" s="5">
        <f>HYPERLINK("http://www.eum.go.kr/web/ar/lu/luLandDet.jsp?pnu=3611032024101080004&amp;isNoScr=script&amp;mode=search", "토지이음")</f>
        <v/>
      </c>
      <c r="P995" s="3" t="inlineStr">
        <is>
          <t>THE행복</t>
        </is>
      </c>
      <c r="Q995" s="3" t="n">
        <v>2</v>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1150</v>
      </c>
      <c r="J996" s="3" t="inlineStr">
        <is>
          <t>2</t>
        </is>
      </c>
      <c r="K996" s="3" t="inlineStr">
        <is>
          <t>-</t>
        </is>
      </c>
      <c r="L996" s="3" t="inlineStr">
        <is>
          <t>사진有 공장 매매</t>
        </is>
      </c>
      <c r="M996" s="5">
        <f>HYPERLINK("https://fin.land.naver.com/articles/2649601039", "매물Link")</f>
        <v/>
      </c>
      <c r="N996" s="5">
        <f>HYPERLINK("https://map.naver.com/p/search/연동면 응암리 561-1", "지도Link")</f>
        <v/>
      </c>
      <c r="O996" s="5">
        <f>HYPERLINK("http://www.eum.go.kr/web/ar/lu/luLandDet.jsp?pnu=3611032024105610001&amp;isNoScr=script&amp;mode=search", "토지이음")</f>
        <v/>
      </c>
      <c r="P996" s="3" t="inlineStr">
        <is>
          <t>월드</t>
        </is>
      </c>
      <c r="Q996" s="3" t="n">
        <v>1</v>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1150</v>
      </c>
      <c r="J997" s="3" t="inlineStr">
        <is>
          <t>2</t>
        </is>
      </c>
      <c r="K997" s="3" t="inlineStr">
        <is>
          <t>-</t>
        </is>
      </c>
      <c r="L997" s="3" t="inlineStr">
        <is>
          <t>행복도시 도심1분 최인접 명학산업단지 건너편 6차선도로 바로옆</t>
        </is>
      </c>
      <c r="M997" s="5">
        <f>HYPERLINK("https://fin.land.naver.com/articles/2644483737", "매물Link")</f>
        <v/>
      </c>
      <c r="N997" s="5">
        <f>HYPERLINK("https://map.naver.com/p/search/연동면 응암리 561-1", "지도Link")</f>
        <v/>
      </c>
      <c r="O997" s="5">
        <f>HYPERLINK("http://www.eum.go.kr/web/ar/lu/luLandDet.jsp?pnu=3611032024105610001&amp;isNoScr=script&amp;mode=search", "토지이음")</f>
        <v/>
      </c>
      <c r="P997" s="3" t="inlineStr">
        <is>
          <t>세종스타</t>
        </is>
      </c>
      <c r="Q997" s="3" t="n">
        <v>2</v>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1150</v>
      </c>
      <c r="J998" s="3" t="inlineStr">
        <is>
          <t>2</t>
        </is>
      </c>
      <c r="K998" s="3" t="inlineStr">
        <is>
          <t>-</t>
        </is>
      </c>
      <c r="L998" s="3" t="inlineStr">
        <is>
          <t>nan</t>
        </is>
      </c>
      <c r="M998" s="5">
        <f>HYPERLINK("https://fin.land.naver.com/articles/2644999845", "매물Link")</f>
        <v/>
      </c>
      <c r="N998" s="5">
        <f>HYPERLINK("https://map.naver.com/p/search/연동면 응암리 561-1", "지도Link")</f>
        <v/>
      </c>
      <c r="O998" s="5">
        <f>HYPERLINK("http://www.eum.go.kr/web/ar/lu/luLandDet.jsp?pnu=3611032024105610001&amp;isNoScr=script&amp;mode=search", "토지이음")</f>
        <v/>
      </c>
      <c r="P998" s="3" t="inlineStr">
        <is>
          <t>세종땅전문</t>
        </is>
      </c>
      <c r="Q998" s="3" t="n">
        <v>1</v>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594</v>
      </c>
      <c r="J999" s="3" t="inlineStr">
        <is>
          <t>1</t>
        </is>
      </c>
      <c r="K999" s="3" t="inlineStr">
        <is>
          <t>-</t>
        </is>
      </c>
      <c r="L999" s="3" t="inlineStr">
        <is>
          <t>nan</t>
        </is>
      </c>
      <c r="M999" s="5">
        <f>HYPERLINK("https://fin.land.naver.com/articles/2644445678", "매물Link")</f>
        <v/>
      </c>
      <c r="N999" s="5">
        <f>HYPERLINK("https://map.naver.com/p/search/연동면 응암리 666-1", "지도Link")</f>
        <v/>
      </c>
      <c r="O999" s="5">
        <f>HYPERLINK("http://www.eum.go.kr/web/ar/lu/luLandDet.jsp?pnu=3611032024106660001&amp;isNoScr=script&amp;mode=search", "토지이음")</f>
        <v/>
      </c>
      <c r="P999" s="3" t="inlineStr">
        <is>
          <t>e플러스</t>
        </is>
      </c>
      <c r="Q999" s="3" t="n">
        <v>1</v>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3266</v>
      </c>
      <c r="J1000" s="3" t="inlineStr">
        <is>
          <t>2</t>
        </is>
      </c>
      <c r="K1000" s="3" t="inlineStr">
        <is>
          <t>B1</t>
        </is>
      </c>
      <c r="L1000" s="3" t="inlineStr">
        <is>
          <t>사통팔달세종시 창고 및 공장 임대</t>
        </is>
      </c>
      <c r="M1000" s="5">
        <f>HYPERLINK("https://fin.land.naver.com/articles/2646473361", "매물Link")</f>
        <v/>
      </c>
      <c r="N1000" s="5">
        <f>HYPERLINK("https://map.naver.com/p/search/연동면 응암리 666-1", "지도Link")</f>
        <v/>
      </c>
      <c r="O1000" s="5">
        <f>HYPERLINK("http://www.eum.go.kr/web/ar/lu/luLandDet.jsp?pnu=3611032024106660001&amp;isNoScr=script&amp;mode=search", "토지이음")</f>
        <v/>
      </c>
      <c r="P1000" s="3" t="inlineStr">
        <is>
          <t>주식회사 써밋</t>
        </is>
      </c>
      <c r="Q1000" s="3" t="n">
        <v>1</v>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4117</v>
      </c>
      <c r="J1001" s="3" t="inlineStr">
        <is>
          <t>2</t>
        </is>
      </c>
      <c r="K1001" s="3" t="inlineStr">
        <is>
          <t>-</t>
        </is>
      </c>
      <c r="L1001" s="3" t="inlineStr">
        <is>
          <t>공장 및 창고 가능, 즉시 입주 가능, 대형차 진출입 가능</t>
        </is>
      </c>
      <c r="M1001" s="5">
        <f>HYPERLINK("https://fin.land.naver.com/articles/2647692237", "매물Link")</f>
        <v/>
      </c>
      <c r="N1001" s="5">
        <f>HYPERLINK("https://map.naver.com/p/search/연동면 응암리 666-1", "지도Link")</f>
        <v/>
      </c>
      <c r="O1001" s="5">
        <f>HYPERLINK("http://www.eum.go.kr/web/ar/lu/luLandDet.jsp?pnu=3611032024106660001&amp;isNoScr=script&amp;mode=search", "토지이음")</f>
        <v/>
      </c>
      <c r="P1001" s="3" t="inlineStr">
        <is>
          <t>주식회사 대기</t>
        </is>
      </c>
      <c r="Q1001" s="3" t="n">
        <v>1</v>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4117</v>
      </c>
      <c r="J1002" s="3" t="inlineStr">
        <is>
          <t>2</t>
        </is>
      </c>
      <c r="K1002" s="3" t="inlineStr">
        <is>
          <t>-</t>
        </is>
      </c>
      <c r="L1002" s="3" t="inlineStr">
        <is>
          <t>공장 및 창고 가능, 즉시 입주 가능, 대형차 진출입 가능</t>
        </is>
      </c>
      <c r="M1002" s="5">
        <f>HYPERLINK("https://fin.land.naver.com/articles/2647448810", "매물Link")</f>
        <v/>
      </c>
      <c r="N1002" s="5">
        <f>HYPERLINK("https://map.naver.com/p/search/연동면 응암리 666-1", "지도Link")</f>
        <v/>
      </c>
      <c r="O1002" s="5">
        <f>HYPERLINK("http://www.eum.go.kr/web/ar/lu/luLandDet.jsp?pnu=3611032024106660001&amp;isNoScr=script&amp;mode=search", "토지이음")</f>
        <v/>
      </c>
      <c r="P1002" s="3" t="inlineStr">
        <is>
          <t>주식회사 대기</t>
        </is>
      </c>
      <c r="Q1002" s="3" t="n">
        <v>1</v>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5677</v>
      </c>
      <c r="J1003" s="3" t="inlineStr">
        <is>
          <t>2</t>
        </is>
      </c>
      <c r="K1003" s="3" t="inlineStr">
        <is>
          <t>B1</t>
        </is>
      </c>
      <c r="L1003" s="3" t="inlineStr">
        <is>
          <t>사진有 공장 매매</t>
        </is>
      </c>
      <c r="M1003" s="5">
        <f>HYPERLINK("https://fin.land.naver.com/articles/2649601593", "매물Link")</f>
        <v/>
      </c>
      <c r="N1003" s="5">
        <f>HYPERLINK("https://map.naver.com/p/search/연동면 응암리 666-6", "지도Link")</f>
        <v/>
      </c>
      <c r="O1003" s="5">
        <f>HYPERLINK("http://www.eum.go.kr/web/ar/lu/luLandDet.jsp?pnu=3611032024106660006&amp;isNoScr=script&amp;mode=search", "토지이음")</f>
        <v/>
      </c>
      <c r="P1003" s="3" t="inlineStr">
        <is>
          <t>월드</t>
        </is>
      </c>
      <c r="Q1003" s="3" t="n">
        <v>1</v>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5677</v>
      </c>
      <c r="J1004" s="3" t="inlineStr">
        <is>
          <t>2</t>
        </is>
      </c>
      <c r="K1004" s="3" t="inlineStr">
        <is>
          <t>-</t>
        </is>
      </c>
      <c r="L1004" s="3" t="inlineStr">
        <is>
          <t>즉시입주 가능한 농공단지내 공장입니다</t>
        </is>
      </c>
      <c r="M1004" s="5">
        <f>HYPERLINK("https://fin.land.naver.com/articles/2649729485", "매물Link")</f>
        <v/>
      </c>
      <c r="N1004" s="5">
        <f>HYPERLINK("https://map.naver.com/p/search/연동면 응암리 666-6", "지도Link")</f>
        <v/>
      </c>
      <c r="O1004" s="5">
        <f>HYPERLINK("http://www.eum.go.kr/web/ar/lu/luLandDet.jsp?pnu=3611032024106660006&amp;isNoScr=script&amp;mode=search", "토지이음")</f>
        <v/>
      </c>
      <c r="P1004" s="3" t="inlineStr">
        <is>
          <t>복댕이</t>
        </is>
      </c>
      <c r="Q1004" s="3" t="n">
        <v>3</v>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1096</v>
      </c>
      <c r="J1005" s="3" t="inlineStr">
        <is>
          <t>1</t>
        </is>
      </c>
      <c r="K1005" s="3" t="inlineStr">
        <is>
          <t>-</t>
        </is>
      </c>
      <c r="L1005" s="3" t="inlineStr">
        <is>
          <t>세종명학산업단지 초근접 2차선 도로변 공장, 물류창고 임대</t>
        </is>
      </c>
      <c r="M1005" s="5">
        <f>HYPERLINK("https://fin.land.naver.com/articles/2649815821", "매물Link")</f>
        <v/>
      </c>
      <c r="N1005" s="5">
        <f>HYPERLINK("https://map.naver.com/p/search/연동면 응암리 676-12", "지도Link")</f>
        <v/>
      </c>
      <c r="O1005" s="5">
        <f>HYPERLINK("http://www.eum.go.kr/web/ar/lu/luLandDet.jsp?pnu=3611032024106760012&amp;isNoScr=script&amp;mode=search", "토지이음")</f>
        <v/>
      </c>
      <c r="P1005" s="3" t="inlineStr">
        <is>
          <t>청담</t>
        </is>
      </c>
      <c r="Q1005" s="3" t="n">
        <v>1</v>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492</v>
      </c>
      <c r="J1006" s="3" t="inlineStr">
        <is>
          <t>1</t>
        </is>
      </c>
      <c r="K1006" s="3" t="inlineStr">
        <is>
          <t>-</t>
        </is>
      </c>
      <c r="L1006" s="3" t="inlineStr">
        <is>
          <t>nan</t>
        </is>
      </c>
      <c r="M1006" s="5">
        <f>HYPERLINK("https://fin.land.naver.com/articles/2646425990", "매물Link")</f>
        <v/>
      </c>
      <c r="N1006" s="5">
        <f>HYPERLINK("https://map.naver.com/p/search/연서면 국촌리 169", "지도Link")</f>
        <v/>
      </c>
      <c r="O1006" s="5">
        <f>HYPERLINK("http://www.eum.go.kr/web/ar/lu/luLandDet.jsp?pnu=3611036030101690000&amp;isNoScr=script&amp;mode=search", "토지이음")</f>
        <v/>
      </c>
      <c r="P1006" s="3" t="inlineStr">
        <is>
          <t>지성</t>
        </is>
      </c>
      <c r="Q1006" s="3" t="n">
        <v>1</v>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1217</v>
      </c>
      <c r="J1007" s="3" t="inlineStr">
        <is>
          <t>1</t>
        </is>
      </c>
      <c r="K1007" s="3" t="inlineStr">
        <is>
          <t>-</t>
        </is>
      </c>
      <c r="L1007" s="3" t="inlineStr">
        <is>
          <t>nan</t>
        </is>
      </c>
      <c r="M1007" s="5">
        <f>HYPERLINK("https://fin.land.naver.com/articles/2648077609", "매물Link")</f>
        <v/>
      </c>
      <c r="N1007" s="5">
        <f>HYPERLINK("https://map.naver.com/p/search/연서면 국촌리 7", "지도Link")</f>
        <v/>
      </c>
      <c r="O1007" s="5">
        <f>HYPERLINK("http://www.eum.go.kr/web/ar/lu/luLandDet.jsp?pnu=3611036030100070000&amp;isNoScr=script&amp;mode=search", "토지이음")</f>
        <v/>
      </c>
      <c r="P1007" s="3" t="inlineStr">
        <is>
          <t>푸른들</t>
        </is>
      </c>
      <c r="Q1007" s="3" t="n">
        <v>1</v>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655</v>
      </c>
      <c r="J1008" s="3" t="inlineStr">
        <is>
          <t>1</t>
        </is>
      </c>
      <c r="K1008" s="3" t="inlineStr">
        <is>
          <t>-</t>
        </is>
      </c>
      <c r="L1008" s="3" t="inlineStr">
        <is>
          <t>월세조정가.6차선대로변접.화물차진입및회전가.대원네스트빌바로옆.SK주유소접</t>
        </is>
      </c>
      <c r="M1008" s="5">
        <f>HYPERLINK("https://fin.land.naver.com/articles/2649818490", "매물Link")</f>
        <v/>
      </c>
      <c r="N1008" s="5">
        <f>HYPERLINK("https://map.naver.com/p/search/연서면 봉암리 620-133", "지도Link")</f>
        <v/>
      </c>
      <c r="O1008" s="5">
        <f>HYPERLINK("http://www.eum.go.kr/web/ar/lu/luLandDet.jsp?pnu=3611036033106200133&amp;isNoScr=script&amp;mode=search", "토지이음")</f>
        <v/>
      </c>
      <c r="P1008" s="3" t="inlineStr">
        <is>
          <t>돈방석</t>
        </is>
      </c>
      <c r="Q1008" s="3" t="n">
        <v>1</v>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10430</v>
      </c>
      <c r="J1009" s="3" t="inlineStr">
        <is>
          <t>2</t>
        </is>
      </c>
      <c r="K1009" s="3" t="inlineStr">
        <is>
          <t>B1</t>
        </is>
      </c>
      <c r="L1009" s="3" t="inlineStr">
        <is>
          <t>사진有 공장 매매</t>
        </is>
      </c>
      <c r="M1009" s="5">
        <f>HYPERLINK("https://fin.land.naver.com/articles/2649602344", "매물Link")</f>
        <v/>
      </c>
      <c r="N1009" s="5">
        <f>HYPERLINK("https://map.naver.com/p/search/연서면 부동리 148", "지도Link")</f>
        <v/>
      </c>
      <c r="O1009" s="5">
        <f>HYPERLINK("http://www.eum.go.kr/web/ar/lu/luLandDet.jsp?pnu=3611036032101480000&amp;isNoScr=script&amp;mode=search", "토지이음")</f>
        <v/>
      </c>
      <c r="P1009" s="3" t="inlineStr">
        <is>
          <t>월드</t>
        </is>
      </c>
      <c r="Q1009" s="3" t="n">
        <v>2</v>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10430</v>
      </c>
      <c r="J1010" s="3" t="inlineStr">
        <is>
          <t>1</t>
        </is>
      </c>
      <c r="K1010" s="3" t="inlineStr">
        <is>
          <t>-</t>
        </is>
      </c>
      <c r="L1010" s="3" t="inlineStr">
        <is>
          <t>세종조치원일반산업단지 대형공장매매 최근리모델링완비로 컨디션좋음</t>
        </is>
      </c>
      <c r="M1010" s="5">
        <f>HYPERLINK("https://fin.land.naver.com/articles/2645008514", "매물Link")</f>
        <v/>
      </c>
      <c r="N1010" s="5">
        <f>HYPERLINK("https://map.naver.com/p/search/연서면 부동리 148", "지도Link")</f>
        <v/>
      </c>
      <c r="O1010" s="5">
        <f>HYPERLINK("http://www.eum.go.kr/web/ar/lu/luLandDet.jsp?pnu=3611036032101480000&amp;isNoScr=script&amp;mode=search", "토지이음")</f>
        <v/>
      </c>
      <c r="P1010" s="3" t="inlineStr">
        <is>
          <t>더원</t>
        </is>
      </c>
      <c r="Q1010" s="3" t="n">
        <v>1</v>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10430</v>
      </c>
      <c r="J1011" s="3" t="inlineStr">
        <is>
          <t>2</t>
        </is>
      </c>
      <c r="K1011" s="3" t="inlineStr">
        <is>
          <t>-</t>
        </is>
      </c>
      <c r="L1011" s="3" t="inlineStr">
        <is>
          <t>조치원 일반산업단지내 위치 대형공장 23년 리모데링 완비 상세설명참조</t>
        </is>
      </c>
      <c r="M1011" s="5">
        <f>HYPERLINK("https://fin.land.naver.com/articles/2647124215", "매물Link")</f>
        <v/>
      </c>
      <c r="N1011" s="5">
        <f>HYPERLINK("https://map.naver.com/p/search/연서면 부동리 148", "지도Link")</f>
        <v/>
      </c>
      <c r="O1011" s="5">
        <f>HYPERLINK("http://www.eum.go.kr/web/ar/lu/luLandDet.jsp?pnu=3611036032101480000&amp;isNoScr=script&amp;mode=search", "토지이음")</f>
        <v/>
      </c>
      <c r="P1011" s="3" t="inlineStr">
        <is>
          <t>자이원</t>
        </is>
      </c>
      <c r="Q1011" s="3" t="n">
        <v>1</v>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10430</v>
      </c>
      <c r="J1012" s="3" t="inlineStr">
        <is>
          <t>2</t>
        </is>
      </c>
      <c r="K1012" s="3" t="inlineStr">
        <is>
          <t>B1</t>
        </is>
      </c>
      <c r="L1012" s="3" t="inlineStr">
        <is>
          <t>조치원 일반산업단지 대형공장매매, 최근 리모델링으로 시설 굿</t>
        </is>
      </c>
      <c r="M1012" s="5">
        <f>HYPERLINK("https://fin.land.naver.com/articles/2648903978", "매물Link")</f>
        <v/>
      </c>
      <c r="N1012" s="5">
        <f>HYPERLINK("https://map.naver.com/p/search/연서면 부동리 148", "지도Link")</f>
        <v/>
      </c>
      <c r="O1012" s="5">
        <f>HYPERLINK("http://www.eum.go.kr/web/ar/lu/luLandDet.jsp?pnu=3611036032101480000&amp;isNoScr=script&amp;mode=search", "토지이음")</f>
        <v/>
      </c>
      <c r="P1012" s="3" t="inlineStr">
        <is>
          <t>명진</t>
        </is>
      </c>
      <c r="Q1012" s="3" t="n">
        <v>1</v>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10430</v>
      </c>
      <c r="J1013" s="3" t="inlineStr">
        <is>
          <t>2</t>
        </is>
      </c>
      <c r="K1013" s="3" t="inlineStr">
        <is>
          <t>-</t>
        </is>
      </c>
      <c r="L1013" s="3" t="inlineStr">
        <is>
          <t>7동구조로 된 대형공장 컨디션 최상 고전력 다양한 유틸리티</t>
        </is>
      </c>
      <c r="M1013" s="5">
        <f>HYPERLINK("https://fin.land.naver.com/articles/2645789196", "매물Link")</f>
        <v/>
      </c>
      <c r="N1013" s="5">
        <f>HYPERLINK("https://map.naver.com/p/search/연서면 부동리 148", "지도Link")</f>
        <v/>
      </c>
      <c r="O1013" s="5">
        <f>HYPERLINK("http://www.eum.go.kr/web/ar/lu/luLandDet.jsp?pnu=3611036032101480000&amp;isNoScr=script&amp;mode=search", "토지이음")</f>
        <v/>
      </c>
      <c r="P1013" s="3" t="inlineStr">
        <is>
          <t>공장플러스</t>
        </is>
      </c>
      <c r="Q1013" s="3" t="n">
        <v>1</v>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10430</v>
      </c>
      <c r="J1014" s="3" t="inlineStr">
        <is>
          <t>2</t>
        </is>
      </c>
      <c r="K1014" s="3" t="inlineStr">
        <is>
          <t>B1</t>
        </is>
      </c>
      <c r="L1014" s="3" t="inlineStr">
        <is>
          <t>세종산업단지의  호이스트 증축 가능한 대형공장,청주IC,서세종IC인근</t>
        </is>
      </c>
      <c r="M1014" s="5">
        <f>HYPERLINK("https://fin.land.naver.com/articles/2647861792", "매물Link")</f>
        <v/>
      </c>
      <c r="N1014" s="5">
        <f>HYPERLINK("https://map.naver.com/p/search/연서면 부동리 148", "지도Link")</f>
        <v/>
      </c>
      <c r="O1014" s="5">
        <f>HYPERLINK("http://www.eum.go.kr/web/ar/lu/luLandDet.jsp?pnu=3611036032101480000&amp;isNoScr=script&amp;mode=search", "토지이음")</f>
        <v/>
      </c>
      <c r="P1014" s="3" t="inlineStr">
        <is>
          <t>(주)미르</t>
        </is>
      </c>
      <c r="Q1014" s="3" t="n">
        <v>3</v>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1254</v>
      </c>
      <c r="J1015" s="3" t="inlineStr">
        <is>
          <t>2</t>
        </is>
      </c>
      <c r="K1015" s="3" t="inlineStr">
        <is>
          <t>-</t>
        </is>
      </c>
      <c r="L1015" s="3" t="inlineStr">
        <is>
          <t>전망 좋고 투자가치 높은 월하천 전망의 귀한 공장 창고 판매매장</t>
        </is>
      </c>
      <c r="M1015" s="5">
        <f>HYPERLINK("https://fin.land.naver.com/articles/2646178088", "매물Link")</f>
        <v/>
      </c>
      <c r="N1015" s="5">
        <f>HYPERLINK("https://map.naver.com/p/search/연서면 성제리 405-1", "지도Link")</f>
        <v/>
      </c>
      <c r="O1015" s="5">
        <f>HYPERLINK("http://www.eum.go.kr/web/ar/lu/luLandDet.jsp?pnu=3611036023104050001&amp;isNoScr=script&amp;mode=search", "토지이음")</f>
        <v/>
      </c>
      <c r="P1015" s="3" t="inlineStr">
        <is>
          <t>번영</t>
        </is>
      </c>
      <c r="Q1015" s="3" t="n">
        <v>1</v>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1254</v>
      </c>
      <c r="J1016" s="3" t="inlineStr">
        <is>
          <t>2</t>
        </is>
      </c>
      <c r="K1016" s="3" t="inlineStr">
        <is>
          <t>-</t>
        </is>
      </c>
      <c r="L1016" s="3" t="inlineStr">
        <is>
          <t>월하천 뷰의 전망이 좋고 투자가치 탁월한 공장,창고 매매</t>
        </is>
      </c>
      <c r="M1016" s="5">
        <f>HYPERLINK("https://fin.land.naver.com/articles/2645084397", "매물Link")</f>
        <v/>
      </c>
      <c r="N1016" s="5">
        <f>HYPERLINK("https://map.naver.com/p/search/연서면 성제리 405-1", "지도Link")</f>
        <v/>
      </c>
      <c r="O1016" s="5">
        <f>HYPERLINK("http://www.eum.go.kr/web/ar/lu/luLandDet.jsp?pnu=3611036023104050001&amp;isNoScr=script&amp;mode=search", "토지이음")</f>
        <v/>
      </c>
      <c r="P1016" s="3" t="inlineStr">
        <is>
          <t>비타민무소</t>
        </is>
      </c>
      <c r="Q1016" s="3" t="n">
        <v>1</v>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1254</v>
      </c>
      <c r="J1017" s="3" t="inlineStr">
        <is>
          <t>2</t>
        </is>
      </c>
      <c r="K1017" s="3" t="inlineStr">
        <is>
          <t>-</t>
        </is>
      </c>
      <c r="L1017" s="3" t="inlineStr">
        <is>
          <t>공장 매매</t>
        </is>
      </c>
      <c r="M1017" s="5">
        <f>HYPERLINK("https://fin.land.naver.com/articles/2647433840", "매물Link")</f>
        <v/>
      </c>
      <c r="N1017" s="5">
        <f>HYPERLINK("https://map.naver.com/p/search/연서면 성제리 405-1", "지도Link")</f>
        <v/>
      </c>
      <c r="O1017" s="5">
        <f>HYPERLINK("http://www.eum.go.kr/web/ar/lu/luLandDet.jsp?pnu=3611036023104050001&amp;isNoScr=script&amp;mode=search", "토지이음")</f>
        <v/>
      </c>
      <c r="P1017" s="3" t="inlineStr">
        <is>
          <t>마니</t>
        </is>
      </c>
      <c r="Q1017" s="3" t="n">
        <v>1</v>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1254</v>
      </c>
      <c r="J1018" s="3" t="inlineStr">
        <is>
          <t>2</t>
        </is>
      </c>
      <c r="K1018" s="3" t="inlineStr">
        <is>
          <t>-</t>
        </is>
      </c>
      <c r="L1018" s="3" t="inlineStr">
        <is>
          <t>공장  임대 입니다</t>
        </is>
      </c>
      <c r="M1018" s="5">
        <f>HYPERLINK("https://fin.land.naver.com/articles/2647433809", "매물Link")</f>
        <v/>
      </c>
      <c r="N1018" s="5">
        <f>HYPERLINK("https://map.naver.com/p/search/연서면 성제리 405-1", "지도Link")</f>
        <v/>
      </c>
      <c r="O1018" s="5">
        <f>HYPERLINK("http://www.eum.go.kr/web/ar/lu/luLandDet.jsp?pnu=3611036023104050001&amp;isNoScr=script&amp;mode=search", "토지이음")</f>
        <v/>
      </c>
      <c r="P1018" s="3" t="inlineStr">
        <is>
          <t>마니</t>
        </is>
      </c>
      <c r="Q1018" s="3" t="n">
        <v>1</v>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1254</v>
      </c>
      <c r="J1019" s="3" t="inlineStr">
        <is>
          <t>2</t>
        </is>
      </c>
      <c r="K1019" s="3" t="inlineStr">
        <is>
          <t>-</t>
        </is>
      </c>
      <c r="L1019" s="3" t="inlineStr">
        <is>
          <t>전망 좋고 투자가치 높은 월하천 전망의 귀한 공장 창고 판매매장</t>
        </is>
      </c>
      <c r="M1019" s="5">
        <f>HYPERLINK("https://fin.land.naver.com/articles/2648905718", "매물Link")</f>
        <v/>
      </c>
      <c r="N1019" s="5">
        <f>HYPERLINK("https://map.naver.com/p/search/연서면 성제리 405-1", "지도Link")</f>
        <v/>
      </c>
      <c r="O1019" s="5">
        <f>HYPERLINK("http://www.eum.go.kr/web/ar/lu/luLandDet.jsp?pnu=3611036023104050001&amp;isNoScr=script&amp;mode=search", "토지이음")</f>
        <v/>
      </c>
      <c r="P1019" s="3" t="inlineStr">
        <is>
          <t>번영</t>
        </is>
      </c>
      <c r="Q1019" s="3" t="n">
        <v>1</v>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393</v>
      </c>
      <c r="J1020" s="3" t="inlineStr">
        <is>
          <t>1</t>
        </is>
      </c>
      <c r="K1020" s="3" t="inlineStr">
        <is>
          <t>-</t>
        </is>
      </c>
      <c r="L1020" s="3" t="inlineStr">
        <is>
          <t>연서면 공장매매, 주변에 국가산단 예정지 인접</t>
        </is>
      </c>
      <c r="M1020" s="5">
        <f>HYPERLINK("https://fin.land.naver.com/articles/2649136033", "매물Link")</f>
        <v/>
      </c>
      <c r="N1020" s="5">
        <f>HYPERLINK("https://map.naver.com/p/search/연서면 신대리 431", "지도Link")</f>
        <v/>
      </c>
      <c r="O1020" s="5">
        <f>HYPERLINK("http://www.eum.go.kr/web/ar/lu/luLandDet.jsp?pnu=3611036029104310000&amp;isNoScr=script&amp;mode=search", "토지이음")</f>
        <v/>
      </c>
      <c r="P1020" s="3" t="inlineStr">
        <is>
          <t>프라임</t>
        </is>
      </c>
      <c r="Q1020" s="3" t="n">
        <v>1</v>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2697</v>
      </c>
      <c r="J1021" s="3" t="inlineStr">
        <is>
          <t>3</t>
        </is>
      </c>
      <c r="K1021" s="3" t="inlineStr">
        <is>
          <t>-</t>
        </is>
      </c>
      <c r="L1021" s="3" t="inlineStr">
        <is>
          <t>연서면 신대리 사옥 및 공장, 냉동 상온창고 총 6동 매매</t>
        </is>
      </c>
      <c r="M1021" s="5">
        <f>HYPERLINK("https://fin.land.naver.com/articles/2645498314", "매물Link")</f>
        <v/>
      </c>
      <c r="N1021" s="5">
        <f>HYPERLINK("https://map.naver.com/p/search/연서면 신대리 459-3", "지도Link")</f>
        <v/>
      </c>
      <c r="O1021" s="5">
        <f>HYPERLINK("http://www.eum.go.kr/web/ar/lu/luLandDet.jsp?pnu=3611036029104590003&amp;isNoScr=script&amp;mode=search", "토지이음")</f>
        <v/>
      </c>
      <c r="P1021" s="3" t="inlineStr">
        <is>
          <t>뉴스카이</t>
        </is>
      </c>
      <c r="Q1021" s="3" t="n">
        <v>1</v>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2697</v>
      </c>
      <c r="J1022" s="3" t="inlineStr">
        <is>
          <t>3</t>
        </is>
      </c>
      <c r="K1022" s="3" t="inlineStr">
        <is>
          <t>-</t>
        </is>
      </c>
      <c r="L1022" s="3" t="inlineStr">
        <is>
          <t>세종스마트국가산업단지 인근 2차선 도로변 공장 매각</t>
        </is>
      </c>
      <c r="M1022" s="5">
        <f>HYPERLINK("https://fin.land.naver.com/articles/2645609117", "매물Link")</f>
        <v/>
      </c>
      <c r="N1022" s="5">
        <f>HYPERLINK("https://map.naver.com/p/search/연서면 신대리 459-3", "지도Link")</f>
        <v/>
      </c>
      <c r="O1022" s="5">
        <f>HYPERLINK("http://www.eum.go.kr/web/ar/lu/luLandDet.jsp?pnu=3611036029104590003&amp;isNoScr=script&amp;mode=search", "토지이음")</f>
        <v/>
      </c>
      <c r="P1022" s="3" t="inlineStr">
        <is>
          <t>청담</t>
        </is>
      </c>
      <c r="Q1022" s="3" t="n">
        <v>1</v>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550</v>
      </c>
      <c r="J1023" s="3" t="inlineStr">
        <is>
          <t>1</t>
        </is>
      </c>
      <c r="K1023" s="3" t="inlineStr">
        <is>
          <t>B1</t>
        </is>
      </c>
      <c r="L1023" s="3" t="inlineStr">
        <is>
          <t>세종시 개발 수혜지물류 및 제조 최적입지공장,창고,주택포함</t>
        </is>
      </c>
      <c r="M1023" s="5">
        <f>HYPERLINK("https://fin.land.naver.com/articles/2645644910", "매물Link")</f>
        <v/>
      </c>
      <c r="N1023" s="5">
        <f>HYPERLINK("https://map.naver.com/p/search/연서면 신대리 484-8", "지도Link")</f>
        <v/>
      </c>
      <c r="O1023" s="5">
        <f>HYPERLINK("http://www.eum.go.kr/web/ar/lu/luLandDet.jsp?pnu=3611036029104840008&amp;isNoScr=script&amp;mode=search", "토지이음")</f>
        <v/>
      </c>
      <c r="P1023" s="3" t="inlineStr">
        <is>
          <t>엄지척</t>
        </is>
      </c>
      <c r="Q1023" s="3" t="n">
        <v>1</v>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199</v>
      </c>
      <c r="J1024" s="3" t="inlineStr">
        <is>
          <t>1</t>
        </is>
      </c>
      <c r="K1024" s="3" t="inlineStr">
        <is>
          <t>-</t>
        </is>
      </c>
      <c r="L1024" s="3" t="inlineStr">
        <is>
          <t>도로에 접한 창고 임대카페,창고,시무실 등 용도</t>
        </is>
      </c>
      <c r="M1024" s="5">
        <f>HYPERLINK("https://fin.land.naver.com/articles/2644444572", "매물Link")</f>
        <v/>
      </c>
      <c r="N1024" s="5">
        <f>HYPERLINK("https://map.naver.com/p/search/연서면 쌍류리 332-3", "지도Link")</f>
        <v/>
      </c>
      <c r="O1024" s="5">
        <f>HYPERLINK("http://www.eum.go.kr/web/ar/lu/luLandDet.jsp?pnu=3611036026103320003&amp;isNoScr=script&amp;mode=search", "토지이음")</f>
        <v/>
      </c>
      <c r="P1024" s="3" t="inlineStr">
        <is>
          <t>세종대박</t>
        </is>
      </c>
      <c r="Q1024" s="3" t="n">
        <v>1</v>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2654</v>
      </c>
      <c r="J1025" s="3" t="inlineStr">
        <is>
          <t>2</t>
        </is>
      </c>
      <c r="K1025" s="3" t="inlineStr">
        <is>
          <t>-</t>
        </is>
      </c>
      <c r="L1025" s="3" t="inlineStr">
        <is>
          <t>초급매 계획관리 공장용지 세종스마트국가산단 인근</t>
        </is>
      </c>
      <c r="M1025" s="5">
        <f>HYPERLINK("https://fin.land.naver.com/articles/2649918694", "매물Link")</f>
        <v/>
      </c>
      <c r="N1025" s="5">
        <f>HYPERLINK("https://map.naver.com/p/search/연서면 와촌리 1119", "지도Link")</f>
        <v/>
      </c>
      <c r="O1025" s="5">
        <f>HYPERLINK("http://www.eum.go.kr/web/ar/lu/luLandDet.jsp?pnu=3611036031111190000&amp;isNoScr=script&amp;mode=search", "토지이음")</f>
        <v/>
      </c>
      <c r="P1025" s="3" t="inlineStr">
        <is>
          <t>미스터홈즈강남지사</t>
        </is>
      </c>
      <c r="Q1025" s="3" t="n">
        <v>1</v>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1552</v>
      </c>
      <c r="J1026" s="3" t="inlineStr">
        <is>
          <t>2</t>
        </is>
      </c>
      <c r="K1026" s="3" t="inlineStr">
        <is>
          <t>-</t>
        </is>
      </c>
      <c r="L1026" s="3" t="inlineStr">
        <is>
          <t>세종시 저렴한 공장 임대</t>
        </is>
      </c>
      <c r="M1026" s="5">
        <f>HYPERLINK("https://fin.land.naver.com/articles/2645610097", "매물Link")</f>
        <v/>
      </c>
      <c r="N1026" s="5">
        <f>HYPERLINK("https://map.naver.com/p/search/연서면 와촌리 1119-2", "지도Link")</f>
        <v/>
      </c>
      <c r="O1026" s="5">
        <f>HYPERLINK("http://www.eum.go.kr/web/ar/lu/luLandDet.jsp?pnu=3611036031111190002&amp;isNoScr=script&amp;mode=search", "토지이음")</f>
        <v/>
      </c>
      <c r="P1026" s="3" t="inlineStr">
        <is>
          <t>북세종</t>
        </is>
      </c>
      <c r="Q1026" s="3" t="n">
        <v>1</v>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1552</v>
      </c>
      <c r="J1027" s="3" t="inlineStr">
        <is>
          <t>2</t>
        </is>
      </c>
      <c r="K1027" s="3" t="inlineStr">
        <is>
          <t>-</t>
        </is>
      </c>
      <c r="L1027" s="3" t="inlineStr">
        <is>
          <t>사진有 공장 매매</t>
        </is>
      </c>
      <c r="M1027" s="5">
        <f>HYPERLINK("https://fin.land.naver.com/articles/2649602994", "매물Link")</f>
        <v/>
      </c>
      <c r="N1027" s="5">
        <f>HYPERLINK("https://map.naver.com/p/search/연서면 와촌리 1119-2", "지도Link")</f>
        <v/>
      </c>
      <c r="O1027" s="5">
        <f>HYPERLINK("http://www.eum.go.kr/web/ar/lu/luLandDet.jsp?pnu=3611036031111190002&amp;isNoScr=script&amp;mode=search", "토지이음")</f>
        <v/>
      </c>
      <c r="P1027" s="3" t="inlineStr">
        <is>
          <t>월드</t>
        </is>
      </c>
      <c r="Q1027" s="3" t="n">
        <v>1</v>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1552</v>
      </c>
      <c r="J1028" s="3" t="inlineStr">
        <is>
          <t>2</t>
        </is>
      </c>
      <c r="K1028" s="3" t="inlineStr">
        <is>
          <t>-</t>
        </is>
      </c>
      <c r="L1028" s="3" t="inlineStr">
        <is>
          <t>호이스트, 사무동, 기숙사 있는 대형공장 아주 아주 저렴한 임대</t>
        </is>
      </c>
      <c r="M1028" s="5">
        <f>HYPERLINK("https://fin.land.naver.com/articles/2645079230", "매물Link")</f>
        <v/>
      </c>
      <c r="N1028" s="5">
        <f>HYPERLINK("https://map.naver.com/p/search/연서면 와촌리 1119-2", "지도Link")</f>
        <v/>
      </c>
      <c r="O1028" s="5">
        <f>HYPERLINK("http://www.eum.go.kr/web/ar/lu/luLandDet.jsp?pnu=3611036031111190002&amp;isNoScr=script&amp;mode=search", "토지이음")</f>
        <v/>
      </c>
      <c r="P1028" s="3" t="inlineStr">
        <is>
          <t>더오름</t>
        </is>
      </c>
      <c r="Q1028" s="3" t="n">
        <v>1</v>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488</v>
      </c>
      <c r="J1029" s="3" t="inlineStr">
        <is>
          <t>1</t>
        </is>
      </c>
      <c r="K1029" s="3" t="inlineStr">
        <is>
          <t>-</t>
        </is>
      </c>
      <c r="L1029" s="3" t="inlineStr">
        <is>
          <t>와촌리 창고월세,차량 진출입편리,창고내 지게차작업용이,층,주차편리,조율가</t>
        </is>
      </c>
      <c r="M1029" s="5">
        <f>HYPERLINK("https://fin.land.naver.com/articles/2646500948", "매물Link")</f>
        <v/>
      </c>
      <c r="N1029" s="5">
        <f>HYPERLINK("https://map.naver.com/p/search/연서면 와촌리 852-5", "지도Link")</f>
        <v/>
      </c>
      <c r="O1029" s="5">
        <f>HYPERLINK("http://www.eum.go.kr/web/ar/lu/luLandDet.jsp?pnu=3611036031108520005&amp;isNoScr=script&amp;mode=search", "토지이음")</f>
        <v/>
      </c>
      <c r="P1029" s="3" t="inlineStr">
        <is>
          <t>도안우미린사랑</t>
        </is>
      </c>
      <c r="Q1029" s="3" t="n">
        <v>1</v>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485</v>
      </c>
      <c r="J1030" s="3" t="inlineStr">
        <is>
          <t>1</t>
        </is>
      </c>
      <c r="K1030" s="3" t="inlineStr">
        <is>
          <t>-</t>
        </is>
      </c>
      <c r="L1030" s="3" t="inlineStr">
        <is>
          <t>와촌리 창고임대 세종 초근접</t>
        </is>
      </c>
      <c r="M1030" s="5">
        <f>HYPERLINK("https://fin.land.naver.com/articles/2645642352", "매물Link")</f>
        <v/>
      </c>
      <c r="N1030" s="5">
        <f>HYPERLINK("https://map.naver.com/p/search/연서면 와촌리 852-5", "지도Link")</f>
        <v/>
      </c>
      <c r="O1030" s="5">
        <f>HYPERLINK("http://www.eum.go.kr/web/ar/lu/luLandDet.jsp?pnu=3611036031108520005&amp;isNoScr=script&amp;mode=search", "토지이음")</f>
        <v/>
      </c>
      <c r="P1030" s="3" t="inlineStr">
        <is>
          <t>엄지척</t>
        </is>
      </c>
      <c r="Q1030" s="3" t="n">
        <v>1</v>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488</v>
      </c>
      <c r="J1031" s="3" t="inlineStr">
        <is>
          <t>1</t>
        </is>
      </c>
      <c r="K1031" s="3" t="inlineStr">
        <is>
          <t>-</t>
        </is>
      </c>
      <c r="L1031" s="3" t="inlineStr">
        <is>
          <t>nan</t>
        </is>
      </c>
      <c r="M1031" s="5">
        <f>HYPERLINK("https://fin.land.naver.com/articles/2645723804", "매물Link")</f>
        <v/>
      </c>
      <c r="N1031" s="5">
        <f>HYPERLINK("https://map.naver.com/p/search/연서면 와촌리 852-5", "지도Link")</f>
        <v/>
      </c>
      <c r="O1031" s="5">
        <f>HYPERLINK("http://www.eum.go.kr/web/ar/lu/luLandDet.jsp?pnu=3611036031108520005&amp;isNoScr=script&amp;mode=search", "토지이음")</f>
        <v/>
      </c>
      <c r="P1031" s="3" t="inlineStr">
        <is>
          <t>지성</t>
        </is>
      </c>
      <c r="Q1031" s="3" t="n">
        <v>1</v>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53</v>
      </c>
      <c r="J1032" s="3" t="inlineStr">
        <is>
          <t>1</t>
        </is>
      </c>
      <c r="K1032" s="3" t="inlineStr">
        <is>
          <t>-</t>
        </is>
      </c>
      <c r="L1032" s="3" t="inlineStr">
        <is>
          <t>즉시입주 신축 2종근생  활용도 높은 건물임대</t>
        </is>
      </c>
      <c r="M1032" s="5">
        <f>HYPERLINK("https://fin.land.naver.com/articles/2647898557", "매물Link")</f>
        <v/>
      </c>
      <c r="N1032" s="5">
        <f>HYPERLINK("https://map.naver.com/p/search/연서면 월하리 902", "지도Link")</f>
        <v/>
      </c>
      <c r="O1032" s="5">
        <f>HYPERLINK("http://www.eum.go.kr/web/ar/lu/luLandDet.jsp?pnu=3611036021109020000&amp;isNoScr=script&amp;mode=search", "토지이음")</f>
        <v/>
      </c>
      <c r="P1032" s="3" t="inlineStr">
        <is>
          <t>THE행복</t>
        </is>
      </c>
      <c r="Q1032" s="3" t="n">
        <v>1</v>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594</v>
      </c>
      <c r="J1033" s="3" t="inlineStr">
        <is>
          <t>1</t>
        </is>
      </c>
      <c r="K1033" s="3" t="inlineStr">
        <is>
          <t>-</t>
        </is>
      </c>
      <c r="L1033" s="3" t="inlineStr">
        <is>
          <t>세종신도심, 조치원, 오송 접근성 좋은 2차선도로변 준신축 창고임대</t>
        </is>
      </c>
      <c r="M1033" s="5">
        <f>HYPERLINK("https://fin.land.naver.com/articles/2646264277", "매물Link")</f>
        <v/>
      </c>
      <c r="N1033" s="5">
        <f>HYPERLINK("https://map.naver.com/p/search/연서면 월하리 902", "지도Link")</f>
        <v/>
      </c>
      <c r="O1033" s="5">
        <f>HYPERLINK("http://www.eum.go.kr/web/ar/lu/luLandDet.jsp?pnu=3611036021109020000&amp;isNoScr=script&amp;mode=search", "토지이음")</f>
        <v/>
      </c>
      <c r="P1033" s="3" t="inlineStr">
        <is>
          <t>청담</t>
        </is>
      </c>
      <c r="Q1033" s="3" t="n">
        <v>1</v>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212</v>
      </c>
      <c r="J1034" s="3" t="inlineStr">
        <is>
          <t>2</t>
        </is>
      </c>
      <c r="K1034" s="3" t="inlineStr">
        <is>
          <t>-</t>
        </is>
      </c>
      <c r="L1034" s="3" t="inlineStr">
        <is>
          <t>공공택지 예정지역내 공장매매</t>
        </is>
      </c>
      <c r="M1034" s="5">
        <f>HYPERLINK("https://fin.land.naver.com/articles/2648746844", "매물Link")</f>
        <v/>
      </c>
      <c r="N1034" s="5">
        <f>HYPERLINK("https://map.naver.com/p/search/연서면 월하리 973-2", "지도Link")</f>
        <v/>
      </c>
      <c r="O1034" s="5">
        <f>HYPERLINK("http://www.eum.go.kr/web/ar/lu/luLandDet.jsp?pnu=3611036021109730002&amp;isNoScr=script&amp;mode=search", "토지이음")</f>
        <v/>
      </c>
      <c r="P1034" s="3" t="inlineStr">
        <is>
          <t>KB세종</t>
        </is>
      </c>
      <c r="Q1034" s="3" t="n">
        <v>1</v>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99</v>
      </c>
      <c r="J1035" s="3" t="inlineStr">
        <is>
          <t>1</t>
        </is>
      </c>
      <c r="K1035" s="3" t="inlineStr">
        <is>
          <t>-</t>
        </is>
      </c>
      <c r="L1035" s="3" t="inlineStr">
        <is>
          <t>전원주택 단지 신축 근린생활시설 힐링하며 사용하세요</t>
        </is>
      </c>
      <c r="M1035" s="5">
        <f>HYPERLINK("https://fin.land.naver.com/articles/2644664950", "매물Link")</f>
        <v/>
      </c>
      <c r="N1035" s="5">
        <f>HYPERLINK("https://map.naver.com/p/search/장군면 대교리 79-169", "지도Link")</f>
        <v/>
      </c>
      <c r="O1035" s="5">
        <f>HYPERLINK("http://www.eum.go.kr/web/ar/lu/luLandDet.jsp?pnu=3611035023100790169&amp;isNoScr=script&amp;mode=search", "토지이음")</f>
        <v/>
      </c>
      <c r="P1035" s="3" t="inlineStr">
        <is>
          <t>세종공주원탑</t>
        </is>
      </c>
      <c r="Q1035" s="3" t="n">
        <v>1</v>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554</v>
      </c>
      <c r="J1036" s="3" t="inlineStr">
        <is>
          <t>2</t>
        </is>
      </c>
      <c r="K1036" s="3" t="inlineStr">
        <is>
          <t>-</t>
        </is>
      </c>
      <c r="L1036" s="3" t="inlineStr">
        <is>
          <t>고속도로인근 귀한 창고 매매</t>
        </is>
      </c>
      <c r="M1036" s="5">
        <f>HYPERLINK("https://fin.land.naver.com/articles/2646309140", "매물Link")</f>
        <v/>
      </c>
      <c r="N1036" s="5">
        <f>HYPERLINK("https://map.naver.com/p/search/장군면 봉안리 131-2", "지도Link")</f>
        <v/>
      </c>
      <c r="O1036" s="5">
        <f>HYPERLINK("http://www.eum.go.kr/web/ar/lu/luLandDet.jsp?pnu=3611035024101310002&amp;isNoScr=script&amp;mode=search", "토지이음")</f>
        <v/>
      </c>
      <c r="P1036" s="3" t="inlineStr">
        <is>
          <t>드림옥션사무소</t>
        </is>
      </c>
      <c r="Q1036" s="3" t="n">
        <v>1</v>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554</v>
      </c>
      <c r="J1037" s="3" t="inlineStr">
        <is>
          <t>1</t>
        </is>
      </c>
      <c r="K1037" s="3" t="inlineStr">
        <is>
          <t>B1</t>
        </is>
      </c>
      <c r="L1037" s="3" t="inlineStr">
        <is>
          <t>민원 없는 위치 철구조물 제작 또는 물류 보관 창고 대형차량 입.출 원활</t>
        </is>
      </c>
      <c r="M1037" s="5">
        <f>HYPERLINK("https://fin.land.naver.com/articles/2646025365", "매물Link")</f>
        <v/>
      </c>
      <c r="N1037" s="5">
        <f>HYPERLINK("https://map.naver.com/p/search/장군면 봉안리 131-2", "지도Link")</f>
        <v/>
      </c>
      <c r="O1037" s="5">
        <f>HYPERLINK("http://www.eum.go.kr/web/ar/lu/luLandDet.jsp?pnu=3611035024101310002&amp;isNoScr=script&amp;mode=search", "토지이음")</f>
        <v/>
      </c>
      <c r="P1037" s="3" t="inlineStr">
        <is>
          <t>세종공주원탑</t>
        </is>
      </c>
      <c r="Q1037" s="3" t="n">
        <v>1</v>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648</v>
      </c>
      <c r="J1038" s="3" t="inlineStr">
        <is>
          <t>2</t>
        </is>
      </c>
      <c r="K1038" s="3" t="inlineStr">
        <is>
          <t>B1</t>
        </is>
      </c>
      <c r="L1038" s="3" t="inlineStr">
        <is>
          <t>2개동, 공장 건물 매매, 조율가능</t>
        </is>
      </c>
      <c r="M1038" s="5">
        <f>HYPERLINK("https://fin.land.naver.com/articles/2649008392", "매물Link")</f>
        <v/>
      </c>
      <c r="N1038" s="5">
        <f>HYPERLINK("https://map.naver.com/p/search/장군면 송문리 249", "지도Link")</f>
        <v/>
      </c>
      <c r="O1038" s="5">
        <f>HYPERLINK("http://www.eum.go.kr/web/ar/lu/luLandDet.jsp?pnu=3611035029102490000&amp;isNoScr=script&amp;mode=search", "토지이음")</f>
        <v/>
      </c>
      <c r="P1038" s="3" t="inlineStr">
        <is>
          <t>명진</t>
        </is>
      </c>
      <c r="Q1038" s="3" t="n">
        <v>1</v>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648</v>
      </c>
      <c r="J1039" s="3" t="inlineStr">
        <is>
          <t>1</t>
        </is>
      </c>
      <c r="K1039" s="3" t="inlineStr">
        <is>
          <t>-</t>
        </is>
      </c>
      <c r="L1039" s="3" t="inlineStr">
        <is>
          <t>nan</t>
        </is>
      </c>
      <c r="M1039" s="5">
        <f>HYPERLINK("https://fin.land.naver.com/articles/2647858132", "매물Link")</f>
        <v/>
      </c>
      <c r="N1039" s="5">
        <f>HYPERLINK("https://map.naver.com/p/search/장군면 송문리 249", "지도Link")</f>
        <v/>
      </c>
      <c r="O1039" s="5">
        <f>HYPERLINK("http://www.eum.go.kr/web/ar/lu/luLandDet.jsp?pnu=3611035029102490000&amp;isNoScr=script&amp;mode=search", "토지이음")</f>
        <v/>
      </c>
      <c r="P1039" s="3" t="inlineStr">
        <is>
          <t>세종지평</t>
        </is>
      </c>
      <c r="Q1039" s="3" t="n">
        <v>2</v>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403</v>
      </c>
      <c r="J1040" s="3" t="inlineStr">
        <is>
          <t>1</t>
        </is>
      </c>
      <c r="K1040" s="3" t="inlineStr">
        <is>
          <t>-</t>
        </is>
      </c>
      <c r="L1040" s="3" t="inlineStr">
        <is>
          <t>창고 공장 임대  25톤 차량진입 즉시입주 3동 각각임대 통임대가능</t>
        </is>
      </c>
      <c r="M1040" s="5">
        <f>HYPERLINK("https://fin.land.naver.com/articles/2644906190", "매물Link")</f>
        <v/>
      </c>
      <c r="N1040" s="5">
        <f>HYPERLINK("https://map.naver.com/p/search/장군면 송문리 250", "지도Link")</f>
        <v/>
      </c>
      <c r="O1040" s="5">
        <f>HYPERLINK("http://www.eum.go.kr/web/ar/lu/luLandDet.jsp?pnu=3611035029102500000&amp;isNoScr=script&amp;mode=search", "토지이음")</f>
        <v/>
      </c>
      <c r="P1040" s="3" t="inlineStr">
        <is>
          <t>THE행복</t>
        </is>
      </c>
      <c r="Q1040" s="3" t="n">
        <v>2</v>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596</v>
      </c>
      <c r="J1041" s="3" t="inlineStr">
        <is>
          <t>1</t>
        </is>
      </c>
      <c r="K1041" s="3" t="inlineStr">
        <is>
          <t>B1</t>
        </is>
      </c>
      <c r="L1041" s="3" t="inlineStr">
        <is>
          <t>야드 넓은 창고 저온창고로 사용되는 곳으로 층고 높아요</t>
        </is>
      </c>
      <c r="M1041" s="5">
        <f>HYPERLINK("https://fin.land.naver.com/articles/2646694424", "매물Link")</f>
        <v/>
      </c>
      <c r="N1041" s="5">
        <f>HYPERLINK("https://map.naver.com/p/search/장군면 송학리 126-8", "지도Link")</f>
        <v/>
      </c>
      <c r="O1041" s="5">
        <f>HYPERLINK("http://www.eum.go.kr/web/ar/lu/luLandDet.jsp?pnu=3611035031101260008&amp;isNoScr=script&amp;mode=search", "토지이음")</f>
        <v/>
      </c>
      <c r="P1041" s="3" t="inlineStr">
        <is>
          <t>세종공주원탑</t>
        </is>
      </c>
      <c r="Q1041" s="3" t="n">
        <v>1</v>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50</v>
      </c>
      <c r="J1042" s="3" t="inlineStr">
        <is>
          <t>1</t>
        </is>
      </c>
      <c r="K1042" s="3" t="inlineStr">
        <is>
          <t>-</t>
        </is>
      </c>
      <c r="L1042" s="3" t="inlineStr">
        <is>
          <t>대로변에 위치한 깔끔한 소형 창고</t>
        </is>
      </c>
      <c r="M1042" s="5">
        <f>HYPERLINK("https://fin.land.naver.com/articles/2644778822", "매물Link")</f>
        <v/>
      </c>
      <c r="N1042" s="5">
        <f>HYPERLINK("https://map.naver.com/p/search/장군면 평기리 173", "지도Link")</f>
        <v/>
      </c>
      <c r="O1042" s="5">
        <f>HYPERLINK("http://www.eum.go.kr/web/ar/lu/luLandDet.jsp?pnu=3611035022101730000&amp;isNoScr=script&amp;mode=search", "토지이음")</f>
        <v/>
      </c>
      <c r="P1042" s="3" t="inlineStr">
        <is>
          <t>KS</t>
        </is>
      </c>
      <c r="Q1042" s="3" t="n">
        <v>1</v>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50</v>
      </c>
      <c r="J1043" s="3" t="inlineStr">
        <is>
          <t>1</t>
        </is>
      </c>
      <c r="K1043" s="3" t="inlineStr">
        <is>
          <t>-</t>
        </is>
      </c>
      <c r="L1043" s="3" t="inlineStr">
        <is>
          <t>2차선 도로 접한 소형 창고 내부 화장실 있으며 주차 용이합니다</t>
        </is>
      </c>
      <c r="M1043" s="5">
        <f>HYPERLINK("https://fin.land.naver.com/articles/2644665705", "매물Link")</f>
        <v/>
      </c>
      <c r="N1043" s="5">
        <f>HYPERLINK("https://map.naver.com/p/search/장군면 평기리 173", "지도Link")</f>
        <v/>
      </c>
      <c r="O1043" s="5">
        <f>HYPERLINK("http://www.eum.go.kr/web/ar/lu/luLandDet.jsp?pnu=3611035022101730000&amp;isNoScr=script&amp;mode=search", "토지이음")</f>
        <v/>
      </c>
      <c r="P1043" s="3" t="inlineStr">
        <is>
          <t>세종공주원탑</t>
        </is>
      </c>
      <c r="Q1043" s="3" t="n">
        <v>1</v>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186</v>
      </c>
      <c r="J1044" s="3" t="inlineStr">
        <is>
          <t>1</t>
        </is>
      </c>
      <c r="K1044" s="3" t="inlineStr">
        <is>
          <t>B1</t>
        </is>
      </c>
      <c r="L1044" s="3" t="inlineStr">
        <is>
          <t>nan</t>
        </is>
      </c>
      <c r="M1044" s="5">
        <f>HYPERLINK("https://fin.land.naver.com/articles/2643973502", "매물Link")</f>
        <v/>
      </c>
      <c r="N1044" s="5">
        <f>HYPERLINK("https://map.naver.com/p/search/장군면 평기리 207-2", "지도Link")</f>
        <v/>
      </c>
      <c r="O1044" s="5">
        <f>HYPERLINK("http://www.eum.go.kr/web/ar/lu/luLandDet.jsp?pnu=3611035022102070002&amp;isNoScr=script&amp;mode=search", "토지이음")</f>
        <v/>
      </c>
      <c r="P1044" s="3" t="inlineStr">
        <is>
          <t>성신</t>
        </is>
      </c>
      <c r="Q1044" s="3" t="n">
        <v>1</v>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198</v>
      </c>
      <c r="J1045" s="3" t="inlineStr">
        <is>
          <t>1</t>
        </is>
      </c>
      <c r="K1045" s="3" t="inlineStr">
        <is>
          <t>-</t>
        </is>
      </c>
      <c r="L1045" s="3" t="inlineStr">
        <is>
          <t>nan</t>
        </is>
      </c>
      <c r="M1045" s="5">
        <f>HYPERLINK("https://fin.land.naver.com/articles/2648397677", "매물Link")</f>
        <v/>
      </c>
      <c r="N1045" s="5">
        <f>HYPERLINK("https://map.naver.com/p/search/장군면 평기리 288-1", "지도Link")</f>
        <v/>
      </c>
      <c r="O1045" s="5">
        <f>HYPERLINK("http://www.eum.go.kr/web/ar/lu/luLandDet.jsp?pnu=3611035022102880001&amp;isNoScr=script&amp;mode=search", "토지이음")</f>
        <v/>
      </c>
      <c r="P1045" s="3" t="inlineStr">
        <is>
          <t>e플러스</t>
        </is>
      </c>
      <c r="Q1045" s="3" t="n">
        <v>1</v>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150</v>
      </c>
      <c r="J1046" s="3" t="inlineStr">
        <is>
          <t>1</t>
        </is>
      </c>
      <c r="K1046" s="3" t="inlineStr">
        <is>
          <t>-</t>
        </is>
      </c>
      <c r="L1046" s="3" t="inlineStr">
        <is>
          <t>2차선 도로와 연접 2층 구조 일정 면적 사무 공간으로 설치됨</t>
        </is>
      </c>
      <c r="M1046" s="5">
        <f>HYPERLINK("https://fin.land.naver.com/articles/2649340443", "매물Link")</f>
        <v/>
      </c>
      <c r="N1046" s="5">
        <f>HYPERLINK("https://map.naver.com/p/search/장군면 평기리 288-4", "지도Link")</f>
        <v/>
      </c>
      <c r="O1046" s="5">
        <f>HYPERLINK("http://www.eum.go.kr/web/ar/lu/luLandDet.jsp?pnu=3611035022102880004&amp;isNoScr=script&amp;mode=search", "토지이음")</f>
        <v/>
      </c>
      <c r="P1046" s="3" t="inlineStr">
        <is>
          <t>세종공주원탑</t>
        </is>
      </c>
      <c r="Q1046" s="3" t="n">
        <v>1</v>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199</v>
      </c>
      <c r="J1047" s="3" t="inlineStr">
        <is>
          <t>1</t>
        </is>
      </c>
      <c r="K1047" s="3" t="inlineStr">
        <is>
          <t>-</t>
        </is>
      </c>
      <c r="L1047" s="3" t="inlineStr">
        <is>
          <t>2차선 도로와 연접 서세종IC 이용편리 사무실및 화장실 12월1일 입주</t>
        </is>
      </c>
      <c r="M1047" s="5">
        <f>HYPERLINK("https://fin.land.naver.com/articles/2646986458", "매물Link")</f>
        <v/>
      </c>
      <c r="N1047" s="5">
        <f>HYPERLINK("https://map.naver.com/p/search/장군면 평기리 288-4", "지도Link")</f>
        <v/>
      </c>
      <c r="O1047" s="5">
        <f>HYPERLINK("http://www.eum.go.kr/web/ar/lu/luLandDet.jsp?pnu=3611035022102880004&amp;isNoScr=script&amp;mode=search", "토지이음")</f>
        <v/>
      </c>
      <c r="P1047" s="3" t="inlineStr">
        <is>
          <t>세종공주원탑</t>
        </is>
      </c>
      <c r="Q1047" s="3" t="n">
        <v>1</v>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768</v>
      </c>
      <c r="J1048" s="3" t="inlineStr">
        <is>
          <t>1</t>
        </is>
      </c>
      <c r="K1048" s="3" t="inlineStr">
        <is>
          <t>B1</t>
        </is>
      </c>
      <c r="L1048" s="3" t="inlineStr">
        <is>
          <t>서세종lc 10분 거리에 위치 제조업 공장 지붕 태양광 설치 임대도 가능</t>
        </is>
      </c>
      <c r="M1048" s="5">
        <f>HYPERLINK("https://fin.land.naver.com/articles/2646695897", "매물Link")</f>
        <v/>
      </c>
      <c r="N1048" s="5">
        <f>HYPERLINK("https://map.naver.com/p/search/장군면 하봉리 182", "지도Link")</f>
        <v/>
      </c>
      <c r="O1048" s="5">
        <f>HYPERLINK("http://www.eum.go.kr/web/ar/lu/luLandDet.jsp?pnu=3611035026101820000&amp;isNoScr=script&amp;mode=search", "토지이음")</f>
        <v/>
      </c>
      <c r="P1048" s="3" t="inlineStr">
        <is>
          <t>세종공주원탑</t>
        </is>
      </c>
      <c r="Q1048" s="3" t="n">
        <v>3</v>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768</v>
      </c>
      <c r="J1049" s="3" t="inlineStr">
        <is>
          <t>2</t>
        </is>
      </c>
      <c r="K1049" s="3" t="inlineStr">
        <is>
          <t>-</t>
        </is>
      </c>
      <c r="L1049" s="3" t="inlineStr">
        <is>
          <t>서세종 IC 인접, 태양광설치, 민원소지 적은곳</t>
        </is>
      </c>
      <c r="M1049" s="5">
        <f>HYPERLINK("https://fin.land.naver.com/articles/2648153528", "매물Link")</f>
        <v/>
      </c>
      <c r="N1049" s="5">
        <f>HYPERLINK("https://map.naver.com/p/search/장군면 하봉리 182", "지도Link")</f>
        <v/>
      </c>
      <c r="O1049" s="5">
        <f>HYPERLINK("http://www.eum.go.kr/web/ar/lu/luLandDet.jsp?pnu=3611035026101820000&amp;isNoScr=script&amp;mode=search", "토지이음")</f>
        <v/>
      </c>
      <c r="P1049" s="3" t="inlineStr">
        <is>
          <t>부원</t>
        </is>
      </c>
      <c r="Q1049" s="3" t="n">
        <v>1</v>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768</v>
      </c>
      <c r="J1050" s="3" t="inlineStr">
        <is>
          <t>2</t>
        </is>
      </c>
      <c r="K1050" s="3" t="inlineStr">
        <is>
          <t>-</t>
        </is>
      </c>
      <c r="L1050" s="3" t="inlineStr">
        <is>
          <t>태양광 100kw설치된 서세종IC 5분, 사무실 완비 공장 매매임대</t>
        </is>
      </c>
      <c r="M1050" s="5">
        <f>HYPERLINK("https://fin.land.naver.com/articles/2646265158", "매물Link")</f>
        <v/>
      </c>
      <c r="N1050" s="5">
        <f>HYPERLINK("https://map.naver.com/p/search/장군면 하봉리 182", "지도Link")</f>
        <v/>
      </c>
      <c r="O1050" s="5">
        <f>HYPERLINK("http://www.eum.go.kr/web/ar/lu/luLandDet.jsp?pnu=3611035026101820000&amp;isNoScr=script&amp;mode=search", "토지이음")</f>
        <v/>
      </c>
      <c r="P1050" s="3" t="inlineStr">
        <is>
          <t>청담</t>
        </is>
      </c>
      <c r="Q1050" s="3" t="n">
        <v>1</v>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708</v>
      </c>
      <c r="J1051" s="3" t="inlineStr">
        <is>
          <t>1</t>
        </is>
      </c>
      <c r="K1051" s="3" t="inlineStr">
        <is>
          <t>-</t>
        </is>
      </c>
      <c r="L1051" s="3" t="inlineStr">
        <is>
          <t>노장산업단지 인근 두필지 창고2동,주택</t>
        </is>
      </c>
      <c r="M1051" s="5">
        <f>HYPERLINK("https://fin.land.naver.com/articles/2649793360", "매물Link")</f>
        <v/>
      </c>
      <c r="N1051" s="5">
        <f>HYPERLINK("https://map.naver.com/p/search/전동면 노장리 327", "지도Link")</f>
        <v/>
      </c>
      <c r="O1051" s="5">
        <f>HYPERLINK("http://www.eum.go.kr/web/ar/lu/luLandDet.jsp?pnu=3611038021103270000&amp;isNoScr=script&amp;mode=search", "토지이음")</f>
        <v/>
      </c>
      <c r="P1051" s="3" t="inlineStr">
        <is>
          <t>OK수</t>
        </is>
      </c>
      <c r="Q1051" s="3" t="n">
        <v>1</v>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346</v>
      </c>
      <c r="J1052" s="3" t="inlineStr">
        <is>
          <t>1</t>
        </is>
      </c>
      <c r="K1052" s="3" t="inlineStr">
        <is>
          <t>B1</t>
        </is>
      </c>
      <c r="L1052" s="3" t="inlineStr">
        <is>
          <t>2차선 도로와 연접한 철골제작 공장 임대도 가능</t>
        </is>
      </c>
      <c r="M1052" s="5">
        <f>HYPERLINK("https://fin.land.naver.com/articles/2648830309", "매물Link")</f>
        <v/>
      </c>
      <c r="N1052" s="5">
        <f>HYPERLINK("https://map.naver.com/p/search/전동면 노장리 512", "지도Link")</f>
        <v/>
      </c>
      <c r="O1052" s="5">
        <f>HYPERLINK("http://www.eum.go.kr/web/ar/lu/luLandDet.jsp?pnu=3611038021105120000&amp;isNoScr=script&amp;mode=search", "토지이음")</f>
        <v/>
      </c>
      <c r="P1052" s="3" t="inlineStr">
        <is>
          <t>세종공주원탑</t>
        </is>
      </c>
      <c r="Q1052" s="3" t="n">
        <v>1</v>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1184</v>
      </c>
      <c r="J1053" s="3" t="inlineStr">
        <is>
          <t>1</t>
        </is>
      </c>
      <c r="K1053" s="3" t="inlineStr">
        <is>
          <t>-</t>
        </is>
      </c>
      <c r="L1053" s="3" t="inlineStr">
        <is>
          <t>노장리 2차선변 공장매매</t>
        </is>
      </c>
      <c r="M1053" s="5">
        <f>HYPERLINK("https://fin.land.naver.com/articles/2648997249", "매물Link")</f>
        <v/>
      </c>
      <c r="N1053" s="5">
        <f>HYPERLINK("https://map.naver.com/p/search/전동면 노장리 661-9", "지도Link")</f>
        <v/>
      </c>
      <c r="O1053" s="5">
        <f>HYPERLINK("http://www.eum.go.kr/web/ar/lu/luLandDet.jsp?pnu=3611038021106610009&amp;isNoScr=script&amp;mode=search", "토지이음")</f>
        <v/>
      </c>
      <c r="P1053" s="3" t="inlineStr">
        <is>
          <t>KB세종</t>
        </is>
      </c>
      <c r="Q1053" s="3" t="n">
        <v>1</v>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950</v>
      </c>
      <c r="J1054" s="3" t="inlineStr">
        <is>
          <t>1</t>
        </is>
      </c>
      <c r="K1054" s="3" t="inlineStr">
        <is>
          <t>-</t>
        </is>
      </c>
      <c r="L1054" s="3" t="inlineStr">
        <is>
          <t>토지719,건물288,천고4미터, 단독공장</t>
        </is>
      </c>
      <c r="M1054" s="5">
        <f>HYPERLINK("https://fin.land.naver.com/articles/2647676784", "매물Link")</f>
        <v/>
      </c>
      <c r="N1054" s="5">
        <f>HYPERLINK("https://map.naver.com/p/search/전동면 미곡리 450", "지도Link")</f>
        <v/>
      </c>
      <c r="O1054" s="5">
        <f>HYPERLINK("http://www.eum.go.kr/web/ar/lu/luLandDet.jsp?pnu=3611038029104500000&amp;isNoScr=script&amp;mode=search", "토지이음")</f>
        <v/>
      </c>
      <c r="P1054" s="3" t="inlineStr">
        <is>
          <t>복두꺼비</t>
        </is>
      </c>
      <c r="Q1054" s="3" t="n">
        <v>1</v>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4462</v>
      </c>
      <c r="J1055" s="3" t="inlineStr">
        <is>
          <t>1</t>
        </is>
      </c>
      <c r="K1055" s="3" t="inlineStr">
        <is>
          <t>-</t>
        </is>
      </c>
      <c r="L1055" s="3" t="inlineStr">
        <is>
          <t>전동면 봉대리 대형 물류창고 및 공장,노장농공단지 인근, 넓은 마당</t>
        </is>
      </c>
      <c r="M1055" s="5">
        <f>HYPERLINK("https://fin.land.naver.com/articles/2647054742", "매물Link")</f>
        <v/>
      </c>
      <c r="N1055" s="5">
        <f>HYPERLINK("https://map.naver.com/p/search/전동면 봉대리 60", "지도Link")</f>
        <v/>
      </c>
      <c r="O1055" s="5">
        <f>HYPERLINK("http://www.eum.go.kr/web/ar/lu/luLandDet.jsp?pnu=3611038022100600000&amp;isNoScr=script&amp;mode=search", "토지이음")</f>
        <v/>
      </c>
      <c r="P1055" s="3" t="inlineStr">
        <is>
          <t>(주)미르</t>
        </is>
      </c>
      <c r="Q1055" s="3" t="n">
        <v>1</v>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889</v>
      </c>
      <c r="J1056" s="3" t="inlineStr">
        <is>
          <t>1</t>
        </is>
      </c>
      <c r="K1056" s="3" t="inlineStr">
        <is>
          <t>-</t>
        </is>
      </c>
      <c r="L1056" s="3" t="inlineStr">
        <is>
          <t>1번국도변 입,출입 가능  공장 매매</t>
        </is>
      </c>
      <c r="M1056" s="5">
        <f>HYPERLINK("https://fin.land.naver.com/articles/2649482452", "매물Link")</f>
        <v/>
      </c>
      <c r="N1056" s="5">
        <f>HYPERLINK("https://map.naver.com/p/search/전동면 석곡리 352-66", "지도Link")</f>
        <v/>
      </c>
      <c r="O1056" s="5">
        <f>HYPERLINK("http://www.eum.go.kr/web/ar/lu/luLandDet.jsp?pnu=3611038024103520066&amp;isNoScr=script&amp;mode=search", "토지이음")</f>
        <v/>
      </c>
      <c r="P1056" s="3" t="inlineStr">
        <is>
          <t>이음 사무소</t>
        </is>
      </c>
      <c r="Q1056" s="3" t="n">
        <v>3</v>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272</v>
      </c>
      <c r="J1057" s="3" t="inlineStr">
        <is>
          <t>2</t>
        </is>
      </c>
      <c r="K1057" s="3" t="inlineStr">
        <is>
          <t>-</t>
        </is>
      </c>
      <c r="L1057" s="3" t="inlineStr">
        <is>
          <t>2차선 인근에 있는 공장건물 1동과 사무실로 이용하는 2층건물 일괄매매</t>
        </is>
      </c>
      <c r="M1057" s="5">
        <f>HYPERLINK("https://fin.land.naver.com/articles/2647398471", "매물Link")</f>
        <v/>
      </c>
      <c r="N1057" s="5">
        <f>HYPERLINK("https://map.naver.com/p/search/전동면 송곡리 285-42", "지도Link")</f>
        <v/>
      </c>
      <c r="O1057" s="5">
        <f>HYPERLINK("http://www.eum.go.kr/web/ar/lu/luLandDet.jsp?pnu=3611038026102850042&amp;isNoScr=script&amp;mode=search", "토지이음")</f>
        <v/>
      </c>
      <c r="P1057" s="3" t="inlineStr">
        <is>
          <t>스마일세종</t>
        </is>
      </c>
      <c r="Q1057" s="3" t="n">
        <v>1</v>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606</v>
      </c>
      <c r="J1058" s="3" t="inlineStr">
        <is>
          <t>1</t>
        </is>
      </c>
      <c r="K1058" s="3" t="inlineStr">
        <is>
          <t>-</t>
        </is>
      </c>
      <c r="L1058" s="3" t="inlineStr">
        <is>
          <t>세종,천안,조치원,오송  접근성과 입지 좋은 공장창고입니다.</t>
        </is>
      </c>
      <c r="M1058" s="5">
        <f>HYPERLINK("https://fin.land.naver.com/articles/2645580337", "매물Link")</f>
        <v/>
      </c>
      <c r="N1058" s="5">
        <f>HYPERLINK("https://map.naver.com/p/search/전동면 송성리 675-1", "지도Link")</f>
        <v/>
      </c>
      <c r="O1058" s="5">
        <f>HYPERLINK("http://www.eum.go.kr/web/ar/lu/luLandDet.jsp?pnu=3611038030106750001&amp;isNoScr=script&amp;mode=search", "토지이음")</f>
        <v/>
      </c>
      <c r="P1058" s="3" t="inlineStr">
        <is>
          <t>천안다온</t>
        </is>
      </c>
      <c r="Q1058" s="3" t="n">
        <v>1</v>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208</v>
      </c>
      <c r="J1059" s="3" t="inlineStr">
        <is>
          <t>1</t>
        </is>
      </c>
      <c r="K1059" s="3" t="inlineStr">
        <is>
          <t>-</t>
        </is>
      </c>
      <c r="L1059" s="3" t="inlineStr">
        <is>
          <t>2차선 도로에 접한 계획관리지역의 대지와 공장 및 호이스트 5톤과 3톤</t>
        </is>
      </c>
      <c r="M1059" s="5">
        <f>HYPERLINK("https://fin.land.naver.com/articles/2649380021", "매물Link")</f>
        <v/>
      </c>
      <c r="N1059" s="5">
        <f>HYPERLINK("https://map.naver.com/p/search/전동면 심중리 466-3", "지도Link")</f>
        <v/>
      </c>
      <c r="O1059" s="5">
        <f>HYPERLINK("http://www.eum.go.kr/web/ar/lu/luLandDet.jsp?pnu=3611038031104660003&amp;isNoScr=script&amp;mode=search", "토지이음")</f>
        <v/>
      </c>
      <c r="P1059" s="3" t="inlineStr">
        <is>
          <t>스마일세종</t>
        </is>
      </c>
      <c r="Q1059" s="3" t="n">
        <v>1</v>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208</v>
      </c>
      <c r="J1060" s="3" t="inlineStr">
        <is>
          <t>1</t>
        </is>
      </c>
      <c r="K1060" s="3" t="inlineStr">
        <is>
          <t>-</t>
        </is>
      </c>
      <c r="L1060" s="3" t="inlineStr">
        <is>
          <t>2차선 도로 연접 대형 차량 진.출입 원활 호이스트 3기 설치</t>
        </is>
      </c>
      <c r="M1060" s="5">
        <f>HYPERLINK("https://fin.land.naver.com/articles/2648831291", "매물Link")</f>
        <v/>
      </c>
      <c r="N1060" s="5">
        <f>HYPERLINK("https://map.naver.com/p/search/전동면 심중리 466-3", "지도Link")</f>
        <v/>
      </c>
      <c r="O1060" s="5">
        <f>HYPERLINK("http://www.eum.go.kr/web/ar/lu/luLandDet.jsp?pnu=3611038031104660003&amp;isNoScr=script&amp;mode=search", "토지이음")</f>
        <v/>
      </c>
      <c r="P1060" s="3" t="inlineStr">
        <is>
          <t>세종공주원탑</t>
        </is>
      </c>
      <c r="Q1060" s="3" t="n">
        <v>1</v>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628</v>
      </c>
      <c r="J1061" s="3" t="inlineStr">
        <is>
          <t>2</t>
        </is>
      </c>
      <c r="K1061" s="3" t="inlineStr">
        <is>
          <t>-</t>
        </is>
      </c>
      <c r="L1061" s="3" t="inlineStr">
        <is>
          <t>전동면 심중리 계획관리지역 공장용지 매매</t>
        </is>
      </c>
      <c r="M1061" s="5">
        <f>HYPERLINK("https://fin.land.naver.com/articles/2646646049", "매물Link")</f>
        <v/>
      </c>
      <c r="N1061" s="5">
        <f>HYPERLINK("https://map.naver.com/p/search/전동면 심중리 487-17", "지도Link")</f>
        <v/>
      </c>
      <c r="O1061" s="5">
        <f>HYPERLINK("http://www.eum.go.kr/web/ar/lu/luLandDet.jsp?pnu=3611038031104870017&amp;isNoScr=script&amp;mode=search", "토지이음")</f>
        <v/>
      </c>
      <c r="P1061" s="3" t="inlineStr">
        <is>
          <t>스타트</t>
        </is>
      </c>
      <c r="Q1061" s="3" t="n">
        <v>1</v>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398</v>
      </c>
      <c r="J1062" s="3" t="inlineStr">
        <is>
          <t>1</t>
        </is>
      </c>
      <c r="K1062" s="3" t="inlineStr">
        <is>
          <t>B1</t>
        </is>
      </c>
      <c r="L1062" s="3" t="inlineStr">
        <is>
          <t>벤처산단 인근 진.출입 원활  매매및 임대 모두 가능</t>
        </is>
      </c>
      <c r="M1062" s="5">
        <f>HYPERLINK("https://fin.land.naver.com/articles/2646695476", "매물Link")</f>
        <v/>
      </c>
      <c r="N1062" s="5">
        <f>HYPERLINK("https://map.naver.com/p/search/전동면 심중리 518-2", "지도Link")</f>
        <v/>
      </c>
      <c r="O1062" s="5">
        <f>HYPERLINK("http://www.eum.go.kr/web/ar/lu/luLandDet.jsp?pnu=3611038031105180002&amp;isNoScr=script&amp;mode=search", "토지이음")</f>
        <v/>
      </c>
      <c r="P1062" s="3" t="inlineStr">
        <is>
          <t>세종공주원탑</t>
        </is>
      </c>
      <c r="Q1062" s="3" t="n">
        <v>1</v>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1228</v>
      </c>
      <c r="J1063" s="3" t="inlineStr">
        <is>
          <t>2</t>
        </is>
      </c>
      <c r="K1063" s="3" t="inlineStr">
        <is>
          <t>-</t>
        </is>
      </c>
      <c r="L1063" s="3" t="inlineStr">
        <is>
          <t>세종시 전의면 신정리  계획관리지역내 폐기물재활용시설 제조공장 매도</t>
        </is>
      </c>
      <c r="M1063" s="5">
        <f>HYPERLINK("https://fin.land.naver.com/articles/2644662850", "매물Link")</f>
        <v/>
      </c>
      <c r="N1063" s="5">
        <f>HYPERLINK("https://map.naver.com/p/search/전의면 신정리 476-12", "지도Link")</f>
        <v/>
      </c>
      <c r="O1063" s="5">
        <f>HYPERLINK("http://www.eum.go.kr/web/ar/lu/luLandDet.jsp?pnu=3611037028104760012&amp;isNoScr=script&amp;mode=search", "토지이음")</f>
        <v/>
      </c>
      <c r="P1063" s="3" t="inlineStr">
        <is>
          <t>리얼바인</t>
        </is>
      </c>
      <c r="Q1063" s="3" t="n">
        <v>1</v>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1228</v>
      </c>
      <c r="J1064" s="3" t="inlineStr">
        <is>
          <t>2</t>
        </is>
      </c>
      <c r="K1064" s="3" t="inlineStr">
        <is>
          <t>-</t>
        </is>
      </c>
      <c r="L1064" s="3" t="inlineStr">
        <is>
          <t>전의면 신정리 자연순환시설 공장 매매, 재활용시설 및 설비</t>
        </is>
      </c>
      <c r="M1064" s="5">
        <f>HYPERLINK("https://fin.land.naver.com/articles/2649500340", "매물Link")</f>
        <v/>
      </c>
      <c r="N1064" s="5">
        <f>HYPERLINK("https://map.naver.com/p/search/전의면 신정리 476-12", "지도Link")</f>
        <v/>
      </c>
      <c r="O1064" s="5">
        <f>HYPERLINK("http://www.eum.go.kr/web/ar/lu/luLandDet.jsp?pnu=3611037028104760012&amp;isNoScr=script&amp;mode=search", "토지이음")</f>
        <v/>
      </c>
      <c r="P1064" s="3" t="inlineStr">
        <is>
          <t>스카이</t>
        </is>
      </c>
      <c r="Q1064" s="3" t="n">
        <v>1</v>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6916</v>
      </c>
      <c r="J1065" s="3" t="inlineStr">
        <is>
          <t>2</t>
        </is>
      </c>
      <c r="K1065" s="3" t="inlineStr">
        <is>
          <t>-</t>
        </is>
      </c>
      <c r="L1065" s="3" t="inlineStr">
        <is>
          <t>nan</t>
        </is>
      </c>
      <c r="M1065" s="5">
        <f>HYPERLINK("https://fin.land.naver.com/articles/2648348005", "매물Link")</f>
        <v/>
      </c>
      <c r="N1065" s="5">
        <f>HYPERLINK("https://map.naver.com/p/search/전의면 신흥리 96-1", "지도Link")</f>
        <v/>
      </c>
      <c r="O1065" s="5">
        <f>HYPERLINK("http://www.eum.go.kr/web/ar/lu/luLandDet.jsp?pnu=3611037025100960001&amp;isNoScr=script&amp;mode=search", "토지이음")</f>
        <v/>
      </c>
      <c r="P1065" s="3" t="inlineStr">
        <is>
          <t>주식회사플래티넘파트너스</t>
        </is>
      </c>
      <c r="Q1065" s="3" t="n">
        <v>1</v>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587</v>
      </c>
      <c r="J1066" s="3" t="inlineStr">
        <is>
          <t>1</t>
        </is>
      </c>
      <c r="K1066" s="3" t="inlineStr">
        <is>
          <t>-</t>
        </is>
      </c>
      <c r="L1066" s="3" t="inlineStr">
        <is>
          <t>유천리 마을 안쪽에 있어 민원이 많지 않은 공장용 건물과 대지를 일괄매매</t>
        </is>
      </c>
      <c r="M1066" s="5">
        <f>HYPERLINK("https://fin.land.naver.com/articles/2647269524", "매물Link")</f>
        <v/>
      </c>
      <c r="N1066" s="5">
        <f>HYPERLINK("https://map.naver.com/p/search/전의면 유천리 285-8", "지도Link")</f>
        <v/>
      </c>
      <c r="O1066" s="5">
        <f>HYPERLINK("http://www.eum.go.kr/web/ar/lu/luLandDet.jsp?pnu=3611037026102850008&amp;isNoScr=script&amp;mode=search", "토지이음")</f>
        <v/>
      </c>
      <c r="P1066" s="3" t="inlineStr">
        <is>
          <t>스마일세종</t>
        </is>
      </c>
      <c r="Q1066" s="3" t="n">
        <v>1</v>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549</v>
      </c>
      <c r="J1067" s="3" t="inlineStr">
        <is>
          <t>1</t>
        </is>
      </c>
      <c r="K1067" s="3" t="inlineStr">
        <is>
          <t>-</t>
        </is>
      </c>
      <c r="L1067" s="3" t="inlineStr">
        <is>
          <t>민원 없는 단독 공장 제조업및 물류창고로 추천 추가 건축가능</t>
        </is>
      </c>
      <c r="M1067" s="5">
        <f>HYPERLINK("https://fin.land.naver.com/articles/2646521374", "매물Link")</f>
        <v/>
      </c>
      <c r="N1067" s="5">
        <f>HYPERLINK("https://map.naver.com/p/search/전의면 유천리 296-13", "지도Link")</f>
        <v/>
      </c>
      <c r="O1067" s="5">
        <f>HYPERLINK("http://www.eum.go.kr/web/ar/lu/luLandDet.jsp?pnu=3611037026102960013&amp;isNoScr=script&amp;mode=search", "토지이음")</f>
        <v/>
      </c>
      <c r="P1067" s="3" t="inlineStr">
        <is>
          <t>세종공주원탑</t>
        </is>
      </c>
      <c r="Q1067" s="3" t="n">
        <v>1</v>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472</v>
      </c>
      <c r="J1068" s="3" t="inlineStr">
        <is>
          <t>1</t>
        </is>
      </c>
      <c r="K1068" s="3" t="inlineStr">
        <is>
          <t>-</t>
        </is>
      </c>
      <c r="L1068" s="3" t="inlineStr">
        <is>
          <t>nan</t>
        </is>
      </c>
      <c r="M1068" s="5">
        <f>HYPERLINK("https://fin.land.naver.com/articles/2645322917", "매물Link")</f>
        <v/>
      </c>
      <c r="N1068" s="5">
        <f>HYPERLINK("https://map.naver.com/p/search/전의면 유천리 537-16", "지도Link")</f>
        <v/>
      </c>
      <c r="O1068" s="5">
        <f>HYPERLINK("http://www.eum.go.kr/web/ar/lu/luLandDet.jsp?pnu=3611037026105370016&amp;isNoScr=script&amp;mode=search", "토지이음")</f>
        <v/>
      </c>
      <c r="P1068" s="3" t="inlineStr">
        <is>
          <t>북세종</t>
        </is>
      </c>
      <c r="Q1068" s="3" t="n">
        <v>2</v>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474</v>
      </c>
      <c r="J1069" s="3" t="inlineStr">
        <is>
          <t>1</t>
        </is>
      </c>
      <c r="K1069" s="3" t="inlineStr">
        <is>
          <t>-</t>
        </is>
      </c>
      <c r="L1069" s="3" t="inlineStr">
        <is>
          <t>공장임대</t>
        </is>
      </c>
      <c r="M1069" s="5">
        <f>HYPERLINK("https://fin.land.naver.com/articles/2646865135", "매물Link")</f>
        <v/>
      </c>
      <c r="N1069" s="5">
        <f>HYPERLINK("https://map.naver.com/p/search/전의면 유천리 537-16", "지도Link")</f>
        <v/>
      </c>
      <c r="O1069" s="5">
        <f>HYPERLINK("http://www.eum.go.kr/web/ar/lu/luLandDet.jsp?pnu=3611037026105370016&amp;isNoScr=script&amp;mode=search", "토지이음")</f>
        <v/>
      </c>
      <c r="P1069" s="3" t="inlineStr">
        <is>
          <t>김준희</t>
        </is>
      </c>
      <c r="Q1069" s="3" t="n">
        <v>1</v>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474</v>
      </c>
      <c r="J1070" s="3" t="inlineStr">
        <is>
          <t>1</t>
        </is>
      </c>
      <c r="K1070" s="3" t="inlineStr">
        <is>
          <t>-</t>
        </is>
      </c>
      <c r="L1070" s="3" t="inlineStr">
        <is>
          <t>단독 공장 창고 제조업 2종근생 임대</t>
        </is>
      </c>
      <c r="M1070" s="5">
        <f>HYPERLINK("https://fin.land.naver.com/articles/2645506255", "매물Link")</f>
        <v/>
      </c>
      <c r="N1070" s="5">
        <f>HYPERLINK("https://map.naver.com/p/search/전의면 유천리 537-16", "지도Link")</f>
        <v/>
      </c>
      <c r="O1070" s="5">
        <f>HYPERLINK("http://www.eum.go.kr/web/ar/lu/luLandDet.jsp?pnu=3611037026105370016&amp;isNoScr=script&amp;mode=search", "토지이음")</f>
        <v/>
      </c>
      <c r="P1070" s="3" t="inlineStr">
        <is>
          <t>THE행복</t>
        </is>
      </c>
      <c r="Q1070" s="3" t="n">
        <v>1</v>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1728</v>
      </c>
      <c r="J1071" s="3" t="inlineStr">
        <is>
          <t>2</t>
        </is>
      </c>
      <c r="K1071" s="3" t="inlineStr">
        <is>
          <t>-</t>
        </is>
      </c>
      <c r="L1071" s="3" t="inlineStr">
        <is>
          <t>위치좋고 도로접한 창고 및 사무실 숙소</t>
        </is>
      </c>
      <c r="M1071" s="5">
        <f>HYPERLINK("https://fin.land.naver.com/articles/2648759474", "매물Link")</f>
        <v/>
      </c>
      <c r="N1071" s="5">
        <f>HYPERLINK("https://map.naver.com/p/search/전의면 읍내리 315-20", "지도Link")</f>
        <v/>
      </c>
      <c r="O1071" s="5">
        <f>HYPERLINK("http://www.eum.go.kr/web/ar/lu/luLandDet.jsp?pnu=3611037021103150020&amp;isNoScr=script&amp;mode=search", "토지이음")</f>
        <v/>
      </c>
      <c r="P1071" s="3" t="inlineStr">
        <is>
          <t>세종나라</t>
        </is>
      </c>
      <c r="Q1071" s="3" t="n">
        <v>1</v>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13496</v>
      </c>
      <c r="J1072" s="3" t="inlineStr">
        <is>
          <t>3</t>
        </is>
      </c>
      <c r="K1072" s="3" t="inlineStr">
        <is>
          <t>B2</t>
        </is>
      </c>
      <c r="L1072" s="3" t="inlineStr">
        <is>
          <t>데이터센터 물류창고 가능</t>
        </is>
      </c>
      <c r="M1072" s="5">
        <f>HYPERLINK("https://fin.land.naver.com/articles/2648311397", "매물Link")</f>
        <v/>
      </c>
      <c r="N1072" s="5">
        <f>HYPERLINK("https://map.naver.com/p/search/조치원읍 번암리 53", "지도Link")</f>
        <v/>
      </c>
      <c r="O1072" s="5">
        <f>HYPERLINK("http://www.eum.go.kr/web/ar/lu/luLandDet.jsp?pnu=3611025031100530000&amp;isNoScr=script&amp;mode=search", "토지이음")</f>
        <v/>
      </c>
      <c r="P1072" s="3" t="inlineStr">
        <is>
          <t>월드</t>
        </is>
      </c>
      <c r="Q1072" s="3" t="n">
        <v>1</v>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397</v>
      </c>
      <c r="J1073" s="3" t="inlineStr">
        <is>
          <t>2</t>
        </is>
      </c>
      <c r="K1073" s="3" t="inlineStr">
        <is>
          <t>-</t>
        </is>
      </c>
      <c r="L1073" s="3" t="inlineStr">
        <is>
          <t>조치원 시내 4차선 도로변 창고 급매</t>
        </is>
      </c>
      <c r="M1073" s="5">
        <f>HYPERLINK("https://fin.land.naver.com/articles/2645608920", "매물Link")</f>
        <v/>
      </c>
      <c r="N1073" s="5">
        <f>HYPERLINK("https://map.naver.com/p/search/조치원읍 서창리 202-5", "지도Link")</f>
        <v/>
      </c>
      <c r="O1073" s="5">
        <f>HYPERLINK("http://www.eum.go.kr/web/ar/lu/luLandDet.jsp?pnu=3611025034102020005&amp;isNoScr=script&amp;mode=search", "토지이음")</f>
        <v/>
      </c>
      <c r="P1073" s="3" t="inlineStr">
        <is>
          <t>청담</t>
        </is>
      </c>
      <c r="Q1073" s="3" t="n">
        <v>1</v>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397</v>
      </c>
      <c r="J1074" s="3" t="inlineStr">
        <is>
          <t>2</t>
        </is>
      </c>
      <c r="K1074" s="3" t="inlineStr">
        <is>
          <t>-</t>
        </is>
      </c>
      <c r="L1074" s="3" t="inlineStr">
        <is>
          <t>단독사용  2종근생  하수 직관  근생 창고 매매</t>
        </is>
      </c>
      <c r="M1074" s="5">
        <f>HYPERLINK("https://fin.land.naver.com/articles/2646109707", "매물Link")</f>
        <v/>
      </c>
      <c r="N1074" s="5">
        <f>HYPERLINK("https://map.naver.com/p/search/조치원읍 서창리 202-5", "지도Link")</f>
        <v/>
      </c>
      <c r="O1074" s="5">
        <f>HYPERLINK("http://www.eum.go.kr/web/ar/lu/luLandDet.jsp?pnu=3611025034102020005&amp;isNoScr=script&amp;mode=search", "토지이음")</f>
        <v/>
      </c>
      <c r="P1074" s="3" t="inlineStr">
        <is>
          <t>THE행복</t>
        </is>
      </c>
      <c r="Q1074" s="3" t="n">
        <v>1</v>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397</v>
      </c>
      <c r="J1075" s="3" t="inlineStr">
        <is>
          <t>2</t>
        </is>
      </c>
      <c r="K1075" s="3" t="inlineStr">
        <is>
          <t>-</t>
        </is>
      </c>
      <c r="L1075" s="3" t="inlineStr">
        <is>
          <t>조치원 시내 4차선 도로변 사무실 완비된 컨디션 좋은 창고 매매</t>
        </is>
      </c>
      <c r="M1075" s="5">
        <f>HYPERLINK("https://fin.land.naver.com/articles/2646262582", "매물Link")</f>
        <v/>
      </c>
      <c r="N1075" s="5">
        <f>HYPERLINK("https://map.naver.com/p/search/조치원읍 서창리 202-5", "지도Link")</f>
        <v/>
      </c>
      <c r="O1075" s="5">
        <f>HYPERLINK("http://www.eum.go.kr/web/ar/lu/luLandDet.jsp?pnu=3611025034102020005&amp;isNoScr=script&amp;mode=search", "토지이음")</f>
        <v/>
      </c>
      <c r="P1075" s="3" t="inlineStr">
        <is>
          <t>청담</t>
        </is>
      </c>
      <c r="Q1075" s="3" t="n">
        <v>1</v>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6273</v>
      </c>
      <c r="J1076" s="3" t="inlineStr">
        <is>
          <t>7</t>
        </is>
      </c>
      <c r="K1076" s="3" t="inlineStr">
        <is>
          <t>B2</t>
        </is>
      </c>
      <c r="L1076" s="3" t="inlineStr">
        <is>
          <t>세종 신축 사옥 매매</t>
        </is>
      </c>
      <c r="M1076" s="5">
        <f>HYPERLINK("https://fin.land.naver.com/articles/2644240527", "매물Link")</f>
        <v/>
      </c>
      <c r="N1076" s="5">
        <f>HYPERLINK("https://map.naver.com/p/search/집현동 1132", "지도Link")</f>
        <v/>
      </c>
      <c r="O1076" s="5">
        <f>HYPERLINK("http://www.eum.go.kr/web/ar/lu/luLandDet.jsp?pnu=3611011800111320000&amp;isNoScr=script&amp;mode=search", "토지이음")</f>
        <v/>
      </c>
      <c r="P1076" s="3" t="inlineStr">
        <is>
          <t>공장전문주식회사</t>
        </is>
      </c>
      <c r="Q1076" s="3" t="n">
        <v>1</v>
      </c>
    </row>
  </sheetData>
  <autoFilter ref="A1:Q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1" max="11"/>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연면적</t>
        </is>
      </c>
      <c r="K1" s="2" t="inlineStr">
        <is>
          <t>매물특징</t>
        </is>
      </c>
      <c r="L1" s="2" t="inlineStr">
        <is>
          <t>매물보기</t>
        </is>
      </c>
      <c r="M1" s="2" t="inlineStr">
        <is>
          <t>지도보기</t>
        </is>
      </c>
      <c r="N1" s="2" t="inlineStr">
        <is>
          <t>토지이용계획</t>
        </is>
      </c>
      <c r="O1" s="2" t="inlineStr">
        <is>
          <t>업소</t>
        </is>
      </c>
      <c r="P1" s="2" t="inlineStr">
        <is>
          <t>중개사</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461</v>
      </c>
      <c r="K2" s="3" t="inlineStr">
        <is>
          <t>25m 대로접 상가 통매매, 월 임대료 750, 시인성 및 구조 탁월함</t>
        </is>
      </c>
      <c r="L2" s="5">
        <f>HYPERLINK("https://fin.land.naver.com/articles/2648086220", "매물Link")</f>
        <v/>
      </c>
      <c r="M2" s="5">
        <f>HYPERLINK("https://map.naver.com/p/search/고운동 1006", "지도Link")</f>
        <v/>
      </c>
      <c r="N2" s="5">
        <f>HYPERLINK("http://www.eum.go.kr/web/ar/lu/luLandDet.jsp?pnu=3611011200110060000&amp;isNoScr=script&amp;mode=search", "토지이음")</f>
        <v/>
      </c>
      <c r="O2" s="3" t="inlineStr">
        <is>
          <t>오송3산단  사무소</t>
        </is>
      </c>
      <c r="P2" s="3" t="n">
        <v>1</v>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147</v>
      </c>
      <c r="K3" s="3" t="inlineStr">
        <is>
          <t>즉시 입주 잘 지었습니다  건축주께서 집중해서 건축했어요 시스템에어컨6대</t>
        </is>
      </c>
      <c r="L3" s="5">
        <f>HYPERLINK("https://fin.land.naver.com/articles/2648532037", "매물Link")</f>
        <v/>
      </c>
      <c r="M3" s="5">
        <f>HYPERLINK("https://map.naver.com/p/search/고운동 1106", "지도Link")</f>
        <v/>
      </c>
      <c r="N3" s="5">
        <f>HYPERLINK("http://www.eum.go.kr/web/ar/lu/luLandDet.jsp?pnu=3611011200111060000&amp;isNoScr=script&amp;mode=search", "토지이음")</f>
        <v/>
      </c>
      <c r="O3" s="3" t="inlineStr">
        <is>
          <t>세종시삼성래미안</t>
        </is>
      </c>
      <c r="P3" s="3" t="n">
        <v>1</v>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248</v>
      </c>
      <c r="K4" s="3" t="inlineStr">
        <is>
          <t>nan</t>
        </is>
      </c>
      <c r="L4" s="5">
        <f>HYPERLINK("https://fin.land.naver.com/articles/2649034422", "매물Link")</f>
        <v/>
      </c>
      <c r="M4" s="5">
        <f>HYPERLINK("https://map.naver.com/p/search/고운동 1116", "지도Link")</f>
        <v/>
      </c>
      <c r="N4" s="5">
        <f>HYPERLINK("http://www.eum.go.kr/web/ar/lu/luLandDet.jsp?pnu=3611011200111160000&amp;isNoScr=script&amp;mode=search", "토지이음")</f>
        <v/>
      </c>
      <c r="O4" s="3" t="inlineStr">
        <is>
          <t>백프로</t>
        </is>
      </c>
      <c r="P4" s="3" t="n">
        <v>2</v>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248</v>
      </c>
      <c r="K5" s="3" t="inlineStr">
        <is>
          <t>단독주택 급매, 두루고 인근, 사유지 사용가능, 태양광</t>
        </is>
      </c>
      <c r="L5" s="5">
        <f>HYPERLINK("https://fin.land.naver.com/articles/2648121863", "매물Link")</f>
        <v/>
      </c>
      <c r="M5" s="5">
        <f>HYPERLINK("https://map.naver.com/p/search/고운동 1116", "지도Link")</f>
        <v/>
      </c>
      <c r="N5" s="5">
        <f>HYPERLINK("http://www.eum.go.kr/web/ar/lu/luLandDet.jsp?pnu=3611011200111160000&amp;isNoScr=script&amp;mode=search", "토지이음")</f>
        <v/>
      </c>
      <c r="O5" s="3" t="inlineStr">
        <is>
          <t>세종무지개</t>
        </is>
      </c>
      <c r="P5" s="3" t="n">
        <v>1</v>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248</v>
      </c>
      <c r="K6" s="3" t="inlineStr">
        <is>
          <t>고운동위치좋은단독주택매매 집상태최상 방6개 마당이넓어좋은집</t>
        </is>
      </c>
      <c r="L6" s="5">
        <f>HYPERLINK("https://fin.land.naver.com/articles/2647771858", "매물Link")</f>
        <v/>
      </c>
      <c r="M6" s="5">
        <f>HYPERLINK("https://map.naver.com/p/search/고운동 1116", "지도Link")</f>
        <v/>
      </c>
      <c r="N6" s="5">
        <f>HYPERLINK("http://www.eum.go.kr/web/ar/lu/luLandDet.jsp?pnu=3611011200111160000&amp;isNoScr=script&amp;mode=search", "토지이음")</f>
        <v/>
      </c>
      <c r="O6" s="3" t="inlineStr">
        <is>
          <t>새롬스마트</t>
        </is>
      </c>
      <c r="P6" s="3" t="n">
        <v>4</v>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121</v>
      </c>
      <c r="K7" s="3" t="inlineStr">
        <is>
          <t>신축 단독주택, 화이트톤 깔끔, 올에어컨, 친환경 ACL주택</t>
        </is>
      </c>
      <c r="L7" s="5">
        <f>HYPERLINK("https://fin.land.naver.com/articles/2647304143", "매물Link")</f>
        <v/>
      </c>
      <c r="M7" s="5">
        <f>HYPERLINK("https://map.naver.com/p/search/고운동 1232", "지도Link")</f>
        <v/>
      </c>
      <c r="N7" s="5">
        <f>HYPERLINK("http://www.eum.go.kr/web/ar/lu/luLandDet.jsp?pnu=3611011200112320000&amp;isNoScr=script&amp;mode=search", "토지이음")</f>
        <v/>
      </c>
      <c r="O7" s="3" t="inlineStr">
        <is>
          <t>명진</t>
        </is>
      </c>
      <c r="P7" s="3" t="n">
        <v>1</v>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121</v>
      </c>
      <c r="K8" s="3" t="inlineStr">
        <is>
          <t>조율가능 실개천인근 신축 ALC블럭 주택</t>
        </is>
      </c>
      <c r="L8" s="5">
        <f>HYPERLINK("https://fin.land.naver.com/articles/2644908997", "매물Link")</f>
        <v/>
      </c>
      <c r="M8" s="5">
        <f>HYPERLINK("https://map.naver.com/p/search/고운동 1232", "지도Link")</f>
        <v/>
      </c>
      <c r="N8" s="5">
        <f>HYPERLINK("http://www.eum.go.kr/web/ar/lu/luLandDet.jsp?pnu=3611011200112320000&amp;isNoScr=script&amp;mode=search", "토지이음")</f>
        <v/>
      </c>
      <c r="O8" s="3" t="inlineStr">
        <is>
          <t>세종스타</t>
        </is>
      </c>
      <c r="P8" s="3" t="n">
        <v>1</v>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121</v>
      </c>
      <c r="K9" s="3" t="inlineStr">
        <is>
          <t>관리잘된 주택, ACL 주택, 마당과 넓은 테라스, 관리비 적음</t>
        </is>
      </c>
      <c r="L9" s="5">
        <f>HYPERLINK("https://fin.land.naver.com/articles/2645343378", "매물Link")</f>
        <v/>
      </c>
      <c r="M9" s="5">
        <f>HYPERLINK("https://map.naver.com/p/search/고운동 1232", "지도Link")</f>
        <v/>
      </c>
      <c r="N9" s="5">
        <f>HYPERLINK("http://www.eum.go.kr/web/ar/lu/luLandDet.jsp?pnu=3611011200112320000&amp;isNoScr=script&amp;mode=search", "토지이음")</f>
        <v/>
      </c>
      <c r="O9" s="3" t="inlineStr">
        <is>
          <t>세종무지개</t>
        </is>
      </c>
      <c r="P9" s="3" t="n">
        <v>1</v>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213</v>
      </c>
      <c r="K10" s="3" t="inlineStr">
        <is>
          <t>급매 조율가능 남향 300p 시유지공원 조망</t>
        </is>
      </c>
      <c r="L10" s="5">
        <f>HYPERLINK("https://fin.land.naver.com/articles/2648716290", "매물Link")</f>
        <v/>
      </c>
      <c r="M10" s="5">
        <f>HYPERLINK("https://map.naver.com/p/search/고운동 1431", "지도Link")</f>
        <v/>
      </c>
      <c r="N10" s="5">
        <f>HYPERLINK("http://www.eum.go.kr/web/ar/lu/luLandDet.jsp?pnu=3611011200114310000&amp;isNoScr=script&amp;mode=search", "토지이음")</f>
        <v/>
      </c>
      <c r="O10" s="3" t="inlineStr">
        <is>
          <t>세종스타</t>
        </is>
      </c>
      <c r="P10" s="3" t="n">
        <v>3</v>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246</v>
      </c>
      <c r="K11" s="3" t="inlineStr">
        <is>
          <t>nan</t>
        </is>
      </c>
      <c r="L11" s="5">
        <f>HYPERLINK("https://fin.land.naver.com/articles/2647658745", "매물Link")</f>
        <v/>
      </c>
      <c r="M11" s="5">
        <f>HYPERLINK("https://map.naver.com/p/search/고운동 1451", "지도Link")</f>
        <v/>
      </c>
      <c r="N11" s="5">
        <f>HYPERLINK("http://www.eum.go.kr/web/ar/lu/luLandDet.jsp?pnu=3611011200114510000&amp;isNoScr=script&amp;mode=search", "토지이음")</f>
        <v/>
      </c>
      <c r="O11" s="3" t="inlineStr">
        <is>
          <t>세종스타</t>
        </is>
      </c>
      <c r="P11" s="3" t="n">
        <v>2</v>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241</v>
      </c>
      <c r="K12" s="3" t="inlineStr">
        <is>
          <t>2층  복층 ,방5,욕실2,화장실4,정원이 넓은 마당,2층  넓은 테라스</t>
        </is>
      </c>
      <c r="L12" s="5">
        <f>HYPERLINK("https://fin.land.naver.com/articles/2644303480", "매물Link")</f>
        <v/>
      </c>
      <c r="M12" s="5">
        <f>HYPERLINK("https://map.naver.com/p/search/고운동 1537", "지도Link")</f>
        <v/>
      </c>
      <c r="N12" s="5">
        <f>HYPERLINK("http://www.eum.go.kr/web/ar/lu/luLandDet.jsp?pnu=3611011200115370000&amp;isNoScr=script&amp;mode=search", "토지이음")</f>
        <v/>
      </c>
      <c r="O12" s="3" t="inlineStr">
        <is>
          <t>오케이세종</t>
        </is>
      </c>
      <c r="P12" s="3" t="n">
        <v>1</v>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241</v>
      </c>
      <c r="K13" s="3" t="inlineStr">
        <is>
          <t>방5개, 욕실4개, 고급 단독주택, 마당넓고 카페같은 썬큰</t>
        </is>
      </c>
      <c r="L13" s="5">
        <f>HYPERLINK("https://fin.land.naver.com/articles/2648126953", "매물Link")</f>
        <v/>
      </c>
      <c r="M13" s="5">
        <f>HYPERLINK("https://map.naver.com/p/search/고운동 1537", "지도Link")</f>
        <v/>
      </c>
      <c r="N13" s="5">
        <f>HYPERLINK("http://www.eum.go.kr/web/ar/lu/luLandDet.jsp?pnu=3611011200115370000&amp;isNoScr=script&amp;mode=search", "토지이음")</f>
        <v/>
      </c>
      <c r="O13" s="3" t="inlineStr">
        <is>
          <t>명진</t>
        </is>
      </c>
      <c r="P13" s="3" t="n">
        <v>1</v>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241</v>
      </c>
      <c r="K14" s="3" t="inlineStr">
        <is>
          <t>마당 넓은 고급 단독주택매매, 방5개, 욕실4개</t>
        </is>
      </c>
      <c r="L14" s="5">
        <f>HYPERLINK("https://fin.land.naver.com/articles/2646691998", "매물Link")</f>
        <v/>
      </c>
      <c r="M14" s="5">
        <f>HYPERLINK("https://map.naver.com/p/search/고운동 1537", "지도Link")</f>
        <v/>
      </c>
      <c r="N14" s="5">
        <f>HYPERLINK("http://www.eum.go.kr/web/ar/lu/luLandDet.jsp?pnu=3611011200115370000&amp;isNoScr=script&amp;mode=search", "토지이음")</f>
        <v/>
      </c>
      <c r="O14" s="3" t="inlineStr">
        <is>
          <t>세종무지개</t>
        </is>
      </c>
      <c r="P14" s="3" t="n">
        <v>1</v>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142</v>
      </c>
      <c r="K15" s="3" t="inlineStr">
        <is>
          <t>nan</t>
        </is>
      </c>
      <c r="L15" s="5">
        <f>HYPERLINK("https://fin.land.naver.com/articles/2649607865", "매물Link")</f>
        <v/>
      </c>
      <c r="M15" s="5">
        <f>HYPERLINK("https://map.naver.com/p/search/고운동 1583", "지도Link")</f>
        <v/>
      </c>
      <c r="N15" s="5">
        <f>HYPERLINK("http://www.eum.go.kr/web/ar/lu/luLandDet.jsp?pnu=3611011200115830000&amp;isNoScr=script&amp;mode=search", "토지이음")</f>
        <v/>
      </c>
      <c r="O15" s="3" t="inlineStr">
        <is>
          <t>세종스타</t>
        </is>
      </c>
      <c r="P15" s="3" t="n">
        <v>2</v>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142</v>
      </c>
      <c r="K16" s="3" t="inlineStr">
        <is>
          <t>실개천이 흐르는 단독주택.</t>
        </is>
      </c>
      <c r="L16" s="5">
        <f>HYPERLINK("https://fin.land.naver.com/articles/2649456880", "매물Link")</f>
        <v/>
      </c>
      <c r="M16" s="5">
        <f>HYPERLINK("https://map.naver.com/p/search/고운동 1583", "지도Link")</f>
        <v/>
      </c>
      <c r="N16" s="5">
        <f>HYPERLINK("http://www.eum.go.kr/web/ar/lu/luLandDet.jsp?pnu=3611011200115830000&amp;isNoScr=script&amp;mode=search", "토지이음")</f>
        <v/>
      </c>
      <c r="O16" s="3" t="inlineStr">
        <is>
          <t>세종삼촌</t>
        </is>
      </c>
      <c r="P16" s="3" t="n">
        <v>1</v>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142</v>
      </c>
      <c r="K17" s="3" t="inlineStr">
        <is>
          <t>급매,실개천 인접,테라스,잔금 길게가능</t>
        </is>
      </c>
      <c r="L17" s="5">
        <f>HYPERLINK("https://fin.land.naver.com/articles/2647956507", "매물Link")</f>
        <v/>
      </c>
      <c r="M17" s="5">
        <f>HYPERLINK("https://map.naver.com/p/search/고운동 1583", "지도Link")</f>
        <v/>
      </c>
      <c r="N17" s="5">
        <f>HYPERLINK("http://www.eum.go.kr/web/ar/lu/luLandDet.jsp?pnu=3611011200115830000&amp;isNoScr=script&amp;mode=search", "토지이음")</f>
        <v/>
      </c>
      <c r="O17" s="3" t="inlineStr">
        <is>
          <t>고운뜰</t>
        </is>
      </c>
      <c r="P17" s="3" t="n">
        <v>1</v>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182</v>
      </c>
      <c r="K18" s="3" t="inlineStr">
        <is>
          <t>입주협의가능, 정남향, 학교인근, 방4개</t>
        </is>
      </c>
      <c r="L18" s="5">
        <f>HYPERLINK("https://fin.land.naver.com/articles/2646695575", "매물Link")</f>
        <v/>
      </c>
      <c r="M18" s="5">
        <f>HYPERLINK("https://map.naver.com/p/search/고운동 1646", "지도Link")</f>
        <v/>
      </c>
      <c r="N18" s="5">
        <f>HYPERLINK("http://www.eum.go.kr/web/ar/lu/luLandDet.jsp?pnu=3611011200116460000&amp;isNoScr=script&amp;mode=search", "토지이음")</f>
        <v/>
      </c>
      <c r="O18" s="3" t="inlineStr">
        <is>
          <t>세종무지개</t>
        </is>
      </c>
      <c r="P18" s="3" t="n">
        <v>1</v>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182</v>
      </c>
      <c r="K19" s="3" t="inlineStr">
        <is>
          <t>초.중.고인근, 방4개, 정남향</t>
        </is>
      </c>
      <c r="L19" s="5">
        <f>HYPERLINK("https://fin.land.naver.com/articles/2645677394", "매물Link")</f>
        <v/>
      </c>
      <c r="M19" s="5">
        <f>HYPERLINK("https://map.naver.com/p/search/고운동 1646", "지도Link")</f>
        <v/>
      </c>
      <c r="N19" s="5">
        <f>HYPERLINK("http://www.eum.go.kr/web/ar/lu/luLandDet.jsp?pnu=3611011200116460000&amp;isNoScr=script&amp;mode=search", "토지이음")</f>
        <v/>
      </c>
      <c r="O19" s="3" t="inlineStr">
        <is>
          <t>명진</t>
        </is>
      </c>
      <c r="P19" s="3" t="n">
        <v>1</v>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182</v>
      </c>
      <c r="K20" s="3" t="inlineStr">
        <is>
          <t>고운동  실개천 인근 남향 가격조정가능</t>
        </is>
      </c>
      <c r="L20" s="5">
        <f>HYPERLINK("https://fin.land.naver.com/articles/2649459749", "매물Link")</f>
        <v/>
      </c>
      <c r="M20" s="5">
        <f>HYPERLINK("https://map.naver.com/p/search/고운동 1646", "지도Link")</f>
        <v/>
      </c>
      <c r="N20" s="5">
        <f>HYPERLINK("http://www.eum.go.kr/web/ar/lu/luLandDet.jsp?pnu=3611011200116460000&amp;isNoScr=script&amp;mode=search", "토지이음")</f>
        <v/>
      </c>
      <c r="O20" s="3" t="inlineStr">
        <is>
          <t>세종삼촌</t>
        </is>
      </c>
      <c r="P20" s="3" t="n">
        <v>1</v>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183</v>
      </c>
      <c r="K21" s="3" t="inlineStr">
        <is>
          <t>조망좋고 위치좋은 정남향 단독주택 방4개 실용적인구조 철콘주택</t>
        </is>
      </c>
      <c r="L21" s="5">
        <f>HYPERLINK("https://fin.land.naver.com/articles/2649950020", "매물Link")</f>
        <v/>
      </c>
      <c r="M21" s="5">
        <f>HYPERLINK("https://map.naver.com/p/search/고운동 1756", "지도Link")</f>
        <v/>
      </c>
      <c r="N21" s="5">
        <f>HYPERLINK("http://www.eum.go.kr/web/ar/lu/luLandDet.jsp?pnu=3611011200117560000&amp;isNoScr=script&amp;mode=search", "토지이음")</f>
        <v/>
      </c>
      <c r="O21" s="3" t="inlineStr">
        <is>
          <t>세종스타</t>
        </is>
      </c>
      <c r="P21" s="3" t="n">
        <v>3</v>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183</v>
      </c>
      <c r="K22" s="3" t="inlineStr">
        <is>
          <t>태양광, 어린이집, 유치원 인근, 조율가능</t>
        </is>
      </c>
      <c r="L22" s="5">
        <f>HYPERLINK("https://fin.land.naver.com/articles/2646691179", "매물Link")</f>
        <v/>
      </c>
      <c r="M22" s="5">
        <f>HYPERLINK("https://map.naver.com/p/search/고운동 1756", "지도Link")</f>
        <v/>
      </c>
      <c r="N22" s="5">
        <f>HYPERLINK("http://www.eum.go.kr/web/ar/lu/luLandDet.jsp?pnu=3611011200117560000&amp;isNoScr=script&amp;mode=search", "토지이음")</f>
        <v/>
      </c>
      <c r="O22" s="3" t="inlineStr">
        <is>
          <t>세종무지개</t>
        </is>
      </c>
      <c r="P22" s="3" t="n">
        <v>1</v>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183</v>
      </c>
      <c r="K23" s="3" t="inlineStr">
        <is>
          <t>정남향, 태양광설치, 방4개, 화장실3개, 철근콘크리트구조</t>
        </is>
      </c>
      <c r="L23" s="5">
        <f>HYPERLINK("https://fin.land.naver.com/articles/2647421215", "매물Link")</f>
        <v/>
      </c>
      <c r="M23" s="5">
        <f>HYPERLINK("https://map.naver.com/p/search/고운동 1756", "지도Link")</f>
        <v/>
      </c>
      <c r="N23" s="5">
        <f>HYPERLINK("http://www.eum.go.kr/web/ar/lu/luLandDet.jsp?pnu=3611011200117560000&amp;isNoScr=script&amp;mode=search", "토지이음")</f>
        <v/>
      </c>
      <c r="O23" s="3" t="inlineStr">
        <is>
          <t>명진</t>
        </is>
      </c>
      <c r="P23" s="3" t="n">
        <v>1</v>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247</v>
      </c>
      <c r="K24" s="3" t="inlineStr">
        <is>
          <t>프라이빗한 단독주택. 대가족 거주가능.</t>
        </is>
      </c>
      <c r="L24" s="5">
        <f>HYPERLINK("https://fin.land.naver.com/articles/2650172491", "매물Link")</f>
        <v/>
      </c>
      <c r="M24" s="5">
        <f>HYPERLINK("https://map.naver.com/p/search/고운동 1763", "지도Link")</f>
        <v/>
      </c>
      <c r="N24" s="5">
        <f>HYPERLINK("http://www.eum.go.kr/web/ar/lu/luLandDet.jsp?pnu=3611011200117630000&amp;isNoScr=script&amp;mode=search", "토지이음")</f>
        <v/>
      </c>
      <c r="O24" s="3" t="inlineStr">
        <is>
          <t>최무연</t>
        </is>
      </c>
      <c r="P24" s="3" t="n">
        <v>2</v>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214</v>
      </c>
      <c r="K25" s="3" t="inlineStr">
        <is>
          <t>마당정원 관리최상 고운초 고운중 상권 모두도보5분 가격조율가능</t>
        </is>
      </c>
      <c r="L25" s="5">
        <f>HYPERLINK("https://fin.land.naver.com/articles/2649949920", "매물Link")</f>
        <v/>
      </c>
      <c r="M25" s="5">
        <f>HYPERLINK("https://map.naver.com/p/search/고운동 1765", "지도Link")</f>
        <v/>
      </c>
      <c r="N25" s="5">
        <f>HYPERLINK("http://www.eum.go.kr/web/ar/lu/luLandDet.jsp?pnu=3611011200117650000&amp;isNoScr=script&amp;mode=search", "토지이음")</f>
        <v/>
      </c>
      <c r="O25" s="3" t="inlineStr">
        <is>
          <t>세종스타</t>
        </is>
      </c>
      <c r="P25" s="3" t="n">
        <v>2</v>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199</v>
      </c>
      <c r="K26" s="3" t="inlineStr">
        <is>
          <t>nan</t>
        </is>
      </c>
      <c r="L26" s="5">
        <f>HYPERLINK("https://fin.land.naver.com/articles/2644847143", "매물Link")</f>
        <v/>
      </c>
      <c r="M26" s="5">
        <f>HYPERLINK("https://map.naver.com/p/search/고운동 1791", "지도Link")</f>
        <v/>
      </c>
      <c r="N26" s="5">
        <f>HYPERLINK("http://www.eum.go.kr/web/ar/lu/luLandDet.jsp?pnu=3611011200117910000&amp;isNoScr=script&amp;mode=search", "토지이음")</f>
        <v/>
      </c>
      <c r="O26" s="3" t="inlineStr">
        <is>
          <t>미래개발</t>
        </is>
      </c>
      <c r="P26" s="3" t="n">
        <v>1</v>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142</v>
      </c>
      <c r="K27" s="3" t="inlineStr">
        <is>
          <t>땅크기가 큰편인 단독주택 남향전화주셔요</t>
        </is>
      </c>
      <c r="L27" s="5">
        <f>HYPERLINK("https://fin.land.naver.com/articles/2649315048", "매물Link")</f>
        <v/>
      </c>
      <c r="M27" s="5">
        <f>HYPERLINK("https://map.naver.com/p/search/고운동 1971", "지도Link")</f>
        <v/>
      </c>
      <c r="N27" s="5">
        <f>HYPERLINK("http://www.eum.go.kr/web/ar/lu/luLandDet.jsp?pnu=3611011200119710000&amp;isNoScr=script&amp;mode=search", "토지이음")</f>
        <v/>
      </c>
      <c r="O27" s="3" t="inlineStr">
        <is>
          <t>최무연</t>
        </is>
      </c>
      <c r="P27" s="3" t="n">
        <v>1</v>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253</v>
      </c>
      <c r="K28" s="3" t="inlineStr">
        <is>
          <t>유럽마을 C타입  관리상태좋음  학교 근린생활시설가까운 입지 최고 단지</t>
        </is>
      </c>
      <c r="L28" s="5">
        <f>HYPERLINK("https://fin.land.naver.com/articles/2646787107", "매물Link")</f>
        <v/>
      </c>
      <c r="M28" s="5">
        <f>HYPERLINK("https://map.naver.com/p/search/고운동 2085", "지도Link")</f>
        <v/>
      </c>
      <c r="N28" s="5">
        <f>HYPERLINK("http://www.eum.go.kr/web/ar/lu/luLandDet.jsp?pnu=3611011200120850000&amp;isNoScr=script&amp;mode=search", "토지이음")</f>
        <v/>
      </c>
      <c r="O28" s="3" t="inlineStr">
        <is>
          <t>고운힐스테이트</t>
        </is>
      </c>
      <c r="P28" s="3" t="n">
        <v>1</v>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253</v>
      </c>
      <c r="K29" s="3" t="inlineStr">
        <is>
          <t>입지좋은 타운하우스매매, A타입, 온빛초, 정남향</t>
        </is>
      </c>
      <c r="L29" s="5">
        <f>HYPERLINK("https://fin.land.naver.com/articles/2646849392", "매물Link")</f>
        <v/>
      </c>
      <c r="M29" s="5">
        <f>HYPERLINK("https://map.naver.com/p/search/고운동 2085", "지도Link")</f>
        <v/>
      </c>
      <c r="N29" s="5">
        <f>HYPERLINK("http://www.eum.go.kr/web/ar/lu/luLandDet.jsp?pnu=3611011200120850000&amp;isNoScr=script&amp;mode=search", "토지이음")</f>
        <v/>
      </c>
      <c r="O29" s="3" t="inlineStr">
        <is>
          <t>세종무지개</t>
        </is>
      </c>
      <c r="P29" s="3" t="n">
        <v>1</v>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253</v>
      </c>
      <c r="K30" s="3" t="inlineStr">
        <is>
          <t>급매,C타입,주인거주로집상태좋음.</t>
        </is>
      </c>
      <c r="L30" s="5">
        <f>HYPERLINK("https://fin.land.naver.com/articles/2647138426", "매물Link")</f>
        <v/>
      </c>
      <c r="M30" s="5">
        <f>HYPERLINK("https://map.naver.com/p/search/고운동 2085", "지도Link")</f>
        <v/>
      </c>
      <c r="N30" s="5">
        <f>HYPERLINK("http://www.eum.go.kr/web/ar/lu/luLandDet.jsp?pnu=3611011200120850000&amp;isNoScr=script&amp;mode=search", "토지이음")</f>
        <v/>
      </c>
      <c r="O30" s="3" t="inlineStr">
        <is>
          <t>세종황소</t>
        </is>
      </c>
      <c r="P30" s="3" t="n">
        <v>1</v>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253</v>
      </c>
      <c r="K31" s="3" t="inlineStr">
        <is>
          <t>초품아, 거주 만족도 높은  관리최상  매물, 협의입주</t>
        </is>
      </c>
      <c r="L31" s="5">
        <f>HYPERLINK("https://fin.land.naver.com/articles/2648366468", "매물Link")</f>
        <v/>
      </c>
      <c r="M31" s="5">
        <f>HYPERLINK("https://map.naver.com/p/search/고운동 2085", "지도Link")</f>
        <v/>
      </c>
      <c r="N31" s="5">
        <f>HYPERLINK("http://www.eum.go.kr/web/ar/lu/luLandDet.jsp?pnu=3611011200120850000&amp;isNoScr=script&amp;mode=search", "토지이음")</f>
        <v/>
      </c>
      <c r="O31" s="3" t="inlineStr">
        <is>
          <t>백프로</t>
        </is>
      </c>
      <c r="P31" s="3" t="n">
        <v>2</v>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253</v>
      </c>
      <c r="K32" s="3" t="inlineStr">
        <is>
          <t>입지 최고 거주 및 투자추천, 선임대 맞춰짐, 실입주도 협의가능,</t>
        </is>
      </c>
      <c r="L32" s="5">
        <f>HYPERLINK("https://fin.land.naver.com/articles/2648367997", "매물Link")</f>
        <v/>
      </c>
      <c r="M32" s="5">
        <f>HYPERLINK("https://map.naver.com/p/search/고운동 2085", "지도Link")</f>
        <v/>
      </c>
      <c r="N32" s="5">
        <f>HYPERLINK("http://www.eum.go.kr/web/ar/lu/luLandDet.jsp?pnu=3611011200120850000&amp;isNoScr=script&amp;mode=search", "토지이음")</f>
        <v/>
      </c>
      <c r="O32" s="3" t="inlineStr">
        <is>
          <t>백프로</t>
        </is>
      </c>
      <c r="P32" s="3" t="n">
        <v>1</v>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253</v>
      </c>
      <c r="K33" s="3" t="inlineStr">
        <is>
          <t>입지좋은 타운하우스매매, C타입, 온빛초, 정남향</t>
        </is>
      </c>
      <c r="L33" s="5">
        <f>HYPERLINK("https://fin.land.naver.com/articles/2648836117", "매물Link")</f>
        <v/>
      </c>
      <c r="M33" s="5">
        <f>HYPERLINK("https://map.naver.com/p/search/고운동 2085", "지도Link")</f>
        <v/>
      </c>
      <c r="N33" s="5">
        <f>HYPERLINK("http://www.eum.go.kr/web/ar/lu/luLandDet.jsp?pnu=3611011200120850000&amp;isNoScr=script&amp;mode=search", "토지이음")</f>
        <v/>
      </c>
      <c r="O33" s="3" t="inlineStr">
        <is>
          <t>세종무지개</t>
        </is>
      </c>
      <c r="P33" s="3" t="n">
        <v>1</v>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253</v>
      </c>
      <c r="K34" s="3" t="inlineStr">
        <is>
          <t>아르티엠 더블랙  초품아 프리미엄과 풀옵션이 만난 완벽한 타운하우스</t>
        </is>
      </c>
      <c r="L34" s="5">
        <f>HYPERLINK("https://fin.land.naver.com/articles/2645308695", "매물Link")</f>
        <v/>
      </c>
      <c r="M34" s="5">
        <f>HYPERLINK("https://map.naver.com/p/search/고운동 2085", "지도Link")</f>
        <v/>
      </c>
      <c r="N34" s="5">
        <f>HYPERLINK("http://www.eum.go.kr/web/ar/lu/luLandDet.jsp?pnu=3611011200120850000&amp;isNoScr=script&amp;mode=search", "토지이음")</f>
        <v/>
      </c>
      <c r="O34" s="3" t="inlineStr">
        <is>
          <t>찬스</t>
        </is>
      </c>
      <c r="P34" s="3" t="n">
        <v>1</v>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253</v>
      </c>
      <c r="K35" s="3" t="inlineStr">
        <is>
          <t>인기C타입 마당넓음 탁트인조망 넓은3층면적</t>
        </is>
      </c>
      <c r="L35" s="5">
        <f>HYPERLINK("https://fin.land.naver.com/articles/2644917554", "매물Link")</f>
        <v/>
      </c>
      <c r="M35" s="5">
        <f>HYPERLINK("https://map.naver.com/p/search/고운동 2085", "지도Link")</f>
        <v/>
      </c>
      <c r="N35" s="5">
        <f>HYPERLINK("http://www.eum.go.kr/web/ar/lu/luLandDet.jsp?pnu=3611011200120850000&amp;isNoScr=script&amp;mode=search", "토지이음")</f>
        <v/>
      </c>
      <c r="O35" s="3" t="inlineStr">
        <is>
          <t>세종스타</t>
        </is>
      </c>
      <c r="P35" s="3" t="n">
        <v>1</v>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224</v>
      </c>
      <c r="K36" s="3" t="inlineStr">
        <is>
          <t>아르티엠 더블랙 선임대 완료 급매</t>
        </is>
      </c>
      <c r="L36" s="5">
        <f>HYPERLINK("https://fin.land.naver.com/articles/2644927534", "매물Link")</f>
        <v/>
      </c>
      <c r="M36" s="5">
        <f>HYPERLINK("https://map.naver.com/p/search/고운동 2085", "지도Link")</f>
        <v/>
      </c>
      <c r="N36" s="5">
        <f>HYPERLINK("http://www.eum.go.kr/web/ar/lu/luLandDet.jsp?pnu=3611011200120850000&amp;isNoScr=script&amp;mode=search", "토지이음")</f>
        <v/>
      </c>
      <c r="O36" s="3" t="inlineStr">
        <is>
          <t>찬스</t>
        </is>
      </c>
      <c r="P36" s="3" t="n">
        <v>1</v>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253</v>
      </c>
      <c r="K37" s="3" t="inlineStr">
        <is>
          <t>아르티엠 더블랙 C타입 선임대 완료 급매</t>
        </is>
      </c>
      <c r="L37" s="5">
        <f>HYPERLINK("https://fin.land.naver.com/articles/2645308739", "매물Link")</f>
        <v/>
      </c>
      <c r="M37" s="5">
        <f>HYPERLINK("https://map.naver.com/p/search/고운동 2085", "지도Link")</f>
        <v/>
      </c>
      <c r="N37" s="5">
        <f>HYPERLINK("http://www.eum.go.kr/web/ar/lu/luLandDet.jsp?pnu=3611011200120850000&amp;isNoScr=script&amp;mode=search", "토지이음")</f>
        <v/>
      </c>
      <c r="O37" s="3" t="inlineStr">
        <is>
          <t>찬스</t>
        </is>
      </c>
      <c r="P37" s="3" t="n">
        <v>1</v>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224</v>
      </c>
      <c r="K38" s="3" t="inlineStr">
        <is>
          <t>아르티엠 더블랙 선임대 완료 급매</t>
        </is>
      </c>
      <c r="L38" s="5">
        <f>HYPERLINK("https://fin.land.naver.com/articles/2645308747", "매물Link")</f>
        <v/>
      </c>
      <c r="M38" s="5">
        <f>HYPERLINK("https://map.naver.com/p/search/고운동 2085", "지도Link")</f>
        <v/>
      </c>
      <c r="N38" s="5">
        <f>HYPERLINK("http://www.eum.go.kr/web/ar/lu/luLandDet.jsp?pnu=3611011200120850000&amp;isNoScr=script&amp;mode=search", "토지이음")</f>
        <v/>
      </c>
      <c r="O38" s="3" t="inlineStr">
        <is>
          <t>찬스</t>
        </is>
      </c>
      <c r="P38" s="3" t="n">
        <v>1</v>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253</v>
      </c>
      <c r="K39" s="3" t="inlineStr">
        <is>
          <t>프라이빗 코너 호수의 완벽한 유럽풍 라이프</t>
        </is>
      </c>
      <c r="L39" s="5">
        <f>HYPERLINK("https://fin.land.naver.com/articles/2648068359", "매물Link")</f>
        <v/>
      </c>
      <c r="M39" s="5">
        <f>HYPERLINK("https://map.naver.com/p/search/고운동 2085", "지도Link")</f>
        <v/>
      </c>
      <c r="N39" s="5">
        <f>HYPERLINK("http://www.eum.go.kr/web/ar/lu/luLandDet.jsp?pnu=3611011200120850000&amp;isNoScr=script&amp;mode=search", "토지이음")</f>
        <v/>
      </c>
      <c r="O39" s="3" t="inlineStr">
        <is>
          <t>찬스</t>
        </is>
      </c>
      <c r="P39" s="3" t="n">
        <v>1</v>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253</v>
      </c>
      <c r="K40" s="3" t="inlineStr">
        <is>
          <t>C타입 타운하우스, 급매, 입지 굿, 학교 인접, 협의입주</t>
        </is>
      </c>
      <c r="L40" s="5">
        <f>HYPERLINK("https://fin.land.naver.com/articles/2648909199", "매물Link")</f>
        <v/>
      </c>
      <c r="M40" s="5">
        <f>HYPERLINK("https://map.naver.com/p/search/고운동 2085", "지도Link")</f>
        <v/>
      </c>
      <c r="N40" s="5">
        <f>HYPERLINK("http://www.eum.go.kr/web/ar/lu/luLandDet.jsp?pnu=3611011200120850000&amp;isNoScr=script&amp;mode=search", "토지이음")</f>
        <v/>
      </c>
      <c r="O40" s="3" t="inlineStr">
        <is>
          <t>명진</t>
        </is>
      </c>
      <c r="P40" s="3" t="n">
        <v>1</v>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253</v>
      </c>
      <c r="K41" s="3" t="inlineStr">
        <is>
          <t>프라이빗한 정원,  인네리어</t>
        </is>
      </c>
      <c r="L41" s="5">
        <f>HYPERLINK("https://fin.land.naver.com/articles/2649457044", "매물Link")</f>
        <v/>
      </c>
      <c r="M41" s="5">
        <f>HYPERLINK("https://map.naver.com/p/search/고운동 2085", "지도Link")</f>
        <v/>
      </c>
      <c r="N41" s="5">
        <f>HYPERLINK("http://www.eum.go.kr/web/ar/lu/luLandDet.jsp?pnu=3611011200120850000&amp;isNoScr=script&amp;mode=search", "토지이음")</f>
        <v/>
      </c>
      <c r="O41" s="3" t="inlineStr">
        <is>
          <t>세종삼촌</t>
        </is>
      </c>
      <c r="P41" s="3" t="n">
        <v>1</v>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253</v>
      </c>
      <c r="K42" s="3" t="inlineStr">
        <is>
          <t>협의입주, 시스템에어컨풀, 풀옵션, 조용한동으로 뷰좋은집</t>
        </is>
      </c>
      <c r="L42" s="5">
        <f>HYPERLINK("https://fin.land.naver.com/articles/2649373448", "매물Link")</f>
        <v/>
      </c>
      <c r="M42" s="5">
        <f>HYPERLINK("https://map.naver.com/p/search/고운동 2085", "지도Link")</f>
        <v/>
      </c>
      <c r="N42" s="5">
        <f>HYPERLINK("http://www.eum.go.kr/web/ar/lu/luLandDet.jsp?pnu=3611011200120850000&amp;isNoScr=script&amp;mode=search", "토지이음")</f>
        <v/>
      </c>
      <c r="O42" s="3" t="inlineStr">
        <is>
          <t>리브</t>
        </is>
      </c>
      <c r="P42" s="3" t="n">
        <v>2</v>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224</v>
      </c>
      <c r="K43" s="3" t="inlineStr">
        <is>
          <t>아르티엠 더블랙 선임대 완료 급매</t>
        </is>
      </c>
      <c r="L43" s="5">
        <f>HYPERLINK("https://fin.land.naver.com/articles/2645308761", "매물Link")</f>
        <v/>
      </c>
      <c r="M43" s="5">
        <f>HYPERLINK("https://map.naver.com/p/search/고운동 2085", "지도Link")</f>
        <v/>
      </c>
      <c r="N43" s="5">
        <f>HYPERLINK("http://www.eum.go.kr/web/ar/lu/luLandDet.jsp?pnu=3611011200120850000&amp;isNoScr=script&amp;mode=search", "토지이음")</f>
        <v/>
      </c>
      <c r="O43" s="3" t="inlineStr">
        <is>
          <t>찬스</t>
        </is>
      </c>
      <c r="P43" s="3" t="n">
        <v>1</v>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253</v>
      </c>
      <c r="K44" s="3" t="inlineStr">
        <is>
          <t>A타입 타운하우스매매, 입지 굿, 학교 인접, 협의입주</t>
        </is>
      </c>
      <c r="L44" s="5">
        <f>HYPERLINK("https://fin.land.naver.com/articles/2648903592", "매물Link")</f>
        <v/>
      </c>
      <c r="M44" s="5">
        <f>HYPERLINK("https://map.naver.com/p/search/고운동 2085", "지도Link")</f>
        <v/>
      </c>
      <c r="N44" s="5">
        <f>HYPERLINK("http://www.eum.go.kr/web/ar/lu/luLandDet.jsp?pnu=3611011200120850000&amp;isNoScr=script&amp;mode=search", "토지이음")</f>
        <v/>
      </c>
      <c r="O44" s="3" t="inlineStr">
        <is>
          <t>명진</t>
        </is>
      </c>
      <c r="P44" s="3" t="n">
        <v>1</v>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147</v>
      </c>
      <c r="K45" s="3" t="inlineStr">
        <is>
          <t>급매가격조율지하 멀티룸과 성큰 테라스를 품은 명품 한옥 매매</t>
        </is>
      </c>
      <c r="L45" s="5">
        <f>HYPERLINK("https://fin.land.naver.com/articles/2649492619", "매물Link")</f>
        <v/>
      </c>
      <c r="M45" s="5">
        <f>HYPERLINK("https://map.naver.com/p/search/고운동 2127", "지도Link")</f>
        <v/>
      </c>
      <c r="N45" s="5">
        <f>HYPERLINK("http://www.eum.go.kr/web/ar/lu/luLandDet.jsp?pnu=3611011200121270000&amp;isNoScr=script&amp;mode=search", "토지이음")</f>
        <v/>
      </c>
      <c r="O45" s="3" t="inlineStr">
        <is>
          <t>찬스</t>
        </is>
      </c>
      <c r="P45" s="3" t="n">
        <v>2</v>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118</v>
      </c>
      <c r="K46" s="3" t="inlineStr">
        <is>
          <t>희소성 높은 한옥 매매, 학군과 입지 좋은 위치</t>
        </is>
      </c>
      <c r="L46" s="5">
        <f>HYPERLINK("https://fin.land.naver.com/articles/2644481775", "매물Link")</f>
        <v/>
      </c>
      <c r="M46" s="5">
        <f>HYPERLINK("https://map.naver.com/p/search/고운동 2176", "지도Link")</f>
        <v/>
      </c>
      <c r="N46" s="5">
        <f>HYPERLINK("http://www.eum.go.kr/web/ar/lu/luLandDet.jsp?pnu=3611011200121760000&amp;isNoScr=script&amp;mode=search", "토지이음")</f>
        <v/>
      </c>
      <c r="O46" s="3" t="inlineStr">
        <is>
          <t>세종무지개</t>
        </is>
      </c>
      <c r="P46" s="3" t="n">
        <v>1</v>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118</v>
      </c>
      <c r="K47" s="3" t="inlineStr">
        <is>
          <t>한옥마을매매, 시립도서관, 온빛유.초 인접, 급매</t>
        </is>
      </c>
      <c r="L47" s="5">
        <f>HYPERLINK("https://fin.land.naver.com/articles/2645545491", "매물Link")</f>
        <v/>
      </c>
      <c r="M47" s="5">
        <f>HYPERLINK("https://map.naver.com/p/search/고운동 2176", "지도Link")</f>
        <v/>
      </c>
      <c r="N47" s="5">
        <f>HYPERLINK("http://www.eum.go.kr/web/ar/lu/luLandDet.jsp?pnu=3611011200121760000&amp;isNoScr=script&amp;mode=search", "토지이음")</f>
        <v/>
      </c>
      <c r="O47" s="3" t="inlineStr">
        <is>
          <t>명진</t>
        </is>
      </c>
      <c r="P47" s="3" t="n">
        <v>1</v>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118</v>
      </c>
      <c r="K48" s="3" t="inlineStr">
        <is>
          <t>nan</t>
        </is>
      </c>
      <c r="L48" s="5">
        <f>HYPERLINK("https://fin.land.naver.com/articles/2646479321", "매물Link")</f>
        <v/>
      </c>
      <c r="M48" s="5">
        <f>HYPERLINK("https://map.naver.com/p/search/고운동 2176", "지도Link")</f>
        <v/>
      </c>
      <c r="N48" s="5">
        <f>HYPERLINK("http://www.eum.go.kr/web/ar/lu/luLandDet.jsp?pnu=3611011200121760000&amp;isNoScr=script&amp;mode=search", "토지이음")</f>
        <v/>
      </c>
      <c r="O48" s="3" t="inlineStr">
        <is>
          <t>세종스타</t>
        </is>
      </c>
      <c r="P48" s="3" t="n">
        <v>1</v>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121</v>
      </c>
      <c r="K49" s="3" t="inlineStr">
        <is>
          <t>세종시에서 앞으로 찾기 힘든 분양 금액 , 내부구조 굿, 잔금일 협의가능</t>
        </is>
      </c>
      <c r="L49" s="5">
        <f>HYPERLINK("https://fin.land.naver.com/articles/2649776832", "매물Link")</f>
        <v/>
      </c>
      <c r="M49" s="5">
        <f>HYPERLINK("https://map.naver.com/p/search/고운동 893-34", "지도Link")</f>
        <v/>
      </c>
      <c r="N49" s="5">
        <f>HYPERLINK("http://www.eum.go.kr/web/ar/lu/luLandDet.jsp?pnu=3611011200108930034&amp;isNoScr=script&amp;mode=search", "토지이음")</f>
        <v/>
      </c>
      <c r="O49" s="3" t="inlineStr">
        <is>
          <t>세종올리브</t>
        </is>
      </c>
      <c r="P49" s="3" t="n">
        <v>1</v>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121</v>
      </c>
      <c r="K50" s="3" t="inlineStr">
        <is>
          <t>더이상 저렴할 수 없다. 튼튼하게 내부 실용적있게 만들었어요.</t>
        </is>
      </c>
      <c r="L50" s="5">
        <f>HYPERLINK("https://fin.land.naver.com/articles/2649776440", "매물Link")</f>
        <v/>
      </c>
      <c r="M50" s="5">
        <f>HYPERLINK("https://map.naver.com/p/search/고운동 893-34", "지도Link")</f>
        <v/>
      </c>
      <c r="N50" s="5">
        <f>HYPERLINK("http://www.eum.go.kr/web/ar/lu/luLandDet.jsp?pnu=3611011200108930034&amp;isNoScr=script&amp;mode=search", "토지이음")</f>
        <v/>
      </c>
      <c r="O50" s="3" t="inlineStr">
        <is>
          <t>세종올리브</t>
        </is>
      </c>
      <c r="P50" s="3" t="n">
        <v>1</v>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186</v>
      </c>
      <c r="K51" s="3" t="inlineStr">
        <is>
          <t>포스힐타운하우스 단독주택매매 가격조정가능</t>
        </is>
      </c>
      <c r="L51" s="5">
        <f>HYPERLINK("https://fin.land.naver.com/articles/2644103391", "매물Link")</f>
        <v/>
      </c>
      <c r="M51" s="5">
        <f>HYPERLINK("https://map.naver.com/p/search/고운동 895-19", "지도Link")</f>
        <v/>
      </c>
      <c r="N51" s="5">
        <f>HYPERLINK("http://www.eum.go.kr/web/ar/lu/luLandDet.jsp?pnu=3611011200108950019&amp;isNoScr=script&amp;mode=search", "토지이음")</f>
        <v/>
      </c>
      <c r="O51" s="3" t="inlineStr">
        <is>
          <t>고운동리치세종</t>
        </is>
      </c>
      <c r="P51" s="3" t="n">
        <v>1</v>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186</v>
      </c>
      <c r="K52" s="3" t="inlineStr">
        <is>
          <t>급매 포스힐내 가장 예쁜정원 전세도가능</t>
        </is>
      </c>
      <c r="L52" s="5">
        <f>HYPERLINK("https://fin.land.naver.com/articles/2647125791", "매물Link")</f>
        <v/>
      </c>
      <c r="M52" s="5">
        <f>HYPERLINK("https://map.naver.com/p/search/고운동 895-19", "지도Link")</f>
        <v/>
      </c>
      <c r="N52" s="5">
        <f>HYPERLINK("http://www.eum.go.kr/web/ar/lu/luLandDet.jsp?pnu=3611011200108950019&amp;isNoScr=script&amp;mode=search", "토지이음")</f>
        <v/>
      </c>
      <c r="O52" s="3" t="inlineStr">
        <is>
          <t>세종스타</t>
        </is>
      </c>
      <c r="P52" s="3" t="n">
        <v>1</v>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185</v>
      </c>
      <c r="K53" s="3" t="inlineStr">
        <is>
          <t>어어컨풀. 유럽풍 타운하우스,다락방</t>
        </is>
      </c>
      <c r="L53" s="5">
        <f>HYPERLINK("https://fin.land.naver.com/articles/2649458702", "매물Link")</f>
        <v/>
      </c>
      <c r="M53" s="5">
        <f>HYPERLINK("https://map.naver.com/p/search/고운동 895-24", "지도Link")</f>
        <v/>
      </c>
      <c r="N53" s="5">
        <f>HYPERLINK("http://www.eum.go.kr/web/ar/lu/luLandDet.jsp?pnu=3611011200108950024&amp;isNoScr=script&amp;mode=search", "토지이음")</f>
        <v/>
      </c>
      <c r="O53" s="3" t="inlineStr">
        <is>
          <t>세종삼촌</t>
        </is>
      </c>
      <c r="P53" s="3" t="n">
        <v>2</v>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185</v>
      </c>
      <c r="K54" s="3" t="inlineStr">
        <is>
          <t>단지 가장 안쪽 사생활보호 잘되는 위치 뒷마당이 산과 접한 좋은위치</t>
        </is>
      </c>
      <c r="L54" s="5">
        <f>HYPERLINK("https://fin.land.naver.com/articles/2646479200", "매물Link")</f>
        <v/>
      </c>
      <c r="M54" s="5">
        <f>HYPERLINK("https://map.naver.com/p/search/고운동 895-38", "지도Link")</f>
        <v/>
      </c>
      <c r="N54" s="5">
        <f>HYPERLINK("http://www.eum.go.kr/web/ar/lu/luLandDet.jsp?pnu=3611011200108950038&amp;isNoScr=script&amp;mode=search", "토지이음")</f>
        <v/>
      </c>
      <c r="O54" s="3" t="inlineStr">
        <is>
          <t>세종스타</t>
        </is>
      </c>
      <c r="P54" s="3" t="n">
        <v>2</v>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181</v>
      </c>
      <c r="K55" s="3" t="inlineStr">
        <is>
          <t>포스힐 단독주택, 에어컨풀, 인테리어완료, 주인거주</t>
        </is>
      </c>
      <c r="L55" s="5">
        <f>HYPERLINK("https://fin.land.naver.com/articles/2648345384", "매물Link")</f>
        <v/>
      </c>
      <c r="M55" s="5">
        <f>HYPERLINK("https://map.naver.com/p/search/고운동 895-7", "지도Link")</f>
        <v/>
      </c>
      <c r="N55" s="5">
        <f>HYPERLINK("http://www.eum.go.kr/web/ar/lu/luLandDet.jsp?pnu=3611011200108950007&amp;isNoScr=script&amp;mode=search", "토지이음")</f>
        <v/>
      </c>
      <c r="O55" s="3" t="inlineStr">
        <is>
          <t>명진</t>
        </is>
      </c>
      <c r="P55" s="3" t="n">
        <v>1</v>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181</v>
      </c>
      <c r="K56" s="3" t="inlineStr">
        <is>
          <t>풀에어컨, 단독주택, 인테리어 완료된 주인거주로 관리잘된집</t>
        </is>
      </c>
      <c r="L56" s="5">
        <f>HYPERLINK("https://fin.land.naver.com/articles/2646693964", "매물Link")</f>
        <v/>
      </c>
      <c r="M56" s="5">
        <f>HYPERLINK("https://map.naver.com/p/search/고운동 895-7", "지도Link")</f>
        <v/>
      </c>
      <c r="N56" s="5">
        <f>HYPERLINK("http://www.eum.go.kr/web/ar/lu/luLandDet.jsp?pnu=3611011200108950007&amp;isNoScr=script&amp;mode=search", "토지이음")</f>
        <v/>
      </c>
      <c r="O56" s="3" t="inlineStr">
        <is>
          <t>세종무지개</t>
        </is>
      </c>
      <c r="P56" s="3" t="n">
        <v>1</v>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196</v>
      </c>
      <c r="K57" s="3" t="inlineStr">
        <is>
          <t>고운동 타운하우스 매매, 조율가능, 풀옵션, 다락서비스면적</t>
        </is>
      </c>
      <c r="L57" s="5">
        <f>HYPERLINK("https://fin.land.naver.com/articles/2649079152", "매물Link")</f>
        <v/>
      </c>
      <c r="M57" s="5">
        <f>HYPERLINK("https://map.naver.com/p/search/고운동 896", "지도Link")</f>
        <v/>
      </c>
      <c r="N57" s="5">
        <f>HYPERLINK("http://www.eum.go.kr/web/ar/lu/luLandDet.jsp?pnu=3611011200108960000&amp;isNoScr=script&amp;mode=search", "토지이음")</f>
        <v/>
      </c>
      <c r="O57" s="3" t="inlineStr">
        <is>
          <t>명진</t>
        </is>
      </c>
      <c r="P57" s="3" t="n">
        <v>1</v>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196</v>
      </c>
      <c r="K58" s="3" t="inlineStr">
        <is>
          <t>nan</t>
        </is>
      </c>
      <c r="L58" s="5">
        <f>HYPERLINK("https://fin.land.naver.com/articles/2643971901", "매물Link")</f>
        <v/>
      </c>
      <c r="M58" s="5">
        <f>HYPERLINK("https://map.naver.com/p/search/고운동 896", "지도Link")</f>
        <v/>
      </c>
      <c r="N58" s="5">
        <f>HYPERLINK("http://www.eum.go.kr/web/ar/lu/luLandDet.jsp?pnu=3611011200108960000&amp;isNoScr=script&amp;mode=search", "토지이음")</f>
        <v/>
      </c>
      <c r="O58" s="3" t="inlineStr">
        <is>
          <t>세종스타</t>
        </is>
      </c>
      <c r="P58" s="3" t="n">
        <v>1</v>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171</v>
      </c>
      <c r="K59" s="3" t="inlineStr">
        <is>
          <t>인기 있는 타운하우스 , 매매추천합니다,</t>
        </is>
      </c>
      <c r="L59" s="5">
        <f>HYPERLINK("https://fin.land.naver.com/articles/2648837063", "매물Link")</f>
        <v/>
      </c>
      <c r="M59" s="5">
        <f>HYPERLINK("https://map.naver.com/p/search/고운동 896", "지도Link")</f>
        <v/>
      </c>
      <c r="N59" s="5">
        <f>HYPERLINK("http://www.eum.go.kr/web/ar/lu/luLandDet.jsp?pnu=3611011200108960000&amp;isNoScr=script&amp;mode=search", "토지이음")</f>
        <v/>
      </c>
      <c r="O59" s="3" t="inlineStr">
        <is>
          <t>세종무지개</t>
        </is>
      </c>
      <c r="P59" s="3" t="n">
        <v>1</v>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220</v>
      </c>
      <c r="K60" s="3" t="inlineStr">
        <is>
          <t>인기있는 D타입 67p 급히매매</t>
        </is>
      </c>
      <c r="L60" s="5">
        <f>HYPERLINK("https://fin.land.naver.com/articles/2647201423", "매물Link")</f>
        <v/>
      </c>
      <c r="M60" s="5">
        <f>HYPERLINK("https://map.naver.com/p/search/고운동 896", "지도Link")</f>
        <v/>
      </c>
      <c r="N60" s="5">
        <f>HYPERLINK("http://www.eum.go.kr/web/ar/lu/luLandDet.jsp?pnu=3611011200108960000&amp;isNoScr=script&amp;mode=search", "토지이음")</f>
        <v/>
      </c>
      <c r="O60" s="3" t="inlineStr">
        <is>
          <t>서초만땅</t>
        </is>
      </c>
      <c r="P60" s="3" t="n">
        <v>1</v>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171</v>
      </c>
      <c r="K61" s="3" t="inlineStr">
        <is>
          <t>마이너스 급매 추천매물. 전세끼고매매</t>
        </is>
      </c>
      <c r="L61" s="5">
        <f>HYPERLINK("https://fin.land.naver.com/articles/2649777229", "매물Link")</f>
        <v/>
      </c>
      <c r="M61" s="5">
        <f>HYPERLINK("https://map.naver.com/p/search/고운동 896", "지도Link")</f>
        <v/>
      </c>
      <c r="N61" s="5">
        <f>HYPERLINK("http://www.eum.go.kr/web/ar/lu/luLandDet.jsp?pnu=3611011200108960000&amp;isNoScr=script&amp;mode=search", "토지이음")</f>
        <v/>
      </c>
      <c r="O61" s="3" t="inlineStr">
        <is>
          <t>세종올리브</t>
        </is>
      </c>
      <c r="P61" s="3" t="n">
        <v>1</v>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171</v>
      </c>
      <c r="K62" s="3" t="inlineStr">
        <is>
          <t>급매 신축 첫입주 전세6.5억 월세1억275만 둘다가능</t>
        </is>
      </c>
      <c r="L62" s="5">
        <f>HYPERLINK("https://fin.land.naver.com/articles/2647125959", "매물Link")</f>
        <v/>
      </c>
      <c r="M62" s="5">
        <f>HYPERLINK("https://map.naver.com/p/search/고운동 896", "지도Link")</f>
        <v/>
      </c>
      <c r="N62" s="5">
        <f>HYPERLINK("http://www.eum.go.kr/web/ar/lu/luLandDet.jsp?pnu=3611011200108960000&amp;isNoScr=script&amp;mode=search", "토지이음")</f>
        <v/>
      </c>
      <c r="O62" s="3" t="inlineStr">
        <is>
          <t>세종스타</t>
        </is>
      </c>
      <c r="P62" s="3" t="n">
        <v>1</v>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196</v>
      </c>
      <c r="K63" s="3" t="inlineStr">
        <is>
          <t>귀한 타운하우스 월세, 협의입주</t>
        </is>
      </c>
      <c r="L63" s="5">
        <f>HYPERLINK("https://fin.land.naver.com/articles/2649591373", "매물Link")</f>
        <v/>
      </c>
      <c r="M63" s="5">
        <f>HYPERLINK("https://map.naver.com/p/search/고운동 896", "지도Link")</f>
        <v/>
      </c>
      <c r="N63" s="5">
        <f>HYPERLINK("http://www.eum.go.kr/web/ar/lu/luLandDet.jsp?pnu=3611011200108960000&amp;isNoScr=script&amp;mode=search", "토지이음")</f>
        <v/>
      </c>
      <c r="O63" s="3" t="inlineStr">
        <is>
          <t>세종무지개</t>
        </is>
      </c>
      <c r="P63" s="3" t="n">
        <v>1</v>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196</v>
      </c>
      <c r="K64" s="3" t="inlineStr">
        <is>
          <t>귀한 타운하우스 월세, 방3개, 화장실3개, 협의입주가능</t>
        </is>
      </c>
      <c r="L64" s="5">
        <f>HYPERLINK("https://fin.land.naver.com/articles/2649871083", "매물Link")</f>
        <v/>
      </c>
      <c r="M64" s="5">
        <f>HYPERLINK("https://map.naver.com/p/search/고운동 896", "지도Link")</f>
        <v/>
      </c>
      <c r="N64" s="5">
        <f>HYPERLINK("http://www.eum.go.kr/web/ar/lu/luLandDet.jsp?pnu=3611011200108960000&amp;isNoScr=script&amp;mode=search", "토지이음")</f>
        <v/>
      </c>
      <c r="O64" s="3" t="inlineStr">
        <is>
          <t>명진</t>
        </is>
      </c>
      <c r="P64" s="3" t="n">
        <v>1</v>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196</v>
      </c>
      <c r="K65" s="3" t="inlineStr">
        <is>
          <t>즉시입주 가능,  인기많은 D타입,  총86p</t>
        </is>
      </c>
      <c r="L65" s="5">
        <f>HYPERLINK("https://fin.land.naver.com/articles/2645252401", "매물Link")</f>
        <v/>
      </c>
      <c r="M65" s="5">
        <f>HYPERLINK("https://map.naver.com/p/search/고운동 896", "지도Link")</f>
        <v/>
      </c>
      <c r="N65" s="5">
        <f>HYPERLINK("http://www.eum.go.kr/web/ar/lu/luLandDet.jsp?pnu=3611011200108960000&amp;isNoScr=script&amp;mode=search", "토지이음")</f>
        <v/>
      </c>
      <c r="O65" s="3" t="inlineStr">
        <is>
          <t>세종무지개</t>
        </is>
      </c>
      <c r="P65" s="3" t="n">
        <v>1</v>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71</v>
      </c>
      <c r="K66" s="3" t="inlineStr">
        <is>
          <t>학마을,감성초등학교 부근 소형 단독주택 매매</t>
        </is>
      </c>
      <c r="L66" s="5">
        <f>HYPERLINK("https://fin.land.naver.com/articles/2648863840", "매물Link")</f>
        <v/>
      </c>
      <c r="M66" s="5">
        <f>HYPERLINK("https://map.naver.com/p/search/금남면 감성리 8-2", "지도Link")</f>
        <v/>
      </c>
      <c r="N66" s="5">
        <f>HYPERLINK("http://www.eum.go.kr/web/ar/lu/luLandDet.jsp?pnu=3611034023100080002&amp;isNoScr=script&amp;mode=search", "토지이음")</f>
        <v/>
      </c>
      <c r="O66" s="3" t="inlineStr">
        <is>
          <t>천재원</t>
        </is>
      </c>
      <c r="P66" s="3" t="n">
        <v>2</v>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160</v>
      </c>
      <c r="K67" s="3" t="inlineStr">
        <is>
          <t>금남면 2층 단독주택 매매</t>
        </is>
      </c>
      <c r="L67" s="5">
        <f>HYPERLINK("https://fin.land.naver.com/articles/2644278785", "매물Link")</f>
        <v/>
      </c>
      <c r="M67" s="5">
        <f>HYPERLINK("https://map.naver.com/p/search/금남면 금천리 227-1", "지도Link")</f>
        <v/>
      </c>
      <c r="N67" s="5">
        <f>HYPERLINK("http://www.eum.go.kr/web/ar/lu/luLandDet.jsp?pnu=3611034027102270001&amp;isNoScr=script&amp;mode=search", "토지이음")</f>
        <v/>
      </c>
      <c r="O67" s="3" t="inlineStr">
        <is>
          <t>세종무지개</t>
        </is>
      </c>
      <c r="P67" s="3" t="n">
        <v>2</v>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140</v>
      </c>
      <c r="K68" s="3" t="inlineStr">
        <is>
          <t>금천리 자연녹지.자연취락지구 단독주택 매매. 공실로 즉시입주 가능.</t>
        </is>
      </c>
      <c r="L68" s="5">
        <f>HYPERLINK("https://fin.land.naver.com/articles/2646708303", "매물Link")</f>
        <v/>
      </c>
      <c r="M68" s="5">
        <f>HYPERLINK("https://map.naver.com/p/search/금남면 금천리 64", "지도Link")</f>
        <v/>
      </c>
      <c r="N68" s="5">
        <f>HYPERLINK("http://www.eum.go.kr/web/ar/lu/luLandDet.jsp?pnu=3611034027100640000&amp;isNoScr=script&amp;mode=search", "토지이음")</f>
        <v/>
      </c>
      <c r="O68" s="3" t="inlineStr">
        <is>
          <t>세종대장</t>
        </is>
      </c>
      <c r="P68" s="3" t="n">
        <v>1</v>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978</v>
      </c>
      <c r="K69" s="3" t="inlineStr">
        <is>
          <t>상세설명 참조바랍니다</t>
        </is>
      </c>
      <c r="L69" s="5">
        <f>HYPERLINK("https://fin.land.naver.com/articles/2647674243", "매물Link")</f>
        <v/>
      </c>
      <c r="M69" s="5">
        <f>HYPERLINK("https://map.naver.com/p/search/금남면 달전리 599-3", "지도Link")</f>
        <v/>
      </c>
      <c r="N69" s="5">
        <f>HYPERLINK("http://www.eum.go.kr/web/ar/lu/luLandDet.jsp?pnu=3611034032105990003&amp;isNoScr=script&amp;mode=search", "토지이음")</f>
        <v/>
      </c>
      <c r="O69" s="3" t="inlineStr">
        <is>
          <t>대웅</t>
        </is>
      </c>
      <c r="P69" s="3" t="n">
        <v>1</v>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229</v>
      </c>
      <c r="K70" s="3" t="inlineStr">
        <is>
          <t>달전리 대지, 다가구주택 , 최신축 매매입니다.</t>
        </is>
      </c>
      <c r="L70" s="5">
        <f>HYPERLINK("https://fin.land.naver.com/articles/2646492831", "매물Link")</f>
        <v/>
      </c>
      <c r="M70" s="5">
        <f>HYPERLINK("https://map.naver.com/p/search/금남면 달전리 68-1", "지도Link")</f>
        <v/>
      </c>
      <c r="N70" s="5">
        <f>HYPERLINK("http://www.eum.go.kr/web/ar/lu/luLandDet.jsp?pnu=3611034032100680001&amp;isNoScr=script&amp;mode=search", "토지이음")</f>
        <v/>
      </c>
      <c r="O70" s="3" t="inlineStr">
        <is>
          <t>셀리</t>
        </is>
      </c>
      <c r="P70" s="3" t="n">
        <v>1</v>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141</v>
      </c>
      <c r="K71" s="3" t="inlineStr">
        <is>
          <t>대박리 전원주택  넓은토지 개방감있는 남향</t>
        </is>
      </c>
      <c r="L71" s="5">
        <f>HYPERLINK("https://fin.land.naver.com/articles/2645285432", "매물Link")</f>
        <v/>
      </c>
      <c r="M71" s="5">
        <f>HYPERLINK("https://map.naver.com/p/search/금남면 대박리 110", "지도Link")</f>
        <v/>
      </c>
      <c r="N71" s="5">
        <f>HYPERLINK("http://www.eum.go.kr/web/ar/lu/luLandDet.jsp?pnu=3611034034101100000&amp;isNoScr=script&amp;mode=search", "토지이음")</f>
        <v/>
      </c>
      <c r="O71" s="3" t="inlineStr">
        <is>
          <t>리버뷰명가</t>
        </is>
      </c>
      <c r="P71" s="3" t="n">
        <v>1</v>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118</v>
      </c>
      <c r="K72" s="3" t="inlineStr">
        <is>
          <t>2층 단독주택 매매, 텃밭, 즉시입주가능</t>
        </is>
      </c>
      <c r="L72" s="5">
        <f>HYPERLINK("https://fin.land.naver.com/articles/2648839970", "매물Link")</f>
        <v/>
      </c>
      <c r="M72" s="5">
        <f>HYPERLINK("https://map.naver.com/p/search/금남면 대박리 313-22", "지도Link")</f>
        <v/>
      </c>
      <c r="N72" s="5">
        <f>HYPERLINK("http://www.eum.go.kr/web/ar/lu/luLandDet.jsp?pnu=3611034034103130022&amp;isNoScr=script&amp;mode=search", "토지이음")</f>
        <v/>
      </c>
      <c r="O72" s="3" t="inlineStr">
        <is>
          <t>세종무지개</t>
        </is>
      </c>
      <c r="P72" s="3" t="n">
        <v>1</v>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118</v>
      </c>
      <c r="K73" s="3" t="inlineStr">
        <is>
          <t>세종시근접,즉시입주가능,전원주택과 텃밭있음,</t>
        </is>
      </c>
      <c r="L73" s="5">
        <f>HYPERLINK("https://fin.land.naver.com/articles/2646778259", "매물Link")</f>
        <v/>
      </c>
      <c r="M73" s="5">
        <f>HYPERLINK("https://map.naver.com/p/search/금남면 대박리 313-22", "지도Link")</f>
        <v/>
      </c>
      <c r="N73" s="5">
        <f>HYPERLINK("http://www.eum.go.kr/web/ar/lu/luLandDet.jsp?pnu=3611034034103130022&amp;isNoScr=script&amp;mode=search", "토지이음")</f>
        <v/>
      </c>
      <c r="O73" s="3" t="inlineStr">
        <is>
          <t>담뜰</t>
        </is>
      </c>
      <c r="P73" s="3" t="n">
        <v>1</v>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118</v>
      </c>
      <c r="K74" s="3" t="inlineStr">
        <is>
          <t>급매 전원주택 근생주택 주택X 방3개 욕실2개</t>
        </is>
      </c>
      <c r="L74" s="5">
        <f>HYPERLINK("https://fin.land.naver.com/articles/2643898034", "매물Link")</f>
        <v/>
      </c>
      <c r="M74" s="5">
        <f>HYPERLINK("https://map.naver.com/p/search/금남면 대박리 313-22", "지도Link")</f>
        <v/>
      </c>
      <c r="N74" s="5">
        <f>HYPERLINK("http://www.eum.go.kr/web/ar/lu/luLandDet.jsp?pnu=3611034034103130022&amp;isNoScr=script&amp;mode=search", "토지이음")</f>
        <v/>
      </c>
      <c r="O74" s="3" t="inlineStr">
        <is>
          <t>세종스타</t>
        </is>
      </c>
      <c r="P74" s="3" t="n">
        <v>1</v>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194</v>
      </c>
      <c r="K75" s="3" t="inlineStr">
        <is>
          <t>금강뷰  콘크리트 주택 매매</t>
        </is>
      </c>
      <c r="L75" s="5">
        <f>HYPERLINK("https://fin.land.naver.com/articles/2647111179", "매물Link")</f>
        <v/>
      </c>
      <c r="M75" s="5">
        <f>HYPERLINK("https://map.naver.com/p/search/금남면 도남리 116-32", "지도Link")</f>
        <v/>
      </c>
      <c r="N75" s="5">
        <f>HYPERLINK("http://www.eum.go.kr/web/ar/lu/luLandDet.jsp?pnu=3611034046101160032&amp;isNoScr=script&amp;mode=search", "토지이음")</f>
        <v/>
      </c>
      <c r="O75" s="3" t="inlineStr">
        <is>
          <t>THE행복</t>
        </is>
      </c>
      <c r="P75" s="3" t="n">
        <v>1</v>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198</v>
      </c>
      <c r="K76" s="3" t="inlineStr">
        <is>
          <t>올수리 프리미엄 전원주택,행복도시 매우 근접한 최상의 단독주택</t>
        </is>
      </c>
      <c r="L76" s="5">
        <f>HYPERLINK("https://fin.land.naver.com/articles/2650160970", "매물Link")</f>
        <v/>
      </c>
      <c r="M76" s="5">
        <f>HYPERLINK("https://map.naver.com/p/search/금남면 도남리 116-52", "지도Link")</f>
        <v/>
      </c>
      <c r="N76" s="5">
        <f>HYPERLINK("http://www.eum.go.kr/web/ar/lu/luLandDet.jsp?pnu=3611034046101160052&amp;isNoScr=script&amp;mode=search", "토지이음")</f>
        <v/>
      </c>
      <c r="O76" s="3" t="inlineStr">
        <is>
          <t>세종신한</t>
        </is>
      </c>
      <c r="P76" s="3" t="n">
        <v>1</v>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198</v>
      </c>
      <c r="K77" s="3" t="inlineStr">
        <is>
          <t>24년도 올인테리어 했어요 전원주택 금강 급매물 내부 수리 산뜻해요</t>
        </is>
      </c>
      <c r="L77" s="5">
        <f>HYPERLINK("https://fin.land.naver.com/articles/2646959678", "매물Link")</f>
        <v/>
      </c>
      <c r="M77" s="5">
        <f>HYPERLINK("https://map.naver.com/p/search/금남면 도남리 116-52", "지도Link")</f>
        <v/>
      </c>
      <c r="N77" s="5">
        <f>HYPERLINK("http://www.eum.go.kr/web/ar/lu/luLandDet.jsp?pnu=3611034046101160052&amp;isNoScr=script&amp;mode=search", "토지이음")</f>
        <v/>
      </c>
      <c r="O77" s="3" t="inlineStr">
        <is>
          <t>세종골드삼성</t>
        </is>
      </c>
      <c r="P77" s="3" t="n">
        <v>1</v>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198</v>
      </c>
      <c r="K78" s="3" t="inlineStr">
        <is>
          <t>2년전 전체리모델링, 풀옵션, 방4개, 화장실3개, 창고</t>
        </is>
      </c>
      <c r="L78" s="5">
        <f>HYPERLINK("https://fin.land.naver.com/articles/2646987163", "매물Link")</f>
        <v/>
      </c>
      <c r="M78" s="5">
        <f>HYPERLINK("https://map.naver.com/p/search/금남면 도남리 116-52", "지도Link")</f>
        <v/>
      </c>
      <c r="N78" s="5">
        <f>HYPERLINK("http://www.eum.go.kr/web/ar/lu/luLandDet.jsp?pnu=3611034046101160052&amp;isNoScr=script&amp;mode=search", "토지이음")</f>
        <v/>
      </c>
      <c r="O78" s="3" t="inlineStr">
        <is>
          <t>세종무지개</t>
        </is>
      </c>
      <c r="P78" s="3" t="n">
        <v>1</v>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73</v>
      </c>
      <c r="K79" s="3" t="inlineStr">
        <is>
          <t>산림박물관 가까운 조용한 힐링 상가주택 ,  주거와 상가 가능</t>
        </is>
      </c>
      <c r="L79" s="5">
        <f>HYPERLINK("https://fin.land.naver.com/articles/2649347300", "매물Link")</f>
        <v/>
      </c>
      <c r="M79" s="5">
        <f>HYPERLINK("https://map.naver.com/p/search/금남면 도남리 119-1", "지도Link")</f>
        <v/>
      </c>
      <c r="N79" s="5">
        <f>HYPERLINK("http://www.eum.go.kr/web/ar/lu/luLandDet.jsp?pnu=3611034046101190001&amp;isNoScr=script&amp;mode=search", "토지이음")</f>
        <v/>
      </c>
      <c r="O79" s="3" t="inlineStr">
        <is>
          <t>세종특별시</t>
        </is>
      </c>
      <c r="P79" s="3" t="n">
        <v>1</v>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73</v>
      </c>
      <c r="K80" s="3" t="inlineStr">
        <is>
          <t>세종시 15분거리 단독주택 매매</t>
        </is>
      </c>
      <c r="L80" s="5">
        <f>HYPERLINK("https://fin.land.naver.com/articles/2649924100", "매물Link")</f>
        <v/>
      </c>
      <c r="M80" s="5">
        <f>HYPERLINK("https://map.naver.com/p/search/금남면 도남리 119-1", "지도Link")</f>
        <v/>
      </c>
      <c r="N80" s="5">
        <f>HYPERLINK("http://www.eum.go.kr/web/ar/lu/luLandDet.jsp?pnu=3611034046101190001&amp;isNoScr=script&amp;mode=search", "토지이음")</f>
        <v/>
      </c>
      <c r="O80" s="3" t="inlineStr">
        <is>
          <t>세종태양</t>
        </is>
      </c>
      <c r="P80" s="3" t="n">
        <v>2</v>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52</v>
      </c>
      <c r="K81" s="3" t="inlineStr">
        <is>
          <t>엘베있음 복층 구조.큰 다락. 뷰좋음 높은 층고 집상태 좋음</t>
        </is>
      </c>
      <c r="L81" s="5">
        <f>HYPERLINK("https://fin.land.naver.com/articles/2645004196", "매물Link")</f>
        <v/>
      </c>
      <c r="M81" s="5">
        <f>HYPERLINK("https://map.naver.com/p/search/금남면 도남리 95", "지도Link")</f>
        <v/>
      </c>
      <c r="N81" s="5">
        <f>HYPERLINK("http://www.eum.go.kr/web/ar/lu/luLandDet.jsp?pnu=3611034046100950000&amp;isNoScr=script&amp;mode=search", "토지이음")</f>
        <v/>
      </c>
      <c r="O81" s="3" t="inlineStr">
        <is>
          <t>세종가온채</t>
        </is>
      </c>
      <c r="P81" s="3" t="n">
        <v>1</v>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91</v>
      </c>
      <c r="K82" s="3" t="inlineStr">
        <is>
          <t>올수리된 단독주택, 전세안고매매</t>
        </is>
      </c>
      <c r="L82" s="5">
        <f>HYPERLINK("https://fin.land.naver.com/articles/2645202097", "매물Link")</f>
        <v/>
      </c>
      <c r="M82" s="5">
        <f>HYPERLINK("https://map.naver.com/p/search/금남면 두만리 102", "지도Link")</f>
        <v/>
      </c>
      <c r="N82" s="5">
        <f>HYPERLINK("http://www.eum.go.kr/web/ar/lu/luLandDet.jsp?pnu=3611034024101020000&amp;isNoScr=script&amp;mode=search", "토지이음")</f>
        <v/>
      </c>
      <c r="O82" s="3" t="inlineStr">
        <is>
          <t>두진</t>
        </is>
      </c>
      <c r="P82" s="3" t="n">
        <v>1</v>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56</v>
      </c>
      <c r="K83" s="3" t="inlineStr">
        <is>
          <t>좋은 리모델링 및 세종으로도 대전으로도 이동이 편리한, 앞이 국가소유</t>
        </is>
      </c>
      <c r="L83" s="5">
        <f>HYPERLINK("https://fin.land.naver.com/articles/2649388179", "매물Link")</f>
        <v/>
      </c>
      <c r="M83" s="5">
        <f>HYPERLINK("https://map.naver.com/p/search/금남면 두만리 373", "지도Link")</f>
        <v/>
      </c>
      <c r="N83" s="5">
        <f>HYPERLINK("http://www.eum.go.kr/web/ar/lu/luLandDet.jsp?pnu=3611034024103730000&amp;isNoScr=script&amp;mode=search", "토지이음")</f>
        <v/>
      </c>
      <c r="O83" s="3" t="inlineStr">
        <is>
          <t>좋은</t>
        </is>
      </c>
      <c r="P83" s="3" t="n">
        <v>2</v>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79</v>
      </c>
      <c r="K84" s="3" t="inlineStr">
        <is>
          <t>세종 대전 접근성과  텃밭에서  힐링까지 모두 누릴수있는 집</t>
        </is>
      </c>
      <c r="L84" s="5">
        <f>HYPERLINK("https://fin.land.naver.com/articles/2648295919", "매물Link")</f>
        <v/>
      </c>
      <c r="M84" s="5">
        <f>HYPERLINK("https://map.naver.com/p/search/금남면 두만리 373", "지도Link")</f>
        <v/>
      </c>
      <c r="N84" s="5">
        <f>HYPERLINK("http://www.eum.go.kr/web/ar/lu/luLandDet.jsp?pnu=3611034024103730000&amp;isNoScr=script&amp;mode=search", "토지이음")</f>
        <v/>
      </c>
      <c r="O84" s="3" t="inlineStr">
        <is>
          <t>가치잇는</t>
        </is>
      </c>
      <c r="P84" s="3" t="n">
        <v>1</v>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79</v>
      </c>
      <c r="K85" s="3" t="inlineStr">
        <is>
          <t>급매,제1종일반주거지역,평당293만원</t>
        </is>
      </c>
      <c r="L85" s="5">
        <f>HYPERLINK("https://fin.land.naver.com/articles/2644665215", "매물Link")</f>
        <v/>
      </c>
      <c r="M85" s="5">
        <f>HYPERLINK("https://map.naver.com/p/search/금남면 두만리 373", "지도Link")</f>
        <v/>
      </c>
      <c r="N85" s="5">
        <f>HYPERLINK("http://www.eum.go.kr/web/ar/lu/luLandDet.jsp?pnu=3611034024103730000&amp;isNoScr=script&amp;mode=search", "토지이음")</f>
        <v/>
      </c>
      <c r="O85" s="3" t="inlineStr">
        <is>
          <t>찬스</t>
        </is>
      </c>
      <c r="P85" s="3" t="n">
        <v>1</v>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79</v>
      </c>
      <c r="K86" s="3" t="inlineStr">
        <is>
          <t>대전세종 중간. 넓은 대지와 흑벽돌로 리모델링한 주택.</t>
        </is>
      </c>
      <c r="L86" s="5">
        <f>HYPERLINK("https://fin.land.naver.com/articles/2645385082", "매물Link")</f>
        <v/>
      </c>
      <c r="M86" s="5">
        <f>HYPERLINK("https://map.naver.com/p/search/금남면 두만리 373", "지도Link")</f>
        <v/>
      </c>
      <c r="N86" s="5">
        <f>HYPERLINK("http://www.eum.go.kr/web/ar/lu/luLandDet.jsp?pnu=3611034024103730000&amp;isNoScr=script&amp;mode=search", "토지이음")</f>
        <v/>
      </c>
      <c r="O86" s="3" t="inlineStr">
        <is>
          <t>세종소담114</t>
        </is>
      </c>
      <c r="P86" s="3" t="n">
        <v>1</v>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79</v>
      </c>
      <c r="K87" s="3" t="inlineStr">
        <is>
          <t>남동향으로 지대가 높고 앞에는 공원부지라 조망이 탁 트인 전원주택입니다</t>
        </is>
      </c>
      <c r="L87" s="5">
        <f>HYPERLINK("https://fin.land.naver.com/articles/2649564567", "매물Link")</f>
        <v/>
      </c>
      <c r="M87" s="5">
        <f>HYPERLINK("https://map.naver.com/p/search/금남면 두만리 373", "지도Link")</f>
        <v/>
      </c>
      <c r="N87" s="5">
        <f>HYPERLINK("http://www.eum.go.kr/web/ar/lu/luLandDet.jsp?pnu=3611034024103730000&amp;isNoScr=script&amp;mode=search", "토지이음")</f>
        <v/>
      </c>
      <c r="O87" s="3" t="inlineStr">
        <is>
          <t>스마일세종</t>
        </is>
      </c>
      <c r="P87" s="3" t="n">
        <v>3</v>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99</v>
      </c>
      <c r="K88" s="3" t="inlineStr">
        <is>
          <t>세종시 근접한 텃밭있는 단독주택</t>
        </is>
      </c>
      <c r="L88" s="5">
        <f>HYPERLINK("https://fin.land.naver.com/articles/2649146702", "매물Link")</f>
        <v/>
      </c>
      <c r="M88" s="5">
        <f>HYPERLINK("https://map.naver.com/p/search/금남면 박산리 190-7", "지도Link")</f>
        <v/>
      </c>
      <c r="N88" s="5">
        <f>HYPERLINK("http://www.eum.go.kr/web/ar/lu/luLandDet.jsp?pnu=3611034033101900007&amp;isNoScr=script&amp;mode=search", "토지이음")</f>
        <v/>
      </c>
      <c r="O88" s="3" t="inlineStr">
        <is>
          <t>가치잇는</t>
        </is>
      </c>
      <c r="P88" s="3" t="n">
        <v>1</v>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164</v>
      </c>
      <c r="K89" s="3" t="inlineStr">
        <is>
          <t>금남면 단독주택 매매, 총50p, 조경가치2천만원</t>
        </is>
      </c>
      <c r="L89" s="5">
        <f>HYPERLINK("https://fin.land.naver.com/articles/2644315613", "매물Link")</f>
        <v/>
      </c>
      <c r="M89" s="5">
        <f>HYPERLINK("https://map.naver.com/p/search/금남면 발산리 88", "지도Link")</f>
        <v/>
      </c>
      <c r="N89" s="5">
        <f>HYPERLINK("http://www.eum.go.kr/web/ar/lu/luLandDet.jsp?pnu=3611034022100880000&amp;isNoScr=script&amp;mode=search", "토지이음")</f>
        <v/>
      </c>
      <c r="O89" s="3" t="inlineStr">
        <is>
          <t>세종무지개</t>
        </is>
      </c>
      <c r="P89" s="3" t="n">
        <v>1</v>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73</v>
      </c>
      <c r="K90" s="3" t="inlineStr">
        <is>
          <t>급매, 치유와 힐링이 될수있는  좋은 기운의 전원주택입니다</t>
        </is>
      </c>
      <c r="L90" s="5">
        <f>HYPERLINK("https://fin.land.naver.com/articles/2644980400", "매물Link")</f>
        <v/>
      </c>
      <c r="M90" s="5">
        <f>HYPERLINK("https://map.naver.com/p/search/금남면 봉암리 205", "지도Link")</f>
        <v/>
      </c>
      <c r="N90" s="5">
        <f>HYPERLINK("http://www.eum.go.kr/web/ar/lu/luLandDet.jsp?pnu=3611034043102050000&amp;isNoScr=script&amp;mode=search", "토지이음")</f>
        <v/>
      </c>
      <c r="O90" s="3" t="inlineStr">
        <is>
          <t>세종복댕이</t>
        </is>
      </c>
      <c r="P90" s="3" t="n">
        <v>1</v>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113</v>
      </c>
      <c r="K91" s="3" t="inlineStr">
        <is>
          <t>nan</t>
        </is>
      </c>
      <c r="L91" s="5">
        <f>HYPERLINK("https://fin.land.naver.com/articles/2648732049", "매물Link")</f>
        <v/>
      </c>
      <c r="M91" s="5">
        <f>HYPERLINK("https://map.naver.com/p/search/금남면 성강리 341", "지도Link")</f>
        <v/>
      </c>
      <c r="N91" s="5">
        <f>HYPERLINK("http://www.eum.go.kr/web/ar/lu/luLandDet.jsp?pnu=3611034042103410000&amp;isNoScr=script&amp;mode=search", "토지이음")</f>
        <v/>
      </c>
      <c r="O91" s="3" t="inlineStr">
        <is>
          <t>다산</t>
        </is>
      </c>
      <c r="P91" s="3" t="n">
        <v>2</v>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113</v>
      </c>
      <c r="K92" s="3" t="inlineStr">
        <is>
          <t>nan</t>
        </is>
      </c>
      <c r="L92" s="5">
        <f>HYPERLINK("https://fin.land.naver.com/articles/2647257553", "매물Link")</f>
        <v/>
      </c>
      <c r="M92" s="5">
        <f>HYPERLINK("https://map.naver.com/p/search/금남면 성강리 341", "지도Link")</f>
        <v/>
      </c>
      <c r="N92" s="5">
        <f>HYPERLINK("http://www.eum.go.kr/web/ar/lu/luLandDet.jsp?pnu=3611034042103410000&amp;isNoScr=script&amp;mode=search", "토지이음")</f>
        <v/>
      </c>
      <c r="O92" s="3" t="inlineStr">
        <is>
          <t>돈방석</t>
        </is>
      </c>
      <c r="P92" s="3" t="n">
        <v>1</v>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119</v>
      </c>
      <c r="K93" s="3" t="inlineStr">
        <is>
          <t>23년 신축단독주택, 시스템에어컨5대, 민박.펜션도 추천</t>
        </is>
      </c>
      <c r="L93" s="5">
        <f>HYPERLINK("https://fin.land.naver.com/articles/2649702075", "매물Link")</f>
        <v/>
      </c>
      <c r="M93" s="5">
        <f>HYPERLINK("https://map.naver.com/p/search/금남면 성덕리 465-9", "지도Link")</f>
        <v/>
      </c>
      <c r="N93" s="5">
        <f>HYPERLINK("http://www.eum.go.kr/web/ar/lu/luLandDet.jsp?pnu=3611034040104650009&amp;isNoScr=script&amp;mode=search", "토지이음")</f>
        <v/>
      </c>
      <c r="O93" s="3" t="inlineStr">
        <is>
          <t>세종무지개</t>
        </is>
      </c>
      <c r="P93" s="3" t="n">
        <v>1</v>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162</v>
      </c>
      <c r="K94" s="3" t="inlineStr">
        <is>
          <t>즉시입주, 텃밭있는 전원주택  추천매매</t>
        </is>
      </c>
      <c r="L94" s="5">
        <f>HYPERLINK("https://fin.land.naver.com/articles/2645425329", "매물Link")</f>
        <v/>
      </c>
      <c r="M94" s="5">
        <f>HYPERLINK("https://map.naver.com/p/search/금남면 영곡리 106-19", "지도Link")</f>
        <v/>
      </c>
      <c r="N94" s="5">
        <f>HYPERLINK("http://www.eum.go.kr/web/ar/lu/luLandDet.jsp?pnu=3611034041101060019&amp;isNoScr=script&amp;mode=search", "토지이음")</f>
        <v/>
      </c>
      <c r="O94" s="3" t="inlineStr">
        <is>
          <t>Home</t>
        </is>
      </c>
      <c r="P94" s="3" t="n">
        <v>1</v>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96</v>
      </c>
      <c r="K95" s="3" t="inlineStr">
        <is>
          <t>전원주택지. 대지 전용660도로 97</t>
        </is>
      </c>
      <c r="L95" s="5">
        <f>HYPERLINK("https://fin.land.naver.com/articles/2646473946", "매물Link")</f>
        <v/>
      </c>
      <c r="M95" s="5">
        <f>HYPERLINK("https://map.naver.com/p/search/금남면 영곡리 106-19", "지도Link")</f>
        <v/>
      </c>
      <c r="N95" s="5">
        <f>HYPERLINK("http://www.eum.go.kr/web/ar/lu/luLandDet.jsp?pnu=3611034041101060019&amp;isNoScr=script&amp;mode=search", "토지이음")</f>
        <v/>
      </c>
      <c r="O95" s="3" t="inlineStr">
        <is>
          <t>세종소담114</t>
        </is>
      </c>
      <c r="P95" s="3" t="n">
        <v>1</v>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162</v>
      </c>
      <c r="K96" s="3" t="inlineStr">
        <is>
          <t>급매 주변 택지개발한 토지보다 저렴한 신축 전원주택을 급매합니다</t>
        </is>
      </c>
      <c r="L96" s="5">
        <f>HYPERLINK("https://fin.land.naver.com/articles/2649215891", "매물Link")</f>
        <v/>
      </c>
      <c r="M96" s="5">
        <f>HYPERLINK("https://map.naver.com/p/search/금남면 영곡리 106-19", "지도Link")</f>
        <v/>
      </c>
      <c r="N96" s="5">
        <f>HYPERLINK("http://www.eum.go.kr/web/ar/lu/luLandDet.jsp?pnu=3611034041101060019&amp;isNoScr=script&amp;mode=search", "토지이음")</f>
        <v/>
      </c>
      <c r="O96" s="3" t="inlineStr">
        <is>
          <t>스마일세종</t>
        </is>
      </c>
      <c r="P96" s="3" t="n">
        <v>1</v>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162</v>
      </c>
      <c r="K97" s="3" t="inlineStr">
        <is>
          <t>월세낀 단독 매매 입니다 위치좋고 구조좋은 타입입니다</t>
        </is>
      </c>
      <c r="L97" s="5">
        <f>HYPERLINK("https://fin.land.naver.com/articles/2649423208", "매물Link")</f>
        <v/>
      </c>
      <c r="M97" s="5">
        <f>HYPERLINK("https://map.naver.com/p/search/금남면 영곡리 106-19", "지도Link")</f>
        <v/>
      </c>
      <c r="N97" s="5">
        <f>HYPERLINK("http://www.eum.go.kr/web/ar/lu/luLandDet.jsp?pnu=3611034041101060019&amp;isNoScr=script&amp;mode=search", "토지이음")</f>
        <v/>
      </c>
      <c r="O97" s="3" t="inlineStr">
        <is>
          <t>은성</t>
        </is>
      </c>
      <c r="P97" s="3" t="n">
        <v>1</v>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84</v>
      </c>
      <c r="K98" s="3" t="inlineStr">
        <is>
          <t>nan</t>
        </is>
      </c>
      <c r="L98" s="5">
        <f>HYPERLINK("https://fin.land.naver.com/articles/2646089665", "매물Link")</f>
        <v/>
      </c>
      <c r="M98" s="5">
        <f>HYPERLINK("https://map.naver.com/p/search/금남면 영곡리 524-1", "지도Link")</f>
        <v/>
      </c>
      <c r="N98" s="5">
        <f>HYPERLINK("http://www.eum.go.kr/web/ar/lu/luLandDet.jsp?pnu=3611034041105240001&amp;isNoScr=script&amp;mode=search", "토지이음")</f>
        <v/>
      </c>
      <c r="O98" s="3" t="inlineStr">
        <is>
          <t>다정현대</t>
        </is>
      </c>
      <c r="P98" s="3" t="n">
        <v>1</v>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85</v>
      </c>
      <c r="K99" s="3" t="inlineStr">
        <is>
          <t>전원속의 전원주택이며 또랑이 집앞을 흐르고 있음</t>
        </is>
      </c>
      <c r="L99" s="5">
        <f>HYPERLINK("https://fin.land.naver.com/articles/2646128426", "매물Link")</f>
        <v/>
      </c>
      <c r="M99" s="5">
        <f>HYPERLINK("https://map.naver.com/p/search/금남면 영곡리 586", "지도Link")</f>
        <v/>
      </c>
      <c r="N99" s="5">
        <f>HYPERLINK("http://www.eum.go.kr/web/ar/lu/luLandDet.jsp?pnu=3611034041105860000&amp;isNoScr=script&amp;mode=search", "토지이음")</f>
        <v/>
      </c>
      <c r="O99" s="3" t="inlineStr">
        <is>
          <t>세종웅진</t>
        </is>
      </c>
      <c r="P99" s="3" t="n">
        <v>1</v>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70</v>
      </c>
      <c r="K100" s="3" t="inlineStr">
        <is>
          <t>토지 148.4p, 주택1층 21.2p</t>
        </is>
      </c>
      <c r="L100" s="5">
        <f>HYPERLINK("https://fin.land.naver.com/articles/2644279297", "매물Link")</f>
        <v/>
      </c>
      <c r="M100" s="5">
        <f>HYPERLINK("https://map.naver.com/p/search/금남면 영곡리 587", "지도Link")</f>
        <v/>
      </c>
      <c r="N100" s="5">
        <f>HYPERLINK("http://www.eum.go.kr/web/ar/lu/luLandDet.jsp?pnu=3611034041105870000&amp;isNoScr=script&amp;mode=search", "토지이음")</f>
        <v/>
      </c>
      <c r="O100" s="3" t="inlineStr">
        <is>
          <t>세종무지개</t>
        </is>
      </c>
      <c r="P100" s="3" t="n">
        <v>1</v>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21</v>
      </c>
      <c r="K101" s="3" t="inlineStr">
        <is>
          <t>nan</t>
        </is>
      </c>
      <c r="L101" s="5">
        <f>HYPERLINK("https://fin.land.naver.com/articles/2649459441", "매물Link")</f>
        <v/>
      </c>
      <c r="M101" s="5">
        <f>HYPERLINK("https://map.naver.com/p/search/금남면 영곡리 63-14", "지도Link")</f>
        <v/>
      </c>
      <c r="N101" s="5">
        <f>HYPERLINK("http://www.eum.go.kr/web/ar/lu/luLandDet.jsp?pnu=3611034041100630014&amp;isNoScr=script&amp;mode=search", "토지이음")</f>
        <v/>
      </c>
      <c r="O101" s="3" t="inlineStr">
        <is>
          <t>세종삼촌</t>
        </is>
      </c>
      <c r="P101" s="3" t="n">
        <v>1</v>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101</v>
      </c>
      <c r="K102" s="3" t="inlineStr">
        <is>
          <t>세종 금남면 투자가치 높은 주택 토지 3필지 일괄매매</t>
        </is>
      </c>
      <c r="L102" s="5">
        <f>HYPERLINK("https://fin.land.naver.com/articles/2645488816", "매물Link")</f>
        <v/>
      </c>
      <c r="M102" s="5">
        <f>HYPERLINK("https://map.naver.com/p/search/금남면 영치리 273", "지도Link")</f>
        <v/>
      </c>
      <c r="N102" s="5">
        <f>HYPERLINK("http://www.eum.go.kr/web/ar/lu/luLandDet.jsp?pnu=3611034028102730000&amp;isNoScr=script&amp;mode=search", "토지이음")</f>
        <v/>
      </c>
      <c r="O102" s="3" t="inlineStr">
        <is>
          <t>로또</t>
        </is>
      </c>
      <c r="P102" s="3" t="n">
        <v>1</v>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117</v>
      </c>
      <c r="K103" s="3" t="inlineStr">
        <is>
          <t>용담리 길따라 위치한 정중앙 주택. 넓은마당多 단독주택 편안한삶 추천</t>
        </is>
      </c>
      <c r="L103" s="5">
        <f>HYPERLINK("https://fin.land.naver.com/articles/2644501302", "매물Link")</f>
        <v/>
      </c>
      <c r="M103" s="5">
        <f>HYPERLINK("https://map.naver.com/p/search/금남면 용담리 249-2", "지도Link")</f>
        <v/>
      </c>
      <c r="N103" s="5">
        <f>HYPERLINK("http://www.eum.go.kr/web/ar/lu/luLandDet.jsp?pnu=3611034025102490002&amp;isNoScr=script&amp;mode=search", "토지이음")</f>
        <v/>
      </c>
      <c r="O103" s="3" t="inlineStr">
        <is>
          <t>땅집사</t>
        </is>
      </c>
      <c r="P103" s="3" t="n">
        <v>1</v>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40</v>
      </c>
      <c r="K104" s="3" t="inlineStr">
        <is>
          <t>10월 입주, 풀옵션 투룸, 세종시내 대중교통 편리</t>
        </is>
      </c>
      <c r="L104" s="5">
        <f>HYPERLINK("https://fin.land.naver.com/articles/2648789309", "매물Link")</f>
        <v/>
      </c>
      <c r="M104" s="5">
        <f>HYPERLINK("https://map.naver.com/p/search/금남면 용포리 173-4", "지도Link")</f>
        <v/>
      </c>
      <c r="N104" s="5">
        <f>HYPERLINK("http://www.eum.go.kr/web/ar/lu/luLandDet.jsp?pnu=3611034021101730004&amp;isNoScr=script&amp;mode=search", "토지이음")</f>
        <v/>
      </c>
      <c r="O104" s="3" t="inlineStr">
        <is>
          <t>한빛</t>
        </is>
      </c>
      <c r="P104" s="3" t="n">
        <v>1</v>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20</v>
      </c>
      <c r="K105" s="3" t="inlineStr">
        <is>
          <t>풀옵션 넓은 원룸, 정부청사 세종시청 집현동 교통편리</t>
        </is>
      </c>
      <c r="L105" s="5">
        <f>HYPERLINK("https://fin.land.naver.com/articles/2648488946", "매물Link")</f>
        <v/>
      </c>
      <c r="M105" s="5">
        <f>HYPERLINK("https://map.naver.com/p/search/금남면 용포리 173-4", "지도Link")</f>
        <v/>
      </c>
      <c r="N105" s="5">
        <f>HYPERLINK("http://www.eum.go.kr/web/ar/lu/luLandDet.jsp?pnu=3611034021101730004&amp;isNoScr=script&amp;mode=search", "토지이음")</f>
        <v/>
      </c>
      <c r="O105" s="3" t="inlineStr">
        <is>
          <t>한빛</t>
        </is>
      </c>
      <c r="P105" s="3" t="n">
        <v>1</v>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25</v>
      </c>
      <c r="K106" s="3" t="inlineStr">
        <is>
          <t>nan</t>
        </is>
      </c>
      <c r="L106" s="5">
        <f>HYPERLINK("https://fin.land.naver.com/articles/2648806247", "매물Link")</f>
        <v/>
      </c>
      <c r="M106" s="5">
        <f>HYPERLINK("https://map.naver.com/p/search/금남면 용포리 173-4", "지도Link")</f>
        <v/>
      </c>
      <c r="N106" s="5">
        <f>HYPERLINK("http://www.eum.go.kr/web/ar/lu/luLandDet.jsp?pnu=3611034021101730004&amp;isNoScr=script&amp;mode=search", "토지이음")</f>
        <v/>
      </c>
      <c r="O106" s="3" t="inlineStr">
        <is>
          <t>세종금탑</t>
        </is>
      </c>
      <c r="P106" s="3" t="n">
        <v>1</v>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22</v>
      </c>
      <c r="K107" s="3" t="inlineStr">
        <is>
          <t>깨끗한원룸 8월20일이후협의입주</t>
        </is>
      </c>
      <c r="L107" s="5">
        <f>HYPERLINK("https://fin.land.naver.com/articles/2646758760", "매물Link")</f>
        <v/>
      </c>
      <c r="M107" s="5">
        <f>HYPERLINK("https://map.naver.com/p/search/금남면 용포리 176-1", "지도Link")</f>
        <v/>
      </c>
      <c r="N107" s="5">
        <f>HYPERLINK("http://www.eum.go.kr/web/ar/lu/luLandDet.jsp?pnu=3611034021101760001&amp;isNoScr=script&amp;mode=search", "토지이음")</f>
        <v/>
      </c>
      <c r="O107" s="3" t="inlineStr">
        <is>
          <t>하이스트정원</t>
        </is>
      </c>
      <c r="P107" s="3" t="n">
        <v>1</v>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95</v>
      </c>
      <c r="K108" s="3" t="inlineStr">
        <is>
          <t>nan</t>
        </is>
      </c>
      <c r="L108" s="5">
        <f>HYPERLINK("https://fin.land.naver.com/articles/2645050781", "매물Link")</f>
        <v/>
      </c>
      <c r="M108" s="5">
        <f>HYPERLINK("https://map.naver.com/p/search/금남면 용포리 193-1", "지도Link")</f>
        <v/>
      </c>
      <c r="N108" s="5">
        <f>HYPERLINK("http://www.eum.go.kr/web/ar/lu/luLandDet.jsp?pnu=3611034021101930001&amp;isNoScr=script&amp;mode=search", "토지이음")</f>
        <v/>
      </c>
      <c r="O108" s="3" t="inlineStr">
        <is>
          <t>생명나무</t>
        </is>
      </c>
      <c r="P108" s="3" t="n">
        <v>1</v>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471</v>
      </c>
      <c r="K109" s="3" t="inlineStr">
        <is>
          <t>위치최상,회전차로 앞,공영주차장인접,맛집거리,향후지가상승확실,금액조율가능</t>
        </is>
      </c>
      <c r="L109" s="5">
        <f>HYPERLINK("https://fin.land.naver.com/articles/2650158037", "매물Link")</f>
        <v/>
      </c>
      <c r="M109" s="5">
        <f>HYPERLINK("https://map.naver.com/p/search/금남면 용포리 211-3", "지도Link")</f>
        <v/>
      </c>
      <c r="N109" s="5">
        <f>HYPERLINK("http://www.eum.go.kr/web/ar/lu/luLandDet.jsp?pnu=3611034021102110003&amp;isNoScr=script&amp;mode=search", "토지이음")</f>
        <v/>
      </c>
      <c r="O109" s="3" t="inlineStr">
        <is>
          <t>세종수호</t>
        </is>
      </c>
      <c r="P109" s="3" t="n">
        <v>1</v>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25</v>
      </c>
      <c r="K110" s="3" t="inlineStr">
        <is>
          <t>편리하고 깔끔한 풀옵션원룸,도보5분거리 버스정류장</t>
        </is>
      </c>
      <c r="L110" s="5">
        <f>HYPERLINK("https://fin.land.naver.com/articles/2647898519", "매물Link")</f>
        <v/>
      </c>
      <c r="M110" s="5">
        <f>HYPERLINK("https://map.naver.com/p/search/금남면 용포리 51-2", "지도Link")</f>
        <v/>
      </c>
      <c r="N110" s="5">
        <f>HYPERLINK("http://www.eum.go.kr/web/ar/lu/luLandDet.jsp?pnu=3611034021100510002&amp;isNoScr=script&amp;mode=search", "토지이음")</f>
        <v/>
      </c>
      <c r="O110" s="3" t="inlineStr">
        <is>
          <t>세종금탑</t>
        </is>
      </c>
      <c r="P110" s="3" t="n">
        <v>1</v>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24</v>
      </c>
      <c r="K111" s="3" t="inlineStr">
        <is>
          <t>가성비 좋은 편리한 풀옵션원룸,집이 환해요</t>
        </is>
      </c>
      <c r="L111" s="5">
        <f>HYPERLINK("https://fin.land.naver.com/articles/2649783323", "매물Link")</f>
        <v/>
      </c>
      <c r="M111" s="5">
        <f>HYPERLINK("https://map.naver.com/p/search/금남면 용포리 51-3", "지도Link")</f>
        <v/>
      </c>
      <c r="N111" s="5">
        <f>HYPERLINK("http://www.eum.go.kr/web/ar/lu/luLandDet.jsp?pnu=3611034021100510003&amp;isNoScr=script&amp;mode=search", "토지이음")</f>
        <v/>
      </c>
      <c r="O111" s="3" t="inlineStr">
        <is>
          <t>세종금탑</t>
        </is>
      </c>
      <c r="P111" s="3" t="n">
        <v>1</v>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19</v>
      </c>
      <c r="K112" s="3" t="inlineStr">
        <is>
          <t>즉시입주 조용한 원룸  융자무</t>
        </is>
      </c>
      <c r="L112" s="5">
        <f>HYPERLINK("https://fin.land.naver.com/articles/2645786509", "매물Link")</f>
        <v/>
      </c>
      <c r="M112" s="5">
        <f>HYPERLINK("https://map.naver.com/p/search/금남면 용포리 51-4", "지도Link")</f>
        <v/>
      </c>
      <c r="N112" s="5">
        <f>HYPERLINK("http://www.eum.go.kr/web/ar/lu/luLandDet.jsp?pnu=3611034021100510004&amp;isNoScr=script&amp;mode=search", "토지이음")</f>
        <v/>
      </c>
      <c r="O112" s="3" t="inlineStr">
        <is>
          <t>세계로</t>
        </is>
      </c>
      <c r="P112" s="3" t="n">
        <v>1</v>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18</v>
      </c>
      <c r="K113" s="3" t="inlineStr">
        <is>
          <t>남향, 깔끔한 분리형 풀옵션 원룸, 버스정류장 도보 4분</t>
        </is>
      </c>
      <c r="L113" s="5">
        <f>HYPERLINK("https://fin.land.naver.com/articles/2648790670", "매물Link")</f>
        <v/>
      </c>
      <c r="M113" s="5">
        <f>HYPERLINK("https://map.naver.com/p/search/금남면 용포리 52-1", "지도Link")</f>
        <v/>
      </c>
      <c r="N113" s="5">
        <f>HYPERLINK("http://www.eum.go.kr/web/ar/lu/luLandDet.jsp?pnu=3611034021100520001&amp;isNoScr=script&amp;mode=search", "토지이음")</f>
        <v/>
      </c>
      <c r="O113" s="3" t="inlineStr">
        <is>
          <t>한빛</t>
        </is>
      </c>
      <c r="P113" s="3" t="n">
        <v>1</v>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25</v>
      </c>
      <c r="K114" s="3" t="inlineStr">
        <is>
          <t>방,주방 분리된 풀옵션 원룸,  조용하고 거주가 편해요</t>
        </is>
      </c>
      <c r="L114" s="5">
        <f>HYPERLINK("https://fin.land.naver.com/articles/2649315577", "매물Link")</f>
        <v/>
      </c>
      <c r="M114" s="5">
        <f>HYPERLINK("https://map.naver.com/p/search/금남면 용포리 52-1", "지도Link")</f>
        <v/>
      </c>
      <c r="N114" s="5">
        <f>HYPERLINK("http://www.eum.go.kr/web/ar/lu/luLandDet.jsp?pnu=3611034021100520001&amp;isNoScr=script&amp;mode=search", "토지이음")</f>
        <v/>
      </c>
      <c r="O114" s="3" t="inlineStr">
        <is>
          <t>세종금탑</t>
        </is>
      </c>
      <c r="P114" s="3" t="n">
        <v>1</v>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23</v>
      </c>
      <c r="K115" s="3" t="inlineStr">
        <is>
          <t>가격 저렴한풀옵션 원룸 10월 6일 부터 입주</t>
        </is>
      </c>
      <c r="L115" s="5">
        <f>HYPERLINK("https://fin.land.naver.com/articles/2649311505", "매물Link")</f>
        <v/>
      </c>
      <c r="M115" s="5">
        <f>HYPERLINK("https://map.naver.com/p/search/금남면 용포리 62", "지도Link")</f>
        <v/>
      </c>
      <c r="N115" s="5">
        <f>HYPERLINK("http://www.eum.go.kr/web/ar/lu/luLandDet.jsp?pnu=3611034021100620000&amp;isNoScr=script&amp;mode=search", "토지이음")</f>
        <v/>
      </c>
      <c r="O115" s="3" t="inlineStr">
        <is>
          <t>에이스</t>
        </is>
      </c>
      <c r="P115" s="3" t="n">
        <v>1</v>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25</v>
      </c>
      <c r="K116" s="3" t="inlineStr">
        <is>
          <t>컬러풀한 감각의 풀옵션 원룸, 협의입주.주방분리됐어요</t>
        </is>
      </c>
      <c r="L116" s="5">
        <f>HYPERLINK("https://fin.land.naver.com/articles/2649794061", "매물Link")</f>
        <v/>
      </c>
      <c r="M116" s="5">
        <f>HYPERLINK("https://map.naver.com/p/search/금남면 용포리 63-13", "지도Link")</f>
        <v/>
      </c>
      <c r="N116" s="5">
        <f>HYPERLINK("http://www.eum.go.kr/web/ar/lu/luLandDet.jsp?pnu=3611034021100630013&amp;isNoScr=script&amp;mode=search", "토지이음")</f>
        <v/>
      </c>
      <c r="O116" s="3" t="inlineStr">
        <is>
          <t>세종금탑</t>
        </is>
      </c>
      <c r="P116" s="3" t="n">
        <v>1</v>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23</v>
      </c>
      <c r="K117" s="3" t="inlineStr">
        <is>
          <t>매물 귀한 원룸 전세 나왔어요</t>
        </is>
      </c>
      <c r="L117" s="5">
        <f>HYPERLINK("https://fin.land.naver.com/articles/2649234373", "매물Link")</f>
        <v/>
      </c>
      <c r="M117" s="5">
        <f>HYPERLINK("https://map.naver.com/p/search/금남면 용포리 63-13", "지도Link")</f>
        <v/>
      </c>
      <c r="N117" s="5">
        <f>HYPERLINK("http://www.eum.go.kr/web/ar/lu/luLandDet.jsp?pnu=3611034021100630013&amp;isNoScr=script&amp;mode=search", "토지이음")</f>
        <v/>
      </c>
      <c r="O117" s="3" t="inlineStr">
        <is>
          <t>에이스</t>
        </is>
      </c>
      <c r="P117" s="3" t="n">
        <v>2</v>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23</v>
      </c>
      <c r="K118" s="3" t="inlineStr">
        <is>
          <t>인테리어 잘돼 있는 풀옵션 원룸</t>
        </is>
      </c>
      <c r="L118" s="5">
        <f>HYPERLINK("https://fin.land.naver.com/articles/2650150842", "매물Link")</f>
        <v/>
      </c>
      <c r="M118" s="5">
        <f>HYPERLINK("https://map.naver.com/p/search/금남면 용포리 63-15", "지도Link")</f>
        <v/>
      </c>
      <c r="N118" s="5">
        <f>HYPERLINK("http://www.eum.go.kr/web/ar/lu/luLandDet.jsp?pnu=3611034021100630015&amp;isNoScr=script&amp;mode=search", "토지이음")</f>
        <v/>
      </c>
      <c r="O118" s="3" t="inlineStr">
        <is>
          <t>에이스</t>
        </is>
      </c>
      <c r="P118" s="3" t="n">
        <v>1</v>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23</v>
      </c>
      <c r="K119" s="3" t="inlineStr">
        <is>
          <t>1인거주추천, 깔끔한 풀옵션원룸,편리합니다</t>
        </is>
      </c>
      <c r="L119" s="5">
        <f>HYPERLINK("https://fin.land.naver.com/articles/2649815386", "매물Link")</f>
        <v/>
      </c>
      <c r="M119" s="5">
        <f>HYPERLINK("https://map.naver.com/p/search/금남면 용포리 81-10", "지도Link")</f>
        <v/>
      </c>
      <c r="N119" s="5">
        <f>HYPERLINK("http://www.eum.go.kr/web/ar/lu/luLandDet.jsp?pnu=3611034021100810010&amp;isNoScr=script&amp;mode=search", "토지이음")</f>
        <v/>
      </c>
      <c r="O119" s="3" t="inlineStr">
        <is>
          <t>세종금탑</t>
        </is>
      </c>
      <c r="P119" s="3" t="n">
        <v>1</v>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296</v>
      </c>
      <c r="K120" s="3" t="inlineStr">
        <is>
          <t>공실없이 수익율 좋은 수익형 다중주택 매매 타지역에서도 관리가능 금액협의</t>
        </is>
      </c>
      <c r="L120" s="5">
        <f>HYPERLINK("https://fin.land.naver.com/articles/2644202140", "매물Link")</f>
        <v/>
      </c>
      <c r="M120" s="5">
        <f>HYPERLINK("https://map.naver.com/p/search/금남면 용포리 81-10", "지도Link")</f>
        <v/>
      </c>
      <c r="N120" s="5">
        <f>HYPERLINK("http://www.eum.go.kr/web/ar/lu/luLandDet.jsp?pnu=3611034021100810010&amp;isNoScr=script&amp;mode=search", "토지이음")</f>
        <v/>
      </c>
      <c r="O120" s="3" t="inlineStr">
        <is>
          <t>센트라스탑</t>
        </is>
      </c>
      <c r="P120" s="3" t="n">
        <v>1</v>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47</v>
      </c>
      <c r="K121" s="3" t="inlineStr">
        <is>
          <t>즉시입주 터미널 재래시장  청사가까워요  23제곱입니다</t>
        </is>
      </c>
      <c r="L121" s="5">
        <f>HYPERLINK("https://fin.land.naver.com/articles/2648565381", "매물Link")</f>
        <v/>
      </c>
      <c r="M121" s="5">
        <f>HYPERLINK("https://map.naver.com/p/search/금남면 용포리 81-5", "지도Link")</f>
        <v/>
      </c>
      <c r="N121" s="5">
        <f>HYPERLINK("http://www.eum.go.kr/web/ar/lu/luLandDet.jsp?pnu=3611034021100810005&amp;isNoScr=script&amp;mode=search", "토지이음")</f>
        <v/>
      </c>
      <c r="O121" s="3" t="inlineStr">
        <is>
          <t>성신</t>
        </is>
      </c>
      <c r="P121" s="3" t="n">
        <v>1</v>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16</v>
      </c>
      <c r="K122" s="3" t="inlineStr">
        <is>
          <t>9월 3일입주, 분리형원룸, 풀옵션 저렴한 관리비</t>
        </is>
      </c>
      <c r="L122" s="5">
        <f>HYPERLINK("https://fin.land.naver.com/articles/2644590846", "매물Link")</f>
        <v/>
      </c>
      <c r="M122" s="5">
        <f>HYPERLINK("https://map.naver.com/p/search/금남면 용포리 81-5", "지도Link")</f>
        <v/>
      </c>
      <c r="N122" s="5">
        <f>HYPERLINK("http://www.eum.go.kr/web/ar/lu/luLandDet.jsp?pnu=3611034021100810005&amp;isNoScr=script&amp;mode=search", "토지이음")</f>
        <v/>
      </c>
      <c r="O122" s="3" t="inlineStr">
        <is>
          <t>세종온정성</t>
        </is>
      </c>
      <c r="P122" s="3" t="n">
        <v>1</v>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23</v>
      </c>
      <c r="K123" s="3" t="inlineStr">
        <is>
          <t>풀옵션 버스승강장가까워요 우체국 주민센터인근</t>
        </is>
      </c>
      <c r="L123" s="5">
        <f>HYPERLINK("https://fin.land.naver.com/articles/2644633534", "매물Link")</f>
        <v/>
      </c>
      <c r="M123" s="5">
        <f>HYPERLINK("https://map.naver.com/p/search/금남면 용포리 81-5", "지도Link")</f>
        <v/>
      </c>
      <c r="N123" s="5">
        <f>HYPERLINK("http://www.eum.go.kr/web/ar/lu/luLandDet.jsp?pnu=3611034021100810005&amp;isNoScr=script&amp;mode=search", "토지이음")</f>
        <v/>
      </c>
      <c r="O123" s="3" t="inlineStr">
        <is>
          <t>성신</t>
        </is>
      </c>
      <c r="P123" s="3" t="n">
        <v>1</v>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23</v>
      </c>
      <c r="K124" s="3" t="inlineStr">
        <is>
          <t>8월초입주, 저렴한 관리비, 원룸, 풀옵션, 창이 2개</t>
        </is>
      </c>
      <c r="L124" s="5">
        <f>HYPERLINK("https://fin.land.naver.com/articles/2644590470", "매물Link")</f>
        <v/>
      </c>
      <c r="M124" s="5">
        <f>HYPERLINK("https://map.naver.com/p/search/금남면 용포리 81-9", "지도Link")</f>
        <v/>
      </c>
      <c r="N124" s="5">
        <f>HYPERLINK("http://www.eum.go.kr/web/ar/lu/luLandDet.jsp?pnu=3611034021100810009&amp;isNoScr=script&amp;mode=search", "토지이음")</f>
        <v/>
      </c>
      <c r="O124" s="3" t="inlineStr">
        <is>
          <t>세종온정성</t>
        </is>
      </c>
      <c r="P124" s="3" t="n">
        <v>1</v>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55</v>
      </c>
      <c r="K125" s="3" t="inlineStr">
        <is>
          <t>3룸 복층,협의입주, 버스정류장 1분, 도배 장판완료</t>
        </is>
      </c>
      <c r="L125" s="5">
        <f>HYPERLINK("https://fin.land.naver.com/articles/2645116263", "매물Link")</f>
        <v/>
      </c>
      <c r="M125" s="5">
        <f>HYPERLINK("https://map.naver.com/p/search/금남면 용포리 90-4", "지도Link")</f>
        <v/>
      </c>
      <c r="N125" s="5">
        <f>HYPERLINK("http://www.eum.go.kr/web/ar/lu/luLandDet.jsp?pnu=3611034021100900004&amp;isNoScr=script&amp;mode=search", "토지이음")</f>
        <v/>
      </c>
      <c r="O125" s="3" t="inlineStr">
        <is>
          <t>세종온정성</t>
        </is>
      </c>
      <c r="P125" s="3" t="n">
        <v>1</v>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55</v>
      </c>
      <c r="K126" s="3" t="inlineStr">
        <is>
          <t>세종시 금남면 용포리 금남면사무소앞1층상가, 2층복층, 버스정류장 인근</t>
        </is>
      </c>
      <c r="L126" s="5">
        <f>HYPERLINK("https://fin.land.naver.com/articles/2646003596", "매물Link")</f>
        <v/>
      </c>
      <c r="M126" s="5">
        <f>HYPERLINK("https://map.naver.com/p/search/금남면 용포리 90-4", "지도Link")</f>
        <v/>
      </c>
      <c r="N126" s="5">
        <f>HYPERLINK("http://www.eum.go.kr/web/ar/lu/luLandDet.jsp?pnu=3611034021100900004&amp;isNoScr=script&amp;mode=search", "토지이음")</f>
        <v/>
      </c>
      <c r="O126" s="3" t="inlineStr">
        <is>
          <t>세종</t>
        </is>
      </c>
      <c r="P126" s="3" t="n">
        <v>1</v>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91</v>
      </c>
      <c r="K127" s="3" t="inlineStr">
        <is>
          <t>집앞 텃밭에서 채소 등 가꾸며 전원생활이나 펜션으로도 활용 가능한 매물임</t>
        </is>
      </c>
      <c r="L127" s="5">
        <f>HYPERLINK("https://fin.land.naver.com/articles/2647391764", "매물Link")</f>
        <v/>
      </c>
      <c r="M127" s="5">
        <f>HYPERLINK("https://map.naver.com/p/search/금남면 원봉리 297-6", "지도Link")</f>
        <v/>
      </c>
      <c r="N127" s="5">
        <f>HYPERLINK("http://www.eum.go.kr/web/ar/lu/luLandDet.jsp?pnu=3611034045102970006&amp;isNoScr=script&amp;mode=search", "토지이음")</f>
        <v/>
      </c>
      <c r="O127" s="3" t="inlineStr">
        <is>
          <t>신와촌</t>
        </is>
      </c>
      <c r="P127" s="3" t="n">
        <v>1</v>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198</v>
      </c>
      <c r="K128" s="3" t="inlineStr">
        <is>
          <t>대지708 m2이뿐 카페가능한 전원주택계획관리전퀼트카페운영</t>
        </is>
      </c>
      <c r="L128" s="5">
        <f>HYPERLINK("https://fin.land.naver.com/articles/2646094676", "매물Link")</f>
        <v/>
      </c>
      <c r="M128" s="5">
        <f>HYPERLINK("https://map.naver.com/p/search/금남면 원봉리 380-5", "지도Link")</f>
        <v/>
      </c>
      <c r="N128" s="5">
        <f>HYPERLINK("http://www.eum.go.kr/web/ar/lu/luLandDet.jsp?pnu=3611034045103800005&amp;isNoScr=script&amp;mode=search", "토지이음")</f>
        <v/>
      </c>
      <c r="O128" s="3" t="inlineStr">
        <is>
          <t>세종부부</t>
        </is>
      </c>
      <c r="P128" s="3" t="n">
        <v>1</v>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87</v>
      </c>
      <c r="K129" s="3" t="inlineStr">
        <is>
          <t>nan</t>
        </is>
      </c>
      <c r="L129" s="5">
        <f>HYPERLINK("https://fin.land.naver.com/articles/2646880016", "매물Link")</f>
        <v/>
      </c>
      <c r="M129" s="5">
        <f>HYPERLINK("https://map.naver.com/p/search/금남면 원봉리 81-11", "지도Link")</f>
        <v/>
      </c>
      <c r="N129" s="5">
        <f>HYPERLINK("http://www.eum.go.kr/web/ar/lu/luLandDet.jsp?pnu=3611034045100810011&amp;isNoScr=script&amp;mode=search", "토지이음")</f>
        <v/>
      </c>
      <c r="O129" s="3" t="inlineStr">
        <is>
          <t>반곡황금더샵</t>
        </is>
      </c>
      <c r="P129" s="3" t="n">
        <v>1</v>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87</v>
      </c>
      <c r="K130" s="3" t="inlineStr">
        <is>
          <t>마당넓은 근생주택</t>
        </is>
      </c>
      <c r="L130" s="5">
        <f>HYPERLINK("https://fin.land.naver.com/articles/2644893870", "매물Link")</f>
        <v/>
      </c>
      <c r="M130" s="5">
        <f>HYPERLINK("https://map.naver.com/p/search/금남면 원봉리 99-31", "지도Link")</f>
        <v/>
      </c>
      <c r="N130" s="5">
        <f>HYPERLINK("http://www.eum.go.kr/web/ar/lu/luLandDet.jsp?pnu=3611034045100990031&amp;isNoScr=script&amp;mode=search", "토지이음")</f>
        <v/>
      </c>
      <c r="O130" s="3" t="inlineStr">
        <is>
          <t>세계로</t>
        </is>
      </c>
      <c r="P130" s="3" t="n">
        <v>1</v>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99</v>
      </c>
      <c r="K131" s="3" t="inlineStr">
        <is>
          <t>소담동 인근 도심속 전원,1층 창고처럼 넓은 공간 활용,탁트인별장 전망</t>
        </is>
      </c>
      <c r="L131" s="5">
        <f>HYPERLINK("https://fin.land.naver.com/articles/2646105757", "매물Link")</f>
        <v/>
      </c>
      <c r="M131" s="5">
        <f>HYPERLINK("https://map.naver.com/p/search/금남면 장재리 347", "지도Link")</f>
        <v/>
      </c>
      <c r="N131" s="5">
        <f>HYPERLINK("http://www.eum.go.kr/web/ar/lu/luLandDet.jsp?pnu=3611034036103470000&amp;isNoScr=script&amp;mode=search", "토지이음")</f>
        <v/>
      </c>
      <c r="O131" s="3" t="inlineStr">
        <is>
          <t>강남뜰</t>
        </is>
      </c>
      <c r="P131" s="3" t="n">
        <v>1</v>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52</v>
      </c>
      <c r="K132" s="3" t="inlineStr">
        <is>
          <t>목조.시멘벽돌조  농가주택</t>
        </is>
      </c>
      <c r="L132" s="5">
        <f>HYPERLINK("https://fin.land.naver.com/articles/2649482086", "매물Link")</f>
        <v/>
      </c>
      <c r="M132" s="5">
        <f>HYPERLINK("https://map.naver.com/p/search/금남면 황용리 118-3", "지도Link")</f>
        <v/>
      </c>
      <c r="N132" s="5">
        <f>HYPERLINK("http://www.eum.go.kr/web/ar/lu/luLandDet.jsp?pnu=3611034030101180003&amp;isNoScr=script&amp;mode=search", "토지이음")</f>
        <v/>
      </c>
      <c r="O132" s="3" t="inlineStr">
        <is>
          <t>보람최고</t>
        </is>
      </c>
      <c r="P132" s="3" t="n">
        <v>1</v>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52</v>
      </c>
      <c r="K133" s="3" t="inlineStr">
        <is>
          <t>급매 농가주택</t>
        </is>
      </c>
      <c r="L133" s="5">
        <f>HYPERLINK("https://fin.land.naver.com/articles/2649663707", "매물Link")</f>
        <v/>
      </c>
      <c r="M133" s="5">
        <f>HYPERLINK("https://map.naver.com/p/search/금남면 황용리 118-3", "지도Link")</f>
        <v/>
      </c>
      <c r="N133" s="5">
        <f>HYPERLINK("http://www.eum.go.kr/web/ar/lu/luLandDet.jsp?pnu=3611034030101180003&amp;isNoScr=script&amp;mode=search", "토지이음")</f>
        <v/>
      </c>
      <c r="O133" s="3" t="inlineStr">
        <is>
          <t>세계로</t>
        </is>
      </c>
      <c r="P133" s="3" t="n">
        <v>1</v>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114</v>
      </c>
      <c r="K134" s="3" t="inlineStr">
        <is>
          <t>저렴한 황용리 구옥집터</t>
        </is>
      </c>
      <c r="L134" s="5">
        <f>HYPERLINK("https://fin.land.naver.com/articles/2645463011", "매물Link")</f>
        <v/>
      </c>
      <c r="M134" s="5">
        <f>HYPERLINK("https://map.naver.com/p/search/금남면 황용리 254-4", "지도Link")</f>
        <v/>
      </c>
      <c r="N134" s="5">
        <f>HYPERLINK("http://www.eum.go.kr/web/ar/lu/luLandDet.jsp?pnu=3611034030102540004&amp;isNoScr=script&amp;mode=search", "토지이음")</f>
        <v/>
      </c>
      <c r="O134" s="3" t="inlineStr">
        <is>
          <t>강아지풀</t>
        </is>
      </c>
      <c r="P134" s="3" t="n">
        <v>1</v>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23</v>
      </c>
      <c r="K135" s="3" t="inlineStr">
        <is>
          <t>nan</t>
        </is>
      </c>
      <c r="L135" s="5">
        <f>HYPERLINK("https://fin.land.naver.com/articles/2650135762", "매물Link")</f>
        <v/>
      </c>
      <c r="M135" s="5">
        <f>HYPERLINK("https://map.naver.com/p/search/나성동 715", "지도Link")</f>
        <v/>
      </c>
      <c r="N135" s="5">
        <f>HYPERLINK("http://www.eum.go.kr/web/ar/lu/luLandDet.jsp?pnu=3611010700107150000&amp;isNoScr=script&amp;mode=search", "토지이음")</f>
        <v/>
      </c>
      <c r="O135" s="3" t="inlineStr">
        <is>
          <t>답십리파크자이(킹)</t>
        </is>
      </c>
      <c r="P135" s="3" t="n">
        <v>1</v>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197</v>
      </c>
      <c r="K136" s="3" t="inlineStr">
        <is>
          <t>텃밭, 주차공간, 깔끔하게 관리 잘된 신축 단독주택 매매 입니다.</t>
        </is>
      </c>
      <c r="L136" s="5">
        <f>HYPERLINK("https://fin.land.naver.com/articles/2645287191", "매물Link")</f>
        <v/>
      </c>
      <c r="M136" s="5">
        <f>HYPERLINK("https://map.naver.com/p/search/나성동 829", "지도Link")</f>
        <v/>
      </c>
      <c r="N136" s="5">
        <f>HYPERLINK("http://www.eum.go.kr/web/ar/lu/luLandDet.jsp?pnu=3611010700108290000&amp;isNoScr=script&amp;mode=search", "토지이음")</f>
        <v/>
      </c>
      <c r="O136" s="3" t="inlineStr">
        <is>
          <t>부엉이</t>
        </is>
      </c>
      <c r="P136" s="3" t="n">
        <v>1</v>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164</v>
      </c>
      <c r="K137" s="3" t="inlineStr">
        <is>
          <t>코너각지땅,정원조경수 잘되어 있어요.</t>
        </is>
      </c>
      <c r="L137" s="5">
        <f>HYPERLINK("https://fin.land.naver.com/articles/2647391843", "매물Link")</f>
        <v/>
      </c>
      <c r="M137" s="5">
        <f>HYPERLINK("https://map.naver.com/p/search/나성동 829", "지도Link")</f>
        <v/>
      </c>
      <c r="N137" s="5">
        <f>HYPERLINK("http://www.eum.go.kr/web/ar/lu/luLandDet.jsp?pnu=3611010700108290000&amp;isNoScr=script&amp;mode=search", "토지이음")</f>
        <v/>
      </c>
      <c r="O137" s="3" t="inlineStr">
        <is>
          <t>세종리더스</t>
        </is>
      </c>
      <c r="P137" s="3" t="n">
        <v>1</v>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147</v>
      </c>
      <c r="K138" s="3" t="inlineStr">
        <is>
          <t>시에6대 입주 정품자재 설계 시공 보시면 볼수록 매력있어요  감동</t>
        </is>
      </c>
      <c r="L138" s="5">
        <f>HYPERLINK("https://fin.land.naver.com/articles/2646095666", "매물Link")</f>
        <v/>
      </c>
      <c r="M138" s="5">
        <f>HYPERLINK("https://map.naver.com/p/search/나성동 829", "지도Link")</f>
        <v/>
      </c>
      <c r="N138" s="5">
        <f>HYPERLINK("http://www.eum.go.kr/web/ar/lu/luLandDet.jsp?pnu=3611010700108290000&amp;isNoScr=script&amp;mode=search", "토지이음")</f>
        <v/>
      </c>
      <c r="O138" s="3" t="inlineStr">
        <is>
          <t>세종골드삼성</t>
        </is>
      </c>
      <c r="P138" s="3" t="n">
        <v>1</v>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248</v>
      </c>
      <c r="K139" s="3" t="inlineStr">
        <is>
          <t>가격조율 가능, 이사협의, 태양광 설치, 시스템에어컨 9대</t>
        </is>
      </c>
      <c r="L139" s="5">
        <f>HYPERLINK("https://fin.land.naver.com/articles/2648036513", "매물Link")</f>
        <v/>
      </c>
      <c r="M139" s="5">
        <f>HYPERLINK("https://map.naver.com/p/search/나성동 829", "지도Link")</f>
        <v/>
      </c>
      <c r="N139" s="5">
        <f>HYPERLINK("http://www.eum.go.kr/web/ar/lu/luLandDet.jsp?pnu=3611010700108290000&amp;isNoScr=script&amp;mode=search", "토지이음")</f>
        <v/>
      </c>
      <c r="O139" s="3" t="inlineStr">
        <is>
          <t>이즈 세종백화</t>
        </is>
      </c>
      <c r="P139" s="3" t="n">
        <v>1</v>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18</v>
      </c>
      <c r="K140" s="3" t="inlineStr">
        <is>
          <t>L 엘베. 역3분. 즉시입주가능. 풀옵션</t>
        </is>
      </c>
      <c r="L140" s="5">
        <f>HYPERLINK("https://fin.land.naver.com/articles/2646806767", "매물Link")</f>
        <v/>
      </c>
      <c r="M140" s="5">
        <f>HYPERLINK("https://map.naver.com/p/search/나성동 829", "지도Link")</f>
        <v/>
      </c>
      <c r="N140" s="5">
        <f>HYPERLINK("http://www.eum.go.kr/web/ar/lu/luLandDet.jsp?pnu=3611010700108290000&amp;isNoScr=script&amp;mode=search", "토지이음")</f>
        <v/>
      </c>
      <c r="O140" s="3" t="inlineStr">
        <is>
          <t>바다</t>
        </is>
      </c>
      <c r="P140" s="3" t="n">
        <v>1</v>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55</v>
      </c>
      <c r="K141" s="3" t="inlineStr">
        <is>
          <t>도로에 접했습니다</t>
        </is>
      </c>
      <c r="L141" s="5">
        <f>HYPERLINK("https://fin.land.naver.com/articles/2646937425", "매물Link")</f>
        <v/>
      </c>
      <c r="M141" s="5">
        <f>HYPERLINK("https://map.naver.com/p/search/나성동 829", "지도Link")</f>
        <v/>
      </c>
      <c r="N141" s="5">
        <f>HYPERLINK("http://www.eum.go.kr/web/ar/lu/luLandDet.jsp?pnu=3611010700108290000&amp;isNoScr=script&amp;mode=search", "토지이음")</f>
        <v/>
      </c>
      <c r="O141" s="3" t="inlineStr">
        <is>
          <t>명성</t>
        </is>
      </c>
      <c r="P141" s="3" t="n">
        <v>1</v>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20</v>
      </c>
      <c r="K142" s="3" t="inlineStr">
        <is>
          <t>L 풀옵션 O즉시입주가능 O조용한 위치 O깔끔한1룸</t>
        </is>
      </c>
      <c r="L142" s="5">
        <f>HYPERLINK("https://fin.land.naver.com/articles/2647371091", "매물Link")</f>
        <v/>
      </c>
      <c r="M142" s="5">
        <f>HYPERLINK("https://map.naver.com/p/search/나성동 829", "지도Link")</f>
        <v/>
      </c>
      <c r="N142" s="5">
        <f>HYPERLINK("http://www.eum.go.kr/web/ar/lu/luLandDet.jsp?pnu=3611010700108290000&amp;isNoScr=script&amp;mode=search", "토지이음")</f>
        <v/>
      </c>
      <c r="O142" s="3" t="inlineStr">
        <is>
          <t>바다</t>
        </is>
      </c>
      <c r="P142" s="3" t="n">
        <v>1</v>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14</v>
      </c>
      <c r="K143" s="3" t="inlineStr">
        <is>
          <t>L 시장,역,버스정류장3분내. 생활권 최고. 전세가능</t>
        </is>
      </c>
      <c r="L143" s="5">
        <f>HYPERLINK("https://fin.land.naver.com/articles/2648334975", "매물Link")</f>
        <v/>
      </c>
      <c r="M143" s="5">
        <f>HYPERLINK("https://map.naver.com/p/search/나성동 829", "지도Link")</f>
        <v/>
      </c>
      <c r="N143" s="5">
        <f>HYPERLINK("http://www.eum.go.kr/web/ar/lu/luLandDet.jsp?pnu=3611010700108290000&amp;isNoScr=script&amp;mode=search", "토지이음")</f>
        <v/>
      </c>
      <c r="O143" s="3" t="inlineStr">
        <is>
          <t>바다</t>
        </is>
      </c>
      <c r="P143" s="3" t="n">
        <v>1</v>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374</v>
      </c>
      <c r="K144" s="3" t="inlineStr">
        <is>
          <t>nan</t>
        </is>
      </c>
      <c r="L144" s="5">
        <f>HYPERLINK("https://fin.land.naver.com/articles/2648372880", "매물Link")</f>
        <v/>
      </c>
      <c r="M144" s="5">
        <f>HYPERLINK("https://map.naver.com/p/search/나성동 829", "지도Link")</f>
        <v/>
      </c>
      <c r="N144" s="5">
        <f>HYPERLINK("http://www.eum.go.kr/web/ar/lu/luLandDet.jsp?pnu=3611010700108290000&amp;isNoScr=script&amp;mode=search", "토지이음")</f>
        <v/>
      </c>
      <c r="O144" s="3" t="inlineStr">
        <is>
          <t>욱일</t>
        </is>
      </c>
      <c r="P144" s="3" t="n">
        <v>1</v>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20</v>
      </c>
      <c r="K145" s="3" t="inlineStr">
        <is>
          <t>L 역2분.도배 등 수리중.풀옵션</t>
        </is>
      </c>
      <c r="L145" s="5">
        <f>HYPERLINK("https://fin.land.naver.com/articles/2649038402", "매물Link")</f>
        <v/>
      </c>
      <c r="M145" s="5">
        <f>HYPERLINK("https://map.naver.com/p/search/나성동 829", "지도Link")</f>
        <v/>
      </c>
      <c r="N145" s="5">
        <f>HYPERLINK("http://www.eum.go.kr/web/ar/lu/luLandDet.jsp?pnu=3611010700108290000&amp;isNoScr=script&amp;mode=search", "토지이음")</f>
        <v/>
      </c>
      <c r="O145" s="3" t="inlineStr">
        <is>
          <t>바다</t>
        </is>
      </c>
      <c r="P145" s="3" t="n">
        <v>1</v>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328</v>
      </c>
      <c r="K146" s="3" t="inlineStr">
        <is>
          <t>nan</t>
        </is>
      </c>
      <c r="L146" s="5">
        <f>HYPERLINK("https://fin.land.naver.com/articles/2649790246", "매물Link")</f>
        <v/>
      </c>
      <c r="M146" s="5">
        <f>HYPERLINK("https://map.naver.com/p/search/나성동 829", "지도Link")</f>
        <v/>
      </c>
      <c r="N146" s="5">
        <f>HYPERLINK("http://www.eum.go.kr/web/ar/lu/luLandDet.jsp?pnu=3611010700108290000&amp;isNoScr=script&amp;mode=search", "토지이음")</f>
        <v/>
      </c>
      <c r="O146" s="3" t="inlineStr">
        <is>
          <t>세종새빛</t>
        </is>
      </c>
      <c r="P146" s="3" t="n">
        <v>1</v>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494</v>
      </c>
      <c r="K147" s="3" t="inlineStr">
        <is>
          <t>저렴한 상가 주택,준주거지역,역과 터미널,전통시장 도보 7분 이내 상권</t>
        </is>
      </c>
      <c r="L147" s="5">
        <f>HYPERLINK("https://fin.land.naver.com/articles/2647807185", "매물Link")</f>
        <v/>
      </c>
      <c r="M147" s="5">
        <f>HYPERLINK("https://map.naver.com/p/search/나성동 829", "지도Link")</f>
        <v/>
      </c>
      <c r="N147" s="5">
        <f>HYPERLINK("http://www.eum.go.kr/web/ar/lu/luLandDet.jsp?pnu=3611010700108290000&amp;isNoScr=script&amp;mode=search", "토지이음")</f>
        <v/>
      </c>
      <c r="O147" s="3" t="inlineStr">
        <is>
          <t>유정희</t>
        </is>
      </c>
      <c r="P147" s="3" t="n">
        <v>1</v>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20</v>
      </c>
      <c r="K148" s="3" t="inlineStr">
        <is>
          <t>L 즉시입주가능 O호텔식1룸 O깔끔</t>
        </is>
      </c>
      <c r="L148" s="5">
        <f>HYPERLINK("https://fin.land.naver.com/articles/2650107743", "매물Link")</f>
        <v/>
      </c>
      <c r="M148" s="5">
        <f>HYPERLINK("https://map.naver.com/p/search/나성동 829", "지도Link")</f>
        <v/>
      </c>
      <c r="N148" s="5">
        <f>HYPERLINK("http://www.eum.go.kr/web/ar/lu/luLandDet.jsp?pnu=3611010700108290000&amp;isNoScr=script&amp;mode=search", "토지이음")</f>
        <v/>
      </c>
      <c r="O148" s="3" t="inlineStr">
        <is>
          <t>바다</t>
        </is>
      </c>
      <c r="P148" s="3" t="n">
        <v>1</v>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198</v>
      </c>
      <c r="K149" s="3" t="inlineStr">
        <is>
          <t>3면이뻥뚫린 그림같은집 최고급 자재사용 기쁨뜰공원접 도심속 전원주택</t>
        </is>
      </c>
      <c r="L149" s="5">
        <f>HYPERLINK("https://fin.land.naver.com/articles/2647679986", "매물Link")</f>
        <v/>
      </c>
      <c r="M149" s="5">
        <f>HYPERLINK("https://map.naver.com/p/search/나성동 829", "지도Link")</f>
        <v/>
      </c>
      <c r="N149" s="5">
        <f>HYPERLINK("http://www.eum.go.kr/web/ar/lu/luLandDet.jsp?pnu=3611010700108290000&amp;isNoScr=script&amp;mode=search", "토지이음")</f>
        <v/>
      </c>
      <c r="O149" s="3" t="inlineStr">
        <is>
          <t>홍차</t>
        </is>
      </c>
      <c r="P149" s="3" t="n">
        <v>1</v>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116</v>
      </c>
      <c r="K150" s="3" t="inlineStr">
        <is>
          <t>공실,단독주택2층사용, 다락방 사용가능, 시스템에어컨풀,</t>
        </is>
      </c>
      <c r="L150" s="5">
        <f>HYPERLINK("https://fin.land.naver.com/articles/2644977182", "매물Link")</f>
        <v/>
      </c>
      <c r="M150" s="5">
        <f>HYPERLINK("https://map.naver.com/p/search/나성동 829", "지도Link")</f>
        <v/>
      </c>
      <c r="N150" s="5">
        <f>HYPERLINK("http://www.eum.go.kr/web/ar/lu/luLandDet.jsp?pnu=3611010700108290000&amp;isNoScr=script&amp;mode=search", "토지이음")</f>
        <v/>
      </c>
      <c r="O150" s="3" t="inlineStr">
        <is>
          <t>한뜰5단지</t>
        </is>
      </c>
      <c r="P150" s="3" t="n">
        <v>1</v>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116</v>
      </c>
      <c r="K151" s="3" t="inlineStr">
        <is>
          <t>명성공인, 단독주택 2층만 사용, 별도 출입구 있는  추천 매물</t>
        </is>
      </c>
      <c r="L151" s="5">
        <f>HYPERLINK("https://fin.land.naver.com/articles/2646277342", "매물Link")</f>
        <v/>
      </c>
      <c r="M151" s="5">
        <f>HYPERLINK("https://map.naver.com/p/search/나성동 829", "지도Link")</f>
        <v/>
      </c>
      <c r="N151" s="5">
        <f>HYPERLINK("http://www.eum.go.kr/web/ar/lu/luLandDet.jsp?pnu=3611010700108290000&amp;isNoScr=script&amp;mode=search", "토지이음")</f>
        <v/>
      </c>
      <c r="O151" s="3" t="inlineStr">
        <is>
          <t>명성</t>
        </is>
      </c>
      <c r="P151" s="3" t="n">
        <v>1</v>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116</v>
      </c>
      <c r="K152" s="3" t="inlineStr">
        <is>
          <t>명성공인, 도담동 단독주택 2층 만 단독사용, 별도 출입구 있는 추천매물</t>
        </is>
      </c>
      <c r="L152" s="5">
        <f>HYPERLINK("https://fin.land.naver.com/articles/2646277344", "매물Link")</f>
        <v/>
      </c>
      <c r="M152" s="5">
        <f>HYPERLINK("https://map.naver.com/p/search/나성동 829", "지도Link")</f>
        <v/>
      </c>
      <c r="N152" s="5">
        <f>HYPERLINK("http://www.eum.go.kr/web/ar/lu/luLandDet.jsp?pnu=3611010700108290000&amp;isNoScr=script&amp;mode=search", "토지이음")</f>
        <v/>
      </c>
      <c r="O152" s="3" t="inlineStr">
        <is>
          <t>명성</t>
        </is>
      </c>
      <c r="P152" s="3" t="n">
        <v>1</v>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148</v>
      </c>
      <c r="K153" s="3" t="inlineStr">
        <is>
          <t>태양광,벽난로화목,외부창고,아이들을 위한 나무 아지트</t>
        </is>
      </c>
      <c r="L153" s="5">
        <f>HYPERLINK("https://fin.land.naver.com/articles/2649006402", "매물Link")</f>
        <v/>
      </c>
      <c r="M153" s="5">
        <f>HYPERLINK("https://map.naver.com/p/search/나성동 829", "지도Link")</f>
        <v/>
      </c>
      <c r="N153" s="5">
        <f>HYPERLINK("http://www.eum.go.kr/web/ar/lu/luLandDet.jsp?pnu=3611010700108290000&amp;isNoScr=script&amp;mode=search", "토지이음")</f>
        <v/>
      </c>
      <c r="O153" s="3" t="inlineStr">
        <is>
          <t>세종푸르지오</t>
        </is>
      </c>
      <c r="P153" s="3" t="n">
        <v>1</v>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160</v>
      </c>
      <c r="K154" s="3" t="inlineStr">
        <is>
          <t>입지가 좋고 대지가 반듯하며 튼튼하게 지어진 집</t>
        </is>
      </c>
      <c r="L154" s="5">
        <f>HYPERLINK("https://fin.land.naver.com/articles/2647047749", "매물Link")</f>
        <v/>
      </c>
      <c r="M154" s="5">
        <f>HYPERLINK("https://map.naver.com/p/search/나성동 829", "지도Link")</f>
        <v/>
      </c>
      <c r="N154" s="5">
        <f>HYPERLINK("http://www.eum.go.kr/web/ar/lu/luLandDet.jsp?pnu=3611010700108290000&amp;isNoScr=script&amp;mode=search", "토지이음")</f>
        <v/>
      </c>
      <c r="O154" s="3" t="inlineStr">
        <is>
          <t>세종푸르지오</t>
        </is>
      </c>
      <c r="P154" s="3" t="n">
        <v>1</v>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249</v>
      </c>
      <c r="K155" s="3" t="inlineStr">
        <is>
          <t>2세대가 살면 좋아요.즉시입주,전세도8억 가능,</t>
        </is>
      </c>
      <c r="L155" s="5">
        <f>HYPERLINK("https://fin.land.naver.com/articles/2647393387", "매물Link")</f>
        <v/>
      </c>
      <c r="M155" s="5">
        <f>HYPERLINK("https://map.naver.com/p/search/나성동 829", "지도Link")</f>
        <v/>
      </c>
      <c r="N155" s="5">
        <f>HYPERLINK("http://www.eum.go.kr/web/ar/lu/luLandDet.jsp?pnu=3611010700108290000&amp;isNoScr=script&amp;mode=search", "토지이음")</f>
        <v/>
      </c>
      <c r="O155" s="3" t="inlineStr">
        <is>
          <t>세종리더스</t>
        </is>
      </c>
      <c r="P155" s="3" t="n">
        <v>1</v>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169</v>
      </c>
      <c r="K156" s="3" t="inlineStr">
        <is>
          <t>유동인구 풍부하며 대단위 아파트 밀집지역의 배후에 위치</t>
        </is>
      </c>
      <c r="L156" s="5">
        <f>HYPERLINK("https://fin.land.naver.com/articles/2647908283", "매물Link")</f>
        <v/>
      </c>
      <c r="M156" s="5">
        <f>HYPERLINK("https://map.naver.com/p/search/나성동 829", "지도Link")</f>
        <v/>
      </c>
      <c r="N156" s="5">
        <f>HYPERLINK("http://www.eum.go.kr/web/ar/lu/luLandDet.jsp?pnu=3611010700108290000&amp;isNoScr=script&amp;mode=search", "토지이음")</f>
        <v/>
      </c>
      <c r="O156" s="3" t="inlineStr">
        <is>
          <t>하당</t>
        </is>
      </c>
      <c r="P156" s="3" t="n">
        <v>1</v>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19</v>
      </c>
      <c r="K157" s="3" t="inlineStr">
        <is>
          <t>L 역3분 O즉시입주가능 O풀옵션</t>
        </is>
      </c>
      <c r="L157" s="5">
        <f>HYPERLINK("https://fin.land.naver.com/articles/2645951030", "매물Link")</f>
        <v/>
      </c>
      <c r="M157" s="5">
        <f>HYPERLINK("https://map.naver.com/p/search/나성동 829", "지도Link")</f>
        <v/>
      </c>
      <c r="N157" s="5">
        <f>HYPERLINK("http://www.eum.go.kr/web/ar/lu/luLandDet.jsp?pnu=3611010700108290000&amp;isNoScr=script&amp;mode=search", "토지이음")</f>
        <v/>
      </c>
      <c r="O157" s="3" t="inlineStr">
        <is>
          <t>바다</t>
        </is>
      </c>
      <c r="P157" s="3" t="n">
        <v>1</v>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80</v>
      </c>
      <c r="K158" s="3" t="inlineStr">
        <is>
          <t>홍익대인근 올리모델링 천안세종청주교통팔달 전원형주거지</t>
        </is>
      </c>
      <c r="L158" s="5">
        <f>HYPERLINK("https://fin.land.naver.com/articles/2645893766", "매물Link")</f>
        <v/>
      </c>
      <c r="M158" s="5">
        <f>HYPERLINK("https://map.naver.com/p/search/나성동 829", "지도Link")</f>
        <v/>
      </c>
      <c r="N158" s="5">
        <f>HYPERLINK("http://www.eum.go.kr/web/ar/lu/luLandDet.jsp?pnu=3611010700108290000&amp;isNoScr=script&amp;mode=search", "토지이음")</f>
        <v/>
      </c>
      <c r="O158" s="3" t="inlineStr">
        <is>
          <t>세종OK</t>
        </is>
      </c>
      <c r="P158" s="3" t="n">
        <v>1</v>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19</v>
      </c>
      <c r="K159" s="3" t="inlineStr">
        <is>
          <t>L 역3분 O즉시입주가능 O조용한위치</t>
        </is>
      </c>
      <c r="L159" s="5">
        <f>HYPERLINK("https://fin.land.naver.com/articles/2645570129", "매물Link")</f>
        <v/>
      </c>
      <c r="M159" s="5">
        <f>HYPERLINK("https://map.naver.com/p/search/나성동 829", "지도Link")</f>
        <v/>
      </c>
      <c r="N159" s="5">
        <f>HYPERLINK("http://www.eum.go.kr/web/ar/lu/luLandDet.jsp?pnu=3611010700108290000&amp;isNoScr=script&amp;mode=search", "토지이음")</f>
        <v/>
      </c>
      <c r="O159" s="3" t="inlineStr">
        <is>
          <t>바다</t>
        </is>
      </c>
      <c r="P159" s="3" t="n">
        <v>1</v>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16</v>
      </c>
      <c r="K160" s="3" t="inlineStr">
        <is>
          <t>L 엘베O 역3분 O깔끔한1룸 O즉시입주가능</t>
        </is>
      </c>
      <c r="L160" s="5">
        <f>HYPERLINK("https://fin.land.naver.com/articles/2644862394", "매물Link")</f>
        <v/>
      </c>
      <c r="M160" s="5">
        <f>HYPERLINK("https://map.naver.com/p/search/나성동 829", "지도Link")</f>
        <v/>
      </c>
      <c r="N160" s="5">
        <f>HYPERLINK("http://www.eum.go.kr/web/ar/lu/luLandDet.jsp?pnu=3611010700108290000&amp;isNoScr=script&amp;mode=search", "토지이음")</f>
        <v/>
      </c>
      <c r="O160" s="3" t="inlineStr">
        <is>
          <t>바다</t>
        </is>
      </c>
      <c r="P160" s="3" t="n">
        <v>1</v>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56</v>
      </c>
      <c r="K161" s="3" t="inlineStr">
        <is>
          <t>방1개 소형가구나 세컨하우스로 마당 넓음</t>
        </is>
      </c>
      <c r="L161" s="5">
        <f>HYPERLINK("https://fin.land.naver.com/articles/2646447932", "매물Link")</f>
        <v/>
      </c>
      <c r="M161" s="5">
        <f>HYPERLINK("https://map.naver.com/p/search/나성동 829", "지도Link")</f>
        <v/>
      </c>
      <c r="N161" s="5">
        <f>HYPERLINK("http://www.eum.go.kr/web/ar/lu/luLandDet.jsp?pnu=3611010700108290000&amp;isNoScr=script&amp;mode=search", "토지이음")</f>
        <v/>
      </c>
      <c r="O161" s="3" t="inlineStr">
        <is>
          <t>집구해주는</t>
        </is>
      </c>
      <c r="P161" s="3" t="n">
        <v>1</v>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76</v>
      </c>
      <c r="K162" s="3" t="inlineStr">
        <is>
          <t>4년전에 리모델링 편리한 생활여건</t>
        </is>
      </c>
      <c r="L162" s="5">
        <f>HYPERLINK("https://fin.land.naver.com/articles/2647252382", "매물Link")</f>
        <v/>
      </c>
      <c r="M162" s="5">
        <f>HYPERLINK("https://map.naver.com/p/search/나성동 829", "지도Link")</f>
        <v/>
      </c>
      <c r="N162" s="5">
        <f>HYPERLINK("http://www.eum.go.kr/web/ar/lu/luLandDet.jsp?pnu=3611010700108290000&amp;isNoScr=script&amp;mode=search", "토지이음")</f>
        <v/>
      </c>
      <c r="O162" s="3" t="inlineStr">
        <is>
          <t>가락마을</t>
        </is>
      </c>
      <c r="P162" s="3" t="n">
        <v>1</v>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95</v>
      </c>
      <c r="K163" s="3" t="inlineStr">
        <is>
          <t>텃밭,잔디마당있는 전원주택단지내 초급매주택</t>
        </is>
      </c>
      <c r="L163" s="5">
        <f>HYPERLINK("https://fin.land.naver.com/articles/2648226895", "매물Link")</f>
        <v/>
      </c>
      <c r="M163" s="5">
        <f>HYPERLINK("https://map.naver.com/p/search/나성동 829", "지도Link")</f>
        <v/>
      </c>
      <c r="N163" s="5">
        <f>HYPERLINK("http://www.eum.go.kr/web/ar/lu/luLandDet.jsp?pnu=3611010700108290000&amp;isNoScr=script&amp;mode=search", "토지이음")</f>
        <v/>
      </c>
      <c r="O163" s="3" t="inlineStr">
        <is>
          <t>새샘6단지</t>
        </is>
      </c>
      <c r="P163" s="3" t="n">
        <v>1</v>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50</v>
      </c>
      <c r="K164" s="3" t="inlineStr">
        <is>
          <t>신축주택이예요. 정말 깨끗하고 좋습니다 즉시입주가능해요</t>
        </is>
      </c>
      <c r="L164" s="5">
        <f>HYPERLINK("https://fin.land.naver.com/articles/2649294730", "매물Link")</f>
        <v/>
      </c>
      <c r="M164" s="5">
        <f>HYPERLINK("https://map.naver.com/p/search/나성동 829", "지도Link")</f>
        <v/>
      </c>
      <c r="N164" s="5">
        <f>HYPERLINK("http://www.eum.go.kr/web/ar/lu/luLandDet.jsp?pnu=3611010700108290000&amp;isNoScr=script&amp;mode=search", "토지이음")</f>
        <v/>
      </c>
      <c r="O164" s="3" t="inlineStr">
        <is>
          <t>다온</t>
        </is>
      </c>
      <c r="P164" s="3" t="n">
        <v>1</v>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97</v>
      </c>
      <c r="K165" s="3" t="inlineStr">
        <is>
          <t>장군면 용암리 전원주택 매매.</t>
        </is>
      </c>
      <c r="L165" s="5">
        <f>HYPERLINK("https://fin.land.naver.com/articles/2644146937", "매물Link")</f>
        <v/>
      </c>
      <c r="M165" s="5">
        <f>HYPERLINK("https://map.naver.com/p/search/나성동 829", "지도Link")</f>
        <v/>
      </c>
      <c r="N165" s="5">
        <f>HYPERLINK("http://www.eum.go.kr/web/ar/lu/luLandDet.jsp?pnu=3611010700108290000&amp;isNoScr=script&amp;mode=search", "토지이음")</f>
        <v/>
      </c>
      <c r="O165" s="3" t="inlineStr">
        <is>
          <t>세종강산</t>
        </is>
      </c>
      <c r="P165" s="3" t="n">
        <v>1</v>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99</v>
      </c>
      <c r="K166" s="3" t="inlineStr">
        <is>
          <t>행복도시 5분, 산이 본 토지를 안아 감싸고 있는 형태로 굉장히 매력적임</t>
        </is>
      </c>
      <c r="L166" s="5">
        <f>HYPERLINK("https://fin.land.naver.com/articles/2645606569", "매물Link")</f>
        <v/>
      </c>
      <c r="M166" s="5">
        <f>HYPERLINK("https://map.naver.com/p/search/나성동 829", "지도Link")</f>
        <v/>
      </c>
      <c r="N166" s="5">
        <f>HYPERLINK("http://www.eum.go.kr/web/ar/lu/luLandDet.jsp?pnu=3611010700108290000&amp;isNoScr=script&amp;mode=search", "토지이음")</f>
        <v/>
      </c>
      <c r="O166" s="3" t="inlineStr">
        <is>
          <t>미스터홈즈강남지사</t>
        </is>
      </c>
      <c r="P166" s="3" t="n">
        <v>1</v>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139</v>
      </c>
      <c r="K167" s="3" t="inlineStr">
        <is>
          <t>금강변 전원주택 2층 단독주택, 소나무 조경 잘되어있고 조망 잘나옴</t>
        </is>
      </c>
      <c r="L167" s="5">
        <f>HYPERLINK("https://fin.land.naver.com/articles/2644424692", "매물Link")</f>
        <v/>
      </c>
      <c r="M167" s="5">
        <f>HYPERLINK("https://map.naver.com/p/search/나성동 829", "지도Link")</f>
        <v/>
      </c>
      <c r="N167" s="5">
        <f>HYPERLINK("http://www.eum.go.kr/web/ar/lu/luLandDet.jsp?pnu=3611010700108290000&amp;isNoScr=script&amp;mode=search", "토지이음")</f>
        <v/>
      </c>
      <c r="O167" s="3" t="inlineStr">
        <is>
          <t>금돼지</t>
        </is>
      </c>
      <c r="P167" s="3" t="n">
        <v>1</v>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196</v>
      </c>
      <c r="K168" s="3" t="inlineStr">
        <is>
          <t>nan</t>
        </is>
      </c>
      <c r="L168" s="5">
        <f>HYPERLINK("https://fin.land.naver.com/articles/2645490591", "매물Link")</f>
        <v/>
      </c>
      <c r="M168" s="5">
        <f>HYPERLINK("https://map.naver.com/p/search/나성동 829", "지도Link")</f>
        <v/>
      </c>
      <c r="N168" s="5">
        <f>HYPERLINK("http://www.eum.go.kr/web/ar/lu/luLandDet.jsp?pnu=3611010700108290000&amp;isNoScr=script&amp;mode=search", "토지이음")</f>
        <v/>
      </c>
      <c r="O168" s="3" t="inlineStr">
        <is>
          <t>THE다온</t>
        </is>
      </c>
      <c r="P168" s="3" t="n">
        <v>1</v>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392</v>
      </c>
      <c r="K169" s="3" t="inlineStr">
        <is>
          <t>장군면 최고의 위치</t>
        </is>
      </c>
      <c r="L169" s="5">
        <f>HYPERLINK("https://fin.land.naver.com/articles/2646827981", "매물Link")</f>
        <v/>
      </c>
      <c r="M169" s="5">
        <f>HYPERLINK("https://map.naver.com/p/search/나성동 829", "지도Link")</f>
        <v/>
      </c>
      <c r="N169" s="5">
        <f>HYPERLINK("http://www.eum.go.kr/web/ar/lu/luLandDet.jsp?pnu=3611010700108290000&amp;isNoScr=script&amp;mode=search", "토지이음")</f>
        <v/>
      </c>
      <c r="O169" s="3" t="inlineStr">
        <is>
          <t>새땅</t>
        </is>
      </c>
      <c r="P169" s="3" t="n">
        <v>1</v>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106</v>
      </c>
      <c r="K170" s="3" t="inlineStr">
        <is>
          <t>송선지구주변예쁜전원주택,멀리보이는트인뷰,보시면 살고싶은집</t>
        </is>
      </c>
      <c r="L170" s="5">
        <f>HYPERLINK("https://fin.land.naver.com/articles/2646435782", "매물Link")</f>
        <v/>
      </c>
      <c r="M170" s="5">
        <f>HYPERLINK("https://map.naver.com/p/search/나성동 829", "지도Link")</f>
        <v/>
      </c>
      <c r="N170" s="5">
        <f>HYPERLINK("http://www.eum.go.kr/web/ar/lu/luLandDet.jsp?pnu=3611010700108290000&amp;isNoScr=script&amp;mode=search", "토지이음")</f>
        <v/>
      </c>
      <c r="O170" s="3" t="inlineStr">
        <is>
          <t>고운햇살</t>
        </is>
      </c>
      <c r="P170" s="3" t="n">
        <v>1</v>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71</v>
      </c>
      <c r="K171" s="3" t="inlineStr">
        <is>
          <t>2층 단독주택,마당이 넓음,샷시등 리모델링 완료,가격조정가능</t>
        </is>
      </c>
      <c r="L171" s="5">
        <f>HYPERLINK("https://fin.land.naver.com/articles/2646567034", "매물Link")</f>
        <v/>
      </c>
      <c r="M171" s="5">
        <f>HYPERLINK("https://map.naver.com/p/search/나성동 829", "지도Link")</f>
        <v/>
      </c>
      <c r="N171" s="5">
        <f>HYPERLINK("http://www.eum.go.kr/web/ar/lu/luLandDet.jsp?pnu=3611010700108290000&amp;isNoScr=script&amp;mode=search", "토지이음")</f>
        <v/>
      </c>
      <c r="O171" s="3" t="inlineStr">
        <is>
          <t>오케이세종</t>
        </is>
      </c>
      <c r="P171" s="3" t="n">
        <v>1</v>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26</v>
      </c>
      <c r="K172" s="3" t="inlineStr">
        <is>
          <t>주변경관.전망굿.교통굿.넓은주차장</t>
        </is>
      </c>
      <c r="L172" s="5">
        <f>HYPERLINK("https://fin.land.naver.com/articles/2648708956", "매물Link")</f>
        <v/>
      </c>
      <c r="M172" s="5">
        <f>HYPERLINK("https://map.naver.com/p/search/나성동 829", "지도Link")</f>
        <v/>
      </c>
      <c r="N172" s="5">
        <f>HYPERLINK("http://www.eum.go.kr/web/ar/lu/luLandDet.jsp?pnu=3611010700108290000&amp;isNoScr=script&amp;mode=search", "토지이음")</f>
        <v/>
      </c>
      <c r="O172" s="3" t="inlineStr">
        <is>
          <t>세종OK</t>
        </is>
      </c>
      <c r="P172" s="3" t="n">
        <v>1</v>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123</v>
      </c>
      <c r="K173" s="3" t="inlineStr">
        <is>
          <t>금강수목원 맞은편, 탁 트인뷰, 자연소나무 활용</t>
        </is>
      </c>
      <c r="L173" s="5">
        <f>HYPERLINK("https://fin.land.naver.com/articles/2644177645", "매물Link")</f>
        <v/>
      </c>
      <c r="M173" s="5">
        <f>HYPERLINK("https://map.naver.com/p/search/나성동 829", "지도Link")</f>
        <v/>
      </c>
      <c r="N173" s="5">
        <f>HYPERLINK("http://www.eum.go.kr/web/ar/lu/luLandDet.jsp?pnu=3611010700108290000&amp;isNoScr=script&amp;mode=search", "토지이음")</f>
        <v/>
      </c>
      <c r="O173" s="3" t="inlineStr">
        <is>
          <t>최프로</t>
        </is>
      </c>
      <c r="P173" s="3" t="n">
        <v>1</v>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84</v>
      </c>
      <c r="K174" s="3" t="inlineStr">
        <is>
          <t>세종시4생활권에 접한 아름다운 마을 시골집</t>
        </is>
      </c>
      <c r="L174" s="5">
        <f>HYPERLINK("https://fin.land.naver.com/articles/2644609103", "매물Link")</f>
        <v/>
      </c>
      <c r="M174" s="5">
        <f>HYPERLINK("https://map.naver.com/p/search/나성동 829", "지도Link")</f>
        <v/>
      </c>
      <c r="N174" s="5">
        <f>HYPERLINK("http://www.eum.go.kr/web/ar/lu/luLandDet.jsp?pnu=3611010700108290000&amp;isNoScr=script&amp;mode=search", "토지이음")</f>
        <v/>
      </c>
      <c r="O174" s="3" t="inlineStr">
        <is>
          <t>하늘채</t>
        </is>
      </c>
      <c r="P174" s="3" t="n">
        <v>1</v>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84</v>
      </c>
      <c r="K175" s="3" t="inlineStr">
        <is>
          <t>단독주택 1층 사용, 에어컨, 9월입주협의</t>
        </is>
      </c>
      <c r="L175" s="5">
        <f>HYPERLINK("https://fin.land.naver.com/articles/2645772689", "매물Link")</f>
        <v/>
      </c>
      <c r="M175" s="5">
        <f>HYPERLINK("https://map.naver.com/p/search/나성동 829", "지도Link")</f>
        <v/>
      </c>
      <c r="N175" s="5">
        <f>HYPERLINK("http://www.eum.go.kr/web/ar/lu/luLandDet.jsp?pnu=3611010700108290000&amp;isNoScr=script&amp;mode=search", "토지이음")</f>
        <v/>
      </c>
      <c r="O175" s="3" t="inlineStr">
        <is>
          <t>세종제일</t>
        </is>
      </c>
      <c r="P175" s="3" t="n">
        <v>1</v>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36</v>
      </c>
      <c r="K176" s="3" t="inlineStr">
        <is>
          <t>구옥,리모델링추천,공실,용포리시장에위치한구옥,연락주시면보여드려요</t>
        </is>
      </c>
      <c r="L176" s="5">
        <f>HYPERLINK("https://fin.land.naver.com/articles/2646453995", "매물Link")</f>
        <v/>
      </c>
      <c r="M176" s="5">
        <f>HYPERLINK("https://map.naver.com/p/search/나성동 829", "지도Link")</f>
        <v/>
      </c>
      <c r="N176" s="5">
        <f>HYPERLINK("http://www.eum.go.kr/web/ar/lu/luLandDet.jsp?pnu=3611010700108290000&amp;isNoScr=script&amp;mode=search", "토지이음")</f>
        <v/>
      </c>
      <c r="O176" s="3" t="inlineStr">
        <is>
          <t>고운햇살</t>
        </is>
      </c>
      <c r="P176" s="3" t="n">
        <v>1</v>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487</v>
      </c>
      <c r="K177" s="3" t="inlineStr">
        <is>
          <t>1층 편의점 입점된 고수익 보장된  최고의  다가구 건물</t>
        </is>
      </c>
      <c r="L177" s="5">
        <f>HYPERLINK("https://fin.land.naver.com/articles/2647196959", "매물Link")</f>
        <v/>
      </c>
      <c r="M177" s="5">
        <f>HYPERLINK("https://map.naver.com/p/search/나성동 829", "지도Link")</f>
        <v/>
      </c>
      <c r="N177" s="5">
        <f>HYPERLINK("http://www.eum.go.kr/web/ar/lu/luLandDet.jsp?pnu=3611010700108290000&amp;isNoScr=script&amp;mode=search", "토지이음")</f>
        <v/>
      </c>
      <c r="O177" s="3" t="inlineStr">
        <is>
          <t>한뜰5단지</t>
        </is>
      </c>
      <c r="P177" s="3" t="n">
        <v>1</v>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196</v>
      </c>
      <c r="K178" s="3" t="inlineStr">
        <is>
          <t>nan</t>
        </is>
      </c>
      <c r="L178" s="5">
        <f>HYPERLINK("https://fin.land.naver.com/articles/2644186609", "매물Link")</f>
        <v/>
      </c>
      <c r="M178" s="5">
        <f>HYPERLINK("https://map.naver.com/p/search/나성동 829", "지도Link")</f>
        <v/>
      </c>
      <c r="N178" s="5">
        <f>HYPERLINK("http://www.eum.go.kr/web/ar/lu/luLandDet.jsp?pnu=3611010700108290000&amp;isNoScr=script&amp;mode=search", "토지이음")</f>
        <v/>
      </c>
      <c r="O178" s="3" t="inlineStr">
        <is>
          <t>터이음</t>
        </is>
      </c>
      <c r="P178" s="3" t="n">
        <v>1</v>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64</v>
      </c>
      <c r="K179" s="3" t="inlineStr">
        <is>
          <t>연서면 월하리 단독주택, 향후 지가상승 예상 매물로 급매 합니다.</t>
        </is>
      </c>
      <c r="L179" s="5">
        <f>HYPERLINK("https://fin.land.naver.com/articles/2649477820", "매물Link")</f>
        <v/>
      </c>
      <c r="M179" s="5">
        <f>HYPERLINK("https://map.naver.com/p/search/나성동 829", "지도Link")</f>
        <v/>
      </c>
      <c r="N179" s="5">
        <f>HYPERLINK("http://www.eum.go.kr/web/ar/lu/luLandDet.jsp?pnu=3611010700108290000&amp;isNoScr=script&amp;mode=search", "토지이음")</f>
        <v/>
      </c>
      <c r="O179" s="3" t="inlineStr">
        <is>
          <t>세종강산</t>
        </is>
      </c>
      <c r="P179" s="3" t="n">
        <v>1</v>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29</v>
      </c>
      <c r="K180" s="3" t="inlineStr">
        <is>
          <t>엘레베이터 풀옵션 1.2룸 세종근접 강력추천</t>
        </is>
      </c>
      <c r="L180" s="5">
        <f>HYPERLINK("https://fin.land.naver.com/articles/2647363258", "매물Link")</f>
        <v/>
      </c>
      <c r="M180" s="5">
        <f>HYPERLINK("https://map.naver.com/p/search/나성동 829", "지도Link")</f>
        <v/>
      </c>
      <c r="N180" s="5">
        <f>HYPERLINK("http://www.eum.go.kr/web/ar/lu/luLandDet.jsp?pnu=3611010700108290000&amp;isNoScr=script&amp;mode=search", "토지이음")</f>
        <v/>
      </c>
      <c r="O180" s="3" t="inlineStr">
        <is>
          <t>엄지척</t>
        </is>
      </c>
      <c r="P180" s="3" t="n">
        <v>1</v>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139</v>
      </c>
      <c r="K181" s="3" t="inlineStr">
        <is>
          <t>도로 코너자리 주택,조절 가능</t>
        </is>
      </c>
      <c r="L181" s="5">
        <f>HYPERLINK("https://fin.land.naver.com/articles/2644277584", "매물Link")</f>
        <v/>
      </c>
      <c r="M181" s="5">
        <f>HYPERLINK("https://map.naver.com/p/search/나성동 829", "지도Link")</f>
        <v/>
      </c>
      <c r="N181" s="5">
        <f>HYPERLINK("http://www.eum.go.kr/web/ar/lu/luLandDet.jsp?pnu=3611010700108290000&amp;isNoScr=script&amp;mode=search", "토지이음")</f>
        <v/>
      </c>
      <c r="O181" s="3" t="inlineStr">
        <is>
          <t>신나라</t>
        </is>
      </c>
      <c r="P181" s="3" t="n">
        <v>1</v>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116</v>
      </c>
      <c r="K182" s="3" t="inlineStr">
        <is>
          <t>nan</t>
        </is>
      </c>
      <c r="L182" s="5">
        <f>HYPERLINK("https://fin.land.naver.com/articles/2644683314", "매물Link")</f>
        <v/>
      </c>
      <c r="M182" s="5">
        <f>HYPERLINK("https://map.naver.com/p/search/나성동 829", "지도Link")</f>
        <v/>
      </c>
      <c r="N182" s="5">
        <f>HYPERLINK("http://www.eum.go.kr/web/ar/lu/luLandDet.jsp?pnu=3611010700108290000&amp;isNoScr=script&amp;mode=search", "토지이음")</f>
        <v/>
      </c>
      <c r="O182" s="3" t="inlineStr">
        <is>
          <t>운산</t>
        </is>
      </c>
      <c r="P182" s="3" t="n">
        <v>1</v>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98</v>
      </c>
      <c r="K183" s="3" t="inlineStr">
        <is>
          <t>전원주택이예요.</t>
        </is>
      </c>
      <c r="L183" s="5">
        <f>HYPERLINK("https://fin.land.naver.com/articles/2646894389", "매물Link")</f>
        <v/>
      </c>
      <c r="M183" s="5">
        <f>HYPERLINK("https://map.naver.com/p/search/나성동 829", "지도Link")</f>
        <v/>
      </c>
      <c r="N183" s="5">
        <f>HYPERLINK("http://www.eum.go.kr/web/ar/lu/luLandDet.jsp?pnu=3611010700108290000&amp;isNoScr=script&amp;mode=search", "토지이음")</f>
        <v/>
      </c>
      <c r="O183" s="3" t="inlineStr">
        <is>
          <t>강동</t>
        </is>
      </c>
      <c r="P183" s="3" t="n">
        <v>1</v>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50</v>
      </c>
      <c r="K184" s="3" t="inlineStr">
        <is>
          <t>농가주택 매매</t>
        </is>
      </c>
      <c r="L184" s="5">
        <f>HYPERLINK("https://fin.land.naver.com/articles/2648426243", "매물Link")</f>
        <v/>
      </c>
      <c r="M184" s="5">
        <f>HYPERLINK("https://map.naver.com/p/search/나성동 829", "지도Link")</f>
        <v/>
      </c>
      <c r="N184" s="5">
        <f>HYPERLINK("http://www.eum.go.kr/web/ar/lu/luLandDet.jsp?pnu=3611010700108290000&amp;isNoScr=script&amp;mode=search", "토지이음")</f>
        <v/>
      </c>
      <c r="O184" s="3" t="inlineStr">
        <is>
          <t>한솔랜드</t>
        </is>
      </c>
      <c r="P184" s="3" t="n">
        <v>1</v>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143</v>
      </c>
      <c r="K185" s="3" t="inlineStr">
        <is>
          <t>I 신한 I 넓은 마당과 2차선 도로 접함, 추가 건축 가능한 입지 최상</t>
        </is>
      </c>
      <c r="L185" s="5">
        <f>HYPERLINK("https://fin.land.naver.com/articles/2644889052", "매물Link")</f>
        <v/>
      </c>
      <c r="M185" s="5">
        <f>HYPERLINK("https://map.naver.com/p/search/나성동 829", "지도Link")</f>
        <v/>
      </c>
      <c r="N185" s="5">
        <f>HYPERLINK("http://www.eum.go.kr/web/ar/lu/luLandDet.jsp?pnu=3611010700108290000&amp;isNoScr=script&amp;mode=search", "토지이음")</f>
        <v/>
      </c>
      <c r="O185" s="3" t="inlineStr">
        <is>
          <t>세종신한</t>
        </is>
      </c>
      <c r="P185" s="3" t="n">
        <v>1</v>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98</v>
      </c>
      <c r="K186" s="3" t="inlineStr">
        <is>
          <t>관리 잘된 깨끗한  주택 입니다.</t>
        </is>
      </c>
      <c r="L186" s="5">
        <f>HYPERLINK("https://fin.land.naver.com/articles/2646721023", "매물Link")</f>
        <v/>
      </c>
      <c r="M186" s="5">
        <f>HYPERLINK("https://map.naver.com/p/search/나성동 829", "지도Link")</f>
        <v/>
      </c>
      <c r="N186" s="5">
        <f>HYPERLINK("http://www.eum.go.kr/web/ar/lu/luLandDet.jsp?pnu=3611010700108290000&amp;isNoScr=script&amp;mode=search", "토지이음")</f>
        <v/>
      </c>
      <c r="O186" s="3" t="inlineStr">
        <is>
          <t>유진</t>
        </is>
      </c>
      <c r="P186" s="3" t="n">
        <v>1</v>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207</v>
      </c>
      <c r="K187" s="3" t="inlineStr">
        <is>
          <t>보덕리 단독주택  방3개 화2 단독</t>
        </is>
      </c>
      <c r="L187" s="5">
        <f>HYPERLINK("https://fin.land.naver.com/articles/2649232518", "매물Link")</f>
        <v/>
      </c>
      <c r="M187" s="5">
        <f>HYPERLINK("https://map.naver.com/p/search/나성동 829", "지도Link")</f>
        <v/>
      </c>
      <c r="N187" s="5">
        <f>HYPERLINK("http://www.eum.go.kr/web/ar/lu/luLandDet.jsp?pnu=3611010700108290000&amp;isNoScr=script&amp;mode=search", "토지이음")</f>
        <v/>
      </c>
      <c r="O187" s="3" t="inlineStr">
        <is>
          <t>욱일</t>
        </is>
      </c>
      <c r="P187" s="3" t="n">
        <v>1</v>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17</v>
      </c>
      <c r="K188" s="3" t="inlineStr">
        <is>
          <t>nan</t>
        </is>
      </c>
      <c r="L188" s="5">
        <f>HYPERLINK("https://fin.land.naver.com/articles/2648320532", "매물Link")</f>
        <v/>
      </c>
      <c r="M188" s="5">
        <f>HYPERLINK("https://map.naver.com/p/search/나성동 829", "지도Link")</f>
        <v/>
      </c>
      <c r="N188" s="5">
        <f>HYPERLINK("http://www.eum.go.kr/web/ar/lu/luLandDet.jsp?pnu=3611010700108290000&amp;isNoScr=script&amp;mode=search", "토지이음")</f>
        <v/>
      </c>
      <c r="O188" s="3" t="inlineStr">
        <is>
          <t>북세종</t>
        </is>
      </c>
      <c r="P188" s="3" t="n">
        <v>1</v>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22</v>
      </c>
      <c r="K189" s="3" t="inlineStr">
        <is>
          <t>원룸 풀옵션 관리비8만원별도</t>
        </is>
      </c>
      <c r="L189" s="5">
        <f>HYPERLINK("https://fin.land.naver.com/articles/2648335104", "매물Link")</f>
        <v/>
      </c>
      <c r="M189" s="5">
        <f>HYPERLINK("https://map.naver.com/p/search/나성동 829", "지도Link")</f>
        <v/>
      </c>
      <c r="N189" s="5">
        <f>HYPERLINK("http://www.eum.go.kr/web/ar/lu/luLandDet.jsp?pnu=3611010700108290000&amp;isNoScr=script&amp;mode=search", "토지이음")</f>
        <v/>
      </c>
      <c r="O189" s="3" t="inlineStr">
        <is>
          <t>북세종</t>
        </is>
      </c>
      <c r="P189" s="3" t="n">
        <v>1</v>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82</v>
      </c>
      <c r="K190" s="3" t="inlineStr">
        <is>
          <t>세종시 전의면 동교리의 2차선 국토에 접한 주택</t>
        </is>
      </c>
      <c r="L190" s="5">
        <f>HYPERLINK("https://fin.land.naver.com/articles/2648560528", "매물Link")</f>
        <v/>
      </c>
      <c r="M190" s="5">
        <f>HYPERLINK("https://map.naver.com/p/search/나성동 829", "지도Link")</f>
        <v/>
      </c>
      <c r="N190" s="5">
        <f>HYPERLINK("http://www.eum.go.kr/web/ar/lu/luLandDet.jsp?pnu=3611010700108290000&amp;isNoScr=script&amp;mode=search", "토지이음")</f>
        <v/>
      </c>
      <c r="O190" s="3" t="inlineStr">
        <is>
          <t>세종베스트</t>
        </is>
      </c>
      <c r="P190" s="3" t="n">
        <v>1</v>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54</v>
      </c>
      <c r="K191" s="3" t="inlineStr">
        <is>
          <t>산단 가까운 교통 좋은 곳이에요</t>
        </is>
      </c>
      <c r="L191" s="5">
        <f>HYPERLINK("https://fin.land.naver.com/articles/2644258269", "매물Link")</f>
        <v/>
      </c>
      <c r="M191" s="5">
        <f>HYPERLINK("https://map.naver.com/p/search/나성동 829", "지도Link")</f>
        <v/>
      </c>
      <c r="N191" s="5">
        <f>HYPERLINK("http://www.eum.go.kr/web/ar/lu/luLandDet.jsp?pnu=3611010700108290000&amp;isNoScr=script&amp;mode=search", "토지이음")</f>
        <v/>
      </c>
      <c r="O191" s="3" t="inlineStr">
        <is>
          <t>유진</t>
        </is>
      </c>
      <c r="P191" s="3" t="n">
        <v>1</v>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54</v>
      </c>
      <c r="K192" s="3" t="inlineStr">
        <is>
          <t>즉시 입주 가능한 깨끗한 집이에요.</t>
        </is>
      </c>
      <c r="L192" s="5">
        <f>HYPERLINK("https://fin.land.naver.com/articles/2646711601", "매물Link")</f>
        <v/>
      </c>
      <c r="M192" s="5">
        <f>HYPERLINK("https://map.naver.com/p/search/나성동 829", "지도Link")</f>
        <v/>
      </c>
      <c r="N192" s="5">
        <f>HYPERLINK("http://www.eum.go.kr/web/ar/lu/luLandDet.jsp?pnu=3611010700108290000&amp;isNoScr=script&amp;mode=search", "토지이음")</f>
        <v/>
      </c>
      <c r="O192" s="3" t="inlineStr">
        <is>
          <t>유진</t>
        </is>
      </c>
      <c r="P192" s="3" t="n">
        <v>1</v>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126</v>
      </c>
      <c r="K193" s="3" t="inlineStr">
        <is>
          <t>내부 전체 리모델링 된 깨끗한 주택입니다.</t>
        </is>
      </c>
      <c r="L193" s="5">
        <f>HYPERLINK("https://fin.land.naver.com/articles/2646712374", "매물Link")</f>
        <v/>
      </c>
      <c r="M193" s="5">
        <f>HYPERLINK("https://map.naver.com/p/search/나성동 829", "지도Link")</f>
        <v/>
      </c>
      <c r="N193" s="5">
        <f>HYPERLINK("http://www.eum.go.kr/web/ar/lu/luLandDet.jsp?pnu=3611010700108290000&amp;isNoScr=script&amp;mode=search", "토지이음")</f>
        <v/>
      </c>
      <c r="O193" s="3" t="inlineStr">
        <is>
          <t>유진</t>
        </is>
      </c>
      <c r="P193" s="3" t="n">
        <v>1</v>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98</v>
      </c>
      <c r="K194" s="3" t="inlineStr">
        <is>
          <t>nan</t>
        </is>
      </c>
      <c r="L194" s="5">
        <f>HYPERLINK("https://fin.land.naver.com/articles/2644177869", "매물Link")</f>
        <v/>
      </c>
      <c r="M194" s="5">
        <f>HYPERLINK("https://map.naver.com/p/search/나성동 829", "지도Link")</f>
        <v/>
      </c>
      <c r="N194" s="5">
        <f>HYPERLINK("http://www.eum.go.kr/web/ar/lu/luLandDet.jsp?pnu=3611010700108290000&amp;isNoScr=script&amp;mode=search", "토지이음")</f>
        <v/>
      </c>
      <c r="O194" s="3" t="inlineStr">
        <is>
          <t>최프로</t>
        </is>
      </c>
      <c r="P194" s="3" t="n">
        <v>1</v>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98</v>
      </c>
      <c r="K195" s="3" t="inlineStr">
        <is>
          <t>텃밭.이쁜전원주택.</t>
        </is>
      </c>
      <c r="L195" s="5">
        <f>HYPERLINK("https://fin.land.naver.com/articles/2644891449", "매물Link")</f>
        <v/>
      </c>
      <c r="M195" s="5">
        <f>HYPERLINK("https://map.naver.com/p/search/나성동 829", "지도Link")</f>
        <v/>
      </c>
      <c r="N195" s="5">
        <f>HYPERLINK("http://www.eum.go.kr/web/ar/lu/luLandDet.jsp?pnu=3611010700108290000&amp;isNoScr=script&amp;mode=search", "토지이음")</f>
        <v/>
      </c>
      <c r="O195" s="3" t="inlineStr">
        <is>
          <t>황금자이(단지내02-304-2416)</t>
        </is>
      </c>
      <c r="P195" s="3" t="n">
        <v>1</v>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568</v>
      </c>
      <c r="K196" s="3" t="inlineStr">
        <is>
          <t>협의입주가능,공실 없어요.</t>
        </is>
      </c>
      <c r="L196" s="5">
        <f>HYPERLINK("https://fin.land.naver.com/articles/2647391134", "매물Link")</f>
        <v/>
      </c>
      <c r="M196" s="5">
        <f>HYPERLINK("https://map.naver.com/p/search/나성동 829", "지도Link")</f>
        <v/>
      </c>
      <c r="N196" s="5">
        <f>HYPERLINK("http://www.eum.go.kr/web/ar/lu/luLandDet.jsp?pnu=3611010700108290000&amp;isNoScr=script&amp;mode=search", "토지이음")</f>
        <v/>
      </c>
      <c r="O196" s="3" t="inlineStr">
        <is>
          <t>세종리더스</t>
        </is>
      </c>
      <c r="P196" s="3" t="n">
        <v>1</v>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70</v>
      </c>
      <c r="K197" s="3" t="inlineStr">
        <is>
          <t>세종신도시와 조치원 사이 위치, 1번국도 인접, 투자용, 실입주 가능</t>
        </is>
      </c>
      <c r="L197" s="5">
        <f>HYPERLINK("https://fin.land.naver.com/articles/2647262979", "매물Link")</f>
        <v/>
      </c>
      <c r="M197" s="5">
        <f>HYPERLINK("https://map.naver.com/p/search/나성동 829", "지도Link")</f>
        <v/>
      </c>
      <c r="N197" s="5">
        <f>HYPERLINK("http://www.eum.go.kr/web/ar/lu/luLandDet.jsp?pnu=3611010700108290000&amp;isNoScr=script&amp;mode=search", "토지이음")</f>
        <v/>
      </c>
      <c r="O197" s="3" t="inlineStr">
        <is>
          <t>세종공감</t>
        </is>
      </c>
      <c r="P197" s="3" t="n">
        <v>2</v>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172</v>
      </c>
      <c r="K198" s="3" t="inlineStr">
        <is>
          <t>급매로 공실 조용하고 공기맑은 곳 세종시 10분내 진입</t>
        </is>
      </c>
      <c r="L198" s="5">
        <f>HYPERLINK("https://fin.land.naver.com/articles/2647132241", "매물Link")</f>
        <v/>
      </c>
      <c r="M198" s="5">
        <f>HYPERLINK("https://map.naver.com/p/search/나성동 829", "지도Link")</f>
        <v/>
      </c>
      <c r="N198" s="5">
        <f>HYPERLINK("http://www.eum.go.kr/web/ar/lu/luLandDet.jsp?pnu=3611010700108290000&amp;isNoScr=script&amp;mode=search", "토지이음")</f>
        <v/>
      </c>
      <c r="O198" s="3" t="inlineStr">
        <is>
          <t>나성행복주는</t>
        </is>
      </c>
      <c r="P198" s="3" t="n">
        <v>1</v>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95</v>
      </c>
      <c r="K199" s="3" t="inlineStr">
        <is>
          <t>세종시 인접 전원주택  세입자있음 (계약시 협조하기로 함)</t>
        </is>
      </c>
      <c r="L199" s="5">
        <f>HYPERLINK("https://fin.land.naver.com/articles/2647139691", "매물Link")</f>
        <v/>
      </c>
      <c r="M199" s="5">
        <f>HYPERLINK("https://map.naver.com/p/search/나성동 829", "지도Link")</f>
        <v/>
      </c>
      <c r="N199" s="5">
        <f>HYPERLINK("http://www.eum.go.kr/web/ar/lu/luLandDet.jsp?pnu=3611010700108290000&amp;isNoScr=script&amp;mode=search", "토지이음")</f>
        <v/>
      </c>
      <c r="O199" s="3" t="inlineStr">
        <is>
          <t>신일류</t>
        </is>
      </c>
      <c r="P199" s="3" t="n">
        <v>1</v>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96</v>
      </c>
      <c r="K200" s="3" t="inlineStr">
        <is>
          <t>일반주거지역내 2종 근생시설</t>
        </is>
      </c>
      <c r="L200" s="5">
        <f>HYPERLINK("https://fin.land.naver.com/articles/2648111025", "매물Link")</f>
        <v/>
      </c>
      <c r="M200" s="5">
        <f>HYPERLINK("https://map.naver.com/p/search/나성동 829", "지도Link")</f>
        <v/>
      </c>
      <c r="N200" s="5">
        <f>HYPERLINK("http://www.eum.go.kr/web/ar/lu/luLandDet.jsp?pnu=3611010700108290000&amp;isNoScr=script&amp;mode=search", "토지이음")</f>
        <v/>
      </c>
      <c r="O200" s="3" t="inlineStr">
        <is>
          <t>신안</t>
        </is>
      </c>
      <c r="P200" s="3" t="n">
        <v>1</v>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116</v>
      </c>
      <c r="K201" s="3" t="inlineStr">
        <is>
          <t>신도시 가까운곳으로 조용하고 독립된 위치</t>
        </is>
      </c>
      <c r="L201" s="5">
        <f>HYPERLINK("https://fin.land.naver.com/articles/2649099049", "매물Link")</f>
        <v/>
      </c>
      <c r="M201" s="5">
        <f>HYPERLINK("https://map.naver.com/p/search/나성동 829", "지도Link")</f>
        <v/>
      </c>
      <c r="N201" s="5">
        <f>HYPERLINK("http://www.eum.go.kr/web/ar/lu/luLandDet.jsp?pnu=3611010700108290000&amp;isNoScr=script&amp;mode=search", "토지이음")</f>
        <v/>
      </c>
      <c r="O201" s="3" t="inlineStr">
        <is>
          <t>신안</t>
        </is>
      </c>
      <c r="P201" s="3" t="n">
        <v>1</v>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251</v>
      </c>
      <c r="K202" s="3" t="inlineStr">
        <is>
          <t>nan</t>
        </is>
      </c>
      <c r="L202" s="5">
        <f>HYPERLINK("https://fin.land.naver.com/articles/2647934427", "매물Link")</f>
        <v/>
      </c>
      <c r="M202" s="5">
        <f>HYPERLINK("https://map.naver.com/p/search/나성동 829", "지도Link")</f>
        <v/>
      </c>
      <c r="N202" s="5">
        <f>HYPERLINK("http://www.eum.go.kr/web/ar/lu/luLandDet.jsp?pnu=3611010700108290000&amp;isNoScr=script&amp;mode=search", "토지이음")</f>
        <v/>
      </c>
      <c r="O202" s="3" t="inlineStr">
        <is>
          <t>운산</t>
        </is>
      </c>
      <c r="P202" s="3" t="n">
        <v>1</v>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298</v>
      </c>
      <c r="K203" s="3" t="inlineStr">
        <is>
          <t>수익성통건물원룸.연세.홍대초근접</t>
        </is>
      </c>
      <c r="L203" s="5">
        <f>HYPERLINK("https://fin.land.naver.com/articles/2648132044", "매물Link")</f>
        <v/>
      </c>
      <c r="M203" s="5">
        <f>HYPERLINK("https://map.naver.com/p/search/나성동 829", "지도Link")</f>
        <v/>
      </c>
      <c r="N203" s="5">
        <f>HYPERLINK("http://www.eum.go.kr/web/ar/lu/luLandDet.jsp?pnu=3611010700108290000&amp;isNoScr=script&amp;mode=search", "토지이음")</f>
        <v/>
      </c>
      <c r="O203" s="3" t="inlineStr">
        <is>
          <t>세종새빛</t>
        </is>
      </c>
      <c r="P203" s="3" t="n">
        <v>1</v>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320</v>
      </c>
      <c r="K204" s="3" t="inlineStr">
        <is>
          <t>nan</t>
        </is>
      </c>
      <c r="L204" s="5">
        <f>HYPERLINK("https://fin.land.naver.com/articles/2648287811", "매물Link")</f>
        <v/>
      </c>
      <c r="M204" s="5">
        <f>HYPERLINK("https://map.naver.com/p/search/나성동 829", "지도Link")</f>
        <v/>
      </c>
      <c r="N204" s="5">
        <f>HYPERLINK("http://www.eum.go.kr/web/ar/lu/luLandDet.jsp?pnu=3611010700108290000&amp;isNoScr=script&amp;mode=search", "토지이음")</f>
        <v/>
      </c>
      <c r="O204" s="3" t="inlineStr">
        <is>
          <t>황금</t>
        </is>
      </c>
      <c r="P204" s="3" t="n">
        <v>1</v>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20</v>
      </c>
      <c r="K205" s="3" t="inlineStr">
        <is>
          <t>1.5룸 관리비포함35만원</t>
        </is>
      </c>
      <c r="L205" s="5">
        <f>HYPERLINK("https://fin.land.naver.com/articles/2649426309", "매물Link")</f>
        <v/>
      </c>
      <c r="M205" s="5">
        <f>HYPERLINK("https://map.naver.com/p/search/나성동 829", "지도Link")</f>
        <v/>
      </c>
      <c r="N205" s="5">
        <f>HYPERLINK("http://www.eum.go.kr/web/ar/lu/luLandDet.jsp?pnu=3611010700108290000&amp;isNoScr=script&amp;mode=search", "토지이음")</f>
        <v/>
      </c>
      <c r="O205" s="3" t="inlineStr">
        <is>
          <t>골드</t>
        </is>
      </c>
      <c r="P205" s="3" t="n">
        <v>1</v>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581</v>
      </c>
      <c r="K206" s="3" t="inlineStr">
        <is>
          <t>연세로 5천만원 받아요.방20개</t>
        </is>
      </c>
      <c r="L206" s="5">
        <f>HYPERLINK("https://fin.land.naver.com/articles/2649614007", "매물Link")</f>
        <v/>
      </c>
      <c r="M206" s="5">
        <f>HYPERLINK("https://map.naver.com/p/search/나성동 829", "지도Link")</f>
        <v/>
      </c>
      <c r="N206" s="5">
        <f>HYPERLINK("http://www.eum.go.kr/web/ar/lu/luLandDet.jsp?pnu=3611010700108290000&amp;isNoScr=script&amp;mode=search", "토지이음")</f>
        <v/>
      </c>
      <c r="O206" s="3" t="inlineStr">
        <is>
          <t>세종리더스</t>
        </is>
      </c>
      <c r="P206" s="3" t="n">
        <v>1</v>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535</v>
      </c>
      <c r="K207" s="3" t="inlineStr">
        <is>
          <t>홍대생 인기원룸, 공실없음, 수익률 최고</t>
        </is>
      </c>
      <c r="L207" s="5">
        <f>HYPERLINK("https://fin.land.naver.com/articles/2644042515", "매물Link")</f>
        <v/>
      </c>
      <c r="M207" s="5">
        <f>HYPERLINK("https://map.naver.com/p/search/나성동 829", "지도Link")</f>
        <v/>
      </c>
      <c r="N207" s="5">
        <f>HYPERLINK("http://www.eum.go.kr/web/ar/lu/luLandDet.jsp?pnu=3611010700108290000&amp;isNoScr=script&amp;mode=search", "토지이음")</f>
        <v/>
      </c>
      <c r="O207" s="3" t="inlineStr">
        <is>
          <t>세종공감</t>
        </is>
      </c>
      <c r="P207" s="3" t="n">
        <v>1</v>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567</v>
      </c>
      <c r="K208" s="3" t="inlineStr">
        <is>
          <t>O학교앞 공실없는 원룸 O주인세대 O수익률잘나와요</t>
        </is>
      </c>
      <c r="L208" s="5">
        <f>HYPERLINK("https://fin.land.naver.com/articles/2644110797", "매물Link")</f>
        <v/>
      </c>
      <c r="M208" s="5">
        <f>HYPERLINK("https://map.naver.com/p/search/나성동 829", "지도Link")</f>
        <v/>
      </c>
      <c r="N208" s="5">
        <f>HYPERLINK("http://www.eum.go.kr/web/ar/lu/luLandDet.jsp?pnu=3611010700108290000&amp;isNoScr=script&amp;mode=search", "토지이음")</f>
        <v/>
      </c>
      <c r="O208" s="3" t="inlineStr">
        <is>
          <t>바다</t>
        </is>
      </c>
      <c r="P208" s="3" t="n">
        <v>1</v>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469</v>
      </c>
      <c r="K209" s="3" t="inlineStr">
        <is>
          <t>18호수. 후문앞. 공실없는곳</t>
        </is>
      </c>
      <c r="L209" s="5">
        <f>HYPERLINK("https://fin.land.naver.com/articles/2644130061", "매물Link")</f>
        <v/>
      </c>
      <c r="M209" s="5">
        <f>HYPERLINK("https://map.naver.com/p/search/나성동 829", "지도Link")</f>
        <v/>
      </c>
      <c r="N209" s="5">
        <f>HYPERLINK("http://www.eum.go.kr/web/ar/lu/luLandDet.jsp?pnu=3611010700108290000&amp;isNoScr=script&amp;mode=search", "토지이음")</f>
        <v/>
      </c>
      <c r="O209" s="3" t="inlineStr">
        <is>
          <t>바다</t>
        </is>
      </c>
      <c r="P209" s="3" t="n">
        <v>1</v>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19</v>
      </c>
      <c r="K210" s="3" t="inlineStr">
        <is>
          <t>L월28만. 즉시입주가능. 고려대학교 앞 연세,반연세가능</t>
        </is>
      </c>
      <c r="L210" s="5">
        <f>HYPERLINK("https://fin.land.naver.com/articles/2644836678", "매물Link")</f>
        <v/>
      </c>
      <c r="M210" s="5">
        <f>HYPERLINK("https://map.naver.com/p/search/나성동 829", "지도Link")</f>
        <v/>
      </c>
      <c r="N210" s="5">
        <f>HYPERLINK("http://www.eum.go.kr/web/ar/lu/luLandDet.jsp?pnu=3611010700108290000&amp;isNoScr=script&amp;mode=search", "토지이음")</f>
        <v/>
      </c>
      <c r="O210" s="3" t="inlineStr">
        <is>
          <t>바다</t>
        </is>
      </c>
      <c r="P210" s="3" t="n">
        <v>1</v>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16</v>
      </c>
      <c r="K211" s="3" t="inlineStr">
        <is>
          <t>L연세,월세가능 O즉시입주가능 O풀옵션</t>
        </is>
      </c>
      <c r="L211" s="5">
        <f>HYPERLINK("https://fin.land.naver.com/articles/2644838773", "매물Link")</f>
        <v/>
      </c>
      <c r="M211" s="5">
        <f>HYPERLINK("https://map.naver.com/p/search/나성동 829", "지도Link")</f>
        <v/>
      </c>
      <c r="N211" s="5">
        <f>HYPERLINK("http://www.eum.go.kr/web/ar/lu/luLandDet.jsp?pnu=3611010700108290000&amp;isNoScr=script&amp;mode=search", "토지이음")</f>
        <v/>
      </c>
      <c r="O211" s="3" t="inlineStr">
        <is>
          <t>바다</t>
        </is>
      </c>
      <c r="P211" s="3" t="n">
        <v>1</v>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19</v>
      </c>
      <c r="K212" s="3" t="inlineStr">
        <is>
          <t>L 리모델링 O하나남은룸 O고려대정문4분</t>
        </is>
      </c>
      <c r="L212" s="5">
        <f>HYPERLINK("https://fin.land.naver.com/articles/2644839970", "매물Link")</f>
        <v/>
      </c>
      <c r="M212" s="5">
        <f>HYPERLINK("https://map.naver.com/p/search/나성동 829", "지도Link")</f>
        <v/>
      </c>
      <c r="N212" s="5">
        <f>HYPERLINK("http://www.eum.go.kr/web/ar/lu/luLandDet.jsp?pnu=3611010700108290000&amp;isNoScr=script&amp;mode=search", "토지이음")</f>
        <v/>
      </c>
      <c r="O212" s="3" t="inlineStr">
        <is>
          <t>바다</t>
        </is>
      </c>
      <c r="P212" s="3" t="n">
        <v>1</v>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16</v>
      </c>
      <c r="K213" s="3" t="inlineStr">
        <is>
          <t>L 신축.엘베 O즉시입주가능 O정문3분</t>
        </is>
      </c>
      <c r="L213" s="5">
        <f>HYPERLINK("https://fin.land.naver.com/articles/2644850496", "매물Link")</f>
        <v/>
      </c>
      <c r="M213" s="5">
        <f>HYPERLINK("https://map.naver.com/p/search/나성동 829", "지도Link")</f>
        <v/>
      </c>
      <c r="N213" s="5">
        <f>HYPERLINK("http://www.eum.go.kr/web/ar/lu/luLandDet.jsp?pnu=3611010700108290000&amp;isNoScr=script&amp;mode=search", "토지이음")</f>
        <v/>
      </c>
      <c r="O213" s="3" t="inlineStr">
        <is>
          <t>바다</t>
        </is>
      </c>
      <c r="P213" s="3" t="n">
        <v>1</v>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23</v>
      </c>
      <c r="K214" s="3" t="inlineStr">
        <is>
          <t>L 반연세가능 O농심관앞 O넓은룸</t>
        </is>
      </c>
      <c r="L214" s="5">
        <f>HYPERLINK("https://fin.land.naver.com/articles/2644851655", "매물Link")</f>
        <v/>
      </c>
      <c r="M214" s="5">
        <f>HYPERLINK("https://map.naver.com/p/search/나성동 829", "지도Link")</f>
        <v/>
      </c>
      <c r="N214" s="5">
        <f>HYPERLINK("http://www.eum.go.kr/web/ar/lu/luLandDet.jsp?pnu=3611010700108290000&amp;isNoScr=script&amp;mode=search", "토지이음")</f>
        <v/>
      </c>
      <c r="O214" s="3" t="inlineStr">
        <is>
          <t>바다</t>
        </is>
      </c>
      <c r="P214" s="3" t="n">
        <v>1</v>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26</v>
      </c>
      <c r="K215" s="3" t="inlineStr">
        <is>
          <t>L 넓은1룸 O단기가능O홍대학생.직장인 가능 O완전 풀옵션</t>
        </is>
      </c>
      <c r="L215" s="5">
        <f>HYPERLINK("https://fin.land.naver.com/articles/2644852374", "매물Link")</f>
        <v/>
      </c>
      <c r="M215" s="5">
        <f>HYPERLINK("https://map.naver.com/p/search/나성동 829", "지도Link")</f>
        <v/>
      </c>
      <c r="N215" s="5">
        <f>HYPERLINK("http://www.eum.go.kr/web/ar/lu/luLandDet.jsp?pnu=3611010700108290000&amp;isNoScr=script&amp;mode=search", "토지이음")</f>
        <v/>
      </c>
      <c r="O215" s="3" t="inlineStr">
        <is>
          <t>바다</t>
        </is>
      </c>
      <c r="P215" s="3" t="n">
        <v>1</v>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16</v>
      </c>
      <c r="K216" s="3" t="inlineStr">
        <is>
          <t>L월세,연세,반연세가능 O깔끔 풀옵션 O고려대,홍익대 도보가능</t>
        </is>
      </c>
      <c r="L216" s="5">
        <f>HYPERLINK("https://fin.land.naver.com/articles/2644855457", "매물Link")</f>
        <v/>
      </c>
      <c r="M216" s="5">
        <f>HYPERLINK("https://map.naver.com/p/search/나성동 829", "지도Link")</f>
        <v/>
      </c>
      <c r="N216" s="5">
        <f>HYPERLINK("http://www.eum.go.kr/web/ar/lu/luLandDet.jsp?pnu=3611010700108290000&amp;isNoScr=script&amp;mode=search", "토지이음")</f>
        <v/>
      </c>
      <c r="O216" s="3" t="inlineStr">
        <is>
          <t>바다</t>
        </is>
      </c>
      <c r="P216" s="3" t="n">
        <v>1</v>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26</v>
      </c>
      <c r="K217" s="3" t="inlineStr">
        <is>
          <t>L 한학기가능 O넓은1룸 O홍익대 구기숙사 앞</t>
        </is>
      </c>
      <c r="L217" s="5">
        <f>HYPERLINK("https://fin.land.naver.com/articles/2644858032", "매물Link")</f>
        <v/>
      </c>
      <c r="M217" s="5">
        <f>HYPERLINK("https://map.naver.com/p/search/나성동 829", "지도Link")</f>
        <v/>
      </c>
      <c r="N217" s="5">
        <f>HYPERLINK("http://www.eum.go.kr/web/ar/lu/luLandDet.jsp?pnu=3611010700108290000&amp;isNoScr=script&amp;mode=search", "토지이음")</f>
        <v/>
      </c>
      <c r="O217" s="3" t="inlineStr">
        <is>
          <t>바다</t>
        </is>
      </c>
      <c r="P217" s="3" t="n">
        <v>1</v>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23</v>
      </c>
      <c r="K218" s="3" t="inlineStr">
        <is>
          <t>L 한학기가능 O넓은1룸 O남향 O구기숙사 앞</t>
        </is>
      </c>
      <c r="L218" s="5">
        <f>HYPERLINK("https://fin.land.naver.com/articles/2644859579", "매물Link")</f>
        <v/>
      </c>
      <c r="M218" s="5">
        <f>HYPERLINK("https://map.naver.com/p/search/나성동 829", "지도Link")</f>
        <v/>
      </c>
      <c r="N218" s="5">
        <f>HYPERLINK("http://www.eum.go.kr/web/ar/lu/luLandDet.jsp?pnu=3611010700108290000&amp;isNoScr=script&amp;mode=search", "토지이음")</f>
        <v/>
      </c>
      <c r="O218" s="3" t="inlineStr">
        <is>
          <t>바다</t>
        </is>
      </c>
      <c r="P218" s="3" t="n">
        <v>1</v>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70</v>
      </c>
      <c r="K219" s="3" t="inlineStr">
        <is>
          <t>신흥사거리 인근 철골구조 단독주택,2차선접함.</t>
        </is>
      </c>
      <c r="L219" s="5">
        <f>HYPERLINK("https://fin.land.naver.com/articles/2646715182", "매물Link")</f>
        <v/>
      </c>
      <c r="M219" s="5">
        <f>HYPERLINK("https://map.naver.com/p/search/나성동 829", "지도Link")</f>
        <v/>
      </c>
      <c r="N219" s="5">
        <f>HYPERLINK("http://www.eum.go.kr/web/ar/lu/luLandDet.jsp?pnu=3611010700108290000&amp;isNoScr=script&amp;mode=search", "토지이음")</f>
        <v/>
      </c>
      <c r="O219" s="3" t="inlineStr">
        <is>
          <t>빛나</t>
        </is>
      </c>
      <c r="P219" s="3" t="n">
        <v>1</v>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60</v>
      </c>
      <c r="K220" s="3" t="inlineStr">
        <is>
          <t>상태좋음,반월세가능 즉시입주 가능,( 냉장고, 세탁기,에어컨 있음)</t>
        </is>
      </c>
      <c r="L220" s="5">
        <f>HYPERLINK("https://fin.land.naver.com/articles/2645782433", "매물Link")</f>
        <v/>
      </c>
      <c r="M220" s="5">
        <f>HYPERLINK("https://map.naver.com/p/search/나성동 829", "지도Link")</f>
        <v/>
      </c>
      <c r="N220" s="5">
        <f>HYPERLINK("http://www.eum.go.kr/web/ar/lu/luLandDet.jsp?pnu=3611010700108290000&amp;isNoScr=script&amp;mode=search", "토지이음")</f>
        <v/>
      </c>
      <c r="O220" s="3" t="inlineStr">
        <is>
          <t>열매</t>
        </is>
      </c>
      <c r="P220" s="3" t="n">
        <v>1</v>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451</v>
      </c>
      <c r="K221" s="3" t="inlineStr">
        <is>
          <t>nan</t>
        </is>
      </c>
      <c r="L221" s="5">
        <f>HYPERLINK("https://fin.land.naver.com/articles/2647060006", "매물Link")</f>
        <v/>
      </c>
      <c r="M221" s="5">
        <f>HYPERLINK("https://map.naver.com/p/search/나성동 829", "지도Link")</f>
        <v/>
      </c>
      <c r="N221" s="5">
        <f>HYPERLINK("http://www.eum.go.kr/web/ar/lu/luLandDet.jsp?pnu=3611010700108290000&amp;isNoScr=script&amp;mode=search", "토지이음")</f>
        <v/>
      </c>
      <c r="O221" s="3" t="inlineStr">
        <is>
          <t>엄지척</t>
        </is>
      </c>
      <c r="P221" s="3" t="n">
        <v>1</v>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59</v>
      </c>
      <c r="K222" s="3" t="inlineStr">
        <is>
          <t>nan</t>
        </is>
      </c>
      <c r="L222" s="5">
        <f>HYPERLINK("https://fin.land.naver.com/articles/2649643025", "매물Link")</f>
        <v/>
      </c>
      <c r="M222" s="5">
        <f>HYPERLINK("https://map.naver.com/p/search/나성동 829", "지도Link")</f>
        <v/>
      </c>
      <c r="N222" s="5">
        <f>HYPERLINK("http://www.eum.go.kr/web/ar/lu/luLandDet.jsp?pnu=3611010700108290000&amp;isNoScr=script&amp;mode=search", "토지이음")</f>
        <v/>
      </c>
      <c r="O222" s="3" t="inlineStr">
        <is>
          <t>신안</t>
        </is>
      </c>
      <c r="P222" s="3" t="n">
        <v>1</v>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39</v>
      </c>
      <c r="K223" s="3" t="inlineStr">
        <is>
          <t>용포리시장내구옥,리모델링하셔서사실분추천,생활편리</t>
        </is>
      </c>
      <c r="L223" s="5">
        <f>HYPERLINK("https://fin.land.naver.com/articles/2646432190", "매물Link")</f>
        <v/>
      </c>
      <c r="M223" s="5">
        <f>HYPERLINK("https://map.naver.com/p/search/나성동 829", "지도Link")</f>
        <v/>
      </c>
      <c r="N223" s="5">
        <f>HYPERLINK("http://www.eum.go.kr/web/ar/lu/luLandDet.jsp?pnu=3611010700108290000&amp;isNoScr=script&amp;mode=search", "토지이음")</f>
        <v/>
      </c>
      <c r="O223" s="3" t="inlineStr">
        <is>
          <t>고운햇살</t>
        </is>
      </c>
      <c r="P223" s="3" t="n">
        <v>1</v>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194</v>
      </c>
      <c r="K224" s="3" t="inlineStr">
        <is>
          <t>급매물 콘크리트 튼튼한 집</t>
        </is>
      </c>
      <c r="L224" s="5">
        <f>HYPERLINK("https://fin.land.naver.com/articles/2644279362", "매물Link")</f>
        <v/>
      </c>
      <c r="M224" s="5">
        <f>HYPERLINK("https://map.naver.com/p/search/나성동 829", "지도Link")</f>
        <v/>
      </c>
      <c r="N224" s="5">
        <f>HYPERLINK("http://www.eum.go.kr/web/ar/lu/luLandDet.jsp?pnu=3611010700108290000&amp;isNoScr=script&amp;mode=search", "토지이음")</f>
        <v/>
      </c>
      <c r="O224" s="3" t="inlineStr">
        <is>
          <t>THE행복</t>
        </is>
      </c>
      <c r="P224" s="3" t="n">
        <v>1</v>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114</v>
      </c>
      <c r="K225" s="3" t="inlineStr">
        <is>
          <t>대전 세종 접근성 좋은 단독주택</t>
        </is>
      </c>
      <c r="L225" s="5">
        <f>HYPERLINK("https://fin.land.naver.com/articles/2644279395", "매물Link")</f>
        <v/>
      </c>
      <c r="M225" s="5">
        <f>HYPERLINK("https://map.naver.com/p/search/나성동 829", "지도Link")</f>
        <v/>
      </c>
      <c r="N225" s="5">
        <f>HYPERLINK("http://www.eum.go.kr/web/ar/lu/luLandDet.jsp?pnu=3611010700108290000&amp;isNoScr=script&amp;mode=search", "토지이음")</f>
        <v/>
      </c>
      <c r="O225" s="3" t="inlineStr">
        <is>
          <t>THE행복</t>
        </is>
      </c>
      <c r="P225" s="3" t="n">
        <v>1</v>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52</v>
      </c>
      <c r="K226" s="3" t="inlineStr">
        <is>
          <t>전원을품은주택.산림박물관인근 세종시15분.복층 부분리모델링</t>
        </is>
      </c>
      <c r="L226" s="5">
        <f>HYPERLINK("https://fin.land.naver.com/articles/2644486522", "매물Link")</f>
        <v/>
      </c>
      <c r="M226" s="5">
        <f>HYPERLINK("https://map.naver.com/p/search/나성동 829", "지도Link")</f>
        <v/>
      </c>
      <c r="N226" s="5">
        <f>HYPERLINK("http://www.eum.go.kr/web/ar/lu/luLandDet.jsp?pnu=3611010700108290000&amp;isNoScr=script&amp;mode=search", "토지이음")</f>
        <v/>
      </c>
      <c r="O226" s="3" t="inlineStr">
        <is>
          <t>세종OK</t>
        </is>
      </c>
      <c r="P226" s="3" t="n">
        <v>1</v>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95</v>
      </c>
      <c r="K227" s="3" t="inlineStr">
        <is>
          <t>세종, 대전 입지 매우 좋은 귀한 단독주택 전세입니다. 매매도 가능</t>
        </is>
      </c>
      <c r="L227" s="5">
        <f>HYPERLINK("https://fin.land.naver.com/articles/2645236028", "매물Link")</f>
        <v/>
      </c>
      <c r="M227" s="5">
        <f>HYPERLINK("https://map.naver.com/p/search/나성동 829", "지도Link")</f>
        <v/>
      </c>
      <c r="N227" s="5">
        <f>HYPERLINK("http://www.eum.go.kr/web/ar/lu/luLandDet.jsp?pnu=3611010700108290000&amp;isNoScr=script&amp;mode=search", "토지이음")</f>
        <v/>
      </c>
      <c r="O227" s="3" t="inlineStr">
        <is>
          <t>세종신한</t>
        </is>
      </c>
      <c r="P227" s="3" t="n">
        <v>1</v>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141</v>
      </c>
      <c r="K228" s="3" t="inlineStr">
        <is>
          <t>대박리 위치좋은 아름다운 단독주택 매매</t>
        </is>
      </c>
      <c r="L228" s="5">
        <f>HYPERLINK("https://fin.land.naver.com/articles/2649142748", "매물Link")</f>
        <v/>
      </c>
      <c r="M228" s="5">
        <f>HYPERLINK("https://map.naver.com/p/search/나성동 829", "지도Link")</f>
        <v/>
      </c>
      <c r="N228" s="5">
        <f>HYPERLINK("http://www.eum.go.kr/web/ar/lu/luLandDet.jsp?pnu=3611010700108290000&amp;isNoScr=script&amp;mode=search", "토지이음")</f>
        <v/>
      </c>
      <c r="O228" s="3" t="inlineStr">
        <is>
          <t>한화타운</t>
        </is>
      </c>
      <c r="P228" s="3" t="n">
        <v>1</v>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388</v>
      </c>
      <c r="K229" s="3" t="inlineStr">
        <is>
          <t>전원주택1층 주차장있고 마당있고 투룸 세종시인근 저렴 전세</t>
        </is>
      </c>
      <c r="L229" s="5">
        <f>HYPERLINK("https://fin.land.naver.com/articles/2648609694", "매물Link")</f>
        <v/>
      </c>
      <c r="M229" s="5">
        <f>HYPERLINK("https://map.naver.com/p/search/나성동 829", "지도Link")</f>
        <v/>
      </c>
      <c r="N229" s="5">
        <f>HYPERLINK("http://www.eum.go.kr/web/ar/lu/luLandDet.jsp?pnu=3611010700108290000&amp;isNoScr=script&amp;mode=search", "토지이음")</f>
        <v/>
      </c>
      <c r="O229" s="3" t="inlineStr">
        <is>
          <t>세종OK</t>
        </is>
      </c>
      <c r="P229" s="3" t="n">
        <v>1</v>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52</v>
      </c>
      <c r="K230" s="3" t="inlineStr">
        <is>
          <t>작은구옥 있으나   철거후 건축 추천드려요</t>
        </is>
      </c>
      <c r="L230" s="5">
        <f>HYPERLINK("https://fin.land.naver.com/articles/2648440313", "매물Link")</f>
        <v/>
      </c>
      <c r="M230" s="5">
        <f>HYPERLINK("https://map.naver.com/p/search/나성동 829", "지도Link")</f>
        <v/>
      </c>
      <c r="N230" s="5">
        <f>HYPERLINK("http://www.eum.go.kr/web/ar/lu/luLandDet.jsp?pnu=3611010700108290000&amp;isNoScr=script&amp;mode=search", "토지이음")</f>
        <v/>
      </c>
      <c r="O230" s="3" t="inlineStr">
        <is>
          <t>하니</t>
        </is>
      </c>
      <c r="P230" s="3" t="n">
        <v>1</v>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142</v>
      </c>
      <c r="K231" s="3" t="inlineStr">
        <is>
          <t>복층구조 넓은 마당 금강변 세종시인근 세련된 인테리어 구조굿</t>
        </is>
      </c>
      <c r="L231" s="5">
        <f>HYPERLINK("https://fin.land.naver.com/articles/2646891386", "매물Link")</f>
        <v/>
      </c>
      <c r="M231" s="5">
        <f>HYPERLINK("https://map.naver.com/p/search/나성동 829", "지도Link")</f>
        <v/>
      </c>
      <c r="N231" s="5">
        <f>HYPERLINK("http://www.eum.go.kr/web/ar/lu/luLandDet.jsp?pnu=3611010700108290000&amp;isNoScr=script&amp;mode=search", "토지이음")</f>
        <v/>
      </c>
      <c r="O231" s="3" t="inlineStr">
        <is>
          <t>세종OK</t>
        </is>
      </c>
      <c r="P231" s="3" t="n">
        <v>1</v>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117</v>
      </c>
      <c r="K232" s="3" t="inlineStr">
        <is>
          <t>1. 내부전체 리모델링 되어있음 2. 2층 다락방도 있습니다 3. 앞마당</t>
        </is>
      </c>
      <c r="L232" s="5">
        <f>HYPERLINK("https://fin.land.naver.com/articles/2645602820", "매물Link")</f>
        <v/>
      </c>
      <c r="M232" s="5">
        <f>HYPERLINK("https://map.naver.com/p/search/나성동 829", "지도Link")</f>
        <v/>
      </c>
      <c r="N232" s="5">
        <f>HYPERLINK("http://www.eum.go.kr/web/ar/lu/luLandDet.jsp?pnu=3611010700108290000&amp;isNoScr=script&amp;mode=search", "토지이음")</f>
        <v/>
      </c>
      <c r="O232" s="3" t="inlineStr">
        <is>
          <t>연동스카이</t>
        </is>
      </c>
      <c r="P232" s="3" t="n">
        <v>1</v>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89</v>
      </c>
      <c r="K233" s="3" t="inlineStr">
        <is>
          <t>텃밭 가능, 금호어울림 추천 매물</t>
        </is>
      </c>
      <c r="L233" s="5">
        <f>HYPERLINK("https://fin.land.naver.com/articles/2648790586", "매물Link")</f>
        <v/>
      </c>
      <c r="M233" s="5">
        <f>HYPERLINK("https://map.naver.com/p/search/나성동 829", "지도Link")</f>
        <v/>
      </c>
      <c r="N233" s="5">
        <f>HYPERLINK("http://www.eum.go.kr/web/ar/lu/luLandDet.jsp?pnu=3611010700108290000&amp;isNoScr=script&amp;mode=search", "토지이음")</f>
        <v/>
      </c>
      <c r="O233" s="3" t="inlineStr">
        <is>
          <t>금호어울림</t>
        </is>
      </c>
      <c r="P233" s="3" t="n">
        <v>1</v>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98</v>
      </c>
      <c r="K234" s="3" t="inlineStr">
        <is>
          <t>정원, 텃밭, 바베큐 공간, 반려견 놀이터 등 넓은 마당 탁 트인조망</t>
        </is>
      </c>
      <c r="L234" s="5">
        <f>HYPERLINK("https://fin.land.naver.com/articles/2644177722", "매물Link")</f>
        <v/>
      </c>
      <c r="M234" s="5">
        <f>HYPERLINK("https://map.naver.com/p/search/나성동 829", "지도Link")</f>
        <v/>
      </c>
      <c r="N234" s="5">
        <f>HYPERLINK("http://www.eum.go.kr/web/ar/lu/luLandDet.jsp?pnu=3611010700108290000&amp;isNoScr=script&amp;mode=search", "토지이음")</f>
        <v/>
      </c>
      <c r="O234" s="3" t="inlineStr">
        <is>
          <t>최프로</t>
        </is>
      </c>
      <c r="P234" s="3" t="n">
        <v>1</v>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31</v>
      </c>
      <c r="K235" s="3" t="inlineStr">
        <is>
          <t>nan</t>
        </is>
      </c>
      <c r="L235" s="5">
        <f>HYPERLINK("https://fin.land.naver.com/articles/2647981570", "매물Link")</f>
        <v/>
      </c>
      <c r="M235" s="5">
        <f>HYPERLINK("https://map.naver.com/p/search/나성동 829", "지도Link")</f>
        <v/>
      </c>
      <c r="N235" s="5">
        <f>HYPERLINK("http://www.eum.go.kr/web/ar/lu/luLandDet.jsp?pnu=3611010700108290000&amp;isNoScr=script&amp;mode=search", "토지이음")</f>
        <v/>
      </c>
      <c r="O235" s="3" t="inlineStr">
        <is>
          <t>금강</t>
        </is>
      </c>
      <c r="P235" s="3" t="n">
        <v>1</v>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138</v>
      </c>
      <c r="K236" s="3" t="inlineStr">
        <is>
          <t>주인세대 복층구조 ,도보1분 편의점 협의빠른입주가능</t>
        </is>
      </c>
      <c r="L236" s="5">
        <f>HYPERLINK("https://fin.land.naver.com/articles/2649411968", "매물Link")</f>
        <v/>
      </c>
      <c r="M236" s="5">
        <f>HYPERLINK("https://map.naver.com/p/search/나성동 829", "지도Link")</f>
        <v/>
      </c>
      <c r="N236" s="5">
        <f>HYPERLINK("http://www.eum.go.kr/web/ar/lu/luLandDet.jsp?pnu=3611010700108290000&amp;isNoScr=script&amp;mode=search", "토지이음")</f>
        <v/>
      </c>
      <c r="O236" s="3" t="inlineStr">
        <is>
          <t>그린</t>
        </is>
      </c>
      <c r="P236" s="3" t="n">
        <v>1</v>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138</v>
      </c>
      <c r="K237" s="3" t="inlineStr">
        <is>
          <t>nan</t>
        </is>
      </c>
      <c r="L237" s="5">
        <f>HYPERLINK("https://fin.land.naver.com/articles/2649416136", "매물Link")</f>
        <v/>
      </c>
      <c r="M237" s="5">
        <f>HYPERLINK("https://map.naver.com/p/search/나성동 829", "지도Link")</f>
        <v/>
      </c>
      <c r="N237" s="5">
        <f>HYPERLINK("http://www.eum.go.kr/web/ar/lu/luLandDet.jsp?pnu=3611010700108290000&amp;isNoScr=script&amp;mode=search", "토지이음")</f>
        <v/>
      </c>
      <c r="O237" s="3" t="inlineStr">
        <is>
          <t>그린</t>
        </is>
      </c>
      <c r="P237" s="3" t="n">
        <v>1</v>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49</v>
      </c>
      <c r="K238" s="3" t="inlineStr">
        <is>
          <t>nan</t>
        </is>
      </c>
      <c r="L238" s="5">
        <f>HYPERLINK("https://fin.land.naver.com/articles/2645004220", "매물Link")</f>
        <v/>
      </c>
      <c r="M238" s="5">
        <f>HYPERLINK("https://map.naver.com/p/search/나성동 829", "지도Link")</f>
        <v/>
      </c>
      <c r="N238" s="5">
        <f>HYPERLINK("http://www.eum.go.kr/web/ar/lu/luLandDet.jsp?pnu=3611010700108290000&amp;isNoScr=script&amp;mode=search", "토지이음")</f>
        <v/>
      </c>
      <c r="O238" s="3" t="inlineStr">
        <is>
          <t>엄지척</t>
        </is>
      </c>
      <c r="P238" s="3" t="n">
        <v>1</v>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64</v>
      </c>
      <c r="K239" s="3" t="inlineStr">
        <is>
          <t>즉시입주 도배새로했어요 방2개 화장실1개</t>
        </is>
      </c>
      <c r="L239" s="5">
        <f>HYPERLINK("https://fin.land.naver.com/articles/2645724621", "매물Link")</f>
        <v/>
      </c>
      <c r="M239" s="5">
        <f>HYPERLINK("https://map.naver.com/p/search/나성동 829", "지도Link")</f>
        <v/>
      </c>
      <c r="N239" s="5">
        <f>HYPERLINK("http://www.eum.go.kr/web/ar/lu/luLandDet.jsp?pnu=3611010700108290000&amp;isNoScr=script&amp;mode=search", "토지이음")</f>
        <v/>
      </c>
      <c r="O239" s="3" t="inlineStr">
        <is>
          <t>다복</t>
        </is>
      </c>
      <c r="P239" s="3" t="n">
        <v>1</v>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86</v>
      </c>
      <c r="K240" s="3" t="inlineStr">
        <is>
          <t>올수리 완료, 즉시 입주 가능, 별채 보유, 버스정류장 도보권</t>
        </is>
      </c>
      <c r="L240" s="5">
        <f>HYPERLINK("https://fin.land.naver.com/articles/2645282055", "매물Link")</f>
        <v/>
      </c>
      <c r="M240" s="5">
        <f>HYPERLINK("https://map.naver.com/p/search/나성동 829", "지도Link")</f>
        <v/>
      </c>
      <c r="N240" s="5">
        <f>HYPERLINK("http://www.eum.go.kr/web/ar/lu/luLandDet.jsp?pnu=3611010700108290000&amp;isNoScr=script&amp;mode=search", "토지이음")</f>
        <v/>
      </c>
      <c r="O240" s="3" t="inlineStr">
        <is>
          <t>부엉이</t>
        </is>
      </c>
      <c r="P240" s="3" t="n">
        <v>1</v>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199</v>
      </c>
      <c r="K241" s="3" t="inlineStr">
        <is>
          <t>팬트하우스 형 주택 최고급</t>
        </is>
      </c>
      <c r="L241" s="5">
        <f>HYPERLINK("https://fin.land.naver.com/articles/2646427454", "매물Link")</f>
        <v/>
      </c>
      <c r="M241" s="5">
        <f>HYPERLINK("https://map.naver.com/p/search/다정동 798", "지도Link")</f>
        <v/>
      </c>
      <c r="N241" s="5">
        <f>HYPERLINK("http://www.eum.go.kr/web/ar/lu/luLandDet.jsp?pnu=3611010900107980000&amp;isNoScr=script&amp;mode=search", "토지이음")</f>
        <v/>
      </c>
      <c r="O241" s="3" t="inlineStr">
        <is>
          <t>세종삼촌</t>
        </is>
      </c>
      <c r="P241" s="3" t="n">
        <v>1</v>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199</v>
      </c>
      <c r="K242" s="3" t="inlineStr">
        <is>
          <t>조율가능 판교급 하이엔드 럭셔리주택 프라이빗한설계 자재최상 창호최상급</t>
        </is>
      </c>
      <c r="L242" s="5">
        <f>HYPERLINK("https://fin.land.naver.com/articles/2646885078", "매물Link")</f>
        <v/>
      </c>
      <c r="M242" s="5">
        <f>HYPERLINK("https://map.naver.com/p/search/다정동 798", "지도Link")</f>
        <v/>
      </c>
      <c r="N242" s="5">
        <f>HYPERLINK("http://www.eum.go.kr/web/ar/lu/luLandDet.jsp?pnu=3611010900107980000&amp;isNoScr=script&amp;mode=search", "토지이음")</f>
        <v/>
      </c>
      <c r="O242" s="3" t="inlineStr">
        <is>
          <t>세종스타</t>
        </is>
      </c>
      <c r="P242" s="3" t="n">
        <v>1</v>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199</v>
      </c>
      <c r="K243" s="3" t="inlineStr">
        <is>
          <t>1년차 최신축 방4개 모던한 단독주택</t>
        </is>
      </c>
      <c r="L243" s="5">
        <f>HYPERLINK("https://fin.land.naver.com/articles/2646884937", "매물Link")</f>
        <v/>
      </c>
      <c r="M243" s="5">
        <f>HYPERLINK("https://map.naver.com/p/search/다정동 831", "지도Link")</f>
        <v/>
      </c>
      <c r="N243" s="5">
        <f>HYPERLINK("http://www.eum.go.kr/web/ar/lu/luLandDet.jsp?pnu=3611010900108310000&amp;isNoScr=script&amp;mode=search", "토지이음")</f>
        <v/>
      </c>
      <c r="O243" s="3" t="inlineStr">
        <is>
          <t>세종스타</t>
        </is>
      </c>
      <c r="P243" s="3" t="n">
        <v>4</v>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193</v>
      </c>
      <c r="K244" s="3" t="inlineStr">
        <is>
          <t>최신축 위치최상 말발굽 귀한주택 매물 추가협의가능</t>
        </is>
      </c>
      <c r="L244" s="5">
        <f>HYPERLINK("https://fin.land.naver.com/articles/2646907371", "매물Link")</f>
        <v/>
      </c>
      <c r="M244" s="5">
        <f>HYPERLINK("https://map.naver.com/p/search/도담동 426", "지도Link")</f>
        <v/>
      </c>
      <c r="N244" s="5">
        <f>HYPERLINK("http://www.eum.go.kr/web/ar/lu/luLandDet.jsp?pnu=3611011400104260000&amp;isNoScr=script&amp;mode=search", "토지이음")</f>
        <v/>
      </c>
      <c r="O244" s="3" t="inlineStr">
        <is>
          <t>세종스타</t>
        </is>
      </c>
      <c r="P244" s="3" t="n">
        <v>3</v>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95</v>
      </c>
      <c r="K245" s="3" t="inlineStr">
        <is>
          <t>협의입주,말발굽자리,남향,마당넓은 예쁜집입니다.</t>
        </is>
      </c>
      <c r="L245" s="5">
        <f>HYPERLINK("https://fin.land.naver.com/articles/2648245007", "매물Link")</f>
        <v/>
      </c>
      <c r="M245" s="5">
        <f>HYPERLINK("https://map.naver.com/p/search/도담동 518", "지도Link")</f>
        <v/>
      </c>
      <c r="N245" s="5">
        <f>HYPERLINK("http://www.eum.go.kr/web/ar/lu/luLandDet.jsp?pnu=3611011400105180000&amp;isNoScr=script&amp;mode=search", "토지이음")</f>
        <v/>
      </c>
      <c r="O245" s="3" t="inlineStr">
        <is>
          <t>마마</t>
        </is>
      </c>
      <c r="P245" s="3" t="n">
        <v>1</v>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95</v>
      </c>
      <c r="K246" s="3" t="inlineStr">
        <is>
          <t>도담동 말발굽 주택</t>
        </is>
      </c>
      <c r="L246" s="5">
        <f>HYPERLINK("https://fin.land.naver.com/articles/2649456924", "매물Link")</f>
        <v/>
      </c>
      <c r="M246" s="5">
        <f>HYPERLINK("https://map.naver.com/p/search/도담동 518", "지도Link")</f>
        <v/>
      </c>
      <c r="N246" s="5">
        <f>HYPERLINK("http://www.eum.go.kr/web/ar/lu/luLandDet.jsp?pnu=3611011400105180000&amp;isNoScr=script&amp;mode=search", "토지이음")</f>
        <v/>
      </c>
      <c r="O246" s="3" t="inlineStr">
        <is>
          <t>세종삼촌</t>
        </is>
      </c>
      <c r="P246" s="3" t="n">
        <v>1</v>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95</v>
      </c>
      <c r="K247" s="3" t="inlineStr">
        <is>
          <t>마당이 넓은 예쁜 집, 텃밭, 남향</t>
        </is>
      </c>
      <c r="L247" s="5">
        <f>HYPERLINK("https://fin.land.naver.com/articles/2645492924", "매물Link")</f>
        <v/>
      </c>
      <c r="M247" s="5">
        <f>HYPERLINK("https://map.naver.com/p/search/도담동 518", "지도Link")</f>
        <v/>
      </c>
      <c r="N247" s="5">
        <f>HYPERLINK("http://www.eum.go.kr/web/ar/lu/luLandDet.jsp?pnu=3611011400105180000&amp;isNoScr=script&amp;mode=search", "토지이음")</f>
        <v/>
      </c>
      <c r="O247" s="3" t="inlineStr">
        <is>
          <t>명진</t>
        </is>
      </c>
      <c r="P247" s="3" t="n">
        <v>1</v>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79</v>
      </c>
      <c r="K248" s="3" t="inlineStr">
        <is>
          <t>2층만,3억전세가능,2층전용출입문,다락방,테라스,방축천 충대병원 도보</t>
        </is>
      </c>
      <c r="L248" s="5">
        <f>HYPERLINK("https://fin.land.naver.com/articles/2647449152", "매물Link")</f>
        <v/>
      </c>
      <c r="M248" s="5">
        <f>HYPERLINK("https://map.naver.com/p/search/도담동 601", "지도Link")</f>
        <v/>
      </c>
      <c r="N248" s="5">
        <f>HYPERLINK("http://www.eum.go.kr/web/ar/lu/luLandDet.jsp?pnu=3611011400106010000&amp;isNoScr=script&amp;mode=search", "토지이음")</f>
        <v/>
      </c>
      <c r="O248" s="3" t="inlineStr">
        <is>
          <t>태복</t>
        </is>
      </c>
      <c r="P248" s="3" t="n">
        <v>2</v>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79</v>
      </c>
      <c r="K249" s="3" t="inlineStr">
        <is>
          <t>2층과 다락방사용, 외부계단이용, 전기태양광설치, 전세로 가능</t>
        </is>
      </c>
      <c r="L249" s="5">
        <f>HYPERLINK("https://fin.land.naver.com/articles/2645583986", "매물Link")</f>
        <v/>
      </c>
      <c r="M249" s="5">
        <f>HYPERLINK("https://map.naver.com/p/search/도담동 601", "지도Link")</f>
        <v/>
      </c>
      <c r="N249" s="5">
        <f>HYPERLINK("http://www.eum.go.kr/web/ar/lu/luLandDet.jsp?pnu=3611011400106010000&amp;isNoScr=script&amp;mode=search", "토지이음")</f>
        <v/>
      </c>
      <c r="O249" s="3" t="inlineStr">
        <is>
          <t>OK세종</t>
        </is>
      </c>
      <c r="P249" s="3" t="n">
        <v>1</v>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293</v>
      </c>
      <c r="K250" s="3" t="inlineStr">
        <is>
          <t>전용 89p, 조율가능, 급매물, 2세대가능, 전세도가능</t>
        </is>
      </c>
      <c r="L250" s="5">
        <f>HYPERLINK("https://fin.land.naver.com/articles/2648836474", "매물Link")</f>
        <v/>
      </c>
      <c r="M250" s="5">
        <f>HYPERLINK("https://map.naver.com/p/search/도담동 697", "지도Link")</f>
        <v/>
      </c>
      <c r="N250" s="5">
        <f>HYPERLINK("http://www.eum.go.kr/web/ar/lu/luLandDet.jsp?pnu=3611011400106970000&amp;isNoScr=script&amp;mode=search", "토지이음")</f>
        <v/>
      </c>
      <c r="O250" s="3" t="inlineStr">
        <is>
          <t>세종무지개</t>
        </is>
      </c>
      <c r="P250" s="3" t="n">
        <v>2</v>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293</v>
      </c>
      <c r="K251" s="3" t="inlineStr">
        <is>
          <t>급매 추가조율가능 전세가능8억 대형주택 2세대거주가능</t>
        </is>
      </c>
      <c r="L251" s="5">
        <f>HYPERLINK("https://fin.land.naver.com/articles/2646479149", "매물Link")</f>
        <v/>
      </c>
      <c r="M251" s="5">
        <f>HYPERLINK("https://map.naver.com/p/search/도담동 697", "지도Link")</f>
        <v/>
      </c>
      <c r="N251" s="5">
        <f>HYPERLINK("http://www.eum.go.kr/web/ar/lu/luLandDet.jsp?pnu=3611011400106970000&amp;isNoScr=script&amp;mode=search", "토지이음")</f>
        <v/>
      </c>
      <c r="O251" s="3" t="inlineStr">
        <is>
          <t>세종스타</t>
        </is>
      </c>
      <c r="P251" s="3" t="n">
        <v>1</v>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199</v>
      </c>
      <c r="K252" s="3" t="inlineStr">
        <is>
          <t>자재 하나 하나 고급진  단독 매매</t>
        </is>
      </c>
      <c r="L252" s="5">
        <f>HYPERLINK("https://fin.land.naver.com/articles/2644279347", "매물Link")</f>
        <v/>
      </c>
      <c r="M252" s="5">
        <f>HYPERLINK("https://map.naver.com/p/search/도담동 698", "지도Link")</f>
        <v/>
      </c>
      <c r="N252" s="5">
        <f>HYPERLINK("http://www.eum.go.kr/web/ar/lu/luLandDet.jsp?pnu=3611011400106980000&amp;isNoScr=script&amp;mode=search", "토지이음")</f>
        <v/>
      </c>
      <c r="O252" s="3" t="inlineStr">
        <is>
          <t>THE행복</t>
        </is>
      </c>
      <c r="P252" s="3" t="n">
        <v>1</v>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199</v>
      </c>
      <c r="K253" s="3" t="inlineStr">
        <is>
          <t>전용60.3p, 방4개, 화장실4개, 입지 좋은 단독주택</t>
        </is>
      </c>
      <c r="L253" s="5">
        <f>HYPERLINK("https://fin.land.naver.com/articles/2648833272", "매물Link")</f>
        <v/>
      </c>
      <c r="M253" s="5">
        <f>HYPERLINK("https://map.naver.com/p/search/도담동 698", "지도Link")</f>
        <v/>
      </c>
      <c r="N253" s="5">
        <f>HYPERLINK("http://www.eum.go.kr/web/ar/lu/luLandDet.jsp?pnu=3611011400106980000&amp;isNoScr=script&amp;mode=search", "토지이음")</f>
        <v/>
      </c>
      <c r="O253" s="3" t="inlineStr">
        <is>
          <t>세종무지개</t>
        </is>
      </c>
      <c r="P253" s="3" t="n">
        <v>1</v>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199</v>
      </c>
      <c r="K254" s="3" t="inlineStr">
        <is>
          <t>초품아. 도담동 학군지 단독주택, brt,</t>
        </is>
      </c>
      <c r="L254" s="5">
        <f>HYPERLINK("https://fin.land.naver.com/articles/2647898031", "매물Link")</f>
        <v/>
      </c>
      <c r="M254" s="5">
        <f>HYPERLINK("https://map.naver.com/p/search/도담동 698", "지도Link")</f>
        <v/>
      </c>
      <c r="N254" s="5">
        <f>HYPERLINK("http://www.eum.go.kr/web/ar/lu/luLandDet.jsp?pnu=3611011400106980000&amp;isNoScr=script&amp;mode=search", "토지이음")</f>
        <v/>
      </c>
      <c r="O254" s="3" t="inlineStr">
        <is>
          <t>최무연</t>
        </is>
      </c>
      <c r="P254" s="3" t="n">
        <v>1</v>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199</v>
      </c>
      <c r="K255" s="3" t="inlineStr">
        <is>
          <t>도담동 최고입지 귀한 단독주택 넓은평수 목조주택</t>
        </is>
      </c>
      <c r="L255" s="5">
        <f>HYPERLINK("https://fin.land.naver.com/articles/2648380127", "매물Link")</f>
        <v/>
      </c>
      <c r="M255" s="5">
        <f>HYPERLINK("https://map.naver.com/p/search/도담동 698", "지도Link")</f>
        <v/>
      </c>
      <c r="N255" s="5">
        <f>HYPERLINK("http://www.eum.go.kr/web/ar/lu/luLandDet.jsp?pnu=3611011400106980000&amp;isNoScr=script&amp;mode=search", "토지이음")</f>
        <v/>
      </c>
      <c r="O255" s="3" t="inlineStr">
        <is>
          <t>세종스타</t>
        </is>
      </c>
      <c r="P255" s="3" t="n">
        <v>1</v>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199</v>
      </c>
      <c r="K256" s="3" t="inlineStr">
        <is>
          <t>명성공인, 방4, 화4, 풀에어컨, 다락까지 있는 위치 좋은 추천 매물</t>
        </is>
      </c>
      <c r="L256" s="5">
        <f>HYPERLINK("https://fin.land.naver.com/articles/2650066777", "매물Link")</f>
        <v/>
      </c>
      <c r="M256" s="5">
        <f>HYPERLINK("https://map.naver.com/p/search/도담동 698", "지도Link")</f>
        <v/>
      </c>
      <c r="N256" s="5">
        <f>HYPERLINK("http://www.eum.go.kr/web/ar/lu/luLandDet.jsp?pnu=3611011400106980000&amp;isNoScr=script&amp;mode=search", "토지이음")</f>
        <v/>
      </c>
      <c r="O256" s="3" t="inlineStr">
        <is>
          <t>명성</t>
        </is>
      </c>
      <c r="P256" s="3" t="n">
        <v>1</v>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52</v>
      </c>
      <c r="K257" s="3" t="inlineStr">
        <is>
          <t>도담동 입지 좋은 단독주택</t>
        </is>
      </c>
      <c r="L257" s="5">
        <f>HYPERLINK("https://fin.land.naver.com/articles/2647787307", "매물Link")</f>
        <v/>
      </c>
      <c r="M257" s="5">
        <f>HYPERLINK("https://map.naver.com/p/search/도담동 750", "지도Link")</f>
        <v/>
      </c>
      <c r="N257" s="5">
        <f>HYPERLINK("http://www.eum.go.kr/web/ar/lu/luLandDet.jsp?pnu=3611011400107500000&amp;isNoScr=script&amp;mode=search", "토지이음")</f>
        <v/>
      </c>
      <c r="O257" s="3" t="inlineStr">
        <is>
          <t>어반나래</t>
        </is>
      </c>
      <c r="P257" s="3" t="n">
        <v>1</v>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245</v>
      </c>
      <c r="K258" s="3" t="inlineStr">
        <is>
          <t>명품 타운하우스 트로아힐스 맨앞라인 ㄷ자형</t>
        </is>
      </c>
      <c r="L258" s="5">
        <f>HYPERLINK("https://fin.land.naver.com/articles/2645757264", "매물Link")</f>
        <v/>
      </c>
      <c r="M258" s="5">
        <f>HYPERLINK("https://map.naver.com/p/search/도담동 897-44", "지도Link")</f>
        <v/>
      </c>
      <c r="N258" s="5">
        <f>HYPERLINK("http://www.eum.go.kr/web/ar/lu/luLandDet.jsp?pnu=3611011400108970044&amp;isNoScr=script&amp;mode=search", "토지이음")</f>
        <v/>
      </c>
      <c r="O258" s="3" t="inlineStr">
        <is>
          <t>세종스타</t>
        </is>
      </c>
      <c r="P258" s="3" t="n">
        <v>2</v>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142</v>
      </c>
      <c r="K259" s="3" t="inlineStr">
        <is>
          <t>탁트인 전망 별장같은 멋진주택</t>
        </is>
      </c>
      <c r="L259" s="5">
        <f>HYPERLINK("https://fin.land.naver.com/articles/2648222638", "매물Link")</f>
        <v/>
      </c>
      <c r="M259" s="5">
        <f>HYPERLINK("https://map.naver.com/p/search/부강면 금호리 390-8", "지도Link")</f>
        <v/>
      </c>
      <c r="N259" s="5">
        <f>HYPERLINK("http://www.eum.go.kr/web/ar/lu/luLandDet.jsp?pnu=3611033028103900008&amp;isNoScr=script&amp;mode=search", "토지이음")</f>
        <v/>
      </c>
      <c r="O259" s="3" t="inlineStr">
        <is>
          <t>학사</t>
        </is>
      </c>
      <c r="P259" s="3" t="n">
        <v>1</v>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142</v>
      </c>
      <c r="K260" s="3" t="inlineStr">
        <is>
          <t>금강뷰 전원주택, 금호교 개통으로 4생활권에서 5분거리</t>
        </is>
      </c>
      <c r="L260" s="5">
        <f>HYPERLINK("https://fin.land.naver.com/articles/2649458393", "매물Link")</f>
        <v/>
      </c>
      <c r="M260" s="5">
        <f>HYPERLINK("https://map.naver.com/p/search/부강면 금호리 390-8", "지도Link")</f>
        <v/>
      </c>
      <c r="N260" s="5">
        <f>HYPERLINK("http://www.eum.go.kr/web/ar/lu/luLandDet.jsp?pnu=3611033028103900008&amp;isNoScr=script&amp;mode=search", "토지이음")</f>
        <v/>
      </c>
      <c r="O260" s="3" t="inlineStr">
        <is>
          <t>세종삼촌</t>
        </is>
      </c>
      <c r="P260" s="3" t="n">
        <v>3</v>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92</v>
      </c>
      <c r="K261" s="3" t="inlineStr">
        <is>
          <t>행복도시4생활권 인접, 부강산업단지에 근접한 주택으로 상태 좋음</t>
        </is>
      </c>
      <c r="L261" s="5">
        <f>HYPERLINK("https://fin.land.naver.com/articles/2645252092", "매물Link")</f>
        <v/>
      </c>
      <c r="M261" s="5">
        <f>HYPERLINK("https://map.naver.com/p/search/부강면 금호리 613", "지도Link")</f>
        <v/>
      </c>
      <c r="N261" s="5">
        <f>HYPERLINK("http://www.eum.go.kr/web/ar/lu/luLandDet.jsp?pnu=3611033028106130000&amp;isNoScr=script&amp;mode=search", "토지이음")</f>
        <v/>
      </c>
      <c r="O261" s="3" t="inlineStr">
        <is>
          <t>드림</t>
        </is>
      </c>
      <c r="P261" s="3" t="n">
        <v>1</v>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71</v>
      </c>
      <c r="K262" s="3" t="inlineStr">
        <is>
          <t>흙벽돌구조 1층 주택매매, 창고별도있음</t>
        </is>
      </c>
      <c r="L262" s="5">
        <f>HYPERLINK("https://fin.land.naver.com/articles/2644310770", "매물Link")</f>
        <v/>
      </c>
      <c r="M262" s="5">
        <f>HYPERLINK("https://map.naver.com/p/search/부강면 금호리 712-16", "지도Link")</f>
        <v/>
      </c>
      <c r="N262" s="5">
        <f>HYPERLINK("http://www.eum.go.kr/web/ar/lu/luLandDet.jsp?pnu=3611033028107120016&amp;isNoScr=script&amp;mode=search", "토지이음")</f>
        <v/>
      </c>
      <c r="O262" s="3" t="inlineStr">
        <is>
          <t>세종무지개</t>
        </is>
      </c>
      <c r="P262" s="3" t="n">
        <v>1</v>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90</v>
      </c>
      <c r="K263" s="3" t="inlineStr">
        <is>
          <t>nan</t>
        </is>
      </c>
      <c r="L263" s="5">
        <f>HYPERLINK("https://fin.land.naver.com/articles/2646118338", "매물Link")</f>
        <v/>
      </c>
      <c r="M263" s="5">
        <f>HYPERLINK("https://map.naver.com/p/search/부강면 노호리 307", "지도Link")</f>
        <v/>
      </c>
      <c r="N263" s="5">
        <f>HYPERLINK("http://www.eum.go.kr/web/ar/lu/luLandDet.jsp?pnu=3611033027103070000&amp;isNoScr=script&amp;mode=search", "토지이음")</f>
        <v/>
      </c>
      <c r="O263" s="3" t="inlineStr">
        <is>
          <t>좋은</t>
        </is>
      </c>
      <c r="P263" s="3" t="n">
        <v>1</v>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147</v>
      </c>
      <c r="K264" s="3" t="inlineStr">
        <is>
          <t>nan</t>
        </is>
      </c>
      <c r="L264" s="5">
        <f>HYPERLINK("https://fin.land.naver.com/articles/2649885848", "매물Link")</f>
        <v/>
      </c>
      <c r="M264" s="5">
        <f>HYPERLINK("https://map.naver.com/p/search/부강면 노호리 354", "지도Link")</f>
        <v/>
      </c>
      <c r="N264" s="5">
        <f>HYPERLINK("http://www.eum.go.kr/web/ar/lu/luLandDet.jsp?pnu=3611033027103540000&amp;isNoScr=script&amp;mode=search", "토지이음")</f>
        <v/>
      </c>
      <c r="O264" s="3" t="inlineStr">
        <is>
          <t>성성동황금시티</t>
        </is>
      </c>
      <c r="P264" s="3" t="n">
        <v>1</v>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531</v>
      </c>
      <c r="K265" s="3" t="inlineStr">
        <is>
          <t>계획관리지역 전원주택이며, 세종4생활권과 현도산업단지 인접 수요 증가</t>
        </is>
      </c>
      <c r="L265" s="5">
        <f>HYPERLINK("https://fin.land.naver.com/articles/2649193160", "매물Link")</f>
        <v/>
      </c>
      <c r="M265" s="5">
        <f>HYPERLINK("https://map.naver.com/p/search/부강면 노호리 354", "지도Link")</f>
        <v/>
      </c>
      <c r="N265" s="5">
        <f>HYPERLINK("http://www.eum.go.kr/web/ar/lu/luLandDet.jsp?pnu=3611033027103540000&amp;isNoScr=script&amp;mode=search", "토지이음")</f>
        <v/>
      </c>
      <c r="O265" s="3" t="inlineStr">
        <is>
          <t>수성</t>
        </is>
      </c>
      <c r="P265" s="3" t="n">
        <v>1</v>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29</v>
      </c>
      <c r="K266" s="3" t="inlineStr">
        <is>
          <t>넓고 베란다있는  풀옵션 원룸</t>
        </is>
      </c>
      <c r="L266" s="5">
        <f>HYPERLINK("https://fin.land.naver.com/articles/2646691556", "매물Link")</f>
        <v/>
      </c>
      <c r="M266" s="5">
        <f>HYPERLINK("https://map.naver.com/p/search/부강면 부강리 126-8", "지도Link")</f>
        <v/>
      </c>
      <c r="N266" s="5">
        <f>HYPERLINK("http://www.eum.go.kr/web/ar/lu/luLandDet.jsp?pnu=3611033021101260008&amp;isNoScr=script&amp;mode=search", "토지이음")</f>
        <v/>
      </c>
      <c r="O266" s="3" t="inlineStr">
        <is>
          <t>세종행복한</t>
        </is>
      </c>
      <c r="P266" s="3" t="n">
        <v>1</v>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33</v>
      </c>
      <c r="K267" s="3" t="inlineStr">
        <is>
          <t>감성 최고 대박 보안으로 입지 갑 1.5룸</t>
        </is>
      </c>
      <c r="L267" s="5">
        <f>HYPERLINK("https://fin.land.naver.com/articles/2648223335", "매물Link")</f>
        <v/>
      </c>
      <c r="M267" s="5">
        <f>HYPERLINK("https://map.naver.com/p/search/부강면 부강리 425-9", "지도Link")</f>
        <v/>
      </c>
      <c r="N267" s="5">
        <f>HYPERLINK("http://www.eum.go.kr/web/ar/lu/luLandDet.jsp?pnu=3611033021104250009&amp;isNoScr=script&amp;mode=search", "토지이음")</f>
        <v/>
      </c>
      <c r="O267" s="3" t="inlineStr">
        <is>
          <t>부강대박</t>
        </is>
      </c>
      <c r="P267" s="3" t="n">
        <v>1</v>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30</v>
      </c>
      <c r="K268" s="3" t="inlineStr">
        <is>
          <t>편의시설 초근접 풀옵션 1.5룸</t>
        </is>
      </c>
      <c r="L268" s="5">
        <f>HYPERLINK("https://fin.land.naver.com/articles/2647229439", "매물Link")</f>
        <v/>
      </c>
      <c r="M268" s="5">
        <f>HYPERLINK("https://map.naver.com/p/search/부강면 부강리 463-10", "지도Link")</f>
        <v/>
      </c>
      <c r="N268" s="5">
        <f>HYPERLINK("http://www.eum.go.kr/web/ar/lu/luLandDet.jsp?pnu=3611033021104630010&amp;isNoScr=script&amp;mode=search", "토지이음")</f>
        <v/>
      </c>
      <c r="O268" s="3" t="inlineStr">
        <is>
          <t>세종시</t>
        </is>
      </c>
      <c r="P268" s="3" t="n">
        <v>1</v>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33</v>
      </c>
      <c r="K269" s="3" t="inlineStr">
        <is>
          <t>편의시설 초근접 풀옵션 1.5룸</t>
        </is>
      </c>
      <c r="L269" s="5">
        <f>HYPERLINK("https://fin.land.naver.com/articles/2647216211", "매물Link")</f>
        <v/>
      </c>
      <c r="M269" s="5">
        <f>HYPERLINK("https://map.naver.com/p/search/부강면 부강리 463-10", "지도Link")</f>
        <v/>
      </c>
      <c r="N269" s="5">
        <f>HYPERLINK("http://www.eum.go.kr/web/ar/lu/luLandDet.jsp?pnu=3611033021104630010&amp;isNoScr=script&amp;mode=search", "토지이음")</f>
        <v/>
      </c>
      <c r="O269" s="3" t="inlineStr">
        <is>
          <t>세종시</t>
        </is>
      </c>
      <c r="P269" s="3" t="n">
        <v>1</v>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35</v>
      </c>
      <c r="K270" s="3" t="inlineStr">
        <is>
          <t>주차용이, 편의시설 초근접 1.5룸</t>
        </is>
      </c>
      <c r="L270" s="5">
        <f>HYPERLINK("https://fin.land.naver.com/articles/2645479915", "매물Link")</f>
        <v/>
      </c>
      <c r="M270" s="5">
        <f>HYPERLINK("https://map.naver.com/p/search/부강면 부강리 463-10", "지도Link")</f>
        <v/>
      </c>
      <c r="N270" s="5">
        <f>HYPERLINK("http://www.eum.go.kr/web/ar/lu/luLandDet.jsp?pnu=3611033021104630010&amp;isNoScr=script&amp;mode=search", "토지이음")</f>
        <v/>
      </c>
      <c r="O270" s="3" t="inlineStr">
        <is>
          <t>세종시</t>
        </is>
      </c>
      <c r="P270" s="3" t="n">
        <v>1</v>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18</v>
      </c>
      <c r="K271" s="3" t="inlineStr">
        <is>
          <t>단기가능한 조용하고 살기좋은 위치의 저렴한 풀옵션 원룸</t>
        </is>
      </c>
      <c r="L271" s="5">
        <f>HYPERLINK("https://fin.land.naver.com/articles/2648410762", "매물Link")</f>
        <v/>
      </c>
      <c r="M271" s="5">
        <f>HYPERLINK("https://map.naver.com/p/search/부강면 부강리 939", "지도Link")</f>
        <v/>
      </c>
      <c r="N271" s="5">
        <f>HYPERLINK("http://www.eum.go.kr/web/ar/lu/luLandDet.jsp?pnu=3611033021109390000&amp;isNoScr=script&amp;mode=search", "토지이음")</f>
        <v/>
      </c>
      <c r="O271" s="3" t="inlineStr">
        <is>
          <t>세종행복한</t>
        </is>
      </c>
      <c r="P271" s="3" t="n">
        <v>1</v>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50</v>
      </c>
      <c r="K272" s="3" t="inlineStr">
        <is>
          <t>지원l투룸l단기가능l가성비최상</t>
        </is>
      </c>
      <c r="L272" s="5">
        <f>HYPERLINK("https://fin.land.naver.com/articles/2644462661", "매물Link")</f>
        <v/>
      </c>
      <c r="M272" s="5">
        <f>HYPERLINK("https://map.naver.com/p/search/부강면 부강리 942-2", "지도Link")</f>
        <v/>
      </c>
      <c r="N272" s="5">
        <f>HYPERLINK("http://www.eum.go.kr/web/ar/lu/luLandDet.jsp?pnu=3611033021109420002&amp;isNoScr=script&amp;mode=search", "토지이음")</f>
        <v/>
      </c>
      <c r="O272" s="3" t="inlineStr">
        <is>
          <t>지원</t>
        </is>
      </c>
      <c r="P272" s="3" t="n">
        <v>1</v>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40</v>
      </c>
      <c r="K273" s="3" t="inlineStr">
        <is>
          <t>지원l편세권.5룸lo멋진인테리어o위치최상</t>
        </is>
      </c>
      <c r="L273" s="5">
        <f>HYPERLINK("https://fin.land.naver.com/articles/2644461388", "매물Link")</f>
        <v/>
      </c>
      <c r="M273" s="5">
        <f>HYPERLINK("https://map.naver.com/p/search/부강면 부강리 970-11", "지도Link")</f>
        <v/>
      </c>
      <c r="N273" s="5">
        <f>HYPERLINK("http://www.eum.go.kr/web/ar/lu/luLandDet.jsp?pnu=3611033021109700011&amp;isNoScr=script&amp;mode=search", "토지이음")</f>
        <v/>
      </c>
      <c r="O273" s="3" t="inlineStr">
        <is>
          <t>지원</t>
        </is>
      </c>
      <c r="P273" s="3" t="n">
        <v>1</v>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190</v>
      </c>
      <c r="K274" s="3" t="inlineStr">
        <is>
          <t>맨앞 위치최상 B타입 남향  월세도가능 매물전량확보</t>
        </is>
      </c>
      <c r="L274" s="5">
        <f>HYPERLINK("https://fin.land.naver.com/articles/2649316792", "매물Link")</f>
        <v/>
      </c>
      <c r="M274" s="5">
        <f>HYPERLINK("https://map.naver.com/p/search/새롬동 569", "지도Link")</f>
        <v/>
      </c>
      <c r="N274" s="5">
        <f>HYPERLINK("http://www.eum.go.kr/web/ar/lu/luLandDet.jsp?pnu=3611010800105690000&amp;isNoScr=script&amp;mode=search", "토지이음")</f>
        <v/>
      </c>
      <c r="O274" s="3" t="inlineStr">
        <is>
          <t>세종스타</t>
        </is>
      </c>
      <c r="P274" s="3" t="n">
        <v>1</v>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190</v>
      </c>
      <c r="K275" s="3" t="inlineStr">
        <is>
          <t>협의입주 에컨풀 각세대엘베 개인정원</t>
        </is>
      </c>
      <c r="L275" s="5">
        <f>HYPERLINK("https://fin.land.naver.com/articles/2649501454", "매물Link")</f>
        <v/>
      </c>
      <c r="M275" s="5">
        <f>HYPERLINK("https://map.naver.com/p/search/새롬동 569", "지도Link")</f>
        <v/>
      </c>
      <c r="N275" s="5">
        <f>HYPERLINK("http://www.eum.go.kr/web/ar/lu/luLandDet.jsp?pnu=3611010800105690000&amp;isNoScr=script&amp;mode=search", "토지이음")</f>
        <v/>
      </c>
      <c r="O275" s="3" t="inlineStr">
        <is>
          <t>아리랑</t>
        </is>
      </c>
      <c r="P275" s="3" t="n">
        <v>1</v>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190</v>
      </c>
      <c r="K276" s="3" t="inlineStr">
        <is>
          <t>타입과 입지 모두 인기위치. 풀시스텡에어컨. 엘레베이터</t>
        </is>
      </c>
      <c r="L276" s="5">
        <f>HYPERLINK("https://fin.land.naver.com/articles/2649313351", "매물Link")</f>
        <v/>
      </c>
      <c r="M276" s="5">
        <f>HYPERLINK("https://map.naver.com/p/search/새롬동 569", "지도Link")</f>
        <v/>
      </c>
      <c r="N276" s="5">
        <f>HYPERLINK("http://www.eum.go.kr/web/ar/lu/luLandDet.jsp?pnu=3611010800105690000&amp;isNoScr=script&amp;mode=search", "토지이음")</f>
        <v/>
      </c>
      <c r="O276" s="3" t="inlineStr">
        <is>
          <t>세종금밭</t>
        </is>
      </c>
      <c r="P276" s="3" t="n">
        <v>1</v>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190</v>
      </c>
      <c r="K277" s="3" t="inlineStr">
        <is>
          <t>타입과 입지 모두 인기위치. 풀시스텡에어컨. 엘레베이터</t>
        </is>
      </c>
      <c r="L277" s="5">
        <f>HYPERLINK("https://fin.land.naver.com/articles/2649313541", "매물Link")</f>
        <v/>
      </c>
      <c r="M277" s="5">
        <f>HYPERLINK("https://map.naver.com/p/search/새롬동 569", "지도Link")</f>
        <v/>
      </c>
      <c r="N277" s="5">
        <f>HYPERLINK("http://www.eum.go.kr/web/ar/lu/luLandDet.jsp?pnu=3611010800105690000&amp;isNoScr=script&amp;mode=search", "토지이음")</f>
        <v/>
      </c>
      <c r="O277" s="3" t="inlineStr">
        <is>
          <t>세종금밭</t>
        </is>
      </c>
      <c r="P277" s="3" t="n">
        <v>1</v>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190</v>
      </c>
      <c r="K278" s="3" t="inlineStr">
        <is>
          <t>남향 신축단독주택 지하1층~지상3층 옥상 테라스있음. 개별엘리베이터유</t>
        </is>
      </c>
      <c r="L278" s="5">
        <f>HYPERLINK("https://fin.land.naver.com/articles/2649716963", "매물Link")</f>
        <v/>
      </c>
      <c r="M278" s="5">
        <f>HYPERLINK("https://map.naver.com/p/search/새롬동 569", "지도Link")</f>
        <v/>
      </c>
      <c r="N278" s="5">
        <f>HYPERLINK("http://www.eum.go.kr/web/ar/lu/luLandDet.jsp?pnu=3611010800105690000&amp;isNoScr=script&amp;mode=search", "토지이음")</f>
        <v/>
      </c>
      <c r="O278" s="3" t="inlineStr">
        <is>
          <t>고운동리치세종</t>
        </is>
      </c>
      <c r="P278" s="3" t="n">
        <v>1</v>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190</v>
      </c>
      <c r="K279" s="3" t="inlineStr">
        <is>
          <t>C타입 선호타입 융자있음 매물전량확보중</t>
        </is>
      </c>
      <c r="L279" s="5">
        <f>HYPERLINK("https://fin.land.naver.com/articles/2645260827", "매물Link")</f>
        <v/>
      </c>
      <c r="M279" s="5">
        <f>HYPERLINK("https://map.naver.com/p/search/새롬동 569", "지도Link")</f>
        <v/>
      </c>
      <c r="N279" s="5">
        <f>HYPERLINK("http://www.eum.go.kr/web/ar/lu/luLandDet.jsp?pnu=3611010800105690000&amp;isNoScr=script&amp;mode=search", "토지이음")</f>
        <v/>
      </c>
      <c r="O279" s="3" t="inlineStr">
        <is>
          <t>세종스타</t>
        </is>
      </c>
      <c r="P279" s="3" t="n">
        <v>1</v>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190</v>
      </c>
      <c r="K280" s="3" t="inlineStr">
        <is>
          <t>상권과 교통 ,학군, 최고의 입지</t>
        </is>
      </c>
      <c r="L280" s="5">
        <f>HYPERLINK("https://fin.land.naver.com/articles/2645585831", "매물Link")</f>
        <v/>
      </c>
      <c r="M280" s="5">
        <f>HYPERLINK("https://map.naver.com/p/search/새롬동 569", "지도Link")</f>
        <v/>
      </c>
      <c r="N280" s="5">
        <f>HYPERLINK("http://www.eum.go.kr/web/ar/lu/luLandDet.jsp?pnu=3611010800105690000&amp;isNoScr=script&amp;mode=search", "토지이음")</f>
        <v/>
      </c>
      <c r="O280" s="3" t="inlineStr">
        <is>
          <t>해밀마을공간</t>
        </is>
      </c>
      <c r="P280" s="3" t="n">
        <v>1</v>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190</v>
      </c>
      <c r="K281" s="3" t="inlineStr">
        <is>
          <t>A타입 남서향 상가 마트 가까움 추가조율가능</t>
        </is>
      </c>
      <c r="L281" s="5">
        <f>HYPERLINK("https://fin.land.naver.com/articles/2645790729", "매물Link")</f>
        <v/>
      </c>
      <c r="M281" s="5">
        <f>HYPERLINK("https://map.naver.com/p/search/새롬동 569", "지도Link")</f>
        <v/>
      </c>
      <c r="N281" s="5">
        <f>HYPERLINK("http://www.eum.go.kr/web/ar/lu/luLandDet.jsp?pnu=3611010800105690000&amp;isNoScr=script&amp;mode=search", "토지이음")</f>
        <v/>
      </c>
      <c r="O281" s="3" t="inlineStr">
        <is>
          <t>세종스타</t>
        </is>
      </c>
      <c r="P281" s="3" t="n">
        <v>2</v>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197</v>
      </c>
      <c r="K282" s="3" t="inlineStr">
        <is>
          <t>산조망 58B1타입 인기좋은 타입</t>
        </is>
      </c>
      <c r="L282" s="5">
        <f>HYPERLINK("https://fin.land.naver.com/articles/2646823252", "매물Link")</f>
        <v/>
      </c>
      <c r="M282" s="5">
        <f>HYPERLINK("https://map.naver.com/p/search/새롬동 569", "지도Link")</f>
        <v/>
      </c>
      <c r="N282" s="5">
        <f>HYPERLINK("http://www.eum.go.kr/web/ar/lu/luLandDet.jsp?pnu=3611010800105690000&amp;isNoScr=script&amp;mode=search", "토지이음")</f>
        <v/>
      </c>
      <c r="O282" s="3" t="inlineStr">
        <is>
          <t>강아지풀</t>
        </is>
      </c>
      <c r="P282" s="3" t="n">
        <v>1</v>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190</v>
      </c>
      <c r="K283" s="3" t="inlineStr">
        <is>
          <t>nan</t>
        </is>
      </c>
      <c r="L283" s="5">
        <f>HYPERLINK("https://fin.land.naver.com/articles/2646823318", "매물Link")</f>
        <v/>
      </c>
      <c r="M283" s="5">
        <f>HYPERLINK("https://map.naver.com/p/search/새롬동 569", "지도Link")</f>
        <v/>
      </c>
      <c r="N283" s="5">
        <f>HYPERLINK("http://www.eum.go.kr/web/ar/lu/luLandDet.jsp?pnu=3611010800105690000&amp;isNoScr=script&amp;mode=search", "토지이음")</f>
        <v/>
      </c>
      <c r="O283" s="3" t="inlineStr">
        <is>
          <t>강아지풀</t>
        </is>
      </c>
      <c r="P283" s="3" t="n">
        <v>1</v>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190</v>
      </c>
      <c r="K284" s="3" t="inlineStr">
        <is>
          <t>급매원분양가 그대로 매매</t>
        </is>
      </c>
      <c r="L284" s="5">
        <f>HYPERLINK("https://fin.land.naver.com/articles/2646823549", "매물Link")</f>
        <v/>
      </c>
      <c r="M284" s="5">
        <f>HYPERLINK("https://map.naver.com/p/search/새롬동 569", "지도Link")</f>
        <v/>
      </c>
      <c r="N284" s="5">
        <f>HYPERLINK("http://www.eum.go.kr/web/ar/lu/luLandDet.jsp?pnu=3611010800105690000&amp;isNoScr=script&amp;mode=search", "토지이음")</f>
        <v/>
      </c>
      <c r="O284" s="3" t="inlineStr">
        <is>
          <t>강아지풀</t>
        </is>
      </c>
      <c r="P284" s="3" t="n">
        <v>1</v>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190</v>
      </c>
      <c r="K285" s="3" t="inlineStr">
        <is>
          <t>A타입 남서향 상가 마트 인근 매매도가능</t>
        </is>
      </c>
      <c r="L285" s="5">
        <f>HYPERLINK("https://fin.land.naver.com/articles/2646910317", "매물Link")</f>
        <v/>
      </c>
      <c r="M285" s="5">
        <f>HYPERLINK("https://map.naver.com/p/search/새롬동 569", "지도Link")</f>
        <v/>
      </c>
      <c r="N285" s="5">
        <f>HYPERLINK("http://www.eum.go.kr/web/ar/lu/luLandDet.jsp?pnu=3611010800105690000&amp;isNoScr=script&amp;mode=search", "토지이음")</f>
        <v/>
      </c>
      <c r="O285" s="3" t="inlineStr">
        <is>
          <t>세종스타</t>
        </is>
      </c>
      <c r="P285" s="3" t="n">
        <v>2</v>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190</v>
      </c>
      <c r="K286" s="3" t="inlineStr">
        <is>
          <t>3층넓은 C타입 융자무 매물전량확보중</t>
        </is>
      </c>
      <c r="L286" s="5">
        <f>HYPERLINK("https://fin.land.naver.com/articles/2649619230", "매물Link")</f>
        <v/>
      </c>
      <c r="M286" s="5">
        <f>HYPERLINK("https://map.naver.com/p/search/새롬동 569", "지도Link")</f>
        <v/>
      </c>
      <c r="N286" s="5">
        <f>HYPERLINK("http://www.eum.go.kr/web/ar/lu/luLandDet.jsp?pnu=3611010800105690000&amp;isNoScr=script&amp;mode=search", "토지이음")</f>
        <v/>
      </c>
      <c r="O286" s="3" t="inlineStr">
        <is>
          <t>세종스타</t>
        </is>
      </c>
      <c r="P286" s="3" t="n">
        <v>1</v>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190</v>
      </c>
      <c r="K287" s="3" t="inlineStr">
        <is>
          <t>nan</t>
        </is>
      </c>
      <c r="L287" s="5">
        <f>HYPERLINK("https://fin.land.naver.com/articles/2646960192", "매물Link")</f>
        <v/>
      </c>
      <c r="M287" s="5">
        <f>HYPERLINK("https://map.naver.com/p/search/새롬동 569", "지도Link")</f>
        <v/>
      </c>
      <c r="N287" s="5">
        <f>HYPERLINK("http://www.eum.go.kr/web/ar/lu/luLandDet.jsp?pnu=3611010800105690000&amp;isNoScr=script&amp;mode=search", "토지이음")</f>
        <v/>
      </c>
      <c r="O287" s="3" t="inlineStr">
        <is>
          <t>국제</t>
        </is>
      </c>
      <c r="P287" s="3" t="n">
        <v>1</v>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191</v>
      </c>
      <c r="K288" s="3" t="inlineStr">
        <is>
          <t>B타입 남향 맨앞 탁트임 매매도가능 매물전량확보됨</t>
        </is>
      </c>
      <c r="L288" s="5">
        <f>HYPERLINK("https://fin.land.naver.com/articles/2647263754", "매물Link")</f>
        <v/>
      </c>
      <c r="M288" s="5">
        <f>HYPERLINK("https://map.naver.com/p/search/새롬동 569", "지도Link")</f>
        <v/>
      </c>
      <c r="N288" s="5">
        <f>HYPERLINK("http://www.eum.go.kr/web/ar/lu/luLandDet.jsp?pnu=3611010800105690000&amp;isNoScr=script&amp;mode=search", "토지이음")</f>
        <v/>
      </c>
      <c r="O288" s="3" t="inlineStr">
        <is>
          <t>세종스타</t>
        </is>
      </c>
      <c r="P288" s="3" t="n">
        <v>1</v>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191</v>
      </c>
      <c r="K289" s="3" t="inlineStr">
        <is>
          <t>매매도 가능, 신축 새입주, 개별 엘레베이터, 지하창고</t>
        </is>
      </c>
      <c r="L289" s="5">
        <f>HYPERLINK("https://fin.land.naver.com/articles/2647420447", "매물Link")</f>
        <v/>
      </c>
      <c r="M289" s="5">
        <f>HYPERLINK("https://map.naver.com/p/search/새롬동 569", "지도Link")</f>
        <v/>
      </c>
      <c r="N289" s="5">
        <f>HYPERLINK("http://www.eum.go.kr/web/ar/lu/luLandDet.jsp?pnu=3611010800105690000&amp;isNoScr=script&amp;mode=search", "토지이음")</f>
        <v/>
      </c>
      <c r="O289" s="3" t="inlineStr">
        <is>
          <t>명진</t>
        </is>
      </c>
      <c r="P289" s="3" t="n">
        <v>1</v>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190</v>
      </c>
      <c r="K290" s="3" t="inlineStr">
        <is>
          <t>A타입, 지하주차장, 신축, 개별 엘레베이터, 입지 굿</t>
        </is>
      </c>
      <c r="L290" s="5">
        <f>HYPERLINK("https://fin.land.naver.com/articles/2647685130", "매물Link")</f>
        <v/>
      </c>
      <c r="M290" s="5">
        <f>HYPERLINK("https://map.naver.com/p/search/새롬동 569", "지도Link")</f>
        <v/>
      </c>
      <c r="N290" s="5">
        <f>HYPERLINK("http://www.eum.go.kr/web/ar/lu/luLandDet.jsp?pnu=3611010800105690000&amp;isNoScr=script&amp;mode=search", "토지이음")</f>
        <v/>
      </c>
      <c r="O290" s="3" t="inlineStr">
        <is>
          <t>세종무지개</t>
        </is>
      </c>
      <c r="P290" s="3" t="n">
        <v>1</v>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190</v>
      </c>
      <c r="K291" s="3" t="inlineStr">
        <is>
          <t>맨앞 위치최상 B타입 남향  매매도가능 매물전량확보</t>
        </is>
      </c>
      <c r="L291" s="5">
        <f>HYPERLINK("https://fin.land.naver.com/articles/2648054441", "매물Link")</f>
        <v/>
      </c>
      <c r="M291" s="5">
        <f>HYPERLINK("https://map.naver.com/p/search/새롬동 569", "지도Link")</f>
        <v/>
      </c>
      <c r="N291" s="5">
        <f>HYPERLINK("http://www.eum.go.kr/web/ar/lu/luLandDet.jsp?pnu=3611010800105690000&amp;isNoScr=script&amp;mode=search", "토지이음")</f>
        <v/>
      </c>
      <c r="O291" s="3" t="inlineStr">
        <is>
          <t>세종스타</t>
        </is>
      </c>
      <c r="P291" s="3" t="n">
        <v>1</v>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191</v>
      </c>
      <c r="K292" s="3" t="inlineStr">
        <is>
          <t>지하주차장, 신축, 개별 엘레베이터, 입지 굿</t>
        </is>
      </c>
      <c r="L292" s="5">
        <f>HYPERLINK("https://fin.land.naver.com/articles/2648119434", "매물Link")</f>
        <v/>
      </c>
      <c r="M292" s="5">
        <f>HYPERLINK("https://map.naver.com/p/search/새롬동 569", "지도Link")</f>
        <v/>
      </c>
      <c r="N292" s="5">
        <f>HYPERLINK("http://www.eum.go.kr/web/ar/lu/luLandDet.jsp?pnu=3611010800105690000&amp;isNoScr=script&amp;mode=search", "토지이음")</f>
        <v/>
      </c>
      <c r="O292" s="3" t="inlineStr">
        <is>
          <t>세종무지개</t>
        </is>
      </c>
      <c r="P292" s="3" t="n">
        <v>1</v>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191</v>
      </c>
      <c r="K293" s="3" t="inlineStr">
        <is>
          <t>매매, 전세도 가능, 신축, 엘레베이터, 입지 굿</t>
        </is>
      </c>
      <c r="L293" s="5">
        <f>HYPERLINK("https://fin.land.naver.com/articles/2648120372", "매물Link")</f>
        <v/>
      </c>
      <c r="M293" s="5">
        <f>HYPERLINK("https://map.naver.com/p/search/새롬동 569", "지도Link")</f>
        <v/>
      </c>
      <c r="N293" s="5">
        <f>HYPERLINK("http://www.eum.go.kr/web/ar/lu/luLandDet.jsp?pnu=3611010800105690000&amp;isNoScr=script&amp;mode=search", "토지이음")</f>
        <v/>
      </c>
      <c r="O293" s="3" t="inlineStr">
        <is>
          <t>세종무지개</t>
        </is>
      </c>
      <c r="P293" s="3" t="n">
        <v>1</v>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190</v>
      </c>
      <c r="K294" s="3" t="inlineStr">
        <is>
          <t>럭셔리 단독주택,최고의 입지,실내엘리베이터,테라스,창고,옥상정원</t>
        </is>
      </c>
      <c r="L294" s="5">
        <f>HYPERLINK("https://fin.land.naver.com/articles/2648882484", "매물Link")</f>
        <v/>
      </c>
      <c r="M294" s="5">
        <f>HYPERLINK("https://map.naver.com/p/search/새롬동 569", "지도Link")</f>
        <v/>
      </c>
      <c r="N294" s="5">
        <f>HYPERLINK("http://www.eum.go.kr/web/ar/lu/luLandDet.jsp?pnu=3611010800105690000&amp;isNoScr=script&amp;mode=search", "토지이음")</f>
        <v/>
      </c>
      <c r="O294" s="3" t="inlineStr">
        <is>
          <t>해밀마을공간</t>
        </is>
      </c>
      <c r="P294" s="3" t="n">
        <v>1</v>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191</v>
      </c>
      <c r="K295" s="3" t="inlineStr">
        <is>
          <t>전.월세도 가능, 신축 새입주, 개별 엘레베이터, 지하창고</t>
        </is>
      </c>
      <c r="L295" s="5">
        <f>HYPERLINK("https://fin.land.naver.com/articles/2649026564", "매물Link")</f>
        <v/>
      </c>
      <c r="M295" s="5">
        <f>HYPERLINK("https://map.naver.com/p/search/새롬동 569", "지도Link")</f>
        <v/>
      </c>
      <c r="N295" s="5">
        <f>HYPERLINK("http://www.eum.go.kr/web/ar/lu/luLandDet.jsp?pnu=3611010800105690000&amp;isNoScr=script&amp;mode=search", "토지이음")</f>
        <v/>
      </c>
      <c r="O295" s="3" t="inlineStr">
        <is>
          <t>명진</t>
        </is>
      </c>
      <c r="P295" s="3" t="n">
        <v>1</v>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190</v>
      </c>
      <c r="K296" s="3" t="inlineStr">
        <is>
          <t>남향,신축,전세가능,교통 상권 학군 우수</t>
        </is>
      </c>
      <c r="L296" s="5">
        <f>HYPERLINK("https://fin.land.naver.com/articles/2649047581", "매물Link")</f>
        <v/>
      </c>
      <c r="M296" s="5">
        <f>HYPERLINK("https://map.naver.com/p/search/새롬동 569", "지도Link")</f>
        <v/>
      </c>
      <c r="N296" s="5">
        <f>HYPERLINK("http://www.eum.go.kr/web/ar/lu/luLandDet.jsp?pnu=3611010800105690000&amp;isNoScr=script&amp;mode=search", "토지이음")</f>
        <v/>
      </c>
      <c r="O296" s="3" t="inlineStr">
        <is>
          <t>해밀마을공간</t>
        </is>
      </c>
      <c r="P296" s="3" t="n">
        <v>1</v>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190</v>
      </c>
      <c r="K297" s="3" t="inlineStr">
        <is>
          <t>급매 원분양가 신축첫입주 남향 선호C타입</t>
        </is>
      </c>
      <c r="L297" s="5">
        <f>HYPERLINK("https://fin.land.naver.com/articles/2649480042", "매물Link")</f>
        <v/>
      </c>
      <c r="M297" s="5">
        <f>HYPERLINK("https://map.naver.com/p/search/새롬동 569", "지도Link")</f>
        <v/>
      </c>
      <c r="N297" s="5">
        <f>HYPERLINK("http://www.eum.go.kr/web/ar/lu/luLandDet.jsp?pnu=3611010800105690000&amp;isNoScr=script&amp;mode=search", "토지이음")</f>
        <v/>
      </c>
      <c r="O297" s="3" t="inlineStr">
        <is>
          <t>세종스타</t>
        </is>
      </c>
      <c r="P297" s="3" t="n">
        <v>1</v>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191</v>
      </c>
      <c r="K298" s="3" t="inlineStr">
        <is>
          <t>B타입 전세8억 즉시입주가능 새롬동 최고위치 타운하우스 학군 좋아요</t>
        </is>
      </c>
      <c r="L298" s="5">
        <f>HYPERLINK("https://fin.land.naver.com/articles/2646960442", "매물Link")</f>
        <v/>
      </c>
      <c r="M298" s="5">
        <f>HYPERLINK("https://map.naver.com/p/search/새롬동 569", "지도Link")</f>
        <v/>
      </c>
      <c r="N298" s="5">
        <f>HYPERLINK("http://www.eum.go.kr/web/ar/lu/luLandDet.jsp?pnu=3611010800105690000&amp;isNoScr=script&amp;mode=search", "토지이음")</f>
        <v/>
      </c>
      <c r="O298" s="3" t="inlineStr">
        <is>
          <t>국제</t>
        </is>
      </c>
      <c r="P298" s="3" t="n">
        <v>1</v>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190</v>
      </c>
      <c r="K299" s="3" t="inlineStr">
        <is>
          <t>3층안방확장. B타입. 남향. 빌트인냉장고. 방3개 욕실3개</t>
        </is>
      </c>
      <c r="L299" s="5">
        <f>HYPERLINK("https://fin.land.naver.com/articles/2647125658", "매물Link")</f>
        <v/>
      </c>
      <c r="M299" s="5">
        <f>HYPERLINK("https://map.naver.com/p/search/새롬동 569", "지도Link")</f>
        <v/>
      </c>
      <c r="N299" s="5">
        <f>HYPERLINK("http://www.eum.go.kr/web/ar/lu/luLandDet.jsp?pnu=3611010800105690000&amp;isNoScr=script&amp;mode=search", "토지이음")</f>
        <v/>
      </c>
      <c r="O299" s="3" t="inlineStr">
        <is>
          <t>세종스타</t>
        </is>
      </c>
      <c r="P299" s="3" t="n">
        <v>2</v>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190</v>
      </c>
      <c r="K300" s="3" t="inlineStr">
        <is>
          <t>3층안방확장. B타입. 남향. 빌트인냉장고. 방3개 욕실3개</t>
        </is>
      </c>
      <c r="L300" s="5">
        <f>HYPERLINK("https://fin.land.naver.com/articles/2645790329", "매물Link")</f>
        <v/>
      </c>
      <c r="M300" s="5">
        <f>HYPERLINK("https://map.naver.com/p/search/새롬동 569", "지도Link")</f>
        <v/>
      </c>
      <c r="N300" s="5">
        <f>HYPERLINK("http://www.eum.go.kr/web/ar/lu/luLandDet.jsp?pnu=3611010800105690000&amp;isNoScr=script&amp;mode=search", "토지이음")</f>
        <v/>
      </c>
      <c r="O300" s="3" t="inlineStr">
        <is>
          <t>세종스타</t>
        </is>
      </c>
      <c r="P300" s="3" t="n">
        <v>2</v>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197</v>
      </c>
      <c r="K301" s="3" t="inlineStr">
        <is>
          <t>천안에 가까운 전원생활이 가능한 집 내진설계 건축 6년차</t>
        </is>
      </c>
      <c r="L301" s="5">
        <f>HYPERLINK("https://fin.land.naver.com/articles/2646043294", "매물Link")</f>
        <v/>
      </c>
      <c r="M301" s="5">
        <f>HYPERLINK("https://map.naver.com/p/search/소정면 대곡리 466-3", "지도Link")</f>
        <v/>
      </c>
      <c r="N301" s="5">
        <f>HYPERLINK("http://www.eum.go.kr/web/ar/lu/luLandDet.jsp?pnu=3611039023104660003&amp;isNoScr=script&amp;mode=search", "토지이음")</f>
        <v/>
      </c>
      <c r="O301" s="3" t="inlineStr">
        <is>
          <t>OK파라곤</t>
        </is>
      </c>
      <c r="P301" s="3" t="n">
        <v>1</v>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165</v>
      </c>
      <c r="K302" s="3" t="inlineStr">
        <is>
          <t>세종 최선호 택지지구내 고급주택, 충남대병원, 음식점 등 가까워 생활편리</t>
        </is>
      </c>
      <c r="L302" s="5">
        <f>HYPERLINK("https://fin.land.naver.com/articles/2644835914", "매물Link")</f>
        <v/>
      </c>
      <c r="M302" s="5">
        <f>HYPERLINK("https://map.naver.com/p/search/아름동 1046", "지도Link")</f>
        <v/>
      </c>
      <c r="N302" s="5">
        <f>HYPERLINK("http://www.eum.go.kr/web/ar/lu/luLandDet.jsp?pnu=3611011300110460000&amp;isNoScr=script&amp;mode=search", "토지이음")</f>
        <v/>
      </c>
      <c r="O302" s="3" t="inlineStr">
        <is>
          <t>온뜰</t>
        </is>
      </c>
      <c r="P302" s="3" t="n">
        <v>1</v>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157</v>
      </c>
      <c r="K303" s="3" t="inlineStr">
        <is>
          <t>교통편리한 세종 아름동 주택가, 서울세종고속도로,국도1호선, 세종외곽도로</t>
        </is>
      </c>
      <c r="L303" s="5">
        <f>HYPERLINK("https://fin.land.naver.com/articles/2643990747", "매물Link")</f>
        <v/>
      </c>
      <c r="M303" s="5">
        <f>HYPERLINK("https://map.naver.com/p/search/아름동 1046", "지도Link")</f>
        <v/>
      </c>
      <c r="N303" s="5">
        <f>HYPERLINK("http://www.eum.go.kr/web/ar/lu/luLandDet.jsp?pnu=3611011300110460000&amp;isNoScr=script&amp;mode=search", "토지이음")</f>
        <v/>
      </c>
      <c r="O303" s="3" t="inlineStr">
        <is>
          <t>아름</t>
        </is>
      </c>
      <c r="P303" s="3" t="n">
        <v>1</v>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148</v>
      </c>
      <c r="K304" s="3" t="inlineStr">
        <is>
          <t>조율가능 국제고인근 정남향 아이들의 놀이터같은 특색주택</t>
        </is>
      </c>
      <c r="L304" s="5">
        <f>HYPERLINK("https://fin.land.naver.com/articles/2648716323", "매물Link")</f>
        <v/>
      </c>
      <c r="M304" s="5">
        <f>HYPERLINK("https://map.naver.com/p/search/아름동 1148", "지도Link")</f>
        <v/>
      </c>
      <c r="N304" s="5">
        <f>HYPERLINK("http://www.eum.go.kr/web/ar/lu/luLandDet.jsp?pnu=3611011300111480000&amp;isNoScr=script&amp;mode=search", "토지이음")</f>
        <v/>
      </c>
      <c r="O304" s="3" t="inlineStr">
        <is>
          <t>세종스타</t>
        </is>
      </c>
      <c r="P304" s="3" t="n">
        <v>2</v>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148</v>
      </c>
      <c r="K305" s="3" t="inlineStr">
        <is>
          <t>벽난로,태양광, 어린이 를 위한 공간, 가격절충</t>
        </is>
      </c>
      <c r="L305" s="5">
        <f>HYPERLINK("https://fin.land.naver.com/articles/2646426563", "매물Link")</f>
        <v/>
      </c>
      <c r="M305" s="5">
        <f>HYPERLINK("https://map.naver.com/p/search/아름동 1148", "지도Link")</f>
        <v/>
      </c>
      <c r="N305" s="5">
        <f>HYPERLINK("http://www.eum.go.kr/web/ar/lu/luLandDet.jsp?pnu=3611011300111480000&amp;isNoScr=script&amp;mode=search", "토지이음")</f>
        <v/>
      </c>
      <c r="O305" s="3" t="inlineStr">
        <is>
          <t>세종삼촌</t>
        </is>
      </c>
      <c r="P305" s="3" t="n">
        <v>1</v>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148</v>
      </c>
      <c r="K306" s="3" t="inlineStr">
        <is>
          <t>남향집으로 따뜻한 집 입니다. 입주는 협의 가능하며 가격절충가능합니다.</t>
        </is>
      </c>
      <c r="L306" s="5">
        <f>HYPERLINK("https://fin.land.naver.com/articles/2647499785", "매물Link")</f>
        <v/>
      </c>
      <c r="M306" s="5">
        <f>HYPERLINK("https://map.naver.com/p/search/아름동 1148", "지도Link")</f>
        <v/>
      </c>
      <c r="N306" s="5">
        <f>HYPERLINK("http://www.eum.go.kr/web/ar/lu/luLandDet.jsp?pnu=3611011300111480000&amp;isNoScr=script&amp;mode=search", "토지이음")</f>
        <v/>
      </c>
      <c r="O306" s="3" t="inlineStr">
        <is>
          <t>주황푸르지오</t>
        </is>
      </c>
      <c r="P306" s="3" t="n">
        <v>1</v>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148</v>
      </c>
      <c r="K307" s="3" t="inlineStr">
        <is>
          <t>벽난로, 태양광, 정남향으로 가격조율가능한 단독주택</t>
        </is>
      </c>
      <c r="L307" s="5">
        <f>HYPERLINK("https://fin.land.naver.com/articles/2648905063", "매물Link")</f>
        <v/>
      </c>
      <c r="M307" s="5">
        <f>HYPERLINK("https://map.naver.com/p/search/아름동 1148", "지도Link")</f>
        <v/>
      </c>
      <c r="N307" s="5">
        <f>HYPERLINK("http://www.eum.go.kr/web/ar/lu/luLandDet.jsp?pnu=3611011300111480000&amp;isNoScr=script&amp;mode=search", "토지이음")</f>
        <v/>
      </c>
      <c r="O307" s="3" t="inlineStr">
        <is>
          <t>명진</t>
        </is>
      </c>
      <c r="P307" s="3" t="n">
        <v>2</v>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160</v>
      </c>
      <c r="K308" s="3" t="inlineStr">
        <is>
          <t>2층주택, 현재 주인거주로 잘 관리된 집</t>
        </is>
      </c>
      <c r="L308" s="5">
        <f>HYPERLINK("https://fin.land.naver.com/articles/2646823725", "매물Link")</f>
        <v/>
      </c>
      <c r="M308" s="5">
        <f>HYPERLINK("https://map.naver.com/p/search/아름동 1241", "지도Link")</f>
        <v/>
      </c>
      <c r="N308" s="5">
        <f>HYPERLINK("http://www.eum.go.kr/web/ar/lu/luLandDet.jsp?pnu=3611011300112410000&amp;isNoScr=script&amp;mode=search", "토지이음")</f>
        <v/>
      </c>
      <c r="O308" s="3" t="inlineStr">
        <is>
          <t>강아지풀</t>
        </is>
      </c>
      <c r="P308" s="3" t="n">
        <v>1</v>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160</v>
      </c>
      <c r="K309" s="3" t="inlineStr">
        <is>
          <t>시스템에어컨풀, 주인거주, 협의입주, 1.2층 단독주택</t>
        </is>
      </c>
      <c r="L309" s="5">
        <f>HYPERLINK("https://fin.land.naver.com/articles/2646689830", "매물Link")</f>
        <v/>
      </c>
      <c r="M309" s="5">
        <f>HYPERLINK("https://map.naver.com/p/search/아름동 1241", "지도Link")</f>
        <v/>
      </c>
      <c r="N309" s="5">
        <f>HYPERLINK("http://www.eum.go.kr/web/ar/lu/luLandDet.jsp?pnu=3611011300112410000&amp;isNoScr=script&amp;mode=search", "토지이음")</f>
        <v/>
      </c>
      <c r="O309" s="3" t="inlineStr">
        <is>
          <t>세종무지개</t>
        </is>
      </c>
      <c r="P309" s="3" t="n">
        <v>1</v>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160</v>
      </c>
      <c r="K310" s="3" t="inlineStr">
        <is>
          <t>전용 48.6p, 1.2층 단독주택, 시스템에어컨풀, 협의입주</t>
        </is>
      </c>
      <c r="L310" s="5">
        <f>HYPERLINK("https://fin.land.naver.com/articles/2648906147", "매물Link")</f>
        <v/>
      </c>
      <c r="M310" s="5">
        <f>HYPERLINK("https://map.naver.com/p/search/아름동 1241", "지도Link")</f>
        <v/>
      </c>
      <c r="N310" s="5">
        <f>HYPERLINK("http://www.eum.go.kr/web/ar/lu/luLandDet.jsp?pnu=3611011300112410000&amp;isNoScr=script&amp;mode=search", "토지이음")</f>
        <v/>
      </c>
      <c r="O310" s="3" t="inlineStr">
        <is>
          <t>명진</t>
        </is>
      </c>
      <c r="P310" s="3" t="n">
        <v>1</v>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160</v>
      </c>
      <c r="K311" s="3" t="inlineStr">
        <is>
          <t>철근콘크리트 튼튼  시스템에어컨 5대 단독 매매</t>
        </is>
      </c>
      <c r="L311" s="5">
        <f>HYPERLINK("https://fin.land.naver.com/articles/2644280535", "매물Link")</f>
        <v/>
      </c>
      <c r="M311" s="5">
        <f>HYPERLINK("https://map.naver.com/p/search/아름동 1241", "지도Link")</f>
        <v/>
      </c>
      <c r="N311" s="5">
        <f>HYPERLINK("http://www.eum.go.kr/web/ar/lu/luLandDet.jsp?pnu=3611011300112410000&amp;isNoScr=script&amp;mode=search", "토지이음")</f>
        <v/>
      </c>
      <c r="O311" s="3" t="inlineStr">
        <is>
          <t>THE행복</t>
        </is>
      </c>
      <c r="P311" s="3" t="n">
        <v>1</v>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160</v>
      </c>
      <c r="K312" s="3" t="inlineStr">
        <is>
          <t>정원있는 조용한 전원주택 매매</t>
        </is>
      </c>
      <c r="L312" s="5">
        <f>HYPERLINK("https://fin.land.naver.com/articles/2643938676", "매물Link")</f>
        <v/>
      </c>
      <c r="M312" s="5">
        <f>HYPERLINK("https://map.naver.com/p/search/아름동 1241", "지도Link")</f>
        <v/>
      </c>
      <c r="N312" s="5">
        <f>HYPERLINK("http://www.eum.go.kr/web/ar/lu/luLandDet.jsp?pnu=3611011300112410000&amp;isNoScr=script&amp;mode=search", "토지이음")</f>
        <v/>
      </c>
      <c r="O312" s="3" t="inlineStr">
        <is>
          <t>인서</t>
        </is>
      </c>
      <c r="P312" s="3" t="n">
        <v>1</v>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160</v>
      </c>
      <c r="K313" s="3" t="inlineStr">
        <is>
          <t>주택 에어컨5개 마당있고 편안한 주택매물입니다.</t>
        </is>
      </c>
      <c r="L313" s="5">
        <f>HYPERLINK("https://fin.land.naver.com/articles/2648169316", "매물Link")</f>
        <v/>
      </c>
      <c r="M313" s="5">
        <f>HYPERLINK("https://map.naver.com/p/search/아름동 1241", "지도Link")</f>
        <v/>
      </c>
      <c r="N313" s="5">
        <f>HYPERLINK("http://www.eum.go.kr/web/ar/lu/luLandDet.jsp?pnu=3611011300112410000&amp;isNoScr=script&amp;mode=search", "토지이음")</f>
        <v/>
      </c>
      <c r="O313" s="3" t="inlineStr">
        <is>
          <t>세석</t>
        </is>
      </c>
      <c r="P313" s="3" t="n">
        <v>1</v>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204</v>
      </c>
      <c r="K314" s="3" t="inlineStr">
        <is>
          <t>남향에 위치 좋은집  분리세대로 2층 시스탬에어컨2대 설치 협의 입주</t>
        </is>
      </c>
      <c r="L314" s="5">
        <f>HYPERLINK("https://fin.land.naver.com/articles/2649764622", "매물Link")</f>
        <v/>
      </c>
      <c r="M314" s="5">
        <f>HYPERLINK("https://map.naver.com/p/search/아름동 1408", "지도Link")</f>
        <v/>
      </c>
      <c r="N314" s="5">
        <f>HYPERLINK("http://www.eum.go.kr/web/ar/lu/luLandDet.jsp?pnu=3611011300114080000&amp;isNoScr=script&amp;mode=search", "토지이음")</f>
        <v/>
      </c>
      <c r="O314" s="3" t="inlineStr">
        <is>
          <t>주황푸르지오</t>
        </is>
      </c>
      <c r="P314" s="3" t="n">
        <v>1</v>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178</v>
      </c>
      <c r="K315" s="3" t="inlineStr">
        <is>
          <t>올 리모델링. 풀에어컨, 코너 입지</t>
        </is>
      </c>
      <c r="L315" s="5">
        <f>HYPERLINK("https://fin.land.naver.com/articles/2649459333", "매물Link")</f>
        <v/>
      </c>
      <c r="M315" s="5">
        <f>HYPERLINK("https://map.naver.com/p/search/아름동 856", "지도Link")</f>
        <v/>
      </c>
      <c r="N315" s="5">
        <f>HYPERLINK("http://www.eum.go.kr/web/ar/lu/luLandDet.jsp?pnu=3611011300108560000&amp;isNoScr=script&amp;mode=search", "토지이음")</f>
        <v/>
      </c>
      <c r="O315" s="3" t="inlineStr">
        <is>
          <t>세종삼촌</t>
        </is>
      </c>
      <c r="P315" s="3" t="n">
        <v>1</v>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178</v>
      </c>
      <c r="K316" s="3" t="inlineStr">
        <is>
          <t>올리모델링 방3개 욕실3개 시스템에어컨5대 조율가능</t>
        </is>
      </c>
      <c r="L316" s="5">
        <f>HYPERLINK("https://fin.land.naver.com/articles/2648979509", "매물Link")</f>
        <v/>
      </c>
      <c r="M316" s="5">
        <f>HYPERLINK("https://map.naver.com/p/search/아름동 856", "지도Link")</f>
        <v/>
      </c>
      <c r="N316" s="5">
        <f>HYPERLINK("http://www.eum.go.kr/web/ar/lu/luLandDet.jsp?pnu=3611011300108560000&amp;isNoScr=script&amp;mode=search", "토지이음")</f>
        <v/>
      </c>
      <c r="O316" s="3" t="inlineStr">
        <is>
          <t>세종스타</t>
        </is>
      </c>
      <c r="P316" s="3" t="n">
        <v>1</v>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178</v>
      </c>
      <c r="K317" s="3" t="inlineStr">
        <is>
          <t>최근 리모델링한 단독주택 매매, 방3개, 욕실2개</t>
        </is>
      </c>
      <c r="L317" s="5">
        <f>HYPERLINK("https://fin.land.naver.com/articles/2649020493", "매물Link")</f>
        <v/>
      </c>
      <c r="M317" s="5">
        <f>HYPERLINK("https://map.naver.com/p/search/아름동 856", "지도Link")</f>
        <v/>
      </c>
      <c r="N317" s="5">
        <f>HYPERLINK("http://www.eum.go.kr/web/ar/lu/luLandDet.jsp?pnu=3611011300108560000&amp;isNoScr=script&amp;mode=search", "토지이음")</f>
        <v/>
      </c>
      <c r="O317" s="3" t="inlineStr">
        <is>
          <t>명진</t>
        </is>
      </c>
      <c r="P317" s="3" t="n">
        <v>1</v>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178</v>
      </c>
      <c r="K318" s="3" t="inlineStr">
        <is>
          <t>아름동 입지좋은 단독주택 매매, 올리모델링</t>
        </is>
      </c>
      <c r="L318" s="5">
        <f>HYPERLINK("https://fin.land.naver.com/articles/2648835163", "매물Link")</f>
        <v/>
      </c>
      <c r="M318" s="5">
        <f>HYPERLINK("https://map.naver.com/p/search/아름동 856", "지도Link")</f>
        <v/>
      </c>
      <c r="N318" s="5">
        <f>HYPERLINK("http://www.eum.go.kr/web/ar/lu/luLandDet.jsp?pnu=3611011300108560000&amp;isNoScr=script&amp;mode=search", "토지이음")</f>
        <v/>
      </c>
      <c r="O318" s="3" t="inlineStr">
        <is>
          <t>세종무지개</t>
        </is>
      </c>
      <c r="P318" s="3" t="n">
        <v>1</v>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147</v>
      </c>
      <c r="K319" s="3" t="inlineStr">
        <is>
          <t>귀한 단독주택 전세 집상태 깨끗함 협의입주</t>
        </is>
      </c>
      <c r="L319" s="5">
        <f>HYPERLINK("https://fin.land.naver.com/articles/2646456098", "매물Link")</f>
        <v/>
      </c>
      <c r="M319" s="5">
        <f>HYPERLINK("https://map.naver.com/p/search/아름동 862", "지도Link")</f>
        <v/>
      </c>
      <c r="N319" s="5">
        <f>HYPERLINK("http://www.eum.go.kr/web/ar/lu/luLandDet.jsp?pnu=3611011300108620000&amp;isNoScr=script&amp;mode=search", "토지이음")</f>
        <v/>
      </c>
      <c r="O319" s="3" t="inlineStr">
        <is>
          <t>국제</t>
        </is>
      </c>
      <c r="P319" s="3" t="n">
        <v>1</v>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147</v>
      </c>
      <c r="K320" s="3" t="inlineStr">
        <is>
          <t>풀에어컨, 조명, 도배 등 리모델링 완료, 내부 굿</t>
        </is>
      </c>
      <c r="L320" s="5">
        <f>HYPERLINK("https://fin.land.naver.com/articles/2646696811", "매물Link")</f>
        <v/>
      </c>
      <c r="M320" s="5">
        <f>HYPERLINK("https://map.naver.com/p/search/아름동 862", "지도Link")</f>
        <v/>
      </c>
      <c r="N320" s="5">
        <f>HYPERLINK("http://www.eum.go.kr/web/ar/lu/luLandDet.jsp?pnu=3611011300108620000&amp;isNoScr=script&amp;mode=search", "토지이음")</f>
        <v/>
      </c>
      <c r="O320" s="3" t="inlineStr">
        <is>
          <t>세종무지개</t>
        </is>
      </c>
      <c r="P320" s="3" t="n">
        <v>1</v>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192</v>
      </c>
      <c r="K321" s="3" t="inlineStr">
        <is>
          <t>입주협의 위치좋은 단독주택 관리상태굿 가격조정가능</t>
        </is>
      </c>
      <c r="L321" s="5">
        <f>HYPERLINK("https://fin.land.naver.com/articles/2644599103", "매물Link")</f>
        <v/>
      </c>
      <c r="M321" s="5">
        <f>HYPERLINK("https://map.naver.com/p/search/아름동 875", "지도Link")</f>
        <v/>
      </c>
      <c r="N321" s="5">
        <f>HYPERLINK("http://www.eum.go.kr/web/ar/lu/luLandDet.jsp?pnu=3611011300108750000&amp;isNoScr=script&amp;mode=search", "토지이음")</f>
        <v/>
      </c>
      <c r="O321" s="3" t="inlineStr">
        <is>
          <t>고운동리치세종</t>
        </is>
      </c>
      <c r="P321" s="3" t="n">
        <v>1</v>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192</v>
      </c>
      <c r="K322" s="3" t="inlineStr">
        <is>
          <t>nan</t>
        </is>
      </c>
      <c r="L322" s="5">
        <f>HYPERLINK("https://fin.land.naver.com/articles/2645959810", "매물Link")</f>
        <v/>
      </c>
      <c r="M322" s="5">
        <f>HYPERLINK("https://map.naver.com/p/search/아름동 875", "지도Link")</f>
        <v/>
      </c>
      <c r="N322" s="5">
        <f>HYPERLINK("http://www.eum.go.kr/web/ar/lu/luLandDet.jsp?pnu=3611011300108750000&amp;isNoScr=script&amp;mode=search", "토지이음")</f>
        <v/>
      </c>
      <c r="O322" s="3" t="inlineStr">
        <is>
          <t>세종갑부</t>
        </is>
      </c>
      <c r="P322" s="3" t="n">
        <v>1</v>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192</v>
      </c>
      <c r="K323" s="3" t="inlineStr">
        <is>
          <t>잘 지어지고 관리가 잘된 집</t>
        </is>
      </c>
      <c r="L323" s="5">
        <f>HYPERLINK("https://fin.land.naver.com/articles/2649006146", "매물Link")</f>
        <v/>
      </c>
      <c r="M323" s="5">
        <f>HYPERLINK("https://map.naver.com/p/search/아름동 875", "지도Link")</f>
        <v/>
      </c>
      <c r="N323" s="5">
        <f>HYPERLINK("http://www.eum.go.kr/web/ar/lu/luLandDet.jsp?pnu=3611011300108750000&amp;isNoScr=script&amp;mode=search", "토지이음")</f>
        <v/>
      </c>
      <c r="O323" s="3" t="inlineStr">
        <is>
          <t>세종푸르지오</t>
        </is>
      </c>
      <c r="P323" s="3" t="n">
        <v>1</v>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248</v>
      </c>
      <c r="K324" s="3" t="inlineStr">
        <is>
          <t>고급 단독주택 매매, 태양광 설치, 1층에 방2개</t>
        </is>
      </c>
      <c r="L324" s="5">
        <f>HYPERLINK("https://fin.land.naver.com/articles/2646691449", "매물Link")</f>
        <v/>
      </c>
      <c r="M324" s="5">
        <f>HYPERLINK("https://map.naver.com/p/search/아름동 959", "지도Link")</f>
        <v/>
      </c>
      <c r="N324" s="5">
        <f>HYPERLINK("http://www.eum.go.kr/web/ar/lu/luLandDet.jsp?pnu=3611011300109590000&amp;isNoScr=script&amp;mode=search", "토지이음")</f>
        <v/>
      </c>
      <c r="O324" s="3" t="inlineStr">
        <is>
          <t>세종무지개</t>
        </is>
      </c>
      <c r="P324" s="3" t="n">
        <v>1</v>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248</v>
      </c>
      <c r="K325" s="3" t="inlineStr">
        <is>
          <t>조율가능 유럽풍스타일 1층 방2개 거실넓은 철콘주택</t>
        </is>
      </c>
      <c r="L325" s="5">
        <f>HYPERLINK("https://fin.land.naver.com/articles/2644917553", "매물Link")</f>
        <v/>
      </c>
      <c r="M325" s="5">
        <f>HYPERLINK("https://map.naver.com/p/search/아름동 959", "지도Link")</f>
        <v/>
      </c>
      <c r="N325" s="5">
        <f>HYPERLINK("http://www.eum.go.kr/web/ar/lu/luLandDet.jsp?pnu=3611011300109590000&amp;isNoScr=script&amp;mode=search", "토지이음")</f>
        <v/>
      </c>
      <c r="O325" s="3" t="inlineStr">
        <is>
          <t>세종스타</t>
        </is>
      </c>
      <c r="P325" s="3" t="n">
        <v>1</v>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248</v>
      </c>
      <c r="K326" s="3" t="inlineStr">
        <is>
          <t>방5개, 화장실2개, 고급 단독주택, 태양광</t>
        </is>
      </c>
      <c r="L326" s="5">
        <f>HYPERLINK("https://fin.land.naver.com/articles/2645493231", "매물Link")</f>
        <v/>
      </c>
      <c r="M326" s="5">
        <f>HYPERLINK("https://map.naver.com/p/search/아름동 959", "지도Link")</f>
        <v/>
      </c>
      <c r="N326" s="5">
        <f>HYPERLINK("http://www.eum.go.kr/web/ar/lu/luLandDet.jsp?pnu=3611011300109590000&amp;isNoScr=script&amp;mode=search", "토지이음")</f>
        <v/>
      </c>
      <c r="O326" s="3" t="inlineStr">
        <is>
          <t>명진</t>
        </is>
      </c>
      <c r="P326" s="3" t="n">
        <v>1</v>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111</v>
      </c>
      <c r="K327" s="3" t="inlineStr">
        <is>
          <t>눌왕리 텃밭과 조경이 관리가 잘 된 1층 단독주택. 입주일 협의.</t>
        </is>
      </c>
      <c r="L327" s="5">
        <f>HYPERLINK("https://fin.land.naver.com/articles/2648074676", "매물Link")</f>
        <v/>
      </c>
      <c r="M327" s="5">
        <f>HYPERLINK("https://map.naver.com/p/search/연기면 눌왕리 222-4", "지도Link")</f>
        <v/>
      </c>
      <c r="N327" s="5">
        <f>HYPERLINK("http://www.eum.go.kr/web/ar/lu/luLandDet.jsp?pnu=3611031023102220004&amp;isNoScr=script&amp;mode=search", "토지이음")</f>
        <v/>
      </c>
      <c r="O327" s="3" t="inlineStr">
        <is>
          <t>세종대장</t>
        </is>
      </c>
      <c r="P327" s="3" t="n">
        <v>1</v>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19</v>
      </c>
      <c r="K328" s="3" t="inlineStr">
        <is>
          <t>nan</t>
        </is>
      </c>
      <c r="L328" s="5">
        <f>HYPERLINK("https://fin.land.naver.com/articles/2647013668", "매물Link")</f>
        <v/>
      </c>
      <c r="M328" s="5">
        <f>HYPERLINK("https://map.naver.com/p/search/연기면 눌왕리 679", "지도Link")</f>
        <v/>
      </c>
      <c r="N328" s="5">
        <f>HYPERLINK("http://www.eum.go.kr/web/ar/lu/luLandDet.jsp?pnu=3611031023106790000&amp;isNoScr=script&amp;mode=search", "토지이음")</f>
        <v/>
      </c>
      <c r="O328" s="3" t="inlineStr">
        <is>
          <t>한신플러스</t>
        </is>
      </c>
      <c r="P328" s="3" t="n">
        <v>1</v>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19</v>
      </c>
      <c r="K329" s="3" t="inlineStr">
        <is>
          <t>nan</t>
        </is>
      </c>
      <c r="L329" s="5">
        <f>HYPERLINK("https://fin.land.naver.com/articles/2646194528", "매물Link")</f>
        <v/>
      </c>
      <c r="M329" s="5">
        <f>HYPERLINK("https://map.naver.com/p/search/연기면 눌왕리 679", "지도Link")</f>
        <v/>
      </c>
      <c r="N329" s="5">
        <f>HYPERLINK("http://www.eum.go.kr/web/ar/lu/luLandDet.jsp?pnu=3611031023106790000&amp;isNoScr=script&amp;mode=search", "토지이음")</f>
        <v/>
      </c>
      <c r="O329" s="3" t="inlineStr">
        <is>
          <t>한신플러스</t>
        </is>
      </c>
      <c r="P329" s="3" t="n">
        <v>1</v>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43</v>
      </c>
      <c r="K330" s="3" t="inlineStr">
        <is>
          <t>인기좋은  신축 풀옵션 2룸  깔끔한 주거공간  주차편함 입주협의</t>
        </is>
      </c>
      <c r="L330" s="5">
        <f>HYPERLINK("https://fin.land.naver.com/articles/2647526693", "매물Link")</f>
        <v/>
      </c>
      <c r="M330" s="5">
        <f>HYPERLINK("https://map.naver.com/p/search/연기면 보통리 387-3", "지도Link")</f>
        <v/>
      </c>
      <c r="N330" s="5">
        <f>HYPERLINK("http://www.eum.go.kr/web/ar/lu/luLandDet.jsp?pnu=3611031022103870003&amp;isNoScr=script&amp;mode=search", "토지이음")</f>
        <v/>
      </c>
      <c r="O330" s="3" t="inlineStr">
        <is>
          <t>연서으뜸</t>
        </is>
      </c>
      <c r="P330" s="3" t="n">
        <v>1</v>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597</v>
      </c>
      <c r="K331" s="3" t="inlineStr">
        <is>
          <t>신축 분리형원룸, 풀옵션, 엘레베이터, 주차大, 보증금월세조정가능</t>
        </is>
      </c>
      <c r="L331" s="5">
        <f>HYPERLINK("https://fin.land.naver.com/articles/2646839110", "매물Link")</f>
        <v/>
      </c>
      <c r="M331" s="5">
        <f>HYPERLINK("https://map.naver.com/p/search/연기면 보통리 387-4", "지도Link")</f>
        <v/>
      </c>
      <c r="N331" s="5">
        <f>HYPERLINK("http://www.eum.go.kr/web/ar/lu/luLandDet.jsp?pnu=3611031022103870004&amp;isNoScr=script&amp;mode=search", "토지이음")</f>
        <v/>
      </c>
      <c r="O331" s="3" t="inlineStr">
        <is>
          <t>연기더조은</t>
        </is>
      </c>
      <c r="P331" s="3" t="n">
        <v>1</v>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597</v>
      </c>
      <c r="K332" s="3" t="inlineStr">
        <is>
          <t>공실제로 신축 스마트산업단지 예정 초입위치 다가구주택 통매매</t>
        </is>
      </c>
      <c r="L332" s="5">
        <f>HYPERLINK("https://fin.land.naver.com/articles/2647190679", "매물Link")</f>
        <v/>
      </c>
      <c r="M332" s="5">
        <f>HYPERLINK("https://map.naver.com/p/search/연기면 보통리 387-4", "지도Link")</f>
        <v/>
      </c>
      <c r="N332" s="5">
        <f>HYPERLINK("http://www.eum.go.kr/web/ar/lu/luLandDet.jsp?pnu=3611031022103870004&amp;isNoScr=script&amp;mode=search", "토지이음")</f>
        <v/>
      </c>
      <c r="O332" s="3" t="inlineStr">
        <is>
          <t>연기더조은</t>
        </is>
      </c>
      <c r="P332" s="3" t="n">
        <v>1</v>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60</v>
      </c>
      <c r="K333" s="3" t="inlineStr">
        <is>
          <t>o합리적인가격o최상의컨디션o수납부자o개인테라스o</t>
        </is>
      </c>
      <c r="L333" s="5">
        <f>HYPERLINK("https://fin.land.naver.com/articles/2649029211", "매물Link")</f>
        <v/>
      </c>
      <c r="M333" s="5">
        <f>HYPERLINK("https://map.naver.com/p/search/연기면 보통리 387-7", "지도Link")</f>
        <v/>
      </c>
      <c r="N333" s="5">
        <f>HYPERLINK("http://www.eum.go.kr/web/ar/lu/luLandDet.jsp?pnu=3611031022103870007&amp;isNoScr=script&amp;mode=search", "토지이음")</f>
        <v/>
      </c>
      <c r="O333" s="3" t="inlineStr">
        <is>
          <t>뉴펜트라움</t>
        </is>
      </c>
      <c r="P333" s="3" t="n">
        <v>1</v>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42</v>
      </c>
      <c r="K334" s="3" t="inlineStr">
        <is>
          <t>o합리적인가격o최상의컨디션o수납부자o개인테라스o</t>
        </is>
      </c>
      <c r="L334" s="5">
        <f>HYPERLINK("https://fin.land.naver.com/articles/2649018654", "매물Link")</f>
        <v/>
      </c>
      <c r="M334" s="5">
        <f>HYPERLINK("https://map.naver.com/p/search/연기면 보통리 387-7", "지도Link")</f>
        <v/>
      </c>
      <c r="N334" s="5">
        <f>HYPERLINK("http://www.eum.go.kr/web/ar/lu/luLandDet.jsp?pnu=3611031022103870007&amp;isNoScr=script&amp;mode=search", "토지이음")</f>
        <v/>
      </c>
      <c r="O334" s="3" t="inlineStr">
        <is>
          <t>뉴펜트라움</t>
        </is>
      </c>
      <c r="P334" s="3" t="n">
        <v>1</v>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60</v>
      </c>
      <c r="K335" s="3" t="inlineStr">
        <is>
          <t>o합리적인가격o최상의컨디션o수납부자o개인테라스o</t>
        </is>
      </c>
      <c r="L335" s="5">
        <f>HYPERLINK("https://fin.land.naver.com/articles/2649020230", "매물Link")</f>
        <v/>
      </c>
      <c r="M335" s="5">
        <f>HYPERLINK("https://map.naver.com/p/search/연기면 보통리 387-7", "지도Link")</f>
        <v/>
      </c>
      <c r="N335" s="5">
        <f>HYPERLINK("http://www.eum.go.kr/web/ar/lu/luLandDet.jsp?pnu=3611031022103870007&amp;isNoScr=script&amp;mode=search", "토지이음")</f>
        <v/>
      </c>
      <c r="O335" s="3" t="inlineStr">
        <is>
          <t>뉴펜트라움</t>
        </is>
      </c>
      <c r="P335" s="3" t="n">
        <v>1</v>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26</v>
      </c>
      <c r="K336" s="3" t="inlineStr">
        <is>
          <t>신축 풀옵션1.5룸 엘베 중문.스타일러 최고급</t>
        </is>
      </c>
      <c r="L336" s="5">
        <f>HYPERLINK("https://fin.land.naver.com/articles/2649048621", "매물Link")</f>
        <v/>
      </c>
      <c r="M336" s="5">
        <f>HYPERLINK("https://map.naver.com/p/search/연기면 보통리 387-7", "지도Link")</f>
        <v/>
      </c>
      <c r="N336" s="5">
        <f>HYPERLINK("http://www.eum.go.kr/web/ar/lu/luLandDet.jsp?pnu=3611031022103870007&amp;isNoScr=script&amp;mode=search", "토지이음")</f>
        <v/>
      </c>
      <c r="O336" s="3" t="inlineStr">
        <is>
          <t>연기더조은</t>
        </is>
      </c>
      <c r="P336" s="3" t="n">
        <v>1</v>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580</v>
      </c>
      <c r="K337" s="3" t="inlineStr">
        <is>
          <t>공실제로 신축 스마트산업단지 예정 초입위치 다가구주택 통매매</t>
        </is>
      </c>
      <c r="L337" s="5">
        <f>HYPERLINK("https://fin.land.naver.com/articles/2647188616", "매물Link")</f>
        <v/>
      </c>
      <c r="M337" s="5">
        <f>HYPERLINK("https://map.naver.com/p/search/연기면 보통리 387-7", "지도Link")</f>
        <v/>
      </c>
      <c r="N337" s="5">
        <f>HYPERLINK("http://www.eum.go.kr/web/ar/lu/luLandDet.jsp?pnu=3611031022103870007&amp;isNoScr=script&amp;mode=search", "토지이음")</f>
        <v/>
      </c>
      <c r="O337" s="3" t="inlineStr">
        <is>
          <t>연기더조은</t>
        </is>
      </c>
      <c r="P337" s="3" t="n">
        <v>2</v>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25</v>
      </c>
      <c r="K338" s="3" t="inlineStr">
        <is>
          <t>넓고 깔끔한 풀옵션방  넓은창  주차편함  짐만 챙겨오세요  해밀동 5분</t>
        </is>
      </c>
      <c r="L338" s="5">
        <f>HYPERLINK("https://fin.land.naver.com/articles/2647268688", "매물Link")</f>
        <v/>
      </c>
      <c r="M338" s="5">
        <f>HYPERLINK("https://map.naver.com/p/search/연기면 보통리 390-10", "지도Link")</f>
        <v/>
      </c>
      <c r="N338" s="5">
        <f>HYPERLINK("http://www.eum.go.kr/web/ar/lu/luLandDet.jsp?pnu=3611031022103900010&amp;isNoScr=script&amp;mode=search", "토지이음")</f>
        <v/>
      </c>
      <c r="O338" s="3" t="inlineStr">
        <is>
          <t>연서으뜸</t>
        </is>
      </c>
      <c r="P338" s="3" t="n">
        <v>1</v>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23</v>
      </c>
      <c r="K339" s="3" t="inlineStr">
        <is>
          <t>단기가능월세변동, 깔끔 분리형 원룸, 풀옵션, 가성비 최고</t>
        </is>
      </c>
      <c r="L339" s="5">
        <f>HYPERLINK("https://fin.land.naver.com/articles/2646854476", "매물Link")</f>
        <v/>
      </c>
      <c r="M339" s="5">
        <f>HYPERLINK("https://map.naver.com/p/search/연기면 보통리 390-23", "지도Link")</f>
        <v/>
      </c>
      <c r="N339" s="5">
        <f>HYPERLINK("http://www.eum.go.kr/web/ar/lu/luLandDet.jsp?pnu=3611031022103900023&amp;isNoScr=script&amp;mode=search", "토지이음")</f>
        <v/>
      </c>
      <c r="O339" s="3" t="inlineStr">
        <is>
          <t>연기더조은</t>
        </is>
      </c>
      <c r="P339" s="3" t="n">
        <v>2</v>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105</v>
      </c>
      <c r="K340" s="3" t="inlineStr">
        <is>
          <t>행복도시 5분거리 수산리 자연취락지구 내 전원주택, 창고 있음</t>
        </is>
      </c>
      <c r="L340" s="5">
        <f>HYPERLINK("https://fin.land.naver.com/articles/2645600389", "매물Link")</f>
        <v/>
      </c>
      <c r="M340" s="5">
        <f>HYPERLINK("https://map.naver.com/p/search/연기면 수산리 449-2", "지도Link")</f>
        <v/>
      </c>
      <c r="N340" s="5">
        <f>HYPERLINK("http://www.eum.go.kr/web/ar/lu/luLandDet.jsp?pnu=3611031024104490002&amp;isNoScr=script&amp;mode=search", "토지이음")</f>
        <v/>
      </c>
      <c r="O340" s="3" t="inlineStr">
        <is>
          <t>미스터홈즈강남지사</t>
        </is>
      </c>
      <c r="P340" s="3" t="n">
        <v>1</v>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50</v>
      </c>
      <c r="K341" s="3" t="inlineStr">
        <is>
          <t>세종행복도시인근 전원단지내 세컨하우스단독주택</t>
        </is>
      </c>
      <c r="L341" s="5">
        <f>HYPERLINK("https://fin.land.naver.com/articles/2646007782", "매물Link")</f>
        <v/>
      </c>
      <c r="M341" s="5">
        <f>HYPERLINK("https://map.naver.com/p/search/연기면 수산리 534-16", "지도Link")</f>
        <v/>
      </c>
      <c r="N341" s="5">
        <f>HYPERLINK("http://www.eum.go.kr/web/ar/lu/luLandDet.jsp?pnu=3611031024105340016&amp;isNoScr=script&amp;mode=search", "토지이음")</f>
        <v/>
      </c>
      <c r="O341" s="3" t="inlineStr">
        <is>
          <t>세종대박</t>
        </is>
      </c>
      <c r="P341" s="3" t="n">
        <v>1</v>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50</v>
      </c>
      <c r="K342" s="3" t="inlineStr">
        <is>
          <t>수산리 독일마을 내 세컨하우스로 좋은 집. 자갈마당.</t>
        </is>
      </c>
      <c r="L342" s="5">
        <f>HYPERLINK("https://fin.land.naver.com/articles/2645605222", "매물Link")</f>
        <v/>
      </c>
      <c r="M342" s="5">
        <f>HYPERLINK("https://map.naver.com/p/search/연기면 수산리 534-16", "지도Link")</f>
        <v/>
      </c>
      <c r="N342" s="5">
        <f>HYPERLINK("http://www.eum.go.kr/web/ar/lu/luLandDet.jsp?pnu=3611031024105340016&amp;isNoScr=script&amp;mode=search", "토지이음")</f>
        <v/>
      </c>
      <c r="O342" s="3" t="inlineStr">
        <is>
          <t>미스터홈즈강남지사</t>
        </is>
      </c>
      <c r="P342" s="3" t="n">
        <v>1</v>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42</v>
      </c>
      <c r="K343" s="3" t="inlineStr">
        <is>
          <t>세컨하우스 추천,행복도심 매우 근접, 도심의 편리함과 힐링을 동시에</t>
        </is>
      </c>
      <c r="L343" s="5">
        <f>HYPERLINK("https://fin.land.naver.com/articles/2650149450", "매물Link")</f>
        <v/>
      </c>
      <c r="M343" s="5">
        <f>HYPERLINK("https://map.naver.com/p/search/연기면 수산리 564-5", "지도Link")</f>
        <v/>
      </c>
      <c r="N343" s="5">
        <f>HYPERLINK("http://www.eum.go.kr/web/ar/lu/luLandDet.jsp?pnu=3611031024105640005&amp;isNoScr=script&amp;mode=search", "토지이음")</f>
        <v/>
      </c>
      <c r="O343" s="3" t="inlineStr">
        <is>
          <t>세종신한</t>
        </is>
      </c>
      <c r="P343" s="3" t="n">
        <v>1</v>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466</v>
      </c>
      <c r="K344" s="3" t="inlineStr">
        <is>
          <t>세종IC입구 수산교차로에 있는 신축건물을 구입해서 리모델링해보세요</t>
        </is>
      </c>
      <c r="L344" s="5">
        <f>HYPERLINK("https://fin.land.naver.com/articles/2645425467", "매물Link")</f>
        <v/>
      </c>
      <c r="M344" s="5">
        <f>HYPERLINK("https://map.naver.com/p/search/연기면 수산리 87-15", "지도Link")</f>
        <v/>
      </c>
      <c r="N344" s="5">
        <f>HYPERLINK("http://www.eum.go.kr/web/ar/lu/luLandDet.jsp?pnu=3611031024100870015&amp;isNoScr=script&amp;mode=search", "토지이음")</f>
        <v/>
      </c>
      <c r="O344" s="3" t="inlineStr">
        <is>
          <t>둔곡타워</t>
        </is>
      </c>
      <c r="P344" s="3" t="n">
        <v>1</v>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3" t="inlineStr">
        <is>
          <t>10.8일이후,6달도가능,1개,거실별도1.5,산울동차량5분정도,도시가스</t>
        </is>
      </c>
      <c r="L345" s="5">
        <f>HYPERLINK("https://fin.land.naver.com/articles/2650029442", "매물Link")</f>
        <v/>
      </c>
      <c r="M345" s="5">
        <f>HYPERLINK("https://map.naver.com/p/search/연기면 연기리 1-61", "지도Link")</f>
        <v/>
      </c>
      <c r="N345" s="5">
        <f>HYPERLINK("http://www.eum.go.kr/web/ar/lu/luLandDet.jsp?pnu=3611031021100010061&amp;isNoScr=script&amp;mode=search", "토지이음")</f>
        <v/>
      </c>
      <c r="O345" s="3" t="inlineStr">
        <is>
          <t>동서남북</t>
        </is>
      </c>
      <c r="P345" s="3" t="n">
        <v>1</v>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39</v>
      </c>
      <c r="K346" s="3" t="inlineStr">
        <is>
          <t>nan</t>
        </is>
      </c>
      <c r="L346" s="5">
        <f>HYPERLINK("https://fin.land.naver.com/articles/2649058393", "매물Link")</f>
        <v/>
      </c>
      <c r="M346" s="5">
        <f>HYPERLINK("https://map.naver.com/p/search/연기면 연기리 1-61", "지도Link")</f>
        <v/>
      </c>
      <c r="N346" s="5">
        <f>HYPERLINK("http://www.eum.go.kr/web/ar/lu/luLandDet.jsp?pnu=3611031021100010061&amp;isNoScr=script&amp;mode=search", "토지이음")</f>
        <v/>
      </c>
      <c r="O346" s="3" t="inlineStr">
        <is>
          <t>동서남북</t>
        </is>
      </c>
      <c r="P346" s="3" t="n">
        <v>1</v>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3" t="inlineStr">
        <is>
          <t>10.8일이후,6달도가능방1개,거실별도,1.5,산울동차량5분정도도시가스</t>
        </is>
      </c>
      <c r="L347" s="5">
        <f>HYPERLINK("https://fin.land.naver.com/articles/2649059895", "매물Link")</f>
        <v/>
      </c>
      <c r="M347" s="5">
        <f>HYPERLINK("https://map.naver.com/p/search/연기면 연기리 1-61", "지도Link")</f>
        <v/>
      </c>
      <c r="N347" s="5">
        <f>HYPERLINK("http://www.eum.go.kr/web/ar/lu/luLandDet.jsp?pnu=3611031021100010061&amp;isNoScr=script&amp;mode=search", "토지이음")</f>
        <v/>
      </c>
      <c r="O347" s="3" t="inlineStr">
        <is>
          <t>동서남북</t>
        </is>
      </c>
      <c r="P347" s="3" t="n">
        <v>1</v>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3" t="inlineStr">
        <is>
          <t>10.8일이후,6달도가능,1개,거실별도1.5,산울동차량5분정도,도시가스</t>
        </is>
      </c>
      <c r="L348" s="5">
        <f>HYPERLINK("https://fin.land.naver.com/articles/2649061903", "매물Link")</f>
        <v/>
      </c>
      <c r="M348" s="5">
        <f>HYPERLINK("https://map.naver.com/p/search/연기면 연기리 1-61", "지도Link")</f>
        <v/>
      </c>
      <c r="N348" s="5">
        <f>HYPERLINK("http://www.eum.go.kr/web/ar/lu/luLandDet.jsp?pnu=3611031021100010061&amp;isNoScr=script&amp;mode=search", "토지이음")</f>
        <v/>
      </c>
      <c r="O348" s="3" t="inlineStr">
        <is>
          <t>동서남북</t>
        </is>
      </c>
      <c r="P348" s="3" t="n">
        <v>1</v>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3" t="inlineStr">
        <is>
          <t>10.8일이후,방1개,거실별도,1.5,산울동차량5분정도도시가스</t>
        </is>
      </c>
      <c r="L349" s="5">
        <f>HYPERLINK("https://fin.land.naver.com/articles/2649696500", "매물Link")</f>
        <v/>
      </c>
      <c r="M349" s="5">
        <f>HYPERLINK("https://map.naver.com/p/search/연기면 연기리 1-61", "지도Link")</f>
        <v/>
      </c>
      <c r="N349" s="5">
        <f>HYPERLINK("http://www.eum.go.kr/web/ar/lu/luLandDet.jsp?pnu=3611031021100010061&amp;isNoScr=script&amp;mode=search", "토지이음")</f>
        <v/>
      </c>
      <c r="O349" s="3" t="inlineStr">
        <is>
          <t>동서남북</t>
        </is>
      </c>
      <c r="P349" s="3" t="n">
        <v>1</v>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28</v>
      </c>
      <c r="K350" s="3" t="inlineStr">
        <is>
          <t>거실넓고 깨끗하고 넓은 1.5룸풀옵션,단기가능</t>
        </is>
      </c>
      <c r="L350" s="5">
        <f>HYPERLINK("https://fin.land.naver.com/articles/2646007813", "매물Link")</f>
        <v/>
      </c>
      <c r="M350" s="5">
        <f>HYPERLINK("https://map.naver.com/p/search/연기면 연기리 135-10", "지도Link")</f>
        <v/>
      </c>
      <c r="N350" s="5">
        <f>HYPERLINK("http://www.eum.go.kr/web/ar/lu/luLandDet.jsp?pnu=3611031021101350010&amp;isNoScr=script&amp;mode=search", "토지이음")</f>
        <v/>
      </c>
      <c r="O350" s="3" t="inlineStr">
        <is>
          <t>세종대박</t>
        </is>
      </c>
      <c r="P350" s="3" t="n">
        <v>1</v>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21</v>
      </c>
      <c r="K351" s="3" t="inlineStr">
        <is>
          <t>보증보험 가입중.깔끔한방찾으시면.주차편한 991번 버스정류장5분</t>
        </is>
      </c>
      <c r="L351" s="5">
        <f>HYPERLINK("https://fin.land.naver.com/articles/2649448490", "매물Link")</f>
        <v/>
      </c>
      <c r="M351" s="5">
        <f>HYPERLINK("https://map.naver.com/p/search/연기면 연기리 135-11", "지도Link")</f>
        <v/>
      </c>
      <c r="N351" s="5">
        <f>HYPERLINK("http://www.eum.go.kr/web/ar/lu/luLandDet.jsp?pnu=3611031021101350011&amp;isNoScr=script&amp;mode=search", "토지이음")</f>
        <v/>
      </c>
      <c r="O351" s="3" t="inlineStr">
        <is>
          <t>마이룸</t>
        </is>
      </c>
      <c r="P351" s="3" t="n">
        <v>1</v>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29</v>
      </c>
      <c r="K352" s="3" t="inlineStr">
        <is>
          <t>넓은1.5룸.답답한방 싫다면.조용한이방</t>
        </is>
      </c>
      <c r="L352" s="5">
        <f>HYPERLINK("https://fin.land.naver.com/articles/2649949362", "매물Link")</f>
        <v/>
      </c>
      <c r="M352" s="5">
        <f>HYPERLINK("https://map.naver.com/p/search/연기면 연기리 135-11", "지도Link")</f>
        <v/>
      </c>
      <c r="N352" s="5">
        <f>HYPERLINK("http://www.eum.go.kr/web/ar/lu/luLandDet.jsp?pnu=3611031021101350011&amp;isNoScr=script&amp;mode=search", "토지이음")</f>
        <v/>
      </c>
      <c r="O352" s="3" t="inlineStr">
        <is>
          <t>마이룸</t>
        </is>
      </c>
      <c r="P352" s="3" t="n">
        <v>1</v>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26</v>
      </c>
      <c r="K353" s="3" t="inlineStr">
        <is>
          <t>9.28일이후,산울동차량3분 ,대중교통은 보통이나 주차는 편리합니다.</t>
        </is>
      </c>
      <c r="L353" s="5">
        <f>HYPERLINK("https://fin.land.naver.com/articles/2646318936", "매물Link")</f>
        <v/>
      </c>
      <c r="M353" s="5">
        <f>HYPERLINK("https://map.naver.com/p/search/연기면 연기리 135-9", "지도Link")</f>
        <v/>
      </c>
      <c r="N353" s="5">
        <f>HYPERLINK("http://www.eum.go.kr/web/ar/lu/luLandDet.jsp?pnu=3611031021101350009&amp;isNoScr=script&amp;mode=search", "토지이음")</f>
        <v/>
      </c>
      <c r="O353" s="3" t="inlineStr">
        <is>
          <t>신동서남북</t>
        </is>
      </c>
      <c r="P353" s="3" t="n">
        <v>2</v>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26</v>
      </c>
      <c r="K354" s="3" t="inlineStr">
        <is>
          <t>nan</t>
        </is>
      </c>
      <c r="L354" s="5">
        <f>HYPERLINK("https://fin.land.naver.com/articles/2645587548", "매물Link")</f>
        <v/>
      </c>
      <c r="M354" s="5">
        <f>HYPERLINK("https://map.naver.com/p/search/연기면 연기리 135-9", "지도Link")</f>
        <v/>
      </c>
      <c r="N354" s="5">
        <f>HYPERLINK("http://www.eum.go.kr/web/ar/lu/luLandDet.jsp?pnu=3611031021101350009&amp;isNoScr=script&amp;mode=search", "토지이음")</f>
        <v/>
      </c>
      <c r="O354" s="3" t="inlineStr">
        <is>
          <t>동서남북</t>
        </is>
      </c>
      <c r="P354" s="3" t="n">
        <v>1</v>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39</v>
      </c>
      <c r="K355" s="3" t="inlineStr">
        <is>
          <t>9.29일이후 주방분리형구조 ,연기리 행정복지센터인근,주차편리</t>
        </is>
      </c>
      <c r="L355" s="5">
        <f>HYPERLINK("https://fin.land.naver.com/articles/2648132438", "매물Link")</f>
        <v/>
      </c>
      <c r="M355" s="5">
        <f>HYPERLINK("https://map.naver.com/p/search/연기면 연기리 135-9", "지도Link")</f>
        <v/>
      </c>
      <c r="N355" s="5">
        <f>HYPERLINK("http://www.eum.go.kr/web/ar/lu/luLandDet.jsp?pnu=3611031021101350009&amp;isNoScr=script&amp;mode=search", "토지이음")</f>
        <v/>
      </c>
      <c r="O355" s="3" t="inlineStr">
        <is>
          <t>동서남북</t>
        </is>
      </c>
      <c r="P355" s="3" t="n">
        <v>1</v>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26</v>
      </c>
      <c r="K356" s="3" t="inlineStr">
        <is>
          <t>9.28일이후,산울동차량3분 ,대중교통은 보통이나 주차는 편리합니다.</t>
        </is>
      </c>
      <c r="L356" s="5">
        <f>HYPERLINK("https://fin.land.naver.com/articles/2646319724", "매물Link")</f>
        <v/>
      </c>
      <c r="M356" s="5">
        <f>HYPERLINK("https://map.naver.com/p/search/연기면 연기리 135-9", "지도Link")</f>
        <v/>
      </c>
      <c r="N356" s="5">
        <f>HYPERLINK("http://www.eum.go.kr/web/ar/lu/luLandDet.jsp?pnu=3611031021101350009&amp;isNoScr=script&amp;mode=search", "토지이음")</f>
        <v/>
      </c>
      <c r="O356" s="3" t="inlineStr">
        <is>
          <t>신동서남북</t>
        </is>
      </c>
      <c r="P356" s="3" t="n">
        <v>2</v>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39</v>
      </c>
      <c r="K357" s="3" t="inlineStr">
        <is>
          <t>9.29일이후 주방분리형구조 ,연기리 행정복지센터인근,주차편리</t>
        </is>
      </c>
      <c r="L357" s="5">
        <f>HYPERLINK("https://fin.land.naver.com/articles/2649000122", "매물Link")</f>
        <v/>
      </c>
      <c r="M357" s="5">
        <f>HYPERLINK("https://map.naver.com/p/search/연기면 연기리 135-9", "지도Link")</f>
        <v/>
      </c>
      <c r="N357" s="5">
        <f>HYPERLINK("http://www.eum.go.kr/web/ar/lu/luLandDet.jsp?pnu=3611031021101350009&amp;isNoScr=script&amp;mode=search", "토지이음")</f>
        <v/>
      </c>
      <c r="O357" s="3" t="inlineStr">
        <is>
          <t>동서남북</t>
        </is>
      </c>
      <c r="P357" s="3" t="n">
        <v>1</v>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39</v>
      </c>
      <c r="K358" s="3" t="inlineStr">
        <is>
          <t>9.29일이후 주방분리형구조 ,연기리 행정복지센터인근,주차편리</t>
        </is>
      </c>
      <c r="L358" s="5">
        <f>HYPERLINK("https://fin.land.naver.com/articles/2647024392", "매물Link")</f>
        <v/>
      </c>
      <c r="M358" s="5">
        <f>HYPERLINK("https://map.naver.com/p/search/연기면 연기리 135-9", "지도Link")</f>
        <v/>
      </c>
      <c r="N358" s="5">
        <f>HYPERLINK("http://www.eum.go.kr/web/ar/lu/luLandDet.jsp?pnu=3611031021101350009&amp;isNoScr=script&amp;mode=search", "토지이음")</f>
        <v/>
      </c>
      <c r="O358" s="3" t="inlineStr">
        <is>
          <t>동서남북</t>
        </is>
      </c>
      <c r="P358" s="3" t="n">
        <v>1</v>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85</v>
      </c>
      <c r="K359" s="3" t="inlineStr">
        <is>
          <t>풀리모델링 구옥 농어촌민박 에어비앤비 가능</t>
        </is>
      </c>
      <c r="L359" s="5">
        <f>HYPERLINK("https://fin.land.naver.com/articles/2647126146", "매물Link")</f>
        <v/>
      </c>
      <c r="M359" s="5">
        <f>HYPERLINK("https://map.naver.com/p/search/연기면 연기리 32", "지도Link")</f>
        <v/>
      </c>
      <c r="N359" s="5">
        <f>HYPERLINK("http://www.eum.go.kr/web/ar/lu/luLandDet.jsp?pnu=3611031021100320000&amp;isNoScr=script&amp;mode=search", "토지이음")</f>
        <v/>
      </c>
      <c r="O359" s="3" t="inlineStr">
        <is>
          <t>세종스타</t>
        </is>
      </c>
      <c r="P359" s="3" t="n">
        <v>1</v>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84</v>
      </c>
      <c r="K360" s="3" t="inlineStr">
        <is>
          <t>투자 가치 높은 단독주택</t>
        </is>
      </c>
      <c r="L360" s="5">
        <f>HYPERLINK("https://fin.land.naver.com/articles/2646205343", "매물Link")</f>
        <v/>
      </c>
      <c r="M360" s="5">
        <f>HYPERLINK("https://map.naver.com/p/search/연기면 연기리 365", "지도Link")</f>
        <v/>
      </c>
      <c r="N360" s="5">
        <f>HYPERLINK("http://www.eum.go.kr/web/ar/lu/luLandDet.jsp?pnu=3611031021103650000&amp;isNoScr=script&amp;mode=search", "토지이음")</f>
        <v/>
      </c>
      <c r="O360" s="3" t="inlineStr">
        <is>
          <t>해들일번지</t>
        </is>
      </c>
      <c r="P360" s="3" t="n">
        <v>1</v>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29</v>
      </c>
      <c r="K361" s="3" t="inlineStr">
        <is>
          <t>nan</t>
        </is>
      </c>
      <c r="L361" s="5">
        <f>HYPERLINK("https://fin.land.naver.com/articles/2645083093", "매물Link")</f>
        <v/>
      </c>
      <c r="M361" s="5">
        <f>HYPERLINK("https://map.naver.com/p/search/연기면 연기리 423-30", "지도Link")</f>
        <v/>
      </c>
      <c r="N361" s="5">
        <f>HYPERLINK("http://www.eum.go.kr/web/ar/lu/luLandDet.jsp?pnu=3611031021104230030&amp;isNoScr=script&amp;mode=search", "토지이음")</f>
        <v/>
      </c>
      <c r="O361" s="3" t="inlineStr">
        <is>
          <t>엄지척</t>
        </is>
      </c>
      <c r="P361" s="3" t="n">
        <v>1</v>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26</v>
      </c>
      <c r="K362" s="3" t="inlineStr">
        <is>
          <t>깨끗한 원룸,풀옵션</t>
        </is>
      </c>
      <c r="L362" s="5">
        <f>HYPERLINK("https://fin.land.naver.com/articles/2646007807", "매물Link")</f>
        <v/>
      </c>
      <c r="M362" s="5">
        <f>HYPERLINK("https://map.naver.com/p/search/연기면 연기리 423-30", "지도Link")</f>
        <v/>
      </c>
      <c r="N362" s="5">
        <f>HYPERLINK("http://www.eum.go.kr/web/ar/lu/luLandDet.jsp?pnu=3611031021104230030&amp;isNoScr=script&amp;mode=search", "토지이음")</f>
        <v/>
      </c>
      <c r="O362" s="3" t="inlineStr">
        <is>
          <t>세종대박</t>
        </is>
      </c>
      <c r="P362" s="3" t="n">
        <v>1</v>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30</v>
      </c>
      <c r="K363" s="3" t="inlineStr">
        <is>
          <t>깨끗하고 넓은 1.5룸</t>
        </is>
      </c>
      <c r="L363" s="5">
        <f>HYPERLINK("https://fin.land.naver.com/articles/2648813662", "매물Link")</f>
        <v/>
      </c>
      <c r="M363" s="5">
        <f>HYPERLINK("https://map.naver.com/p/search/연기면 연기리 446-12", "지도Link")</f>
        <v/>
      </c>
      <c r="N363" s="5">
        <f>HYPERLINK("http://www.eum.go.kr/web/ar/lu/luLandDet.jsp?pnu=3611031021104460012&amp;isNoScr=script&amp;mode=search", "토지이음")</f>
        <v/>
      </c>
      <c r="O363" s="3" t="inlineStr">
        <is>
          <t>세종대박</t>
        </is>
      </c>
      <c r="P363" s="3" t="n">
        <v>1</v>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45</v>
      </c>
      <c r="K364" s="3" t="inlineStr">
        <is>
          <t>도로변에 인접 투룸 임대</t>
        </is>
      </c>
      <c r="L364" s="5">
        <f>HYPERLINK("https://fin.land.naver.com/articles/2648813656", "매물Link")</f>
        <v/>
      </c>
      <c r="M364" s="5">
        <f>HYPERLINK("https://map.naver.com/p/search/연기면 연기리 466-18", "지도Link")</f>
        <v/>
      </c>
      <c r="N364" s="5">
        <f>HYPERLINK("http://www.eum.go.kr/web/ar/lu/luLandDet.jsp?pnu=3611031021104660018&amp;isNoScr=script&amp;mode=search", "토지이음")</f>
        <v/>
      </c>
      <c r="O364" s="3" t="inlineStr">
        <is>
          <t>세종대박</t>
        </is>
      </c>
      <c r="P364" s="3" t="n">
        <v>1</v>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75</v>
      </c>
      <c r="K365" s="3" t="inlineStr">
        <is>
          <t>벙3,화장실2, 깨끗하고 넓어요</t>
        </is>
      </c>
      <c r="L365" s="5">
        <f>HYPERLINK("https://fin.land.naver.com/articles/2646007797", "매물Link")</f>
        <v/>
      </c>
      <c r="M365" s="5">
        <f>HYPERLINK("https://map.naver.com/p/search/연기면 연기리 466-19", "지도Link")</f>
        <v/>
      </c>
      <c r="N365" s="5">
        <f>HYPERLINK("http://www.eum.go.kr/web/ar/lu/luLandDet.jsp?pnu=3611031021104660019&amp;isNoScr=script&amp;mode=search", "토지이음")</f>
        <v/>
      </c>
      <c r="O365" s="3" t="inlineStr">
        <is>
          <t>세종대박</t>
        </is>
      </c>
      <c r="P365" s="3" t="n">
        <v>1</v>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115</v>
      </c>
      <c r="K366" s="3" t="inlineStr">
        <is>
          <t>구옥 공방 소형카페 작업실 8M소방도로예정</t>
        </is>
      </c>
      <c r="L366" s="5">
        <f>HYPERLINK("https://fin.land.naver.com/articles/2648615587", "매물Link")</f>
        <v/>
      </c>
      <c r="M366" s="5">
        <f>HYPERLINK("https://map.naver.com/p/search/연기면 연기리 599-9", "지도Link")</f>
        <v/>
      </c>
      <c r="N366" s="5">
        <f>HYPERLINK("http://www.eum.go.kr/web/ar/lu/luLandDet.jsp?pnu=3611031021105990009&amp;isNoScr=script&amp;mode=search", "토지이음")</f>
        <v/>
      </c>
      <c r="O366" s="3" t="inlineStr">
        <is>
          <t>세종스타</t>
        </is>
      </c>
      <c r="P366" s="3" t="n">
        <v>1</v>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93</v>
      </c>
      <c r="K367" s="3" t="inlineStr">
        <is>
          <t>조용하고 살기좋은 전원주택 매매</t>
        </is>
      </c>
      <c r="L367" s="5">
        <f>HYPERLINK("https://fin.land.naver.com/articles/2649113394", "매물Link")</f>
        <v/>
      </c>
      <c r="M367" s="5">
        <f>HYPERLINK("https://map.naver.com/p/search/연동면 내판리 425-4", "지도Link")</f>
        <v/>
      </c>
      <c r="N367" s="5">
        <f>HYPERLINK("http://www.eum.go.kr/web/ar/lu/luLandDet.jsp?pnu=3611032021104250004&amp;isNoScr=script&amp;mode=search", "토지이음")</f>
        <v/>
      </c>
      <c r="O367" s="3" t="inlineStr">
        <is>
          <t>으뜸</t>
        </is>
      </c>
      <c r="P367" s="3" t="n">
        <v>1</v>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191</v>
      </c>
      <c r="K368" s="3" t="inlineStr">
        <is>
          <t>남향의 2층 전원주택</t>
        </is>
      </c>
      <c r="L368" s="5">
        <f>HYPERLINK("https://fin.land.naver.com/articles/2646049802", "매물Link")</f>
        <v/>
      </c>
      <c r="M368" s="5">
        <f>HYPERLINK("https://map.naver.com/p/search/연동면 노송리 28", "지도Link")</f>
        <v/>
      </c>
      <c r="N368" s="5">
        <f>HYPERLINK("http://www.eum.go.kr/web/ar/lu/luLandDet.jsp?pnu=3611032025100280000&amp;isNoScr=script&amp;mode=search", "토지이음")</f>
        <v/>
      </c>
      <c r="O368" s="3" t="inlineStr">
        <is>
          <t>보람최고</t>
        </is>
      </c>
      <c r="P368" s="3" t="n">
        <v>1</v>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52</v>
      </c>
      <c r="K369" s="3" t="inlineStr">
        <is>
          <t>소액 투자 추천, 세컨하우스, 주말별장, 실거주도 좋아요.</t>
        </is>
      </c>
      <c r="L369" s="5">
        <f>HYPERLINK("https://fin.land.naver.com/articles/2648902549", "매물Link")</f>
        <v/>
      </c>
      <c r="M369" s="5">
        <f>HYPERLINK("https://map.naver.com/p/search/연동면 명학리 217-1", "지도Link")</f>
        <v/>
      </c>
      <c r="N369" s="5">
        <f>HYPERLINK("http://www.eum.go.kr/web/ar/lu/luLandDet.jsp?pnu=3611032023102170001&amp;isNoScr=script&amp;mode=search", "토지이음")</f>
        <v/>
      </c>
      <c r="O369" s="3" t="inlineStr">
        <is>
          <t>수자인시티</t>
        </is>
      </c>
      <c r="P369" s="3" t="n">
        <v>1</v>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92</v>
      </c>
      <c r="K370" s="3" t="inlineStr">
        <is>
          <t>세종시 공기좋고 한적한 곳 저렴한 시골집 세컨하우스 주말주택</t>
        </is>
      </c>
      <c r="L370" s="5">
        <f>HYPERLINK("https://fin.land.naver.com/articles/2645324832", "매물Link")</f>
        <v/>
      </c>
      <c r="M370" s="5">
        <f>HYPERLINK("https://map.naver.com/p/search/연동면 예양리 640-1", "지도Link")</f>
        <v/>
      </c>
      <c r="N370" s="5">
        <f>HYPERLINK("http://www.eum.go.kr/web/ar/lu/luLandDet.jsp?pnu=3611032026106400001&amp;isNoScr=script&amp;mode=search", "토지이음")</f>
        <v/>
      </c>
      <c r="O370" s="3" t="inlineStr">
        <is>
          <t>청담</t>
        </is>
      </c>
      <c r="P370" s="3" t="n">
        <v>1</v>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103</v>
      </c>
      <c r="K371" s="3" t="inlineStr">
        <is>
          <t>nan</t>
        </is>
      </c>
      <c r="L371" s="5">
        <f>HYPERLINK("https://fin.land.naver.com/articles/2648221451", "매물Link")</f>
        <v/>
      </c>
      <c r="M371" s="5">
        <f>HYPERLINK("https://map.naver.com/p/search/연동면 응암리 121-4", "지도Link")</f>
        <v/>
      </c>
      <c r="N371" s="5">
        <f>HYPERLINK("http://www.eum.go.kr/web/ar/lu/luLandDet.jsp?pnu=3611032024101210004&amp;isNoScr=script&amp;mode=search", "토지이음")</f>
        <v/>
      </c>
      <c r="O371" s="3" t="inlineStr">
        <is>
          <t>어반통</t>
        </is>
      </c>
      <c r="P371" s="3" t="n">
        <v>1</v>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89</v>
      </c>
      <c r="K372" s="3" t="inlineStr">
        <is>
          <t>0초이스0 전세 안고 투자도 가능</t>
        </is>
      </c>
      <c r="L372" s="5">
        <f>HYPERLINK("https://fin.land.naver.com/articles/2649446382", "매물Link")</f>
        <v/>
      </c>
      <c r="M372" s="5">
        <f>HYPERLINK("https://map.naver.com/p/search/연동면 응암리 199-4", "지도Link")</f>
        <v/>
      </c>
      <c r="N372" s="5">
        <f>HYPERLINK("http://www.eum.go.kr/web/ar/lu/luLandDet.jsp?pnu=3611032024101990004&amp;isNoScr=script&amp;mode=search", "토지이음")</f>
        <v/>
      </c>
      <c r="O372" s="3" t="inlineStr">
        <is>
          <t>세종초이스</t>
        </is>
      </c>
      <c r="P372" s="3" t="n">
        <v>1</v>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72</v>
      </c>
      <c r="K373" s="3" t="inlineStr">
        <is>
          <t>고복저수지 초근접 한 매물이며,별장으로 활용해도 좋아요</t>
        </is>
      </c>
      <c r="L373" s="5">
        <f>HYPERLINK("https://fin.land.naver.com/articles/2647765328", "매물Link")</f>
        <v/>
      </c>
      <c r="M373" s="5">
        <f>HYPERLINK("https://map.naver.com/p/search/연서면 고복리 415-34", "지도Link")</f>
        <v/>
      </c>
      <c r="N373" s="5">
        <f>HYPERLINK("http://www.eum.go.kr/web/ar/lu/luLandDet.jsp?pnu=3611036024104150034&amp;isNoScr=script&amp;mode=search", "토지이음")</f>
        <v/>
      </c>
      <c r="O373" s="3" t="inlineStr">
        <is>
          <t>지호주식회사</t>
        </is>
      </c>
      <c r="P373" s="3" t="n">
        <v>1</v>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54</v>
      </c>
      <c r="K374" s="3" t="inlineStr">
        <is>
          <t>매매가 이하 저렴한 농가주택입니다</t>
        </is>
      </c>
      <c r="L374" s="5">
        <f>HYPERLINK("https://fin.land.naver.com/articles/2644366822", "매물Link")</f>
        <v/>
      </c>
      <c r="M374" s="5">
        <f>HYPERLINK("https://map.naver.com/p/search/연서면 기룡리 657-4", "지도Link")</f>
        <v/>
      </c>
      <c r="N374" s="5">
        <f>HYPERLINK("http://www.eum.go.kr/web/ar/lu/luLandDet.jsp?pnu=3611036028106570004&amp;isNoScr=script&amp;mode=search", "토지이음")</f>
        <v/>
      </c>
      <c r="O374" s="3" t="inlineStr">
        <is>
          <t>캠퍼스</t>
        </is>
      </c>
      <c r="P374" s="3" t="n">
        <v>1</v>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450</v>
      </c>
      <c r="K375" s="3" t="inlineStr">
        <is>
          <t>다가구 매매 .위치.방 컨디션 매우좋은 건물</t>
        </is>
      </c>
      <c r="L375" s="5">
        <f>HYPERLINK("https://fin.land.naver.com/articles/2646956117", "매물Link")</f>
        <v/>
      </c>
      <c r="M375" s="5">
        <f>HYPERLINK("https://map.naver.com/p/search/연서면 봉암리 112-30", "지도Link")</f>
        <v/>
      </c>
      <c r="N375" s="5">
        <f>HYPERLINK("http://www.eum.go.kr/web/ar/lu/luLandDet.jsp?pnu=3611036033101120030&amp;isNoScr=script&amp;mode=search", "토지이음")</f>
        <v/>
      </c>
      <c r="O375" s="3" t="inlineStr">
        <is>
          <t>연서</t>
        </is>
      </c>
      <c r="P375" s="3" t="n">
        <v>1</v>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450</v>
      </c>
      <c r="K376" s="3" t="inlineStr">
        <is>
          <t>스마트산업단지 예정 인근 다가구 통매매,중심상권 위치로 투자수익 기대</t>
        </is>
      </c>
      <c r="L376" s="5">
        <f>HYPERLINK("https://fin.land.naver.com/articles/2644670568", "매물Link")</f>
        <v/>
      </c>
      <c r="M376" s="5">
        <f>HYPERLINK("https://map.naver.com/p/search/연서면 봉암리 112-30", "지도Link")</f>
        <v/>
      </c>
      <c r="N376" s="5">
        <f>HYPERLINK("http://www.eum.go.kr/web/ar/lu/luLandDet.jsp?pnu=3611036033101120030&amp;isNoScr=script&amp;mode=search", "토지이음")</f>
        <v/>
      </c>
      <c r="O376" s="3" t="inlineStr">
        <is>
          <t>연기더조은</t>
        </is>
      </c>
      <c r="P376" s="3" t="n">
        <v>1</v>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39</v>
      </c>
      <c r="K377" s="3" t="inlineStr">
        <is>
          <t>nan</t>
        </is>
      </c>
      <c r="L377" s="5">
        <f>HYPERLINK("https://fin.land.naver.com/articles/2645105601", "매물Link")</f>
        <v/>
      </c>
      <c r="M377" s="5">
        <f>HYPERLINK("https://map.naver.com/p/search/연서면 봉암리 112-31", "지도Link")</f>
        <v/>
      </c>
      <c r="N377" s="5">
        <f>HYPERLINK("http://www.eum.go.kr/web/ar/lu/luLandDet.jsp?pnu=3611036033101120031&amp;isNoScr=script&amp;mode=search", "토지이음")</f>
        <v/>
      </c>
      <c r="O377" s="3" t="inlineStr">
        <is>
          <t>엄지척</t>
        </is>
      </c>
      <c r="P377" s="3" t="n">
        <v>1</v>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79</v>
      </c>
      <c r="K378" s="3" t="inlineStr">
        <is>
          <t>쓰리룸. 방3, 화장실 2, 베란다 2, 거실</t>
        </is>
      </c>
      <c r="L378" s="5">
        <f>HYPERLINK("https://fin.land.naver.com/articles/2647387374", "매물Link")</f>
        <v/>
      </c>
      <c r="M378" s="5">
        <f>HYPERLINK("https://map.naver.com/p/search/연서면 봉암리 112-31", "지도Link")</f>
        <v/>
      </c>
      <c r="N378" s="5">
        <f>HYPERLINK("http://www.eum.go.kr/web/ar/lu/luLandDet.jsp?pnu=3611036033101120031&amp;isNoScr=script&amp;mode=search", "토지이음")</f>
        <v/>
      </c>
      <c r="O378" s="3" t="inlineStr">
        <is>
          <t>지성</t>
        </is>
      </c>
      <c r="P378" s="3" t="n">
        <v>1</v>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487</v>
      </c>
      <c r="K379" s="3" t="inlineStr">
        <is>
          <t>세종시 투자의 정석 공실 걱정 없는 안정적인 고수익 다가구주택</t>
        </is>
      </c>
      <c r="L379" s="5">
        <f>HYPERLINK("https://fin.land.naver.com/articles/2645675840", "매물Link")</f>
        <v/>
      </c>
      <c r="M379" s="5">
        <f>HYPERLINK("https://map.naver.com/p/search/연서면 봉암리 112-35", "지도Link")</f>
        <v/>
      </c>
      <c r="N379" s="5">
        <f>HYPERLINK("http://www.eum.go.kr/web/ar/lu/luLandDet.jsp?pnu=3611036033101120035&amp;isNoScr=script&amp;mode=search", "토지이음")</f>
        <v/>
      </c>
      <c r="O379" s="3" t="inlineStr">
        <is>
          <t>엄지척</t>
        </is>
      </c>
      <c r="P379" s="3" t="n">
        <v>1</v>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30</v>
      </c>
      <c r="K380" s="3" t="inlineStr">
        <is>
          <t>가성비좋은 풀옵션 완비방   깔끔한 주방분리 짐만 챙겨오세요  해밀동5분</t>
        </is>
      </c>
      <c r="L380" s="5">
        <f>HYPERLINK("https://fin.land.naver.com/articles/2649064055", "매물Link")</f>
        <v/>
      </c>
      <c r="M380" s="5">
        <f>HYPERLINK("https://map.naver.com/p/search/연서면 봉암리 112-40", "지도Link")</f>
        <v/>
      </c>
      <c r="N380" s="5">
        <f>HYPERLINK("http://www.eum.go.kr/web/ar/lu/luLandDet.jsp?pnu=3611036033101120040&amp;isNoScr=script&amp;mode=search", "토지이음")</f>
        <v/>
      </c>
      <c r="O380" s="3" t="inlineStr">
        <is>
          <t>연서으뜸</t>
        </is>
      </c>
      <c r="P380" s="3" t="n">
        <v>1</v>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45</v>
      </c>
      <c r="K381" s="3" t="inlineStr">
        <is>
          <t>깨끗한 투룸</t>
        </is>
      </c>
      <c r="L381" s="5">
        <f>HYPERLINK("https://fin.land.naver.com/articles/2648813395", "매물Link")</f>
        <v/>
      </c>
      <c r="M381" s="5">
        <f>HYPERLINK("https://map.naver.com/p/search/연서면 봉암리 215-4", "지도Link")</f>
        <v/>
      </c>
      <c r="N381" s="5">
        <f>HYPERLINK("http://www.eum.go.kr/web/ar/lu/luLandDet.jsp?pnu=3611036033102150004&amp;isNoScr=script&amp;mode=search", "토지이음")</f>
        <v/>
      </c>
      <c r="O381" s="3" t="inlineStr">
        <is>
          <t>세종대박</t>
        </is>
      </c>
      <c r="P381" s="3" t="n">
        <v>1</v>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327</v>
      </c>
      <c r="K382" s="3" t="inlineStr">
        <is>
          <t>상가주택 매매</t>
        </is>
      </c>
      <c r="L382" s="5">
        <f>HYPERLINK("https://fin.land.naver.com/articles/2648813394", "매물Link")</f>
        <v/>
      </c>
      <c r="M382" s="5">
        <f>HYPERLINK("https://map.naver.com/p/search/연서면 봉암리 215-4", "지도Link")</f>
        <v/>
      </c>
      <c r="N382" s="5">
        <f>HYPERLINK("http://www.eum.go.kr/web/ar/lu/luLandDet.jsp?pnu=3611036033102150004&amp;isNoScr=script&amp;mode=search", "토지이음")</f>
        <v/>
      </c>
      <c r="O382" s="3" t="inlineStr">
        <is>
          <t>세종대박</t>
        </is>
      </c>
      <c r="P382" s="3" t="n">
        <v>1</v>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483</v>
      </c>
      <c r="K383" s="3" t="inlineStr">
        <is>
          <t>스마트산업단지 예정 인근 다가구 통매매,중심상권 위치로 투자수익 기대</t>
        </is>
      </c>
      <c r="L383" s="5">
        <f>HYPERLINK("https://fin.land.naver.com/articles/2644631872", "매물Link")</f>
        <v/>
      </c>
      <c r="M383" s="5">
        <f>HYPERLINK("https://map.naver.com/p/search/연서면 봉암리 217-16", "지도Link")</f>
        <v/>
      </c>
      <c r="N383" s="5">
        <f>HYPERLINK("http://www.eum.go.kr/web/ar/lu/luLandDet.jsp?pnu=3611036033102170016&amp;isNoScr=script&amp;mode=search", "토지이음")</f>
        <v/>
      </c>
      <c r="O383" s="3" t="inlineStr">
        <is>
          <t>연기더조은</t>
        </is>
      </c>
      <c r="P383" s="3" t="n">
        <v>1</v>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33</v>
      </c>
      <c r="K384" s="3" t="inlineStr">
        <is>
          <t>인기매물  깔끔한 풀옵션방  정류장 1분  나성동 10분  산울동  5분</t>
        </is>
      </c>
      <c r="L384" s="5">
        <f>HYPERLINK("https://fin.land.naver.com/articles/2649771224", "매물Link")</f>
        <v/>
      </c>
      <c r="M384" s="5">
        <f>HYPERLINK("https://map.naver.com/p/search/연서면 봉암리 234-36", "지도Link")</f>
        <v/>
      </c>
      <c r="N384" s="5">
        <f>HYPERLINK("http://www.eum.go.kr/web/ar/lu/luLandDet.jsp?pnu=3611036033102340036&amp;isNoScr=script&amp;mode=search", "토지이음")</f>
        <v/>
      </c>
      <c r="O384" s="3" t="inlineStr">
        <is>
          <t>연서으뜸</t>
        </is>
      </c>
      <c r="P384" s="3" t="n">
        <v>1</v>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67</v>
      </c>
      <c r="K385" s="3" t="inlineStr">
        <is>
          <t>nan</t>
        </is>
      </c>
      <c r="L385" s="5">
        <f>HYPERLINK("https://fin.land.naver.com/articles/2647590651", "매물Link")</f>
        <v/>
      </c>
      <c r="M385" s="5">
        <f>HYPERLINK("https://map.naver.com/p/search/연서면 봉암리 54-45", "지도Link")</f>
        <v/>
      </c>
      <c r="N385" s="5">
        <f>HYPERLINK("http://www.eum.go.kr/web/ar/lu/luLandDet.jsp?pnu=3611036033100540045&amp;isNoScr=script&amp;mode=search", "토지이음")</f>
        <v/>
      </c>
      <c r="O385" s="3" t="inlineStr">
        <is>
          <t>KB세종</t>
        </is>
      </c>
      <c r="P385" s="3" t="n">
        <v>1</v>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23</v>
      </c>
      <c r="K386" s="3" t="inlineStr">
        <is>
          <t>인기좋은  풀옵션완비방   깔끔한 주방분리   바로입주  주차편함</t>
        </is>
      </c>
      <c r="L386" s="5">
        <f>HYPERLINK("https://fin.land.naver.com/articles/2648544810", "매물Link")</f>
        <v/>
      </c>
      <c r="M386" s="5">
        <f>HYPERLINK("https://map.naver.com/p/search/연서면 봉암리 54-76", "지도Link")</f>
        <v/>
      </c>
      <c r="N386" s="5">
        <f>HYPERLINK("http://www.eum.go.kr/web/ar/lu/luLandDet.jsp?pnu=3611036033100540076&amp;isNoScr=script&amp;mode=search", "토지이음")</f>
        <v/>
      </c>
      <c r="O386" s="3" t="inlineStr">
        <is>
          <t>연서으뜸</t>
        </is>
      </c>
      <c r="P386" s="3" t="n">
        <v>1</v>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490</v>
      </c>
      <c r="K387" s="3" t="inlineStr">
        <is>
          <t>세종시 인접  19실  수익형 다가구매매</t>
        </is>
      </c>
      <c r="L387" s="5">
        <f>HYPERLINK("https://fin.land.naver.com/articles/2646955761", "매물Link")</f>
        <v/>
      </c>
      <c r="M387" s="5">
        <f>HYPERLINK("https://map.naver.com/p/search/연서면 봉암리 54-89", "지도Link")</f>
        <v/>
      </c>
      <c r="N387" s="5">
        <f>HYPERLINK("http://www.eum.go.kr/web/ar/lu/luLandDet.jsp?pnu=3611036033100540089&amp;isNoScr=script&amp;mode=search", "토지이음")</f>
        <v/>
      </c>
      <c r="O387" s="3" t="inlineStr">
        <is>
          <t>연서</t>
        </is>
      </c>
      <c r="P387" s="3" t="n">
        <v>1</v>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490</v>
      </c>
      <c r="K388" s="3" t="inlineStr">
        <is>
          <t>nan</t>
        </is>
      </c>
      <c r="L388" s="5">
        <f>HYPERLINK("https://fin.land.naver.com/articles/2645645528", "매물Link")</f>
        <v/>
      </c>
      <c r="M388" s="5">
        <f>HYPERLINK("https://map.naver.com/p/search/연서면 봉암리 54-89", "지도Link")</f>
        <v/>
      </c>
      <c r="N388" s="5">
        <f>HYPERLINK("http://www.eum.go.kr/web/ar/lu/luLandDet.jsp?pnu=3611036033100540089&amp;isNoScr=script&amp;mode=search", "토지이음")</f>
        <v/>
      </c>
      <c r="O388" s="3" t="inlineStr">
        <is>
          <t>엄지척</t>
        </is>
      </c>
      <c r="P388" s="3" t="n">
        <v>1</v>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39</v>
      </c>
      <c r="K389" s="3" t="inlineStr">
        <is>
          <t>nan</t>
        </is>
      </c>
      <c r="L389" s="5">
        <f>HYPERLINK("https://fin.land.naver.com/articles/2646349438", "매물Link")</f>
        <v/>
      </c>
      <c r="M389" s="5">
        <f>HYPERLINK("https://map.naver.com/p/search/연서면 봉암리 58-3", "지도Link")</f>
        <v/>
      </c>
      <c r="N389" s="5">
        <f>HYPERLINK("http://www.eum.go.kr/web/ar/lu/luLandDet.jsp?pnu=3611036033100580003&amp;isNoScr=script&amp;mode=search", "토지이음")</f>
        <v/>
      </c>
      <c r="O389" s="3" t="inlineStr">
        <is>
          <t>동서남북</t>
        </is>
      </c>
      <c r="P389" s="3" t="n">
        <v>1</v>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39</v>
      </c>
      <c r="K390" s="3" t="inlineStr">
        <is>
          <t>nan</t>
        </is>
      </c>
      <c r="L390" s="5">
        <f>HYPERLINK("https://fin.land.naver.com/articles/2646744402", "매물Link")</f>
        <v/>
      </c>
      <c r="M390" s="5">
        <f>HYPERLINK("https://map.naver.com/p/search/연서면 봉암리 58-3", "지도Link")</f>
        <v/>
      </c>
      <c r="N390" s="5">
        <f>HYPERLINK("http://www.eum.go.kr/web/ar/lu/luLandDet.jsp?pnu=3611036033100580003&amp;isNoScr=script&amp;mode=search", "토지이음")</f>
        <v/>
      </c>
      <c r="O390" s="3" t="inlineStr">
        <is>
          <t>동서남북</t>
        </is>
      </c>
      <c r="P390" s="3" t="n">
        <v>1</v>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39</v>
      </c>
      <c r="K391" s="3" t="inlineStr">
        <is>
          <t>nan</t>
        </is>
      </c>
      <c r="L391" s="5">
        <f>HYPERLINK("https://fin.land.naver.com/articles/2646008689", "매물Link")</f>
        <v/>
      </c>
      <c r="M391" s="5">
        <f>HYPERLINK("https://map.naver.com/p/search/연서면 봉암리 58-3", "지도Link")</f>
        <v/>
      </c>
      <c r="N391" s="5">
        <f>HYPERLINK("http://www.eum.go.kr/web/ar/lu/luLandDet.jsp?pnu=3611036033100580003&amp;isNoScr=script&amp;mode=search", "토지이음")</f>
        <v/>
      </c>
      <c r="O391" s="3" t="inlineStr">
        <is>
          <t>동서남북</t>
        </is>
      </c>
      <c r="P391" s="3" t="n">
        <v>1</v>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39</v>
      </c>
      <c r="K392" s="3" t="inlineStr">
        <is>
          <t>nan</t>
        </is>
      </c>
      <c r="L392" s="5">
        <f>HYPERLINK("https://fin.land.naver.com/articles/2645609323", "매물Link")</f>
        <v/>
      </c>
      <c r="M392" s="5">
        <f>HYPERLINK("https://map.naver.com/p/search/연서면 봉암리 58-3", "지도Link")</f>
        <v/>
      </c>
      <c r="N392" s="5">
        <f>HYPERLINK("http://www.eum.go.kr/web/ar/lu/luLandDet.jsp?pnu=3611036033100580003&amp;isNoScr=script&amp;mode=search", "토지이음")</f>
        <v/>
      </c>
      <c r="O392" s="3" t="inlineStr">
        <is>
          <t>동서남북</t>
        </is>
      </c>
      <c r="P392" s="3" t="n">
        <v>1</v>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39</v>
      </c>
      <c r="K393" s="3" t="inlineStr">
        <is>
          <t>nan</t>
        </is>
      </c>
      <c r="L393" s="5">
        <f>HYPERLINK("https://fin.land.naver.com/articles/2647001229", "매물Link")</f>
        <v/>
      </c>
      <c r="M393" s="5">
        <f>HYPERLINK("https://map.naver.com/p/search/연서면 봉암리 58-3", "지도Link")</f>
        <v/>
      </c>
      <c r="N393" s="5">
        <f>HYPERLINK("http://www.eum.go.kr/web/ar/lu/luLandDet.jsp?pnu=3611036033100580003&amp;isNoScr=script&amp;mode=search", "토지이음")</f>
        <v/>
      </c>
      <c r="O393" s="3" t="inlineStr">
        <is>
          <t>동서남북</t>
        </is>
      </c>
      <c r="P393" s="3" t="n">
        <v>1</v>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39</v>
      </c>
      <c r="K394" s="3" t="inlineStr">
        <is>
          <t>nan</t>
        </is>
      </c>
      <c r="L394" s="5">
        <f>HYPERLINK("https://fin.land.naver.com/articles/2647050039", "매물Link")</f>
        <v/>
      </c>
      <c r="M394" s="5">
        <f>HYPERLINK("https://map.naver.com/p/search/연서면 봉암리 58-3", "지도Link")</f>
        <v/>
      </c>
      <c r="N394" s="5">
        <f>HYPERLINK("http://www.eum.go.kr/web/ar/lu/luLandDet.jsp?pnu=3611036033100580003&amp;isNoScr=script&amp;mode=search", "토지이음")</f>
        <v/>
      </c>
      <c r="O394" s="3" t="inlineStr">
        <is>
          <t>동서남북</t>
        </is>
      </c>
      <c r="P394" s="3" t="n">
        <v>1</v>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39</v>
      </c>
      <c r="K395" s="3" t="inlineStr">
        <is>
          <t>nan</t>
        </is>
      </c>
      <c r="L395" s="5">
        <f>HYPERLINK("https://fin.land.naver.com/articles/2648794253", "매물Link")</f>
        <v/>
      </c>
      <c r="M395" s="5">
        <f>HYPERLINK("https://map.naver.com/p/search/연서면 봉암리 58-3", "지도Link")</f>
        <v/>
      </c>
      <c r="N395" s="5">
        <f>HYPERLINK("http://www.eum.go.kr/web/ar/lu/luLandDet.jsp?pnu=3611036033100580003&amp;isNoScr=script&amp;mode=search", "토지이음")</f>
        <v/>
      </c>
      <c r="O395" s="3" t="inlineStr">
        <is>
          <t>동서남북</t>
        </is>
      </c>
      <c r="P395" s="3" t="n">
        <v>1</v>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23</v>
      </c>
      <c r="K396" s="3" t="inlineStr">
        <is>
          <t>즉시입주,6달가능,주방분리형,대중교통우수,도시가스</t>
        </is>
      </c>
      <c r="L396" s="5">
        <f>HYPERLINK("https://fin.land.naver.com/articles/2650173555", "매물Link")</f>
        <v/>
      </c>
      <c r="M396" s="5">
        <f>HYPERLINK("https://map.naver.com/p/search/연서면 봉암리 58-4", "지도Link")</f>
        <v/>
      </c>
      <c r="N396" s="5">
        <f>HYPERLINK("http://www.eum.go.kr/web/ar/lu/luLandDet.jsp?pnu=3611036033100580004&amp;isNoScr=script&amp;mode=search", "토지이음")</f>
        <v/>
      </c>
      <c r="O396" s="3" t="inlineStr">
        <is>
          <t>신동서남북</t>
        </is>
      </c>
      <c r="P396" s="3" t="n">
        <v>1</v>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23</v>
      </c>
      <c r="K397" s="3" t="inlineStr">
        <is>
          <t>즉시입주,6달가능,주방분리형,대중교통우수,도시가스</t>
        </is>
      </c>
      <c r="L397" s="5">
        <f>HYPERLINK("https://fin.land.naver.com/articles/2650173786", "매물Link")</f>
        <v/>
      </c>
      <c r="M397" s="5">
        <f>HYPERLINK("https://map.naver.com/p/search/연서면 봉암리 58-4", "지도Link")</f>
        <v/>
      </c>
      <c r="N397" s="5">
        <f>HYPERLINK("http://www.eum.go.kr/web/ar/lu/luLandDet.jsp?pnu=3611036033100580004&amp;isNoScr=script&amp;mode=search", "토지이음")</f>
        <v/>
      </c>
      <c r="O397" s="3" t="inlineStr">
        <is>
          <t>신동서남북</t>
        </is>
      </c>
      <c r="P397" s="3" t="n">
        <v>1</v>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23</v>
      </c>
      <c r="K398" s="3" t="inlineStr">
        <is>
          <t>nan</t>
        </is>
      </c>
      <c r="L398" s="5">
        <f>HYPERLINK("https://fin.land.naver.com/articles/2650173145", "매물Link")</f>
        <v/>
      </c>
      <c r="M398" s="5">
        <f>HYPERLINK("https://map.naver.com/p/search/연서면 봉암리 58-4", "지도Link")</f>
        <v/>
      </c>
      <c r="N398" s="5">
        <f>HYPERLINK("http://www.eum.go.kr/web/ar/lu/luLandDet.jsp?pnu=3611036033100580004&amp;isNoScr=script&amp;mode=search", "토지이음")</f>
        <v/>
      </c>
      <c r="O398" s="3" t="inlineStr">
        <is>
          <t>동서남북</t>
        </is>
      </c>
      <c r="P398" s="3" t="n">
        <v>1</v>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23</v>
      </c>
      <c r="K399" s="3" t="inlineStr">
        <is>
          <t>nan</t>
        </is>
      </c>
      <c r="L399" s="5">
        <f>HYPERLINK("https://fin.land.naver.com/articles/2650174228", "매물Link")</f>
        <v/>
      </c>
      <c r="M399" s="5">
        <f>HYPERLINK("https://map.naver.com/p/search/연서면 봉암리 58-4", "지도Link")</f>
        <v/>
      </c>
      <c r="N399" s="5">
        <f>HYPERLINK("http://www.eum.go.kr/web/ar/lu/luLandDet.jsp?pnu=3611036033100580004&amp;isNoScr=script&amp;mode=search", "토지이음")</f>
        <v/>
      </c>
      <c r="O399" s="3" t="inlineStr">
        <is>
          <t>동서남북</t>
        </is>
      </c>
      <c r="P399" s="3" t="n">
        <v>1</v>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23</v>
      </c>
      <c r="K400" s="3" t="inlineStr">
        <is>
          <t>nan</t>
        </is>
      </c>
      <c r="L400" s="5">
        <f>HYPERLINK("https://fin.land.naver.com/articles/2650172865", "매물Link")</f>
        <v/>
      </c>
      <c r="M400" s="5">
        <f>HYPERLINK("https://map.naver.com/p/search/연서면 봉암리 58-4", "지도Link")</f>
        <v/>
      </c>
      <c r="N400" s="5">
        <f>HYPERLINK("http://www.eum.go.kr/web/ar/lu/luLandDet.jsp?pnu=3611036033100580004&amp;isNoScr=script&amp;mode=search", "토지이음")</f>
        <v/>
      </c>
      <c r="O400" s="3" t="inlineStr">
        <is>
          <t>동서남북</t>
        </is>
      </c>
      <c r="P400" s="3" t="n">
        <v>1</v>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434</v>
      </c>
      <c r="K401" s="3" t="inlineStr">
        <is>
          <t>nan</t>
        </is>
      </c>
      <c r="L401" s="5">
        <f>HYPERLINK("https://fin.land.naver.com/articles/2646738010", "매물Link")</f>
        <v/>
      </c>
      <c r="M401" s="5">
        <f>HYPERLINK("https://map.naver.com/p/search/연서면 봉암리 58-4", "지도Link")</f>
        <v/>
      </c>
      <c r="N401" s="5">
        <f>HYPERLINK("http://www.eum.go.kr/web/ar/lu/luLandDet.jsp?pnu=3611036033100580004&amp;isNoScr=script&amp;mode=search", "토지이음")</f>
        <v/>
      </c>
      <c r="O401" s="3" t="inlineStr">
        <is>
          <t>동서남북</t>
        </is>
      </c>
      <c r="P401" s="3" t="n">
        <v>1</v>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434</v>
      </c>
      <c r="K402" s="3" t="inlineStr">
        <is>
          <t>일반원룸보다 큰방  18개,주차편리,도시가스 월세와 관리비 포함 284만</t>
        </is>
      </c>
      <c r="L402" s="5">
        <f>HYPERLINK("https://fin.land.naver.com/articles/2649699772", "매물Link")</f>
        <v/>
      </c>
      <c r="M402" s="5">
        <f>HYPERLINK("https://map.naver.com/p/search/연서면 봉암리 58-5", "지도Link")</f>
        <v/>
      </c>
      <c r="N402" s="5">
        <f>HYPERLINK("http://www.eum.go.kr/web/ar/lu/luLandDet.jsp?pnu=3611036033100580005&amp;isNoScr=script&amp;mode=search", "토지이음")</f>
        <v/>
      </c>
      <c r="O402" s="3" t="inlineStr">
        <is>
          <t>동서남북</t>
        </is>
      </c>
      <c r="P402" s="3" t="n">
        <v>1</v>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75</v>
      </c>
      <c r="K403" s="3" t="inlineStr">
        <is>
          <t>1번국도변 봉암리 네스트아파트앞 조용하고 텃빝에 있음.</t>
        </is>
      </c>
      <c r="L403" s="5">
        <f>HYPERLINK("https://fin.land.naver.com/articles/2648729436", "매물Link")</f>
        <v/>
      </c>
      <c r="M403" s="5">
        <f>HYPERLINK("https://map.naver.com/p/search/연서면 봉암리 620-25", "지도Link")</f>
        <v/>
      </c>
      <c r="N403" s="5">
        <f>HYPERLINK("http://www.eum.go.kr/web/ar/lu/luLandDet.jsp?pnu=3611036033106200025&amp;isNoScr=script&amp;mode=search", "토지이음")</f>
        <v/>
      </c>
      <c r="O403" s="3" t="inlineStr">
        <is>
          <t>꿈드림</t>
        </is>
      </c>
      <c r="P403" s="3" t="n">
        <v>1</v>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253</v>
      </c>
      <c r="K404" s="3" t="inlineStr">
        <is>
          <t>nan</t>
        </is>
      </c>
      <c r="L404" s="5">
        <f>HYPERLINK("https://fin.land.naver.com/articles/2645081812", "매물Link")</f>
        <v/>
      </c>
      <c r="M404" s="5">
        <f>HYPERLINK("https://map.naver.com/p/search/연서면 봉암리 677-2", "지도Link")</f>
        <v/>
      </c>
      <c r="N404" s="5">
        <f>HYPERLINK("http://www.eum.go.kr/web/ar/lu/luLandDet.jsp?pnu=3611036033106770002&amp;isNoScr=script&amp;mode=search", "토지이음")</f>
        <v/>
      </c>
      <c r="O404" s="3" t="inlineStr">
        <is>
          <t>오송파라곤리치</t>
        </is>
      </c>
      <c r="P404" s="3" t="n">
        <v>1</v>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568</v>
      </c>
      <c r="K405" s="3" t="inlineStr">
        <is>
          <t>신축다가구건물, 엘리베이터 1층 카페,23층 원룸,투룸,1.5룸으로구성</t>
        </is>
      </c>
      <c r="L405" s="5">
        <f>HYPERLINK("https://fin.land.naver.com/articles/2644295374", "매물Link")</f>
        <v/>
      </c>
      <c r="M405" s="5">
        <f>HYPERLINK("https://map.naver.com/p/search/연서면 봉암리 73-8", "지도Link")</f>
        <v/>
      </c>
      <c r="N405" s="5">
        <f>HYPERLINK("http://www.eum.go.kr/web/ar/lu/luLandDet.jsp?pnu=3611036033100730008&amp;isNoScr=script&amp;mode=search", "토지이음")</f>
        <v/>
      </c>
      <c r="O405" s="3" t="inlineStr">
        <is>
          <t>담뜰</t>
        </is>
      </c>
      <c r="P405" s="3" t="n">
        <v>1</v>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594</v>
      </c>
      <c r="K406" s="3" t="inlineStr">
        <is>
          <t>신축다가구  가격조정가능 엘리베이터 와촌국가산업단지 인근</t>
        </is>
      </c>
      <c r="L406" s="5">
        <f>HYPERLINK("https://fin.land.naver.com/articles/2645022936", "매물Link")</f>
        <v/>
      </c>
      <c r="M406" s="5">
        <f>HYPERLINK("https://map.naver.com/p/search/연서면 봉암리 73-8", "지도Link")</f>
        <v/>
      </c>
      <c r="N406" s="5">
        <f>HYPERLINK("http://www.eum.go.kr/web/ar/lu/luLandDet.jsp?pnu=3611036033100730008&amp;isNoScr=script&amp;mode=search", "토지이음")</f>
        <v/>
      </c>
      <c r="O406" s="3" t="inlineStr">
        <is>
          <t>그래그</t>
        </is>
      </c>
      <c r="P406" s="3" t="n">
        <v>1</v>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92</v>
      </c>
      <c r="K407" s="3" t="inlineStr">
        <is>
          <t>세종 스마트국가산업단지 인근 단독주택 도로지분포함 저렴하게 일괄매매.</t>
        </is>
      </c>
      <c r="L407" s="5">
        <f>HYPERLINK("https://fin.land.naver.com/articles/2646592114", "매물Link")</f>
        <v/>
      </c>
      <c r="M407" s="5">
        <f>HYPERLINK("https://map.naver.com/p/search/연서면 부동리 80-2", "지도Link")</f>
        <v/>
      </c>
      <c r="N407" s="5">
        <f>HYPERLINK("http://www.eum.go.kr/web/ar/lu/luLandDet.jsp?pnu=3611036032100800002&amp;isNoScr=script&amp;mode=search", "토지이음")</f>
        <v/>
      </c>
      <c r="O407" s="3" t="inlineStr">
        <is>
          <t>세종대장</t>
        </is>
      </c>
      <c r="P407" s="3" t="n">
        <v>1</v>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168</v>
      </c>
      <c r="K408" s="3" t="inlineStr">
        <is>
          <t>조용한 전원생활, 초중학교 인접, 고복저수지 자연환경 전원주택 매매</t>
        </is>
      </c>
      <c r="L408" s="5">
        <f>HYPERLINK("https://fin.land.naver.com/articles/2646625706", "매물Link")</f>
        <v/>
      </c>
      <c r="M408" s="5">
        <f>HYPERLINK("https://map.naver.com/p/search/연서면 신대리 105-8", "지도Link")</f>
        <v/>
      </c>
      <c r="N408" s="5">
        <f>HYPERLINK("http://www.eum.go.kr/web/ar/lu/luLandDet.jsp?pnu=3611036029101050008&amp;isNoScr=script&amp;mode=search", "토지이음")</f>
        <v/>
      </c>
      <c r="O408" s="3" t="inlineStr">
        <is>
          <t>연기더조은</t>
        </is>
      </c>
      <c r="P408" s="3" t="n">
        <v>2</v>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168</v>
      </c>
      <c r="K409" s="3" t="inlineStr">
        <is>
          <t>깨끗한 2층전원주택,주택바로뒤가 연서중학교 위치,3층다락방은 서비스면적</t>
        </is>
      </c>
      <c r="L409" s="5">
        <f>HYPERLINK("https://fin.land.naver.com/articles/2645458088", "매물Link")</f>
        <v/>
      </c>
      <c r="M409" s="5">
        <f>HYPERLINK("https://map.naver.com/p/search/연서면 신대리 105-8", "지도Link")</f>
        <v/>
      </c>
      <c r="N409" s="5">
        <f>HYPERLINK("http://www.eum.go.kr/web/ar/lu/luLandDet.jsp?pnu=3611036029101050008&amp;isNoScr=script&amp;mode=search", "토지이음")</f>
        <v/>
      </c>
      <c r="O409" s="3" t="inlineStr">
        <is>
          <t>담뜰</t>
        </is>
      </c>
      <c r="P409" s="3" t="n">
        <v>1</v>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140</v>
      </c>
      <c r="K410" s="3" t="inlineStr">
        <is>
          <t>급매. 쌍전리 뷰 좋고 관리 잘 된 2층 단독주택. 입주일 협의.</t>
        </is>
      </c>
      <c r="L410" s="5">
        <f>HYPERLINK("https://fin.land.naver.com/articles/2648074660", "매물Link")</f>
        <v/>
      </c>
      <c r="M410" s="5">
        <f>HYPERLINK("https://map.naver.com/p/search/연서면 쌍전리 159-2", "지도Link")</f>
        <v/>
      </c>
      <c r="N410" s="5">
        <f>HYPERLINK("http://www.eum.go.kr/web/ar/lu/luLandDet.jsp?pnu=3611036022101590002&amp;isNoScr=script&amp;mode=search", "토지이음")</f>
        <v/>
      </c>
      <c r="O410" s="3" t="inlineStr">
        <is>
          <t>세종대장</t>
        </is>
      </c>
      <c r="P410" s="3" t="n">
        <v>1</v>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91</v>
      </c>
      <c r="K411" s="3" t="inlineStr">
        <is>
          <t>신축 한옥주택황토방 즉시입주협의</t>
        </is>
      </c>
      <c r="L411" s="5">
        <f>HYPERLINK("https://fin.land.naver.com/articles/2644444543", "매물Link")</f>
        <v/>
      </c>
      <c r="M411" s="5">
        <f>HYPERLINK("https://map.naver.com/p/search/연서면 와촌리 791", "지도Link")</f>
        <v/>
      </c>
      <c r="N411" s="5">
        <f>HYPERLINK("http://www.eum.go.kr/web/ar/lu/luLandDet.jsp?pnu=3611036031107910000&amp;isNoScr=script&amp;mode=search", "토지이음")</f>
        <v/>
      </c>
      <c r="O411" s="3" t="inlineStr">
        <is>
          <t>세종대박</t>
        </is>
      </c>
      <c r="P411" s="3" t="n">
        <v>1</v>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84</v>
      </c>
      <c r="K412" s="3" t="inlineStr">
        <is>
          <t>빠른입주, 전망 좋은 주택</t>
        </is>
      </c>
      <c r="L412" s="5">
        <f>HYPERLINK("https://fin.land.naver.com/articles/2645171950", "매물Link")</f>
        <v/>
      </c>
      <c r="M412" s="5">
        <f>HYPERLINK("https://map.naver.com/p/search/연서면 월하리 1008-5", "지도Link")</f>
        <v/>
      </c>
      <c r="N412" s="5">
        <f>HYPERLINK("http://www.eum.go.kr/web/ar/lu/luLandDet.jsp?pnu=3611036021110080005&amp;isNoScr=script&amp;mode=search", "토지이음")</f>
        <v/>
      </c>
      <c r="O412" s="3" t="inlineStr">
        <is>
          <t>정인</t>
        </is>
      </c>
      <c r="P412" s="3" t="n">
        <v>1</v>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84</v>
      </c>
      <c r="K413" s="3" t="inlineStr">
        <is>
          <t>nan</t>
        </is>
      </c>
      <c r="L413" s="5">
        <f>HYPERLINK("https://fin.land.naver.com/articles/2649752267", "매물Link")</f>
        <v/>
      </c>
      <c r="M413" s="5">
        <f>HYPERLINK("https://map.naver.com/p/search/연서면 월하리 1008-5", "지도Link")</f>
        <v/>
      </c>
      <c r="N413" s="5">
        <f>HYPERLINK("http://www.eum.go.kr/web/ar/lu/luLandDet.jsp?pnu=3611036021110080005&amp;isNoScr=script&amp;mode=search", "토지이음")</f>
        <v/>
      </c>
      <c r="O413" s="3" t="inlineStr">
        <is>
          <t>뉴스카이</t>
        </is>
      </c>
      <c r="P413" s="3" t="n">
        <v>1</v>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54</v>
      </c>
      <c r="K414" s="3" t="inlineStr">
        <is>
          <t>욕실,주방,거실,샷시까지 올리모델링됨,세입자끼고매매,소액투자</t>
        </is>
      </c>
      <c r="L414" s="5">
        <f>HYPERLINK("https://fin.land.naver.com/articles/2644429104", "매물Link")</f>
        <v/>
      </c>
      <c r="M414" s="5">
        <f>HYPERLINK("https://map.naver.com/p/search/연서면 월하리 618-1", "지도Link")</f>
        <v/>
      </c>
      <c r="N414" s="5">
        <f>HYPERLINK("http://www.eum.go.kr/web/ar/lu/luLandDet.jsp?pnu=3611036021106180001&amp;isNoScr=script&amp;mode=search", "토지이음")</f>
        <v/>
      </c>
      <c r="O414" s="3" t="inlineStr">
        <is>
          <t>신안무소</t>
        </is>
      </c>
      <c r="P414" s="3" t="n">
        <v>1</v>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72</v>
      </c>
      <c r="K415" s="3" t="inlineStr">
        <is>
          <t>방2개, 에어컨, 넓은대지, 전원마을, 금강뷰, 전입신고가능</t>
        </is>
      </c>
      <c r="L415" s="5">
        <f>HYPERLINK("https://fin.land.naver.com/articles/2645209009", "매물Link")</f>
        <v/>
      </c>
      <c r="M415" s="5">
        <f>HYPERLINK("https://map.naver.com/p/search/장군면 금암리 283-138", "지도Link")</f>
        <v/>
      </c>
      <c r="N415" s="5">
        <f>HYPERLINK("http://www.eum.go.kr/web/ar/lu/luLandDet.jsp?pnu=3611035025102830138&amp;isNoScr=script&amp;mode=search", "토지이음")</f>
        <v/>
      </c>
      <c r="O415" s="3" t="inlineStr">
        <is>
          <t>광장</t>
        </is>
      </c>
      <c r="P415" s="3" t="n">
        <v>1</v>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157</v>
      </c>
      <c r="K416" s="3" t="inlineStr">
        <is>
          <t>2세대 다가구 2층, 전원마을, 이마트 차로 5분 거리</t>
        </is>
      </c>
      <c r="L416" s="5">
        <f>HYPERLINK("https://fin.land.naver.com/articles/2649460305", "매물Link")</f>
        <v/>
      </c>
      <c r="M416" s="5">
        <f>HYPERLINK("https://map.naver.com/p/search/장군면 금암리 302-84", "지도Link")</f>
        <v/>
      </c>
      <c r="N416" s="5">
        <f>HYPERLINK("http://www.eum.go.kr/web/ar/lu/luLandDet.jsp?pnu=3611035025103020084&amp;isNoScr=script&amp;mode=search", "토지이음")</f>
        <v/>
      </c>
      <c r="O416" s="3" t="inlineStr">
        <is>
          <t>세종삼촌</t>
        </is>
      </c>
      <c r="P416" s="3" t="n">
        <v>1</v>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98</v>
      </c>
      <c r="K417" s="3" t="inlineStr">
        <is>
          <t>즉시입주,전원마을인근, 2세대  다가구,행복청인프라이용 편리</t>
        </is>
      </c>
      <c r="L417" s="5">
        <f>HYPERLINK("https://fin.land.naver.com/articles/2647184844", "매물Link")</f>
        <v/>
      </c>
      <c r="M417" s="5">
        <f>HYPERLINK("https://map.naver.com/p/search/장군면 금암리 302-84", "지도Link")</f>
        <v/>
      </c>
      <c r="N417" s="5">
        <f>HYPERLINK("http://www.eum.go.kr/web/ar/lu/luLandDet.jsp?pnu=3611035025103020084&amp;isNoScr=script&amp;mode=search", "토지이음")</f>
        <v/>
      </c>
      <c r="O417" s="3" t="inlineStr">
        <is>
          <t>동백</t>
        </is>
      </c>
      <c r="P417" s="3" t="n">
        <v>1</v>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157</v>
      </c>
      <c r="K418" s="3" t="inlineStr">
        <is>
          <t>조용하고 쾌적한 전원마을, 근접한 세종시 인프라 그대로 누릴수 있음</t>
        </is>
      </c>
      <c r="L418" s="5">
        <f>HYPERLINK("https://fin.land.naver.com/articles/2643921940", "매물Link")</f>
        <v/>
      </c>
      <c r="M418" s="5">
        <f>HYPERLINK("https://map.naver.com/p/search/장군면 금암리 302-84", "지도Link")</f>
        <v/>
      </c>
      <c r="N418" s="5">
        <f>HYPERLINK("http://www.eum.go.kr/web/ar/lu/luLandDet.jsp?pnu=3611035025103020084&amp;isNoScr=script&amp;mode=search", "토지이음")</f>
        <v/>
      </c>
      <c r="O418" s="3" t="inlineStr">
        <is>
          <t>the다올</t>
        </is>
      </c>
      <c r="P418" s="3" t="n">
        <v>1</v>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102</v>
      </c>
      <c r="K419" s="3" t="inlineStr">
        <is>
          <t>텃밭있는 타운하우스, 태양광설치로  전기세절약,  상수도설치함.</t>
        </is>
      </c>
      <c r="L419" s="5">
        <f>HYPERLINK("https://fin.land.naver.com/articles/2646161648", "매물Link")</f>
        <v/>
      </c>
      <c r="M419" s="5">
        <f>HYPERLINK("https://map.naver.com/p/search/장군면 대교리 326-14", "지도Link")</f>
        <v/>
      </c>
      <c r="N419" s="5">
        <f>HYPERLINK("http://www.eum.go.kr/web/ar/lu/luLandDet.jsp?pnu=3611035023103260014&amp;isNoScr=script&amp;mode=search", "토지이음")</f>
        <v/>
      </c>
      <c r="O419" s="3" t="inlineStr">
        <is>
          <t>Home</t>
        </is>
      </c>
      <c r="P419" s="3" t="n">
        <v>1</v>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102</v>
      </c>
      <c r="K420" s="3" t="inlineStr">
        <is>
          <t>대교리 타운하우스 2층 테라스, 태양열 주택, 저렴한 급매물,가격조정가능</t>
        </is>
      </c>
      <c r="L420" s="5">
        <f>HYPERLINK("https://fin.land.naver.com/articles/2646111707", "매물Link")</f>
        <v/>
      </c>
      <c r="M420" s="5">
        <f>HYPERLINK("https://map.naver.com/p/search/장군면 대교리 326-14", "지도Link")</f>
        <v/>
      </c>
      <c r="N420" s="5">
        <f>HYPERLINK("http://www.eum.go.kr/web/ar/lu/luLandDet.jsp?pnu=3611035023103260014&amp;isNoScr=script&amp;mode=search", "토지이음")</f>
        <v/>
      </c>
      <c r="O420" s="3" t="inlineStr">
        <is>
          <t>고운맘</t>
        </is>
      </c>
      <c r="P420" s="3" t="n">
        <v>1</v>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111</v>
      </c>
      <c r="K421" s="3" t="inlineStr">
        <is>
          <t>세종시 근접 단독 복층 주택,여유로운 전원생활을 누려보세요</t>
        </is>
      </c>
      <c r="L421" s="5">
        <f>HYPERLINK("https://fin.land.naver.com/articles/2649143875", "매물Link")</f>
        <v/>
      </c>
      <c r="M421" s="5">
        <f>HYPERLINK("https://map.naver.com/p/search/장군면 대교리 326-7", "지도Link")</f>
        <v/>
      </c>
      <c r="N421" s="5">
        <f>HYPERLINK("http://www.eum.go.kr/web/ar/lu/luLandDet.jsp?pnu=3611035023103260007&amp;isNoScr=script&amp;mode=search", "토지이음")</f>
        <v/>
      </c>
      <c r="O421" s="3" t="inlineStr">
        <is>
          <t>가치잇는</t>
        </is>
      </c>
      <c r="P421" s="3" t="n">
        <v>2</v>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494</v>
      </c>
      <c r="K422" s="3" t="inlineStr">
        <is>
          <t>세종시장군면월세잘나오는상가주택</t>
        </is>
      </c>
      <c r="L422" s="5">
        <f>HYPERLINK("https://fin.land.naver.com/articles/2644343670", "매물Link")</f>
        <v/>
      </c>
      <c r="M422" s="5">
        <f>HYPERLINK("https://map.naver.com/p/search/장군면 대교리 586-10", "지도Link")</f>
        <v/>
      </c>
      <c r="N422" s="5">
        <f>HYPERLINK("http://www.eum.go.kr/web/ar/lu/luLandDet.jsp?pnu=3611035023105860010&amp;isNoScr=script&amp;mode=search", "토지이음")</f>
        <v/>
      </c>
      <c r="O422" s="3" t="inlineStr">
        <is>
          <t>봉명부자</t>
        </is>
      </c>
      <c r="P422" s="3" t="n">
        <v>1</v>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21</v>
      </c>
      <c r="K423" s="3" t="inlineStr">
        <is>
          <t>세종시 인접지역 (청사5분 공주 등 15분)</t>
        </is>
      </c>
      <c r="L423" s="5">
        <f>HYPERLINK("https://fin.land.naver.com/articles/2649072961", "매물Link")</f>
        <v/>
      </c>
      <c r="M423" s="5">
        <f>HYPERLINK("https://map.naver.com/p/search/장군면 대교리 586-10", "지도Link")</f>
        <v/>
      </c>
      <c r="N423" s="5">
        <f>HYPERLINK("http://www.eum.go.kr/web/ar/lu/luLandDet.jsp?pnu=3611035023105860010&amp;isNoScr=script&amp;mode=search", "토지이음")</f>
        <v/>
      </c>
      <c r="O423" s="3" t="inlineStr">
        <is>
          <t>원조대박</t>
        </is>
      </c>
      <c r="P423" s="3" t="n">
        <v>6</v>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18</v>
      </c>
      <c r="K424" s="3" t="inlineStr">
        <is>
          <t>세종 최저 저렴이 원룸 빌트인장 수납공간 싸게 딱 좋아</t>
        </is>
      </c>
      <c r="L424" s="5">
        <f>HYPERLINK("https://fin.land.naver.com/articles/2646098721", "매물Link")</f>
        <v/>
      </c>
      <c r="M424" s="5">
        <f>HYPERLINK("https://map.naver.com/p/search/장군면 대교리 596-3", "지도Link")</f>
        <v/>
      </c>
      <c r="N424" s="5">
        <f>HYPERLINK("http://www.eum.go.kr/web/ar/lu/luLandDet.jsp?pnu=3611035023105960003&amp;isNoScr=script&amp;mode=search", "토지이음")</f>
        <v/>
      </c>
      <c r="O424" s="3" t="inlineStr">
        <is>
          <t>황제</t>
        </is>
      </c>
      <c r="P424" s="3" t="n">
        <v>1</v>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18</v>
      </c>
      <c r="K425" s="3" t="inlineStr">
        <is>
          <t>세종시 장군면 원룸 월세 풀옵션</t>
        </is>
      </c>
      <c r="L425" s="5">
        <f>HYPERLINK("https://fin.land.naver.com/articles/2649624200", "매물Link")</f>
        <v/>
      </c>
      <c r="M425" s="5">
        <f>HYPERLINK("https://map.naver.com/p/search/장군면 대교리 596-3", "지도Link")</f>
        <v/>
      </c>
      <c r="N425" s="5">
        <f>HYPERLINK("http://www.eum.go.kr/web/ar/lu/luLandDet.jsp?pnu=3611035023105960003&amp;isNoScr=script&amp;mode=search", "토지이음")</f>
        <v/>
      </c>
      <c r="O425" s="3" t="inlineStr">
        <is>
          <t>황금</t>
        </is>
      </c>
      <c r="P425" s="3" t="n">
        <v>1</v>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20</v>
      </c>
      <c r="K426" s="3" t="inlineStr">
        <is>
          <t>000 조용한 원룸 수납최고 000</t>
        </is>
      </c>
      <c r="L426" s="5">
        <f>HYPERLINK("https://fin.land.naver.com/articles/2645529061", "매물Link")</f>
        <v/>
      </c>
      <c r="M426" s="5">
        <f>HYPERLINK("https://map.naver.com/p/search/장군면 대교리 596-3", "지도Link")</f>
        <v/>
      </c>
      <c r="N426" s="5">
        <f>HYPERLINK("http://www.eum.go.kr/web/ar/lu/luLandDet.jsp?pnu=3611035023105960003&amp;isNoScr=script&amp;mode=search", "토지이음")</f>
        <v/>
      </c>
      <c r="O426" s="3" t="inlineStr">
        <is>
          <t>신황제</t>
        </is>
      </c>
      <c r="P426" s="3" t="n">
        <v>1</v>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20</v>
      </c>
      <c r="K427" s="3" t="inlineStr">
        <is>
          <t>000 남향 원룸   000</t>
        </is>
      </c>
      <c r="L427" s="5">
        <f>HYPERLINK("https://fin.land.naver.com/articles/2645533798", "매물Link")</f>
        <v/>
      </c>
      <c r="M427" s="5">
        <f>HYPERLINK("https://map.naver.com/p/search/장군면 대교리 596-3", "지도Link")</f>
        <v/>
      </c>
      <c r="N427" s="5">
        <f>HYPERLINK("http://www.eum.go.kr/web/ar/lu/luLandDet.jsp?pnu=3611035023105960003&amp;isNoScr=script&amp;mode=search", "토지이음")</f>
        <v/>
      </c>
      <c r="O427" s="3" t="inlineStr">
        <is>
          <t>신황제</t>
        </is>
      </c>
      <c r="P427" s="3" t="n">
        <v>1</v>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20</v>
      </c>
      <c r="K428" s="3" t="inlineStr">
        <is>
          <t>000 수납좋은 원룸  000</t>
        </is>
      </c>
      <c r="L428" s="5">
        <f>HYPERLINK("https://fin.land.naver.com/articles/2645530556", "매물Link")</f>
        <v/>
      </c>
      <c r="M428" s="5">
        <f>HYPERLINK("https://map.naver.com/p/search/장군면 대교리 596-3", "지도Link")</f>
        <v/>
      </c>
      <c r="N428" s="5">
        <f>HYPERLINK("http://www.eum.go.kr/web/ar/lu/luLandDet.jsp?pnu=3611035023105960003&amp;isNoScr=script&amp;mode=search", "토지이음")</f>
        <v/>
      </c>
      <c r="O428" s="3" t="inlineStr">
        <is>
          <t>신황제</t>
        </is>
      </c>
      <c r="P428" s="3" t="n">
        <v>1</v>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83</v>
      </c>
      <c r="K429" s="3" t="inlineStr">
        <is>
          <t>세종시내 5분 거리 국사봉마을 전원주택,세컨하우스,토지 투자 적극 추천</t>
        </is>
      </c>
      <c r="L429" s="5">
        <f>HYPERLINK("https://fin.land.naver.com/articles/2650200636", "매물Link")</f>
        <v/>
      </c>
      <c r="M429" s="5">
        <f>HYPERLINK("https://map.naver.com/p/search/장군면 대교리 74-27", "지도Link")</f>
        <v/>
      </c>
      <c r="N429" s="5">
        <f>HYPERLINK("http://www.eum.go.kr/web/ar/lu/luLandDet.jsp?pnu=3611035023100740027&amp;isNoScr=script&amp;mode=search", "토지이음")</f>
        <v/>
      </c>
      <c r="O429" s="3" t="inlineStr">
        <is>
          <t>세종신한</t>
        </is>
      </c>
      <c r="P429" s="3" t="n">
        <v>1</v>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83</v>
      </c>
      <c r="K430" s="3" t="inlineStr">
        <is>
          <t>신도시가 내려다 보이는 국사봉마을 전원주택단지</t>
        </is>
      </c>
      <c r="L430" s="5">
        <f>HYPERLINK("https://fin.land.naver.com/articles/2647792817", "매물Link")</f>
        <v/>
      </c>
      <c r="M430" s="5">
        <f>HYPERLINK("https://map.naver.com/p/search/장군면 대교리 74-27", "지도Link")</f>
        <v/>
      </c>
      <c r="N430" s="5">
        <f>HYPERLINK("http://www.eum.go.kr/web/ar/lu/luLandDet.jsp?pnu=3611035023100740027&amp;isNoScr=script&amp;mode=search", "토지이음")</f>
        <v/>
      </c>
      <c r="O430" s="3" t="inlineStr">
        <is>
          <t>온뜰</t>
        </is>
      </c>
      <c r="P430" s="3" t="n">
        <v>1</v>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631</v>
      </c>
      <c r="K431" s="3" t="inlineStr">
        <is>
          <t>산뷰로 전망좋으며 일조량 좋음,집상태 깨끗함,폴리싱타일거실바닥,붙박이장,</t>
        </is>
      </c>
      <c r="L431" s="5">
        <f>HYPERLINK("https://fin.land.naver.com/articles/2647063786", "매물Link")</f>
        <v/>
      </c>
      <c r="M431" s="5">
        <f>HYPERLINK("https://map.naver.com/p/search/장군면 대교리 74-35", "지도Link")</f>
        <v/>
      </c>
      <c r="N431" s="5">
        <f>HYPERLINK("http://www.eum.go.kr/web/ar/lu/luLandDet.jsp?pnu=3611035023100740035&amp;isNoScr=script&amp;mode=search", "토지이음")</f>
        <v/>
      </c>
      <c r="O431" s="3" t="inlineStr">
        <is>
          <t>담뜰</t>
        </is>
      </c>
      <c r="P431" s="3" t="n">
        <v>1</v>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136</v>
      </c>
      <c r="K432" s="3" t="inlineStr">
        <is>
          <t>nan</t>
        </is>
      </c>
      <c r="L432" s="5">
        <f>HYPERLINK("https://fin.land.naver.com/articles/2649974520", "매물Link")</f>
        <v/>
      </c>
      <c r="M432" s="5">
        <f>HYPERLINK("https://map.naver.com/p/search/장군면 대교리 79-100", "지도Link")</f>
        <v/>
      </c>
      <c r="N432" s="5">
        <f>HYPERLINK("http://www.eum.go.kr/web/ar/lu/luLandDet.jsp?pnu=3611035023100790100&amp;isNoScr=script&amp;mode=search", "토지이음")</f>
        <v/>
      </c>
      <c r="O432" s="3" t="inlineStr">
        <is>
          <t>다정현대</t>
        </is>
      </c>
      <c r="P432" s="3" t="n">
        <v>1</v>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22</v>
      </c>
      <c r="K433" s="3" t="inlineStr">
        <is>
          <t>정부청사15분 편의시설완비 밝고 빌트인 깔끔한 원룸</t>
        </is>
      </c>
      <c r="L433" s="5">
        <f>HYPERLINK("https://fin.land.naver.com/articles/2648953962", "매물Link")</f>
        <v/>
      </c>
      <c r="M433" s="5">
        <f>HYPERLINK("https://map.naver.com/p/search/장군면 도계리 151-1", "지도Link")</f>
        <v/>
      </c>
      <c r="N433" s="5">
        <f>HYPERLINK("http://www.eum.go.kr/web/ar/lu/luLandDet.jsp?pnu=3611035021101510001&amp;isNoScr=script&amp;mode=search", "토지이음")</f>
        <v/>
      </c>
      <c r="O433" s="3" t="inlineStr">
        <is>
          <t>황제</t>
        </is>
      </c>
      <c r="P433" s="3" t="n">
        <v>1</v>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22</v>
      </c>
      <c r="K434" s="3" t="inlineStr">
        <is>
          <t>장군면소재지로 생활 편리</t>
        </is>
      </c>
      <c r="L434" s="5">
        <f>HYPERLINK("https://fin.land.naver.com/articles/2646631225", "매물Link")</f>
        <v/>
      </c>
      <c r="M434" s="5">
        <f>HYPERLINK("https://map.naver.com/p/search/장군면 도계리 151-32", "지도Link")</f>
        <v/>
      </c>
      <c r="N434" s="5">
        <f>HYPERLINK("http://www.eum.go.kr/web/ar/lu/luLandDet.jsp?pnu=3611035021101510032&amp;isNoScr=script&amp;mode=search", "토지이음")</f>
        <v/>
      </c>
      <c r="O434" s="3" t="inlineStr">
        <is>
          <t>새땅</t>
        </is>
      </c>
      <c r="P434" s="3" t="n">
        <v>1</v>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59</v>
      </c>
      <c r="K435" s="3" t="inlineStr">
        <is>
          <t>1층 상가 임대 카센터 밧데리 썬팅업체추천</t>
        </is>
      </c>
      <c r="L435" s="5">
        <f>HYPERLINK("https://fin.land.naver.com/articles/2646910959", "매물Link")</f>
        <v/>
      </c>
      <c r="M435" s="5">
        <f>HYPERLINK("https://map.naver.com/p/search/장군면 도계리 156-17", "지도Link")</f>
        <v/>
      </c>
      <c r="N435" s="5">
        <f>HYPERLINK("http://www.eum.go.kr/web/ar/lu/luLandDet.jsp?pnu=3611035021101560017&amp;isNoScr=script&amp;mode=search", "토지이음")</f>
        <v/>
      </c>
      <c r="O435" s="3" t="inlineStr">
        <is>
          <t>헌또</t>
        </is>
      </c>
      <c r="P435" s="3" t="n">
        <v>1</v>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21</v>
      </c>
      <c r="K436" s="3" t="inlineStr">
        <is>
          <t>장군면 소재지 최고 생활 편리한 위치</t>
        </is>
      </c>
      <c r="L436" s="5">
        <f>HYPERLINK("https://fin.land.naver.com/articles/2646836075", "매물Link")</f>
        <v/>
      </c>
      <c r="M436" s="5">
        <f>HYPERLINK("https://map.naver.com/p/search/장군면 도계리 159", "지도Link")</f>
        <v/>
      </c>
      <c r="N436" s="5">
        <f>HYPERLINK("http://www.eum.go.kr/web/ar/lu/luLandDet.jsp?pnu=3611035021101590000&amp;isNoScr=script&amp;mode=search", "토지이음")</f>
        <v/>
      </c>
      <c r="O436" s="3" t="inlineStr">
        <is>
          <t>새땅</t>
        </is>
      </c>
      <c r="P436" s="3" t="n">
        <v>1</v>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49</v>
      </c>
      <c r="K437" s="3" t="inlineStr">
        <is>
          <t>가성비 짱 투룸 저렴한고 밝은방 면소재지근처 주변편의시설완비 좋아요</t>
        </is>
      </c>
      <c r="L437" s="5">
        <f>HYPERLINK("https://fin.land.naver.com/articles/2648343601", "매물Link")</f>
        <v/>
      </c>
      <c r="M437" s="5">
        <f>HYPERLINK("https://map.naver.com/p/search/장군면 도계리 159-1", "지도Link")</f>
        <v/>
      </c>
      <c r="N437" s="5">
        <f>HYPERLINK("http://www.eum.go.kr/web/ar/lu/luLandDet.jsp?pnu=3611035021101590001&amp;isNoScr=script&amp;mode=search", "토지이음")</f>
        <v/>
      </c>
      <c r="O437" s="3" t="inlineStr">
        <is>
          <t>황제</t>
        </is>
      </c>
      <c r="P437" s="3" t="n">
        <v>1</v>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21</v>
      </c>
      <c r="K438" s="3" t="inlineStr">
        <is>
          <t>세종 공주 등 접근성 양호(각 15분 거리)</t>
        </is>
      </c>
      <c r="L438" s="5">
        <f>HYPERLINK("https://fin.land.naver.com/articles/2646587578", "매물Link")</f>
        <v/>
      </c>
      <c r="M438" s="5">
        <f>HYPERLINK("https://map.naver.com/p/search/장군면 도계리 178-1", "지도Link")</f>
        <v/>
      </c>
      <c r="N438" s="5">
        <f>HYPERLINK("http://www.eum.go.kr/web/ar/lu/luLandDet.jsp?pnu=3611035021101780001&amp;isNoScr=script&amp;mode=search", "토지이음")</f>
        <v/>
      </c>
      <c r="O438" s="3" t="inlineStr">
        <is>
          <t>상상</t>
        </is>
      </c>
      <c r="P438" s="3" t="n">
        <v>2</v>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21</v>
      </c>
      <c r="K439" s="3" t="inlineStr">
        <is>
          <t>장군면 최요지, 세종 시내버스 종점과 인접</t>
        </is>
      </c>
      <c r="L439" s="5">
        <f>HYPERLINK("https://fin.land.naver.com/articles/2646824060", "매물Link")</f>
        <v/>
      </c>
      <c r="M439" s="5">
        <f>HYPERLINK("https://map.naver.com/p/search/장군면 도계리 178-10", "지도Link")</f>
        <v/>
      </c>
      <c r="N439" s="5">
        <f>HYPERLINK("http://www.eum.go.kr/web/ar/lu/luLandDet.jsp?pnu=3611035021101780010&amp;isNoScr=script&amp;mode=search", "토지이음")</f>
        <v/>
      </c>
      <c r="O439" s="3" t="inlineStr">
        <is>
          <t>새땅</t>
        </is>
      </c>
      <c r="P439" s="3" t="n">
        <v>1</v>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315</v>
      </c>
      <c r="K440" s="3" t="inlineStr">
        <is>
          <t>가성비 짱 몸만 들어오면되는방 소액으로 투자하기 좋은집, 수익률좋아요</t>
        </is>
      </c>
      <c r="L440" s="5">
        <f>HYPERLINK("https://fin.land.naver.com/articles/2648356340", "매물Link")</f>
        <v/>
      </c>
      <c r="M440" s="5">
        <f>HYPERLINK("https://map.naver.com/p/search/장군면 도계리 178-4", "지도Link")</f>
        <v/>
      </c>
      <c r="N440" s="5">
        <f>HYPERLINK("http://www.eum.go.kr/web/ar/lu/luLandDet.jsp?pnu=3611035021101780004&amp;isNoScr=script&amp;mode=search", "토지이음")</f>
        <v/>
      </c>
      <c r="O440" s="3" t="inlineStr">
        <is>
          <t>황제</t>
        </is>
      </c>
      <c r="P440" s="3" t="n">
        <v>1</v>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315</v>
      </c>
      <c r="K441" s="3" t="inlineStr">
        <is>
          <t>000 장군면 예약1순위   공실없는 다가구 건물 000</t>
        </is>
      </c>
      <c r="L441" s="5">
        <f>HYPERLINK("https://fin.land.naver.com/articles/2644936568", "매물Link")</f>
        <v/>
      </c>
      <c r="M441" s="5">
        <f>HYPERLINK("https://map.naver.com/p/search/장군면 도계리 178-4", "지도Link")</f>
        <v/>
      </c>
      <c r="N441" s="5">
        <f>HYPERLINK("http://www.eum.go.kr/web/ar/lu/luLandDet.jsp?pnu=3611035021101780004&amp;isNoScr=script&amp;mode=search", "토지이음")</f>
        <v/>
      </c>
      <c r="O441" s="3" t="inlineStr">
        <is>
          <t>신황제</t>
        </is>
      </c>
      <c r="P441" s="3" t="n">
        <v>1</v>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21</v>
      </c>
      <c r="K442" s="3" t="inlineStr">
        <is>
          <t>세종 공주 등 접근성 양호(각 15분 거리)</t>
        </is>
      </c>
      <c r="L442" s="5">
        <f>HYPERLINK("https://fin.land.naver.com/articles/2648079880", "매물Link")</f>
        <v/>
      </c>
      <c r="M442" s="5">
        <f>HYPERLINK("https://map.naver.com/p/search/장군면 도계리 178-9", "지도Link")</f>
        <v/>
      </c>
      <c r="N442" s="5">
        <f>HYPERLINK("http://www.eum.go.kr/web/ar/lu/luLandDet.jsp?pnu=3611035021101780009&amp;isNoScr=script&amp;mode=search", "토지이음")</f>
        <v/>
      </c>
      <c r="O442" s="3" t="inlineStr">
        <is>
          <t>상상</t>
        </is>
      </c>
      <c r="P442" s="3" t="n">
        <v>1</v>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164</v>
      </c>
      <c r="K443" s="3" t="inlineStr">
        <is>
          <t>전망좋은2층집,에어컨5,인덕션,세종시내 접근용이</t>
        </is>
      </c>
      <c r="L443" s="5">
        <f>HYPERLINK("https://fin.land.naver.com/articles/2647289306", "매물Link")</f>
        <v/>
      </c>
      <c r="M443" s="5">
        <f>HYPERLINK("https://map.naver.com/p/search/장군면 도계리 282-14", "지도Link")</f>
        <v/>
      </c>
      <c r="N443" s="5">
        <f>HYPERLINK("http://www.eum.go.kr/web/ar/lu/luLandDet.jsp?pnu=3611035021102820014&amp;isNoScr=script&amp;mode=search", "토지이음")</f>
        <v/>
      </c>
      <c r="O443" s="3" t="inlineStr">
        <is>
          <t>세종나라</t>
        </is>
      </c>
      <c r="P443" s="3" t="n">
        <v>3</v>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196</v>
      </c>
      <c r="K444" s="3" t="inlineStr">
        <is>
          <t>급매,도계리 조망권 뷰 최상의  벙커형 파인빌리지 태양열 전원주택</t>
        </is>
      </c>
      <c r="L444" s="5">
        <f>HYPERLINK("https://fin.land.naver.com/articles/2644213154", "매물Link")</f>
        <v/>
      </c>
      <c r="M444" s="5">
        <f>HYPERLINK("https://map.naver.com/p/search/장군면 도계리 282-31", "지도Link")</f>
        <v/>
      </c>
      <c r="N444" s="5">
        <f>HYPERLINK("http://www.eum.go.kr/web/ar/lu/luLandDet.jsp?pnu=3611035021102820031&amp;isNoScr=script&amp;mode=search", "토지이음")</f>
        <v/>
      </c>
      <c r="O444" s="3" t="inlineStr">
        <is>
          <t>고운맘</t>
        </is>
      </c>
      <c r="P444" s="3" t="n">
        <v>1</v>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196</v>
      </c>
      <c r="K445" s="3" t="inlineStr">
        <is>
          <t>도계리 전원주택 , 조망권 최상</t>
        </is>
      </c>
      <c r="L445" s="5">
        <f>HYPERLINK("https://fin.land.naver.com/articles/2645855899", "매물Link")</f>
        <v/>
      </c>
      <c r="M445" s="5">
        <f>HYPERLINK("https://map.naver.com/p/search/장군면 도계리 282-31", "지도Link")</f>
        <v/>
      </c>
      <c r="N445" s="5">
        <f>HYPERLINK("http://www.eum.go.kr/web/ar/lu/luLandDet.jsp?pnu=3611035021102820031&amp;isNoScr=script&amp;mode=search", "토지이음")</f>
        <v/>
      </c>
      <c r="O445" s="3" t="inlineStr">
        <is>
          <t>THE다온</t>
        </is>
      </c>
      <c r="P445" s="3" t="n">
        <v>1</v>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196</v>
      </c>
      <c r="K446" s="3" t="inlineStr">
        <is>
          <t>nan</t>
        </is>
      </c>
      <c r="L446" s="5">
        <f>HYPERLINK("https://fin.land.naver.com/articles/2648678554", "매물Link")</f>
        <v/>
      </c>
      <c r="M446" s="5">
        <f>HYPERLINK("https://map.naver.com/p/search/장군면 도계리 282-31", "지도Link")</f>
        <v/>
      </c>
      <c r="N446" s="5">
        <f>HYPERLINK("http://www.eum.go.kr/web/ar/lu/luLandDet.jsp?pnu=3611035021102820031&amp;isNoScr=script&amp;mode=search", "토지이음")</f>
        <v/>
      </c>
      <c r="O446" s="3" t="inlineStr">
        <is>
          <t>링크</t>
        </is>
      </c>
      <c r="P446" s="3" t="n">
        <v>1</v>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484</v>
      </c>
      <c r="K447" s="3" t="inlineStr">
        <is>
          <t>세종시 장군면 봉안리 소미길 해오름2동 통매매 매매가적극조율가능</t>
        </is>
      </c>
      <c r="L447" s="5">
        <f>HYPERLINK("https://fin.land.naver.com/articles/2648134545", "매물Link")</f>
        <v/>
      </c>
      <c r="M447" s="5">
        <f>HYPERLINK("https://map.naver.com/p/search/장군면 봉안리 176-14", "지도Link")</f>
        <v/>
      </c>
      <c r="N447" s="5">
        <f>HYPERLINK("http://www.eum.go.kr/web/ar/lu/luLandDet.jsp?pnu=3611035024101760014&amp;isNoScr=script&amp;mode=search", "토지이음")</f>
        <v/>
      </c>
      <c r="O447" s="3" t="inlineStr">
        <is>
          <t>고운하임</t>
        </is>
      </c>
      <c r="P447" s="3" t="n">
        <v>1</v>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22</v>
      </c>
      <c r="K448" s="3" t="inlineStr">
        <is>
          <t>12월초 입주가능 .청사,공주10분,대형 마트 부근 풀옵션 원룸 전세</t>
        </is>
      </c>
      <c r="L448" s="5">
        <f>HYPERLINK("https://fin.land.naver.com/articles/2649556891", "매물Link")</f>
        <v/>
      </c>
      <c r="M448" s="5">
        <f>HYPERLINK("https://map.naver.com/p/search/장군면 봉안리 201-16", "지도Link")</f>
        <v/>
      </c>
      <c r="N448" s="5">
        <f>HYPERLINK("http://www.eum.go.kr/web/ar/lu/luLandDet.jsp?pnu=3611035024102010016&amp;isNoScr=script&amp;mode=search", "토지이음")</f>
        <v/>
      </c>
      <c r="O448" s="3" t="inlineStr">
        <is>
          <t>이지</t>
        </is>
      </c>
      <c r="P448" s="3" t="n">
        <v>1</v>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22</v>
      </c>
      <c r="K449" s="3" t="inlineStr">
        <is>
          <t>승강기있는 면소재지 근처 주변편의 시설완비 환기잘되는 원룸</t>
        </is>
      </c>
      <c r="L449" s="5">
        <f>HYPERLINK("https://fin.land.naver.com/articles/2647273277", "매물Link")</f>
        <v/>
      </c>
      <c r="M449" s="5">
        <f>HYPERLINK("https://map.naver.com/p/search/장군면 봉안리 210-5", "지도Link")</f>
        <v/>
      </c>
      <c r="N449" s="5">
        <f>HYPERLINK("http://www.eum.go.kr/web/ar/lu/luLandDet.jsp?pnu=3611035024102100005&amp;isNoScr=script&amp;mode=search", "토지이음")</f>
        <v/>
      </c>
      <c r="O449" s="3" t="inlineStr">
        <is>
          <t>황제</t>
        </is>
      </c>
      <c r="P449" s="3" t="n">
        <v>1</v>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425</v>
      </c>
      <c r="K450" s="3" t="inlineStr">
        <is>
          <t>엘리베이터, 풀옵션, 관리최상</t>
        </is>
      </c>
      <c r="L450" s="5">
        <f>HYPERLINK("https://fin.land.naver.com/articles/2648622021", "매물Link")</f>
        <v/>
      </c>
      <c r="M450" s="5">
        <f>HYPERLINK("https://map.naver.com/p/search/장군면 봉안리 210-5", "지도Link")</f>
        <v/>
      </c>
      <c r="N450" s="5">
        <f>HYPERLINK("http://www.eum.go.kr/web/ar/lu/luLandDet.jsp?pnu=3611035024102100005&amp;isNoScr=script&amp;mode=search", "토지이음")</f>
        <v/>
      </c>
      <c r="O450" s="3" t="inlineStr">
        <is>
          <t>한뜰금빛</t>
        </is>
      </c>
      <c r="P450" s="3" t="n">
        <v>1</v>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425</v>
      </c>
      <c r="K451" s="3" t="inlineStr">
        <is>
          <t>000 주인세대있는매물 1층상가,엘리베이터가동 000</t>
        </is>
      </c>
      <c r="L451" s="5">
        <f>HYPERLINK("https://fin.land.naver.com/articles/2644936328", "매물Link")</f>
        <v/>
      </c>
      <c r="M451" s="5">
        <f>HYPERLINK("https://map.naver.com/p/search/장군면 봉안리 210-5", "지도Link")</f>
        <v/>
      </c>
      <c r="N451" s="5">
        <f>HYPERLINK("http://www.eum.go.kr/web/ar/lu/luLandDet.jsp?pnu=3611035024102100005&amp;isNoScr=script&amp;mode=search", "토지이음")</f>
        <v/>
      </c>
      <c r="O451" s="3" t="inlineStr">
        <is>
          <t>신황제</t>
        </is>
      </c>
      <c r="P451" s="3" t="n">
        <v>1</v>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47</v>
      </c>
      <c r="K452" s="3" t="inlineStr">
        <is>
          <t>세종시 장군면 풀옵션 투룸</t>
        </is>
      </c>
      <c r="L452" s="5">
        <f>HYPERLINK("https://fin.land.naver.com/articles/2649064181", "매물Link")</f>
        <v/>
      </c>
      <c r="M452" s="5">
        <f>HYPERLINK("https://map.naver.com/p/search/장군면 봉안리 259-4", "지도Link")</f>
        <v/>
      </c>
      <c r="N452" s="5">
        <f>HYPERLINK("http://www.eum.go.kr/web/ar/lu/luLandDet.jsp?pnu=3611035024102590004&amp;isNoScr=script&amp;mode=search", "토지이음")</f>
        <v/>
      </c>
      <c r="O452" s="3" t="inlineStr">
        <is>
          <t>황금</t>
        </is>
      </c>
      <c r="P452" s="3" t="n">
        <v>1</v>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240</v>
      </c>
      <c r="K453" s="3" t="inlineStr">
        <is>
          <t>생명나무, 봉안리 대지200p 벙커주차장. 넓은정원. 정부청사 7분거리</t>
        </is>
      </c>
      <c r="L453" s="5">
        <f>HYPERLINK("https://fin.land.naver.com/articles/2646391149", "매물Link")</f>
        <v/>
      </c>
      <c r="M453" s="5">
        <f>HYPERLINK("https://map.naver.com/p/search/장군면 봉안리 29-17", "지도Link")</f>
        <v/>
      </c>
      <c r="N453" s="5">
        <f>HYPERLINK("http://www.eum.go.kr/web/ar/lu/luLandDet.jsp?pnu=3611035024100290017&amp;isNoScr=script&amp;mode=search", "토지이음")</f>
        <v/>
      </c>
      <c r="O453" s="3" t="inlineStr">
        <is>
          <t>생명나무</t>
        </is>
      </c>
      <c r="P453" s="3" t="n">
        <v>1</v>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28</v>
      </c>
      <c r="K454" s="3" t="inlineStr">
        <is>
          <t>00층간소음 0, 주차 걱정0,수납최고  00</t>
        </is>
      </c>
      <c r="L454" s="5">
        <f>HYPERLINK("https://fin.land.naver.com/articles/2649852207", "매물Link")</f>
        <v/>
      </c>
      <c r="M454" s="5">
        <f>HYPERLINK("https://map.naver.com/p/search/장군면 봉안리 313-2", "지도Link")</f>
        <v/>
      </c>
      <c r="N454" s="5">
        <f>HYPERLINK("http://www.eum.go.kr/web/ar/lu/luLandDet.jsp?pnu=3611035024103130002&amp;isNoScr=script&amp;mode=search", "토지이음")</f>
        <v/>
      </c>
      <c r="O454" s="3" t="inlineStr">
        <is>
          <t>신황제</t>
        </is>
      </c>
      <c r="P454" s="3" t="n">
        <v>1</v>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30</v>
      </c>
      <c r="K455" s="3" t="inlineStr">
        <is>
          <t>봉안리 빌트인 풀옵션 편의시설 최고, 너무살기 좋은 1.5룸 투베이</t>
        </is>
      </c>
      <c r="L455" s="5">
        <f>HYPERLINK("https://fin.land.naver.com/articles/2649923233", "매물Link")</f>
        <v/>
      </c>
      <c r="M455" s="5">
        <f>HYPERLINK("https://map.naver.com/p/search/장군면 봉안리 313-2", "지도Link")</f>
        <v/>
      </c>
      <c r="N455" s="5">
        <f>HYPERLINK("http://www.eum.go.kr/web/ar/lu/luLandDet.jsp?pnu=3611035024103130002&amp;isNoScr=script&amp;mode=search", "토지이음")</f>
        <v/>
      </c>
      <c r="O455" s="3" t="inlineStr">
        <is>
          <t>황제</t>
        </is>
      </c>
      <c r="P455" s="3" t="n">
        <v>1</v>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23</v>
      </c>
      <c r="K456" s="3" t="inlineStr">
        <is>
          <t>정남향방 내국인전용 세종청사10분고운동,종촌동7분 옵션 좋은 원룸</t>
        </is>
      </c>
      <c r="L456" s="5">
        <f>HYPERLINK("https://fin.land.naver.com/articles/2648083725", "매물Link")</f>
        <v/>
      </c>
      <c r="M456" s="5">
        <f>HYPERLINK("https://map.naver.com/p/search/장군면 봉안리 315-1", "지도Link")</f>
        <v/>
      </c>
      <c r="N456" s="5">
        <f>HYPERLINK("http://www.eum.go.kr/web/ar/lu/luLandDet.jsp?pnu=3611035024103150001&amp;isNoScr=script&amp;mode=search", "토지이음")</f>
        <v/>
      </c>
      <c r="O456" s="3" t="inlineStr">
        <is>
          <t>황제</t>
        </is>
      </c>
      <c r="P456" s="3" t="n">
        <v>1</v>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22</v>
      </c>
      <c r="K457" s="3" t="inlineStr">
        <is>
          <t>내국인전용 세종청사10분고운동,종촌동7분 옵션 좋은 원룸</t>
        </is>
      </c>
      <c r="L457" s="5">
        <f>HYPERLINK("https://fin.land.naver.com/articles/2648279607", "매물Link")</f>
        <v/>
      </c>
      <c r="M457" s="5">
        <f>HYPERLINK("https://map.naver.com/p/search/장군면 봉안리 315-11", "지도Link")</f>
        <v/>
      </c>
      <c r="N457" s="5">
        <f>HYPERLINK("http://www.eum.go.kr/web/ar/lu/luLandDet.jsp?pnu=3611035024103150011&amp;isNoScr=script&amp;mode=search", "토지이음")</f>
        <v/>
      </c>
      <c r="O457" s="3" t="inlineStr">
        <is>
          <t>황제</t>
        </is>
      </c>
      <c r="P457" s="3" t="n">
        <v>1</v>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20</v>
      </c>
      <c r="K458" s="3" t="inlineStr">
        <is>
          <t>000   내국인전용타운 원룸 000</t>
        </is>
      </c>
      <c r="L458" s="5">
        <f>HYPERLINK("https://fin.land.naver.com/articles/2648264195", "매물Link")</f>
        <v/>
      </c>
      <c r="M458" s="5">
        <f>HYPERLINK("https://map.naver.com/p/search/장군면 봉안리 315-11", "지도Link")</f>
        <v/>
      </c>
      <c r="N458" s="5">
        <f>HYPERLINK("http://www.eum.go.kr/web/ar/lu/luLandDet.jsp?pnu=3611035024103150011&amp;isNoScr=script&amp;mode=search", "토지이음")</f>
        <v/>
      </c>
      <c r="O458" s="3" t="inlineStr">
        <is>
          <t>신황제</t>
        </is>
      </c>
      <c r="P458" s="3" t="n">
        <v>1</v>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24</v>
      </c>
      <c r="K459" s="3" t="inlineStr">
        <is>
          <t>버스정류장앞근처 .청사,공주 10분거리 넓은 방 분리형 대형원룸</t>
        </is>
      </c>
      <c r="L459" s="5">
        <f>HYPERLINK("https://fin.land.naver.com/articles/2648771230", "매물Link")</f>
        <v/>
      </c>
      <c r="M459" s="5">
        <f>HYPERLINK("https://map.naver.com/p/search/장군면 봉안리 318-3", "지도Link")</f>
        <v/>
      </c>
      <c r="N459" s="5">
        <f>HYPERLINK("http://www.eum.go.kr/web/ar/lu/luLandDet.jsp?pnu=3611035024103180003&amp;isNoScr=script&amp;mode=search", "토지이음")</f>
        <v/>
      </c>
      <c r="O459" s="3" t="inlineStr">
        <is>
          <t>황제</t>
        </is>
      </c>
      <c r="P459" s="3" t="n">
        <v>1</v>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20</v>
      </c>
      <c r="K460" s="3" t="inlineStr">
        <is>
          <t>000층간소음 0,분리형 원룸  청사,공주인접 000</t>
        </is>
      </c>
      <c r="L460" s="5">
        <f>HYPERLINK("https://fin.land.naver.com/articles/2649407897", "매물Link")</f>
        <v/>
      </c>
      <c r="M460" s="5">
        <f>HYPERLINK("https://map.naver.com/p/search/장군면 봉안리 318-3", "지도Link")</f>
        <v/>
      </c>
      <c r="N460" s="5">
        <f>HYPERLINK("http://www.eum.go.kr/web/ar/lu/luLandDet.jsp?pnu=3611035024103180003&amp;isNoScr=script&amp;mode=search", "토지이음")</f>
        <v/>
      </c>
      <c r="O460" s="3" t="inlineStr">
        <is>
          <t>신황제</t>
        </is>
      </c>
      <c r="P460" s="3" t="n">
        <v>1</v>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38</v>
      </c>
      <c r="K461" s="3" t="inlineStr">
        <is>
          <t>큰길가, 도로변,대중교통 이용 편리한 깔끔 복층 투룸 반전세</t>
        </is>
      </c>
      <c r="L461" s="5">
        <f>HYPERLINK("https://fin.land.naver.com/articles/2648384642", "매물Link")</f>
        <v/>
      </c>
      <c r="M461" s="5">
        <f>HYPERLINK("https://map.naver.com/p/search/장군면 봉안리 327-1", "지도Link")</f>
        <v/>
      </c>
      <c r="N461" s="5">
        <f>HYPERLINK("http://www.eum.go.kr/web/ar/lu/luLandDet.jsp?pnu=3611035024103270001&amp;isNoScr=script&amp;mode=search", "토지이음")</f>
        <v/>
      </c>
      <c r="O461" s="3" t="inlineStr">
        <is>
          <t>이지</t>
        </is>
      </c>
      <c r="P461" s="3" t="n">
        <v>1</v>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38</v>
      </c>
      <c r="K462" s="3" t="inlineStr">
        <is>
          <t>새롬동,나성동10분 , 도로변, 깔끔 복층 투룸 전세</t>
        </is>
      </c>
      <c r="L462" s="5">
        <f>HYPERLINK("https://fin.land.naver.com/articles/2650043197", "매물Link")</f>
        <v/>
      </c>
      <c r="M462" s="5">
        <f>HYPERLINK("https://map.naver.com/p/search/장군면 봉안리 327-1", "지도Link")</f>
        <v/>
      </c>
      <c r="N462" s="5">
        <f>HYPERLINK("http://www.eum.go.kr/web/ar/lu/luLandDet.jsp?pnu=3611035024103270001&amp;isNoScr=script&amp;mode=search", "토지이음")</f>
        <v/>
      </c>
      <c r="O462" s="3" t="inlineStr">
        <is>
          <t>이지</t>
        </is>
      </c>
      <c r="P462" s="3" t="n">
        <v>1</v>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20</v>
      </c>
      <c r="K463" s="3" t="inlineStr">
        <is>
          <t>000  단기가능 분리형 원룸 000</t>
        </is>
      </c>
      <c r="L463" s="5">
        <f>HYPERLINK("https://fin.land.naver.com/articles/2649310172", "매물Link")</f>
        <v/>
      </c>
      <c r="M463" s="5">
        <f>HYPERLINK("https://map.naver.com/p/search/장군면 봉안리 342-1", "지도Link")</f>
        <v/>
      </c>
      <c r="N463" s="5">
        <f>HYPERLINK("http://www.eum.go.kr/web/ar/lu/luLandDet.jsp?pnu=3611035024103420001&amp;isNoScr=script&amp;mode=search", "토지이음")</f>
        <v/>
      </c>
      <c r="O463" s="3" t="inlineStr">
        <is>
          <t>신황제</t>
        </is>
      </c>
      <c r="P463" s="3" t="n">
        <v>1</v>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20</v>
      </c>
      <c r="K464" s="3" t="inlineStr">
        <is>
          <t>000 단기가능 버스 승강장 앞 분리형 원룸입니다 000</t>
        </is>
      </c>
      <c r="L464" s="5">
        <f>HYPERLINK("https://fin.land.naver.com/articles/2649031178", "매물Link")</f>
        <v/>
      </c>
      <c r="M464" s="5">
        <f>HYPERLINK("https://map.naver.com/p/search/장군면 봉안리 342-8", "지도Link")</f>
        <v/>
      </c>
      <c r="N464" s="5">
        <f>HYPERLINK("http://www.eum.go.kr/web/ar/lu/luLandDet.jsp?pnu=3611035024103420008&amp;isNoScr=script&amp;mode=search", "토지이음")</f>
        <v/>
      </c>
      <c r="O464" s="3" t="inlineStr">
        <is>
          <t>신황제</t>
        </is>
      </c>
      <c r="P464" s="3" t="n">
        <v>1</v>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22</v>
      </c>
      <c r="K465" s="3" t="inlineStr">
        <is>
          <t>버스 정류장앞 분리형 풀옵션원룸 세종청사,과기부 10분거리</t>
        </is>
      </c>
      <c r="L465" s="5">
        <f>HYPERLINK("https://fin.land.naver.com/articles/2649025826", "매물Link")</f>
        <v/>
      </c>
      <c r="M465" s="5">
        <f>HYPERLINK("https://map.naver.com/p/search/장군면 봉안리 342-8", "지도Link")</f>
        <v/>
      </c>
      <c r="N465" s="5">
        <f>HYPERLINK("http://www.eum.go.kr/web/ar/lu/luLandDet.jsp?pnu=3611035024103420008&amp;isNoScr=script&amp;mode=search", "토지이음")</f>
        <v/>
      </c>
      <c r="O465" s="3" t="inlineStr">
        <is>
          <t>황제</t>
        </is>
      </c>
      <c r="P465" s="3" t="n">
        <v>1</v>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326</v>
      </c>
      <c r="K466" s="3" t="inlineStr">
        <is>
          <t>가성비 짱 몸만 들어오면되는방 소액으로 투자하기 좋은집, 수익률좋아요</t>
        </is>
      </c>
      <c r="L466" s="5">
        <f>HYPERLINK("https://fin.land.naver.com/articles/2648363321", "매물Link")</f>
        <v/>
      </c>
      <c r="M466" s="5">
        <f>HYPERLINK("https://map.naver.com/p/search/장군면 봉안리 342-8", "지도Link")</f>
        <v/>
      </c>
      <c r="N466" s="5">
        <f>HYPERLINK("http://www.eum.go.kr/web/ar/lu/luLandDet.jsp?pnu=3611035024103420008&amp;isNoScr=script&amp;mode=search", "토지이음")</f>
        <v/>
      </c>
      <c r="O466" s="3" t="inlineStr">
        <is>
          <t>황제</t>
        </is>
      </c>
      <c r="P466" s="3" t="n">
        <v>1</v>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20</v>
      </c>
      <c r="K467" s="3" t="inlineStr">
        <is>
          <t>nan</t>
        </is>
      </c>
      <c r="L467" s="5">
        <f>HYPERLINK("https://fin.land.naver.com/articles/2649665684", "매물Link")</f>
        <v/>
      </c>
      <c r="M467" s="5">
        <f>HYPERLINK("https://map.naver.com/p/search/장군면 봉안리 342-8", "지도Link")</f>
        <v/>
      </c>
      <c r="N467" s="5">
        <f>HYPERLINK("http://www.eum.go.kr/web/ar/lu/luLandDet.jsp?pnu=3611035024103420008&amp;isNoScr=script&amp;mode=search", "토지이음")</f>
        <v/>
      </c>
      <c r="O467" s="3" t="inlineStr">
        <is>
          <t>신황제</t>
        </is>
      </c>
      <c r="P467" s="3" t="n">
        <v>1</v>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20</v>
      </c>
      <c r="K468" s="3" t="inlineStr">
        <is>
          <t>000 아주착한 임대료 냉난방 최고,버스승강장 앞 원룸000</t>
        </is>
      </c>
      <c r="L468" s="5">
        <f>HYPERLINK("https://fin.land.naver.com/articles/2644894645", "매물Link")</f>
        <v/>
      </c>
      <c r="M468" s="5">
        <f>HYPERLINK("https://map.naver.com/p/search/장군면 봉안리 439-1", "지도Link")</f>
        <v/>
      </c>
      <c r="N468" s="5">
        <f>HYPERLINK("http://www.eum.go.kr/web/ar/lu/luLandDet.jsp?pnu=3611035024104390001&amp;isNoScr=script&amp;mode=search", "토지이음")</f>
        <v/>
      </c>
      <c r="O468" s="3" t="inlineStr">
        <is>
          <t>신황제</t>
        </is>
      </c>
      <c r="P468" s="3" t="n">
        <v>1</v>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301</v>
      </c>
      <c r="K469" s="3" t="inlineStr">
        <is>
          <t>장군면 봉안리 도로변 다가구 주택</t>
        </is>
      </c>
      <c r="L469" s="5">
        <f>HYPERLINK("https://fin.land.naver.com/articles/2645840261", "매물Link")</f>
        <v/>
      </c>
      <c r="M469" s="5">
        <f>HYPERLINK("https://map.naver.com/p/search/장군면 봉안리 439-12", "지도Link")</f>
        <v/>
      </c>
      <c r="N469" s="5">
        <f>HYPERLINK("http://www.eum.go.kr/web/ar/lu/luLandDet.jsp?pnu=3611035024104390012&amp;isNoScr=script&amp;mode=search", "토지이음")</f>
        <v/>
      </c>
      <c r="O469" s="3" t="inlineStr">
        <is>
          <t>세종천지</t>
        </is>
      </c>
      <c r="P469" s="3" t="n">
        <v>1</v>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48</v>
      </c>
      <c r="K470" s="3" t="inlineStr">
        <is>
          <t>세종시 장군면 투룸 월세 풀옵션</t>
        </is>
      </c>
      <c r="L470" s="5">
        <f>HYPERLINK("https://fin.land.naver.com/articles/2649614436", "매물Link")</f>
        <v/>
      </c>
      <c r="M470" s="5">
        <f>HYPERLINK("https://map.naver.com/p/search/장군면 봉안리 439-8", "지도Link")</f>
        <v/>
      </c>
      <c r="N470" s="5">
        <f>HYPERLINK("http://www.eum.go.kr/web/ar/lu/luLandDet.jsp?pnu=3611035024104390008&amp;isNoScr=script&amp;mode=search", "토지이음")</f>
        <v/>
      </c>
      <c r="O470" s="3" t="inlineStr">
        <is>
          <t>황금</t>
        </is>
      </c>
      <c r="P470" s="3" t="n">
        <v>1</v>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95</v>
      </c>
      <c r="K471" s="3" t="inlineStr">
        <is>
          <t>H해온H 급매, 세종시 장군면 조용한 전원생활 최적지, 차고, 텃밭,</t>
        </is>
      </c>
      <c r="L471" s="5">
        <f>HYPERLINK("https://fin.land.naver.com/articles/2649766860", "매물Link")</f>
        <v/>
      </c>
      <c r="M471" s="5">
        <f>HYPERLINK("https://map.naver.com/p/search/장군면 송문리 356", "지도Link")</f>
        <v/>
      </c>
      <c r="N471" s="5">
        <f>HYPERLINK("http://www.eum.go.kr/web/ar/lu/luLandDet.jsp?pnu=3611035029103560000&amp;isNoScr=script&amp;mode=search", "토지이음")</f>
        <v/>
      </c>
      <c r="O471" s="3" t="inlineStr">
        <is>
          <t>세종해온</t>
        </is>
      </c>
      <c r="P471" s="3" t="n">
        <v>2</v>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97</v>
      </c>
      <c r="K472" s="3" t="inlineStr">
        <is>
          <t>정남향 조용하고 쾌적한 단독 주택 매매</t>
        </is>
      </c>
      <c r="L472" s="5">
        <f>HYPERLINK("https://fin.land.naver.com/articles/2646109667", "매물Link")</f>
        <v/>
      </c>
      <c r="M472" s="5">
        <f>HYPERLINK("https://map.naver.com/p/search/장군면 용암리 390-1", "지도Link")</f>
        <v/>
      </c>
      <c r="N472" s="5">
        <f>HYPERLINK("http://www.eum.go.kr/web/ar/lu/luLandDet.jsp?pnu=3611035033103900001&amp;isNoScr=script&amp;mode=search", "토지이음")</f>
        <v/>
      </c>
      <c r="O472" s="3" t="inlineStr">
        <is>
          <t>THE행복</t>
        </is>
      </c>
      <c r="P472" s="3" t="n">
        <v>1</v>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97</v>
      </c>
      <c r="K473" s="3" t="inlineStr">
        <is>
          <t>조용히 전원생활 최적지,조망 트임,송선동택지개발지구 아주 근접</t>
        </is>
      </c>
      <c r="L473" s="5">
        <f>HYPERLINK("https://fin.land.naver.com/articles/2648100099", "매물Link")</f>
        <v/>
      </c>
      <c r="M473" s="5">
        <f>HYPERLINK("https://map.naver.com/p/search/장군면 용암리 390-1", "지도Link")</f>
        <v/>
      </c>
      <c r="N473" s="5">
        <f>HYPERLINK("http://www.eum.go.kr/web/ar/lu/luLandDet.jsp?pnu=3611035033103900001&amp;isNoScr=script&amp;mode=search", "토지이음")</f>
        <v/>
      </c>
      <c r="O473" s="3" t="inlineStr">
        <is>
          <t>세종공주제일</t>
        </is>
      </c>
      <c r="P473" s="3" t="n">
        <v>1</v>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53</v>
      </c>
      <c r="K474" s="3" t="inlineStr">
        <is>
          <t>nan</t>
        </is>
      </c>
      <c r="L474" s="5">
        <f>HYPERLINK("https://fin.land.naver.com/articles/2645365848", "매물Link")</f>
        <v/>
      </c>
      <c r="M474" s="5">
        <f>HYPERLINK("https://map.naver.com/p/search/장군면 태산리 59-1", "지도Link")</f>
        <v/>
      </c>
      <c r="N474" s="5">
        <f>HYPERLINK("http://www.eum.go.kr/web/ar/lu/luLandDet.jsp?pnu=3611035034100590001&amp;isNoScr=script&amp;mode=search", "토지이음")</f>
        <v/>
      </c>
      <c r="O474" s="3" t="inlineStr">
        <is>
          <t>세종한울</t>
        </is>
      </c>
      <c r="P474" s="3" t="n">
        <v>1</v>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98</v>
      </c>
      <c r="K475" s="3" t="inlineStr">
        <is>
          <t>계획관리 자연취락지구, 싱크대 교체해주는 조건, 저온창고 있음</t>
        </is>
      </c>
      <c r="L475" s="5">
        <f>HYPERLINK("https://fin.land.naver.com/articles/2649975080", "매물Link")</f>
        <v/>
      </c>
      <c r="M475" s="5">
        <f>HYPERLINK("https://map.naver.com/p/search/장군면 평기리 169-5", "지도Link")</f>
        <v/>
      </c>
      <c r="N475" s="5">
        <f>HYPERLINK("http://www.eum.go.kr/web/ar/lu/luLandDet.jsp?pnu=3611035022101690005&amp;isNoScr=script&amp;mode=search", "토지이음")</f>
        <v/>
      </c>
      <c r="O475" s="3" t="inlineStr">
        <is>
          <t>온뜰</t>
        </is>
      </c>
      <c r="P475" s="3" t="n">
        <v>4</v>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60</v>
      </c>
      <c r="K476" s="3" t="inlineStr">
        <is>
          <t>평기길 후면 시에서 관리하는 포장도로에 접한 자연취락지구 농가주택</t>
        </is>
      </c>
      <c r="L476" s="5">
        <f>HYPERLINK("https://fin.land.naver.com/articles/2649693081", "매물Link")</f>
        <v/>
      </c>
      <c r="M476" s="5">
        <f>HYPERLINK("https://map.naver.com/p/search/장군면 평기리 175-4", "지도Link")</f>
        <v/>
      </c>
      <c r="N476" s="5">
        <f>HYPERLINK("http://www.eum.go.kr/web/ar/lu/luLandDet.jsp?pnu=3611035022101750004&amp;isNoScr=script&amp;mode=search", "토지이음")</f>
        <v/>
      </c>
      <c r="O476" s="3" t="inlineStr">
        <is>
          <t>온뜰</t>
        </is>
      </c>
      <c r="P476" s="3" t="n">
        <v>1</v>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49</v>
      </c>
      <c r="K477" s="3" t="inlineStr">
        <is>
          <t>리모델링완료,세종버스정류장도보 5분거리,앞뒤 넓은 정원 깨끗한 스몰하우스</t>
        </is>
      </c>
      <c r="L477" s="5">
        <f>HYPERLINK("https://fin.land.naver.com/articles/2647162267", "매물Link")</f>
        <v/>
      </c>
      <c r="M477" s="5">
        <f>HYPERLINK("https://map.naver.com/p/search/장군면 평기리 229", "지도Link")</f>
        <v/>
      </c>
      <c r="N477" s="5">
        <f>HYPERLINK("http://www.eum.go.kr/web/ar/lu/luLandDet.jsp?pnu=3611035022102290000&amp;isNoScr=script&amp;mode=search", "토지이음")</f>
        <v/>
      </c>
      <c r="O477" s="3" t="inlineStr">
        <is>
          <t>짱</t>
        </is>
      </c>
      <c r="P477" s="3" t="n">
        <v>1</v>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371</v>
      </c>
      <c r="K478" s="3" t="inlineStr">
        <is>
          <t>급매 장군면에 위치한 수익률 높은 다가구 주택 급매물입니다</t>
        </is>
      </c>
      <c r="L478" s="5">
        <f>HYPERLINK("https://fin.land.naver.com/articles/2644900202", "매물Link")</f>
        <v/>
      </c>
      <c r="M478" s="5">
        <f>HYPERLINK("https://map.naver.com/p/search/장군면 하봉리 37-88", "지도Link")</f>
        <v/>
      </c>
      <c r="N478" s="5">
        <f>HYPERLINK("http://www.eum.go.kr/web/ar/lu/luLandDet.jsp?pnu=3611035026100370088&amp;isNoScr=script&amp;mode=search", "토지이음")</f>
        <v/>
      </c>
      <c r="O478" s="3" t="inlineStr">
        <is>
          <t>스마일세종</t>
        </is>
      </c>
      <c r="P478" s="3" t="n">
        <v>1</v>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25</v>
      </c>
      <c r="K479" s="3" t="inlineStr">
        <is>
          <t>세종시 장군면 풀옵션 원룸</t>
        </is>
      </c>
      <c r="L479" s="5">
        <f>HYPERLINK("https://fin.land.naver.com/articles/2647165531", "매물Link")</f>
        <v/>
      </c>
      <c r="M479" s="5">
        <f>HYPERLINK("https://map.naver.com/p/search/장군면 하봉리 37-88", "지도Link")</f>
        <v/>
      </c>
      <c r="N479" s="5">
        <f>HYPERLINK("http://www.eum.go.kr/web/ar/lu/luLandDet.jsp?pnu=3611035026100370088&amp;isNoScr=script&amp;mode=search", "토지이음")</f>
        <v/>
      </c>
      <c r="O479" s="3" t="inlineStr">
        <is>
          <t>황금</t>
        </is>
      </c>
      <c r="P479" s="3" t="n">
        <v>1</v>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199</v>
      </c>
      <c r="K480" s="3" t="inlineStr">
        <is>
          <t>유럽식목조기와주택,2층 계곡인접한 전원 단독주택</t>
        </is>
      </c>
      <c r="L480" s="5">
        <f>HYPERLINK("https://fin.land.naver.com/articles/2644444547", "매물Link")</f>
        <v/>
      </c>
      <c r="M480" s="5">
        <f>HYPERLINK("https://map.naver.com/p/search/전동면 미곡리 59", "지도Link")</f>
        <v/>
      </c>
      <c r="N480" s="5">
        <f>HYPERLINK("http://www.eum.go.kr/web/ar/lu/luLandDet.jsp?pnu=3611038029100590000&amp;isNoScr=script&amp;mode=search", "토지이음")</f>
        <v/>
      </c>
      <c r="O480" s="3" t="inlineStr">
        <is>
          <t>세종대박</t>
        </is>
      </c>
      <c r="P480" s="3" t="n">
        <v>1</v>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199</v>
      </c>
      <c r="K481" s="3" t="inlineStr">
        <is>
          <t>공기좋은 계곡인접한 유럽식 목조 전원주택과 텃밭</t>
        </is>
      </c>
      <c r="L481" s="5">
        <f>HYPERLINK("https://fin.land.naver.com/articles/2648580997", "매물Link")</f>
        <v/>
      </c>
      <c r="M481" s="5">
        <f>HYPERLINK("https://map.naver.com/p/search/전동면 미곡리 59", "지도Link")</f>
        <v/>
      </c>
      <c r="N481" s="5">
        <f>HYPERLINK("http://www.eum.go.kr/web/ar/lu/luLandDet.jsp?pnu=3611038029100590000&amp;isNoScr=script&amp;mode=search", "토지이음")</f>
        <v/>
      </c>
      <c r="O481" s="3" t="inlineStr">
        <is>
          <t>대한민국</t>
        </is>
      </c>
      <c r="P481" s="3" t="n">
        <v>2</v>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181</v>
      </c>
      <c r="K482" s="3" t="inlineStr">
        <is>
          <t>신축전원주택2층,방4,욕실3,2층테라스 썬룸시공,에어컨,시스템공기청정기</t>
        </is>
      </c>
      <c r="L482" s="5">
        <f>HYPERLINK("https://fin.land.naver.com/articles/2644429686", "매물Link")</f>
        <v/>
      </c>
      <c r="M482" s="5">
        <f>HYPERLINK("https://map.naver.com/p/search/전동면 보덕리 178-8", "지도Link")</f>
        <v/>
      </c>
      <c r="N482" s="5">
        <f>HYPERLINK("http://www.eum.go.kr/web/ar/lu/luLandDet.jsp?pnu=3611038025101780008&amp;isNoScr=script&amp;mode=search", "토지이음")</f>
        <v/>
      </c>
      <c r="O482" s="3" t="inlineStr">
        <is>
          <t>신안무소</t>
        </is>
      </c>
      <c r="P482" s="3" t="n">
        <v>1</v>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115</v>
      </c>
      <c r="K483" s="3" t="inlineStr">
        <is>
          <t>조망좋고 공기좋은 송정리 전원주택 급매매</t>
        </is>
      </c>
      <c r="L483" s="5">
        <f>HYPERLINK("https://fin.land.naver.com/articles/2648544648", "매물Link")</f>
        <v/>
      </c>
      <c r="M483" s="5">
        <f>HYPERLINK("https://map.naver.com/p/search/전동면 송정리 171-1", "지도Link")</f>
        <v/>
      </c>
      <c r="N483" s="5">
        <f>HYPERLINK("http://www.eum.go.kr/web/ar/lu/luLandDet.jsp?pnu=3611038027101710001&amp;isNoScr=script&amp;mode=search", "토지이음")</f>
        <v/>
      </c>
      <c r="O483" s="3" t="inlineStr">
        <is>
          <t>에이스</t>
        </is>
      </c>
      <c r="P483" s="3" t="n">
        <v>1</v>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115</v>
      </c>
      <c r="K484" s="3" t="inlineStr">
        <is>
          <t>청람리 마을내 전원주택같은 마당넓은 단독주택매매</t>
        </is>
      </c>
      <c r="L484" s="5">
        <f>HYPERLINK("https://fin.land.naver.com/articles/2648545185", "매물Link")</f>
        <v/>
      </c>
      <c r="M484" s="5">
        <f>HYPERLINK("https://map.naver.com/p/search/전동면 청람리 247-1", "지도Link")</f>
        <v/>
      </c>
      <c r="N484" s="5">
        <f>HYPERLINK("http://www.eum.go.kr/web/ar/lu/luLandDet.jsp?pnu=3611038028102470001&amp;isNoScr=script&amp;mode=search", "토지이음")</f>
        <v/>
      </c>
      <c r="O484" s="3" t="inlineStr">
        <is>
          <t>에이스</t>
        </is>
      </c>
      <c r="P484" s="3" t="n">
        <v>1</v>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85</v>
      </c>
      <c r="K485" s="3" t="inlineStr">
        <is>
          <t>전의역 부근, 원룸부지로 추천합니다.</t>
        </is>
      </c>
      <c r="L485" s="5">
        <f>HYPERLINK("https://fin.land.naver.com/articles/2648845245", "매물Link")</f>
        <v/>
      </c>
      <c r="M485" s="5">
        <f>HYPERLINK("https://map.naver.com/p/search/전의면 읍내리 207-3", "지도Link")</f>
        <v/>
      </c>
      <c r="N485" s="5">
        <f>HYPERLINK("http://www.eum.go.kr/web/ar/lu/luLandDet.jsp?pnu=3611037021102070003&amp;isNoScr=script&amp;mode=search", "토지이음")</f>
        <v/>
      </c>
      <c r="O485" s="3" t="inlineStr">
        <is>
          <t>으뜸</t>
        </is>
      </c>
      <c r="P485" s="3" t="n">
        <v>1</v>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81</v>
      </c>
      <c r="K486" s="3" t="inlineStr">
        <is>
          <t>전의역 도보10분 단독주택</t>
        </is>
      </c>
      <c r="L486" s="5">
        <f>HYPERLINK("https://fin.land.naver.com/articles/2649428843", "매물Link")</f>
        <v/>
      </c>
      <c r="M486" s="5">
        <f>HYPERLINK("https://map.naver.com/p/search/전의면 읍내리 63-2", "지도Link")</f>
        <v/>
      </c>
      <c r="N486" s="5">
        <f>HYPERLINK("http://www.eum.go.kr/web/ar/lu/luLandDet.jsp?pnu=3611037021100630002&amp;isNoScr=script&amp;mode=search", "토지이음")</f>
        <v/>
      </c>
      <c r="O486" s="3" t="inlineStr">
        <is>
          <t>황금</t>
        </is>
      </c>
      <c r="P486" s="3" t="n">
        <v>1</v>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616</v>
      </c>
      <c r="K487" s="3" t="inlineStr">
        <is>
          <t>nan</t>
        </is>
      </c>
      <c r="L487" s="5">
        <f>HYPERLINK("https://fin.land.naver.com/articles/2644717952", "매물Link")</f>
        <v/>
      </c>
      <c r="M487" s="5">
        <f>HYPERLINK("https://map.naver.com/p/search/조치원읍 교리 11-6", "지도Link")</f>
        <v/>
      </c>
      <c r="N487" s="5">
        <f>HYPERLINK("http://www.eum.go.kr/web/ar/lu/luLandDet.jsp?pnu=3611025024100110006&amp;isNoScr=script&amp;mode=search", "토지이음")</f>
        <v/>
      </c>
      <c r="O487" s="3" t="inlineStr">
        <is>
          <t>효자</t>
        </is>
      </c>
      <c r="P487" s="3" t="n">
        <v>1</v>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616</v>
      </c>
      <c r="K488" s="3" t="inlineStr">
        <is>
          <t>상가주택, 2가구, 상가임대1, 가격조정가능, 주차가능</t>
        </is>
      </c>
      <c r="L488" s="5">
        <f>HYPERLINK("https://fin.land.naver.com/articles/2644864006", "매물Link")</f>
        <v/>
      </c>
      <c r="M488" s="5">
        <f>HYPERLINK("https://map.naver.com/p/search/조치원읍 교리 11-6", "지도Link")</f>
        <v/>
      </c>
      <c r="N488" s="5">
        <f>HYPERLINK("http://www.eum.go.kr/web/ar/lu/luLandDet.jsp?pnu=3611025024100110006&amp;isNoScr=script&amp;mode=search", "토지이음")</f>
        <v/>
      </c>
      <c r="O488" s="3" t="inlineStr">
        <is>
          <t>엄마와딸</t>
        </is>
      </c>
      <c r="P488" s="3" t="n">
        <v>1</v>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67</v>
      </c>
      <c r="K489" s="3" t="inlineStr">
        <is>
          <t>기업은행 바로 뒷편,구옥2채 매매 입니다.</t>
        </is>
      </c>
      <c r="L489" s="5">
        <f>HYPERLINK("https://fin.land.naver.com/articles/2647876689", "매물Link")</f>
        <v/>
      </c>
      <c r="M489" s="5">
        <f>HYPERLINK("https://map.naver.com/p/search/조치원읍 교리 16-5", "지도Link")</f>
        <v/>
      </c>
      <c r="N489" s="5">
        <f>HYPERLINK("http://www.eum.go.kr/web/ar/lu/luLandDet.jsp?pnu=3611025024100160005&amp;isNoScr=script&amp;mode=search", "토지이음")</f>
        <v/>
      </c>
      <c r="O489" s="3" t="inlineStr">
        <is>
          <t>이음 사무소</t>
        </is>
      </c>
      <c r="P489" s="3" t="n">
        <v>2</v>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20</v>
      </c>
      <c r="K490" s="3" t="inlineStr">
        <is>
          <t>교리 원룸 저렴 세종등기소인근 풀옵션유</t>
        </is>
      </c>
      <c r="L490" s="5">
        <f>HYPERLINK("https://fin.land.naver.com/articles/2647587687", "매물Link")</f>
        <v/>
      </c>
      <c r="M490" s="5">
        <f>HYPERLINK("https://map.naver.com/p/search/조치원읍 교리 18-1", "지도Link")</f>
        <v/>
      </c>
      <c r="N490" s="5">
        <f>HYPERLINK("http://www.eum.go.kr/web/ar/lu/luLandDet.jsp?pnu=3611025024100180001&amp;isNoScr=script&amp;mode=search", "토지이음")</f>
        <v/>
      </c>
      <c r="O490" s="3" t="inlineStr">
        <is>
          <t>OK수</t>
        </is>
      </c>
      <c r="P490" s="3" t="n">
        <v>1</v>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19</v>
      </c>
      <c r="K491" s="3" t="inlineStr">
        <is>
          <t>조치원역도보거리O막힘없는O깨끗한 원룸</t>
        </is>
      </c>
      <c r="L491" s="5">
        <f>HYPERLINK("https://fin.land.naver.com/articles/2644840286", "매물Link")</f>
        <v/>
      </c>
      <c r="M491" s="5">
        <f>HYPERLINK("https://map.naver.com/p/search/조치원읍 남리 119-10", "지도Link")</f>
        <v/>
      </c>
      <c r="N491" s="5">
        <f>HYPERLINK("http://www.eum.go.kr/web/ar/lu/luLandDet.jsp?pnu=3611025027101190010&amp;isNoScr=script&amp;mode=search", "토지이음")</f>
        <v/>
      </c>
      <c r="O491" s="3" t="inlineStr">
        <is>
          <t>척척</t>
        </is>
      </c>
      <c r="P491" s="3" t="n">
        <v>1</v>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20</v>
      </c>
      <c r="K492" s="3" t="inlineStr">
        <is>
          <t>원룸 남향  조치원역 도보가능합니다</t>
        </is>
      </c>
      <c r="L492" s="5">
        <f>HYPERLINK("https://fin.land.naver.com/articles/2647321662", "매물Link")</f>
        <v/>
      </c>
      <c r="M492" s="5">
        <f>HYPERLINK("https://map.naver.com/p/search/조치원읍 남리 119-12", "지도Link")</f>
        <v/>
      </c>
      <c r="N492" s="5">
        <f>HYPERLINK("http://www.eum.go.kr/web/ar/lu/luLandDet.jsp?pnu=3611025027101190012&amp;isNoScr=script&amp;mode=search", "토지이음")</f>
        <v/>
      </c>
      <c r="O492" s="3" t="inlineStr">
        <is>
          <t>OK수</t>
        </is>
      </c>
      <c r="P492" s="3" t="n">
        <v>1</v>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19</v>
      </c>
      <c r="K493" s="3" t="inlineStr">
        <is>
          <t>남리 버스정류장 가까운 위치</t>
        </is>
      </c>
      <c r="L493" s="5">
        <f>HYPERLINK("https://fin.land.naver.com/articles/2648317995", "매물Link")</f>
        <v/>
      </c>
      <c r="M493" s="5">
        <f>HYPERLINK("https://map.naver.com/p/search/조치원읍 남리 119-6", "지도Link")</f>
        <v/>
      </c>
      <c r="N493" s="5">
        <f>HYPERLINK("http://www.eum.go.kr/web/ar/lu/luLandDet.jsp?pnu=3611025027101190006&amp;isNoScr=script&amp;mode=search", "토지이음")</f>
        <v/>
      </c>
      <c r="O493" s="3" t="inlineStr">
        <is>
          <t>척척</t>
        </is>
      </c>
      <c r="P493" s="3" t="n">
        <v>1</v>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19</v>
      </c>
      <c r="K494" s="3" t="inlineStr">
        <is>
          <t>LH 가능.주방분리형.보증보험가능.시장1분. 역3분.깔끔한방</t>
        </is>
      </c>
      <c r="L494" s="5">
        <f>HYPERLINK("https://fin.land.naver.com/articles/2647870045", "매물Link")</f>
        <v/>
      </c>
      <c r="M494" s="5">
        <f>HYPERLINK("https://map.naver.com/p/search/조치원읍 남리 299-2", "지도Link")</f>
        <v/>
      </c>
      <c r="N494" s="5">
        <f>HYPERLINK("http://www.eum.go.kr/web/ar/lu/luLandDet.jsp?pnu=3611025027102990002&amp;isNoScr=script&amp;mode=search", "토지이음")</f>
        <v/>
      </c>
      <c r="O494" s="3" t="inlineStr">
        <is>
          <t>마이룸</t>
        </is>
      </c>
      <c r="P494" s="3" t="n">
        <v>1</v>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33</v>
      </c>
      <c r="K495" s="3" t="inlineStr">
        <is>
          <t>nan</t>
        </is>
      </c>
      <c r="L495" s="5">
        <f>HYPERLINK("https://fin.land.naver.com/articles/2646917268", "매물Link")</f>
        <v/>
      </c>
      <c r="M495" s="5">
        <f>HYPERLINK("https://map.naver.com/p/search/조치원읍 남리 368", "지도Link")</f>
        <v/>
      </c>
      <c r="N495" s="5">
        <f>HYPERLINK("http://www.eum.go.kr/web/ar/lu/luLandDet.jsp?pnu=3611025027103680000&amp;isNoScr=script&amp;mode=search", "토지이음")</f>
        <v/>
      </c>
      <c r="O495" s="3" t="inlineStr">
        <is>
          <t>척척</t>
        </is>
      </c>
      <c r="P495" s="3" t="n">
        <v>1</v>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20</v>
      </c>
      <c r="K496" s="3" t="inlineStr">
        <is>
          <t>조용하게 살기좋은 주차 및 엘베있는 원룸</t>
        </is>
      </c>
      <c r="L496" s="5">
        <f>HYPERLINK("https://fin.land.naver.com/articles/2647381250", "매물Link")</f>
        <v/>
      </c>
      <c r="M496" s="5">
        <f>HYPERLINK("https://map.naver.com/p/search/조치원읍 남리 371-1", "지도Link")</f>
        <v/>
      </c>
      <c r="N496" s="5">
        <f>HYPERLINK("http://www.eum.go.kr/web/ar/lu/luLandDet.jsp?pnu=3611025027103710001&amp;isNoScr=script&amp;mode=search", "토지이음")</f>
        <v/>
      </c>
      <c r="O496" s="3" t="inlineStr">
        <is>
          <t>무지개</t>
        </is>
      </c>
      <c r="P496" s="3" t="n">
        <v>1</v>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23</v>
      </c>
      <c r="K497" s="3" t="inlineStr">
        <is>
          <t>남리 원룸 넓은방 전통시장 편의시설 도보이용가능합니다</t>
        </is>
      </c>
      <c r="L497" s="5">
        <f>HYPERLINK("https://fin.land.naver.com/articles/2645236588", "매물Link")</f>
        <v/>
      </c>
      <c r="M497" s="5">
        <f>HYPERLINK("https://map.naver.com/p/search/조치원읍 남리 371-1", "지도Link")</f>
        <v/>
      </c>
      <c r="N497" s="5">
        <f>HYPERLINK("http://www.eum.go.kr/web/ar/lu/luLandDet.jsp?pnu=3611025027103710001&amp;isNoScr=script&amp;mode=search", "토지이음")</f>
        <v/>
      </c>
      <c r="O497" s="3" t="inlineStr">
        <is>
          <t>OK수</t>
        </is>
      </c>
      <c r="P497" s="3" t="n">
        <v>1</v>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26</v>
      </c>
      <c r="K498" s="3" t="inlineStr">
        <is>
          <t>조치원 시내이며, 재래시장, 초등학교인근이며, 오송과 인접함</t>
        </is>
      </c>
      <c r="L498" s="5">
        <f>HYPERLINK("https://fin.land.naver.com/articles/2645045638", "매물Link")</f>
        <v/>
      </c>
      <c r="M498" s="5">
        <f>HYPERLINK("https://map.naver.com/p/search/조치원읍 남리 473", "지도Link")</f>
        <v/>
      </c>
      <c r="N498" s="5">
        <f>HYPERLINK("http://www.eum.go.kr/web/ar/lu/luLandDet.jsp?pnu=3611025027104730000&amp;isNoScr=script&amp;mode=search", "토지이음")</f>
        <v/>
      </c>
      <c r="O498" s="3" t="inlineStr">
        <is>
          <t>세종베스트</t>
        </is>
      </c>
      <c r="P498" s="3" t="n">
        <v>1</v>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163</v>
      </c>
      <c r="K499" s="3" t="inlineStr">
        <is>
          <t>조치원시내 관공서와 버스정류장 조치원역 도보로 가능한 조용한 주택,</t>
        </is>
      </c>
      <c r="L499" s="5">
        <f>HYPERLINK("https://fin.land.naver.com/articles/2644752879", "매물Link")</f>
        <v/>
      </c>
      <c r="M499" s="5">
        <f>HYPERLINK("https://map.naver.com/p/search/조치원읍 남리 62-19", "지도Link")</f>
        <v/>
      </c>
      <c r="N499" s="5">
        <f>HYPERLINK("http://www.eum.go.kr/web/ar/lu/luLandDet.jsp?pnu=3611025027100620019&amp;isNoScr=script&amp;mode=search", "토지이음")</f>
        <v/>
      </c>
      <c r="O499" s="3" t="inlineStr">
        <is>
          <t>담뜰</t>
        </is>
      </c>
      <c r="P499" s="3" t="n">
        <v>1</v>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19</v>
      </c>
      <c r="K500" s="3" t="inlineStr">
        <is>
          <t>LH가능.HUG.서울보증보험가능 .가성비갑.시장1분 역5분.</t>
        </is>
      </c>
      <c r="L500" s="5">
        <f>HYPERLINK("https://fin.land.naver.com/articles/2647397073", "매물Link")</f>
        <v/>
      </c>
      <c r="M500" s="5">
        <f>HYPERLINK("https://map.naver.com/p/search/조치원읍 남리 62-6", "지도Link")</f>
        <v/>
      </c>
      <c r="N500" s="5">
        <f>HYPERLINK("http://www.eum.go.kr/web/ar/lu/luLandDet.jsp?pnu=3611025027100620006&amp;isNoScr=script&amp;mode=search", "토지이음")</f>
        <v/>
      </c>
      <c r="O500" s="3" t="inlineStr">
        <is>
          <t>마이룸</t>
        </is>
      </c>
      <c r="P500" s="3" t="n">
        <v>1</v>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26</v>
      </c>
      <c r="K501" s="3" t="inlineStr">
        <is>
          <t>nan</t>
        </is>
      </c>
      <c r="L501" s="5">
        <f>HYPERLINK("https://fin.land.naver.com/articles/2648311440", "매물Link")</f>
        <v/>
      </c>
      <c r="M501" s="5">
        <f>HYPERLINK("https://map.naver.com/p/search/조치원읍 남리 62-6", "지도Link")</f>
        <v/>
      </c>
      <c r="N501" s="5">
        <f>HYPERLINK("http://www.eum.go.kr/web/ar/lu/luLandDet.jsp?pnu=3611025027100620006&amp;isNoScr=script&amp;mode=search", "토지이음")</f>
        <v/>
      </c>
      <c r="O501" s="3" t="inlineStr">
        <is>
          <t>척척</t>
        </is>
      </c>
      <c r="P501" s="3" t="n">
        <v>1</v>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26</v>
      </c>
      <c r="K502" s="3" t="inlineStr">
        <is>
          <t>조치원역도보거리.융자없음.깔끔한전세.즉시입주</t>
        </is>
      </c>
      <c r="L502" s="5">
        <f>HYPERLINK("https://fin.land.naver.com/articles/2645524964", "매물Link")</f>
        <v/>
      </c>
      <c r="M502" s="5">
        <f>HYPERLINK("https://map.naver.com/p/search/조치원읍 남리 62-6", "지도Link")</f>
        <v/>
      </c>
      <c r="N502" s="5">
        <f>HYPERLINK("http://www.eum.go.kr/web/ar/lu/luLandDet.jsp?pnu=3611025027100620006&amp;isNoScr=script&amp;mode=search", "토지이음")</f>
        <v/>
      </c>
      <c r="O502" s="3" t="inlineStr">
        <is>
          <t>척척</t>
        </is>
      </c>
      <c r="P502" s="3" t="n">
        <v>1</v>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19</v>
      </c>
      <c r="K503" s="3" t="inlineStr">
        <is>
          <t>조치원역도보5분 근저당없는 전세 풀옵션 큰방</t>
        </is>
      </c>
      <c r="L503" s="5">
        <f>HYPERLINK("https://fin.land.naver.com/articles/2649101403", "매물Link")</f>
        <v/>
      </c>
      <c r="M503" s="5">
        <f>HYPERLINK("https://map.naver.com/p/search/조치원읍 남리 62-6", "지도Link")</f>
        <v/>
      </c>
      <c r="N503" s="5">
        <f>HYPERLINK("http://www.eum.go.kr/web/ar/lu/luLandDet.jsp?pnu=3611025027100620006&amp;isNoScr=script&amp;mode=search", "토지이음")</f>
        <v/>
      </c>
      <c r="O503" s="3" t="inlineStr">
        <is>
          <t>용죽부자</t>
        </is>
      </c>
      <c r="P503" s="3" t="n">
        <v>1</v>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23</v>
      </c>
      <c r="K504" s="3" t="inlineStr">
        <is>
          <t>남리 원룸 전통시장 조치원역 도보가능합니다</t>
        </is>
      </c>
      <c r="L504" s="5">
        <f>HYPERLINK("https://fin.land.naver.com/articles/2649008339", "매물Link")</f>
        <v/>
      </c>
      <c r="M504" s="5">
        <f>HYPERLINK("https://map.naver.com/p/search/조치원읍 남리 62-6", "지도Link")</f>
        <v/>
      </c>
      <c r="N504" s="5">
        <f>HYPERLINK("http://www.eum.go.kr/web/ar/lu/luLandDet.jsp?pnu=3611025027100620006&amp;isNoScr=script&amp;mode=search", "토지이음")</f>
        <v/>
      </c>
      <c r="O504" s="3" t="inlineStr">
        <is>
          <t>OK수</t>
        </is>
      </c>
      <c r="P504" s="3" t="n">
        <v>1</v>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65</v>
      </c>
      <c r="K505" s="3" t="inlineStr">
        <is>
          <t>시장 근처 깨끗한 2층 월세</t>
        </is>
      </c>
      <c r="L505" s="5">
        <f>HYPERLINK("https://fin.land.naver.com/articles/2648317283", "매물Link")</f>
        <v/>
      </c>
      <c r="M505" s="5">
        <f>HYPERLINK("https://map.naver.com/p/search/조치원읍 명리 14-2", "지도Link")</f>
        <v/>
      </c>
      <c r="N505" s="5">
        <f>HYPERLINK("http://www.eum.go.kr/web/ar/lu/luLandDet.jsp?pnu=3611025026100140002&amp;isNoScr=script&amp;mode=search", "토지이음")</f>
        <v/>
      </c>
      <c r="O505" s="3" t="inlineStr">
        <is>
          <t>KB세종</t>
        </is>
      </c>
      <c r="P505" s="3" t="n">
        <v>1</v>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218</v>
      </c>
      <c r="K506" s="3" t="inlineStr">
        <is>
          <t>교통과 생활이 편리한 위치,초등학교 인근,대지 넓은 단독주택</t>
        </is>
      </c>
      <c r="L506" s="5">
        <f>HYPERLINK("https://fin.land.naver.com/articles/2646474045", "매물Link")</f>
        <v/>
      </c>
      <c r="M506" s="5">
        <f>HYPERLINK("https://map.naver.com/p/search/조치원읍 명리 51", "지도Link")</f>
        <v/>
      </c>
      <c r="N506" s="5">
        <f>HYPERLINK("http://www.eum.go.kr/web/ar/lu/luLandDet.jsp?pnu=3611025026100510000&amp;isNoScr=script&amp;mode=search", "토지이음")</f>
        <v/>
      </c>
      <c r="O506" s="3" t="inlineStr">
        <is>
          <t>유정희</t>
        </is>
      </c>
      <c r="P506" s="3" t="n">
        <v>1</v>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26</v>
      </c>
      <c r="K507" s="3" t="inlineStr">
        <is>
          <t>끌끔하고 위치좋은 원룸 2층</t>
        </is>
      </c>
      <c r="L507" s="5">
        <f>HYPERLINK("https://fin.land.naver.com/articles/2648560985", "매물Link")</f>
        <v/>
      </c>
      <c r="M507" s="5">
        <f>HYPERLINK("https://map.naver.com/p/search/조치원읍 명리 54-12", "지도Link")</f>
        <v/>
      </c>
      <c r="N507" s="5">
        <f>HYPERLINK("http://www.eum.go.kr/web/ar/lu/luLandDet.jsp?pnu=3611025026100540012&amp;isNoScr=script&amp;mode=search", "토지이음")</f>
        <v/>
      </c>
      <c r="O507" s="3" t="inlineStr">
        <is>
          <t>세종베스트</t>
        </is>
      </c>
      <c r="P507" s="3" t="n">
        <v>1</v>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492</v>
      </c>
      <c r="K508" s="3" t="inlineStr">
        <is>
          <t>명리 코너 상가주택 1,2층 상가 3층주택</t>
        </is>
      </c>
      <c r="L508" s="5">
        <f>HYPERLINK("https://fin.land.naver.com/articles/2649283511", "매물Link")</f>
        <v/>
      </c>
      <c r="M508" s="5">
        <f>HYPERLINK("https://map.naver.com/p/search/조치원읍 명리 79", "지도Link")</f>
        <v/>
      </c>
      <c r="N508" s="5">
        <f>HYPERLINK("http://www.eum.go.kr/web/ar/lu/luLandDet.jsp?pnu=3611025026100790000&amp;isNoScr=script&amp;mode=search", "토지이음")</f>
        <v/>
      </c>
      <c r="O508" s="3" t="inlineStr">
        <is>
          <t>OK수</t>
        </is>
      </c>
      <c r="P508" s="3" t="n">
        <v>1</v>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421</v>
      </c>
      <c r="K509" s="3" t="inlineStr">
        <is>
          <t>번암리 홈플러스 맞은편 6차선 접한 상가주택 저렴합니다</t>
        </is>
      </c>
      <c r="L509" s="5">
        <f>HYPERLINK("https://fin.land.naver.com/articles/2649796407", "매물Link")</f>
        <v/>
      </c>
      <c r="M509" s="5">
        <f>HYPERLINK("https://map.naver.com/p/search/조치원읍 번암리 110-1", "지도Link")</f>
        <v/>
      </c>
      <c r="N509" s="5">
        <f>HYPERLINK("http://www.eum.go.kr/web/ar/lu/luLandDet.jsp?pnu=3611025031101100001&amp;isNoScr=script&amp;mode=search", "토지이음")</f>
        <v/>
      </c>
      <c r="O509" s="3" t="inlineStr">
        <is>
          <t>OK수</t>
        </is>
      </c>
      <c r="P509" s="3" t="n">
        <v>1</v>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380</v>
      </c>
      <c r="K510" s="3" t="inlineStr">
        <is>
          <t>nan</t>
        </is>
      </c>
      <c r="L510" s="5">
        <f>HYPERLINK("https://fin.land.naver.com/articles/2645785068", "매물Link")</f>
        <v/>
      </c>
      <c r="M510" s="5">
        <f>HYPERLINK("https://map.naver.com/p/search/조치원읍 번암리 128-2", "지도Link")</f>
        <v/>
      </c>
      <c r="N510" s="5">
        <f>HYPERLINK("http://www.eum.go.kr/web/ar/lu/luLandDet.jsp?pnu=3611025031101280002&amp;isNoScr=script&amp;mode=search", "토지이음")</f>
        <v/>
      </c>
      <c r="O510" s="3" t="inlineStr">
        <is>
          <t>척척</t>
        </is>
      </c>
      <c r="P510" s="3" t="n">
        <v>1</v>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82</v>
      </c>
      <c r="K511" s="3" t="inlineStr">
        <is>
          <t>번암리 깨끗한 쓰리룸, 방3 욕실2, 넓은 구조, 테라스, 엘레베이터</t>
        </is>
      </c>
      <c r="L511" s="5">
        <f>HYPERLINK("https://fin.land.naver.com/articles/2649886389", "매물Link")</f>
        <v/>
      </c>
      <c r="M511" s="5">
        <f>HYPERLINK("https://map.naver.com/p/search/조치원읍 번암리 66-36", "지도Link")</f>
        <v/>
      </c>
      <c r="N511" s="5">
        <f>HYPERLINK("http://www.eum.go.kr/web/ar/lu/luLandDet.jsp?pnu=3611025031100660036&amp;isNoScr=script&amp;mode=search", "토지이음")</f>
        <v/>
      </c>
      <c r="O511" s="3" t="inlineStr">
        <is>
          <t>하늘</t>
        </is>
      </c>
      <c r="P511" s="3" t="n">
        <v>1</v>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20</v>
      </c>
      <c r="K512" s="3" t="inlineStr">
        <is>
          <t>고려대 세종캠퍼스 인근 복층형 원룸 개별 매매</t>
        </is>
      </c>
      <c r="L512" s="5">
        <f>HYPERLINK("https://fin.land.naver.com/articles/2648580362", "매물Link")</f>
        <v/>
      </c>
      <c r="M512" s="5">
        <f>HYPERLINK("https://map.naver.com/p/search/조치원읍 봉산리 190-11", "지도Link")</f>
        <v/>
      </c>
      <c r="N512" s="5">
        <f>HYPERLINK("http://www.eum.go.kr/web/ar/lu/luLandDet.jsp?pnu=3611025033101900011&amp;isNoScr=script&amp;mode=search", "토지이음")</f>
        <v/>
      </c>
      <c r="O512" s="3" t="inlineStr">
        <is>
          <t>고래</t>
        </is>
      </c>
      <c r="P512" s="3" t="n">
        <v>1</v>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80</v>
      </c>
      <c r="K513" s="3" t="inlineStr">
        <is>
          <t>상리 터미널 맞은편 3룸 3층 주인세대,엘베유</t>
        </is>
      </c>
      <c r="L513" s="5">
        <f>HYPERLINK("https://fin.land.naver.com/articles/2643903730", "매물Link")</f>
        <v/>
      </c>
      <c r="M513" s="5">
        <f>HYPERLINK("https://map.naver.com/p/search/조치원읍 상리 124-7", "지도Link")</f>
        <v/>
      </c>
      <c r="N513" s="5">
        <f>HYPERLINK("http://www.eum.go.kr/web/ar/lu/luLandDet.jsp?pnu=3611025022101240007&amp;isNoScr=script&amp;mode=search", "토지이음")</f>
        <v/>
      </c>
      <c r="O513" s="3" t="inlineStr">
        <is>
          <t>OK수</t>
        </is>
      </c>
      <c r="P513" s="3" t="n">
        <v>1</v>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184</v>
      </c>
      <c r="K514" s="3" t="inlineStr">
        <is>
          <t>상리 세종문화원 맞은편 2차선 접한 전면 넓은 상가 광고효과 좋음</t>
        </is>
      </c>
      <c r="L514" s="5">
        <f>HYPERLINK("https://fin.land.naver.com/articles/2645226309", "매물Link")</f>
        <v/>
      </c>
      <c r="M514" s="5">
        <f>HYPERLINK("https://map.naver.com/p/search/조치원읍 상리 132-1", "지도Link")</f>
        <v/>
      </c>
      <c r="N514" s="5">
        <f>HYPERLINK("http://www.eum.go.kr/web/ar/lu/luLandDet.jsp?pnu=3611025022101320001&amp;isNoScr=script&amp;mode=search", "토지이음")</f>
        <v/>
      </c>
      <c r="O514" s="3" t="inlineStr">
        <is>
          <t>OK수</t>
        </is>
      </c>
      <c r="P514" s="3" t="n">
        <v>1</v>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19</v>
      </c>
      <c r="K515" s="3" t="inlineStr">
        <is>
          <t>조치원읍 상리 단독주택 2층 월세</t>
        </is>
      </c>
      <c r="L515" s="5">
        <f>HYPERLINK("https://fin.land.naver.com/articles/2645256671", "매물Link")</f>
        <v/>
      </c>
      <c r="M515" s="5">
        <f>HYPERLINK("https://map.naver.com/p/search/조치원읍 상리 67-9", "지도Link")</f>
        <v/>
      </c>
      <c r="N515" s="5">
        <f>HYPERLINK("http://www.eum.go.kr/web/ar/lu/luLandDet.jsp?pnu=3611025022100670009&amp;isNoScr=script&amp;mode=search", "토지이음")</f>
        <v/>
      </c>
      <c r="O515" s="3" t="inlineStr">
        <is>
          <t>동원</t>
        </is>
      </c>
      <c r="P515" s="3" t="n">
        <v>1</v>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18</v>
      </c>
      <c r="K516" s="3" t="inlineStr">
        <is>
          <t>풀옵션 깔끔한 도시형생활주택 무융자조건</t>
        </is>
      </c>
      <c r="L516" s="5">
        <f>HYPERLINK("https://fin.land.naver.com/articles/2645162863", "매물Link")</f>
        <v/>
      </c>
      <c r="M516" s="5">
        <f>HYPERLINK("https://map.naver.com/p/search/조치원읍 상리 79-3", "지도Link")</f>
        <v/>
      </c>
      <c r="N516" s="5">
        <f>HYPERLINK("http://www.eum.go.kr/web/ar/lu/luLandDet.jsp?pnu=3611025022100790003&amp;isNoScr=script&amp;mode=search", "토지이음")</f>
        <v/>
      </c>
      <c r="O516" s="3" t="inlineStr">
        <is>
          <t>용죽부자</t>
        </is>
      </c>
      <c r="P516" s="3" t="n">
        <v>1</v>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20</v>
      </c>
      <c r="K517" s="3" t="inlineStr">
        <is>
          <t>깨끗한원룸.실사진.즉시입주가능.보안철저.주차시설완비</t>
        </is>
      </c>
      <c r="L517" s="5">
        <f>HYPERLINK("https://fin.land.naver.com/articles/2644842214", "매물Link")</f>
        <v/>
      </c>
      <c r="M517" s="5">
        <f>HYPERLINK("https://map.naver.com/p/search/조치원읍 상리 79-3", "지도Link")</f>
        <v/>
      </c>
      <c r="N517" s="5">
        <f>HYPERLINK("http://www.eum.go.kr/web/ar/lu/luLandDet.jsp?pnu=3611025022100790003&amp;isNoScr=script&amp;mode=search", "토지이음")</f>
        <v/>
      </c>
      <c r="O517" s="3" t="inlineStr">
        <is>
          <t>척척</t>
        </is>
      </c>
      <c r="P517" s="3" t="n">
        <v>1</v>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18</v>
      </c>
      <c r="K518" s="3" t="inlineStr">
        <is>
          <t>깨끗한원룸.넓은방.협의입주가능.보안철저.주차시설완비</t>
        </is>
      </c>
      <c r="L518" s="5">
        <f>HYPERLINK("https://fin.land.naver.com/articles/2644836713", "매물Link")</f>
        <v/>
      </c>
      <c r="M518" s="5">
        <f>HYPERLINK("https://map.naver.com/p/search/조치원읍 상리 79-3", "지도Link")</f>
        <v/>
      </c>
      <c r="N518" s="5">
        <f>HYPERLINK("http://www.eum.go.kr/web/ar/lu/luLandDet.jsp?pnu=3611025022100790003&amp;isNoScr=script&amp;mode=search", "토지이음")</f>
        <v/>
      </c>
      <c r="O518" s="3" t="inlineStr">
        <is>
          <t>척척</t>
        </is>
      </c>
      <c r="P518" s="3" t="n">
        <v>1</v>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18</v>
      </c>
      <c r="K519" s="3" t="inlineStr">
        <is>
          <t>L 즉시입주가능  O엘베 O정남향 O역10분내</t>
        </is>
      </c>
      <c r="L519" s="5">
        <f>HYPERLINK("https://fin.land.naver.com/articles/2648531034", "매물Link")</f>
        <v/>
      </c>
      <c r="M519" s="5">
        <f>HYPERLINK("https://map.naver.com/p/search/조치원읍 상리 79-3", "지도Link")</f>
        <v/>
      </c>
      <c r="N519" s="5">
        <f>HYPERLINK("http://www.eum.go.kr/web/ar/lu/luLandDet.jsp?pnu=3611025022100790003&amp;isNoScr=script&amp;mode=search", "토지이음")</f>
        <v/>
      </c>
      <c r="O519" s="3" t="inlineStr">
        <is>
          <t>바다</t>
        </is>
      </c>
      <c r="P519" s="3" t="n">
        <v>1</v>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312</v>
      </c>
      <c r="K520" s="3" t="inlineStr">
        <is>
          <t>nan</t>
        </is>
      </c>
      <c r="L520" s="5">
        <f>HYPERLINK("https://fin.land.naver.com/articles/2645784295", "매물Link")</f>
        <v/>
      </c>
      <c r="M520" s="5">
        <f>HYPERLINK("https://map.naver.com/p/search/조치원읍 서창리 133-28", "지도Link")</f>
        <v/>
      </c>
      <c r="N520" s="5">
        <f>HYPERLINK("http://www.eum.go.kr/web/ar/lu/luLandDet.jsp?pnu=3611025034101330028&amp;isNoScr=script&amp;mode=search", "토지이음")</f>
        <v/>
      </c>
      <c r="O520" s="3" t="inlineStr">
        <is>
          <t>척척</t>
        </is>
      </c>
      <c r="P520" s="3" t="n">
        <v>1</v>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581</v>
      </c>
      <c r="K521" s="3" t="inlineStr">
        <is>
          <t>.급매. o수익률잘나옴 o관리잘되었어요</t>
        </is>
      </c>
      <c r="L521" s="5">
        <f>HYPERLINK("https://fin.land.naver.com/articles/2644111814", "매물Link")</f>
        <v/>
      </c>
      <c r="M521" s="5">
        <f>HYPERLINK("https://map.naver.com/p/search/조치원읍 서창리 203-10", "지도Link")</f>
        <v/>
      </c>
      <c r="N521" s="5">
        <f>HYPERLINK("http://www.eum.go.kr/web/ar/lu/luLandDet.jsp?pnu=3611025034102030010&amp;isNoScr=script&amp;mode=search", "토지이음")</f>
        <v/>
      </c>
      <c r="O521" s="3" t="inlineStr">
        <is>
          <t>바다</t>
        </is>
      </c>
      <c r="P521" s="3" t="n">
        <v>2</v>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30</v>
      </c>
      <c r="K522" s="3" t="inlineStr">
        <is>
          <t>위치좋고 상태 좋은 저렴한 매물 안전전세</t>
        </is>
      </c>
      <c r="L522" s="5">
        <f>HYPERLINK("https://fin.land.naver.com/articles/2644989266", "매물Link")</f>
        <v/>
      </c>
      <c r="M522" s="5">
        <f>HYPERLINK("https://map.naver.com/p/search/조치원읍 서창리 203-6", "지도Link")</f>
        <v/>
      </c>
      <c r="N522" s="5">
        <f>HYPERLINK("http://www.eum.go.kr/web/ar/lu/luLandDet.jsp?pnu=3611025034102030006&amp;isNoScr=script&amp;mode=search", "토지이음")</f>
        <v/>
      </c>
      <c r="O522" s="3" t="inlineStr">
        <is>
          <t>부자터</t>
        </is>
      </c>
      <c r="P522" s="3" t="n">
        <v>1</v>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23</v>
      </c>
      <c r="K523" s="3" t="inlineStr">
        <is>
          <t>원룸 월세</t>
        </is>
      </c>
      <c r="L523" s="5">
        <f>HYPERLINK("https://fin.land.naver.com/articles/2647836240", "매물Link")</f>
        <v/>
      </c>
      <c r="M523" s="5">
        <f>HYPERLINK("https://map.naver.com/p/search/조치원읍 서창리 290-1", "지도Link")</f>
        <v/>
      </c>
      <c r="N523" s="5">
        <f>HYPERLINK("http://www.eum.go.kr/web/ar/lu/luLandDet.jsp?pnu=3611025034102900001&amp;isNoScr=script&amp;mode=search", "토지이음")</f>
        <v/>
      </c>
      <c r="O523" s="3" t="inlineStr">
        <is>
          <t>김준희</t>
        </is>
      </c>
      <c r="P523" s="3" t="n">
        <v>1</v>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26</v>
      </c>
      <c r="K524" s="3" t="inlineStr">
        <is>
          <t>서창리.모든게옵션.10월초 협의입주가능</t>
        </is>
      </c>
      <c r="L524" s="5">
        <f>HYPERLINK("https://fin.land.naver.com/articles/2649226212", "매물Link")</f>
        <v/>
      </c>
      <c r="M524" s="5">
        <f>HYPERLINK("https://map.naver.com/p/search/조치원읍 서창리 290-5", "지도Link")</f>
        <v/>
      </c>
      <c r="N524" s="5">
        <f>HYPERLINK("http://www.eum.go.kr/web/ar/lu/luLandDet.jsp?pnu=3611025034102900005&amp;isNoScr=script&amp;mode=search", "토지이음")</f>
        <v/>
      </c>
      <c r="O524" s="3" t="inlineStr">
        <is>
          <t>척척</t>
        </is>
      </c>
      <c r="P524" s="3" t="n">
        <v>1</v>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23</v>
      </c>
      <c r="K525" s="3" t="inlineStr">
        <is>
          <t>L리모델링 O풀옵션 O역3분</t>
        </is>
      </c>
      <c r="L525" s="5">
        <f>HYPERLINK("https://fin.land.naver.com/articles/2645063733", "매물Link")</f>
        <v/>
      </c>
      <c r="M525" s="5">
        <f>HYPERLINK("https://map.naver.com/p/search/조치원읍 서창리 292-2", "지도Link")</f>
        <v/>
      </c>
      <c r="N525" s="5">
        <f>HYPERLINK("http://www.eum.go.kr/web/ar/lu/luLandDet.jsp?pnu=3611025034102920002&amp;isNoScr=script&amp;mode=search", "토지이음")</f>
        <v/>
      </c>
      <c r="O525" s="3" t="inlineStr">
        <is>
          <t>바다</t>
        </is>
      </c>
      <c r="P525" s="3" t="n">
        <v>1</v>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23</v>
      </c>
      <c r="K526" s="3" t="inlineStr">
        <is>
          <t>세종,오송,청주 출퇴근하기 좋은 위치의 분리형원룸</t>
        </is>
      </c>
      <c r="L526" s="5">
        <f>HYPERLINK("https://fin.land.naver.com/articles/2647378387", "매물Link")</f>
        <v/>
      </c>
      <c r="M526" s="5">
        <f>HYPERLINK("https://map.naver.com/p/search/조치원읍 서창리 292-2", "지도Link")</f>
        <v/>
      </c>
      <c r="N526" s="5">
        <f>HYPERLINK("http://www.eum.go.kr/web/ar/lu/luLandDet.jsp?pnu=3611025034102920002&amp;isNoScr=script&amp;mode=search", "토지이음")</f>
        <v/>
      </c>
      <c r="O526" s="3" t="inlineStr">
        <is>
          <t>무지개</t>
        </is>
      </c>
      <c r="P526" s="3" t="n">
        <v>1</v>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23</v>
      </c>
      <c r="K527" s="3" t="inlineStr">
        <is>
          <t>서창리 원룸 전세</t>
        </is>
      </c>
      <c r="L527" s="5">
        <f>HYPERLINK("https://fin.land.naver.com/articles/2646197839", "매물Link")</f>
        <v/>
      </c>
      <c r="M527" s="5">
        <f>HYPERLINK("https://map.naver.com/p/search/조치원읍 서창리 292-2", "지도Link")</f>
        <v/>
      </c>
      <c r="N527" s="5">
        <f>HYPERLINK("http://www.eum.go.kr/web/ar/lu/luLandDet.jsp?pnu=3611025034102920002&amp;isNoScr=script&amp;mode=search", "토지이음")</f>
        <v/>
      </c>
      <c r="O527" s="3" t="inlineStr">
        <is>
          <t>김준희</t>
        </is>
      </c>
      <c r="P527" s="3" t="n">
        <v>1</v>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481</v>
      </c>
      <c r="K528" s="3" t="inlineStr">
        <is>
          <t>nan</t>
        </is>
      </c>
      <c r="L528" s="5">
        <f>HYPERLINK("https://fin.land.naver.com/articles/2645783949", "매물Link")</f>
        <v/>
      </c>
      <c r="M528" s="5">
        <f>HYPERLINK("https://map.naver.com/p/search/조치원읍 서창리 296-8", "지도Link")</f>
        <v/>
      </c>
      <c r="N528" s="5">
        <f>HYPERLINK("http://www.eum.go.kr/web/ar/lu/luLandDet.jsp?pnu=3611025034102960008&amp;isNoScr=script&amp;mode=search", "토지이음")</f>
        <v/>
      </c>
      <c r="O528" s="3" t="inlineStr">
        <is>
          <t>척척</t>
        </is>
      </c>
      <c r="P528" s="3" t="n">
        <v>1</v>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481</v>
      </c>
      <c r="K529" s="3" t="inlineStr">
        <is>
          <t>다가구 매매 실투자금 약 5억</t>
        </is>
      </c>
      <c r="L529" s="5">
        <f>HYPERLINK("https://fin.land.naver.com/articles/2645163465", "매물Link")</f>
        <v/>
      </c>
      <c r="M529" s="5">
        <f>HYPERLINK("https://map.naver.com/p/search/조치원읍 서창리 296-8", "지도Link")</f>
        <v/>
      </c>
      <c r="N529" s="5">
        <f>HYPERLINK("http://www.eum.go.kr/web/ar/lu/luLandDet.jsp?pnu=3611025034102960008&amp;isNoScr=script&amp;mode=search", "토지이음")</f>
        <v/>
      </c>
      <c r="O529" s="3" t="inlineStr">
        <is>
          <t>상희</t>
        </is>
      </c>
      <c r="P529" s="3" t="n">
        <v>1</v>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259</v>
      </c>
      <c r="K530" s="3" t="inlineStr">
        <is>
          <t>대학가 2억7천 투자 수익률7.5</t>
        </is>
      </c>
      <c r="L530" s="5">
        <f>HYPERLINK("https://fin.land.naver.com/articles/2648572698", "매물Link")</f>
        <v/>
      </c>
      <c r="M530" s="5">
        <f>HYPERLINK("https://map.naver.com/p/search/조치원읍 서창리 66-35", "지도Link")</f>
        <v/>
      </c>
      <c r="N530" s="5">
        <f>HYPERLINK("http://www.eum.go.kr/web/ar/lu/luLandDet.jsp?pnu=3611025034100660035&amp;isNoScr=script&amp;mode=search", "토지이음")</f>
        <v/>
      </c>
      <c r="O530" s="3" t="inlineStr">
        <is>
          <t>고래</t>
        </is>
      </c>
      <c r="P530" s="3" t="n">
        <v>1</v>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95</v>
      </c>
      <c r="K531" s="3" t="inlineStr">
        <is>
          <t>편의성과 안락함을 다 갖춘 단독주택</t>
        </is>
      </c>
      <c r="L531" s="5">
        <f>HYPERLINK("https://fin.land.naver.com/articles/2647877367", "매물Link")</f>
        <v/>
      </c>
      <c r="M531" s="5">
        <f>HYPERLINK("https://map.naver.com/p/search/조치원읍 신안리 146-2", "지도Link")</f>
        <v/>
      </c>
      <c r="N531" s="5">
        <f>HYPERLINK("http://www.eum.go.kr/web/ar/lu/luLandDet.jsp?pnu=3611025032101460002&amp;isNoScr=script&amp;mode=search", "토지이음")</f>
        <v/>
      </c>
      <c r="O531" s="3" t="inlineStr">
        <is>
          <t>무지개</t>
        </is>
      </c>
      <c r="P531" s="3" t="n">
        <v>1</v>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20</v>
      </c>
      <c r="K532" s="3" t="inlineStr">
        <is>
          <t>신안리 홍대국제연수원인근 저렴한원룸 즉시 입주가능합니다</t>
        </is>
      </c>
      <c r="L532" s="5">
        <f>HYPERLINK("https://fin.land.naver.com/articles/2649980274", "매물Link")</f>
        <v/>
      </c>
      <c r="M532" s="5">
        <f>HYPERLINK("https://map.naver.com/p/search/조치원읍 신안리 168-4", "지도Link")</f>
        <v/>
      </c>
      <c r="N532" s="5">
        <f>HYPERLINK("http://www.eum.go.kr/web/ar/lu/luLandDet.jsp?pnu=3611025032101680004&amp;isNoScr=script&amp;mode=search", "토지이음")</f>
        <v/>
      </c>
      <c r="O532" s="3" t="inlineStr">
        <is>
          <t>OK수</t>
        </is>
      </c>
      <c r="P532" s="3" t="n">
        <v>1</v>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207</v>
      </c>
      <c r="K533" s="3" t="inlineStr">
        <is>
          <t>홍익대 조치원캠퍼스 인근 임대료 수익, 11호실</t>
        </is>
      </c>
      <c r="L533" s="5">
        <f>HYPERLINK("https://fin.land.naver.com/articles/2648906557", "매물Link")</f>
        <v/>
      </c>
      <c r="M533" s="5">
        <f>HYPERLINK("https://map.naver.com/p/search/조치원읍 신안리 168-5", "지도Link")</f>
        <v/>
      </c>
      <c r="N533" s="5">
        <f>HYPERLINK("http://www.eum.go.kr/web/ar/lu/luLandDet.jsp?pnu=3611025032101680005&amp;isNoScr=script&amp;mode=search", "토지이음")</f>
        <v/>
      </c>
      <c r="O533" s="3" t="inlineStr">
        <is>
          <t>웰스플랜</t>
        </is>
      </c>
      <c r="P533" s="3" t="n">
        <v>1</v>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93</v>
      </c>
      <c r="K534" s="3" t="inlineStr">
        <is>
          <t>엘리베이터 있는 올 리모델링 된 빌라</t>
        </is>
      </c>
      <c r="L534" s="5">
        <f>HYPERLINK("https://fin.land.naver.com/articles/2647616056", "매물Link")</f>
        <v/>
      </c>
      <c r="M534" s="5">
        <f>HYPERLINK("https://map.naver.com/p/search/조치원읍 신안리 179-17", "지도Link")</f>
        <v/>
      </c>
      <c r="N534" s="5">
        <f>HYPERLINK("http://www.eum.go.kr/web/ar/lu/luLandDet.jsp?pnu=3611025032101790017&amp;isNoScr=script&amp;mode=search", "토지이음")</f>
        <v/>
      </c>
      <c r="O534" s="3" t="inlineStr">
        <is>
          <t>해들일번지</t>
        </is>
      </c>
      <c r="P534" s="3" t="n">
        <v>1</v>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80</v>
      </c>
      <c r="K535" s="3" t="inlineStr">
        <is>
          <t>올리모델링, 4층단독세대, 방3욕실2, 승강기, 적극협의</t>
        </is>
      </c>
      <c r="L535" s="5">
        <f>HYPERLINK("https://fin.land.naver.com/articles/2647198591", "매물Link")</f>
        <v/>
      </c>
      <c r="M535" s="5">
        <f>HYPERLINK("https://map.naver.com/p/search/조치원읍 신안리 179-17", "지도Link")</f>
        <v/>
      </c>
      <c r="N535" s="5">
        <f>HYPERLINK("http://www.eum.go.kr/web/ar/lu/luLandDet.jsp?pnu=3611025032101790017&amp;isNoScr=script&amp;mode=search", "토지이음")</f>
        <v/>
      </c>
      <c r="O535" s="3" t="inlineStr">
        <is>
          <t>보배</t>
        </is>
      </c>
      <c r="P535" s="3" t="n">
        <v>2</v>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80</v>
      </c>
      <c r="K536" s="3" t="inlineStr">
        <is>
          <t>홍익대바로인근 신축빌라 올리모델링 전원주택형 예쁜빌라 교통입지편리한곳</t>
        </is>
      </c>
      <c r="L536" s="5">
        <f>HYPERLINK("https://fin.land.naver.com/articles/2646835563", "매물Link")</f>
        <v/>
      </c>
      <c r="M536" s="5">
        <f>HYPERLINK("https://map.naver.com/p/search/조치원읍 신안리 179-17", "지도Link")</f>
        <v/>
      </c>
      <c r="N536" s="5">
        <f>HYPERLINK("http://www.eum.go.kr/web/ar/lu/luLandDet.jsp?pnu=3611025032101790017&amp;isNoScr=script&amp;mode=search", "토지이음")</f>
        <v/>
      </c>
      <c r="O536" s="3" t="inlineStr">
        <is>
          <t>오송휴먼캐슬</t>
        </is>
      </c>
      <c r="P536" s="3" t="n">
        <v>2</v>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80</v>
      </c>
      <c r="K537" s="3" t="inlineStr">
        <is>
          <t>홍대 신축, 올리모델링,엘베,급매</t>
        </is>
      </c>
      <c r="L537" s="5">
        <f>HYPERLINK("https://fin.land.naver.com/articles/2646910242", "매물Link")</f>
        <v/>
      </c>
      <c r="M537" s="5">
        <f>HYPERLINK("https://map.naver.com/p/search/조치원읍 신안리 179-17", "지도Link")</f>
        <v/>
      </c>
      <c r="N537" s="5">
        <f>HYPERLINK("http://www.eum.go.kr/web/ar/lu/luLandDet.jsp?pnu=3611025032101790017&amp;isNoScr=script&amp;mode=search", "토지이음")</f>
        <v/>
      </c>
      <c r="O537" s="3" t="inlineStr">
        <is>
          <t>다옴</t>
        </is>
      </c>
      <c r="P537" s="3" t="n">
        <v>1</v>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374</v>
      </c>
      <c r="K538" s="3" t="inlineStr">
        <is>
          <t>자연과 어우러진 전원형 빌라주거지 세종시와 청주. 오송방면 이동이편리함</t>
        </is>
      </c>
      <c r="L538" s="5">
        <f>HYPERLINK("https://fin.land.naver.com/articles/2649408871", "매물Link")</f>
        <v/>
      </c>
      <c r="M538" s="5">
        <f>HYPERLINK("https://map.naver.com/p/search/조치원읍 신안리 179-17", "지도Link")</f>
        <v/>
      </c>
      <c r="N538" s="5">
        <f>HYPERLINK("http://www.eum.go.kr/web/ar/lu/luLandDet.jsp?pnu=3611025032101790017&amp;isNoScr=script&amp;mode=search", "토지이음")</f>
        <v/>
      </c>
      <c r="O538" s="3" t="inlineStr">
        <is>
          <t>재원</t>
        </is>
      </c>
      <c r="P538" s="3" t="n">
        <v>1</v>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80</v>
      </c>
      <c r="K539" s="3" t="inlineStr">
        <is>
          <t>신안리 올리모델링 30p 빌라.복선전철 수혜 기대.즉시입주 가능</t>
        </is>
      </c>
      <c r="L539" s="5">
        <f>HYPERLINK("https://fin.land.naver.com/articles/2647419659", "매물Link")</f>
        <v/>
      </c>
      <c r="M539" s="5">
        <f>HYPERLINK("https://map.naver.com/p/search/조치원읍 신안리 179-17", "지도Link")</f>
        <v/>
      </c>
      <c r="N539" s="5">
        <f>HYPERLINK("http://www.eum.go.kr/web/ar/lu/luLandDet.jsp?pnu=3611025032101790017&amp;isNoScr=script&amp;mode=search", "토지이음")</f>
        <v/>
      </c>
      <c r="O539" s="3" t="inlineStr">
        <is>
          <t>하늘</t>
        </is>
      </c>
      <c r="P539" s="3" t="n">
        <v>1</v>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80</v>
      </c>
      <c r="K540" s="3" t="inlineStr">
        <is>
          <t>신안리 홍익대학교 연수원앞, 숲이 우거진 아름다운 집임.</t>
        </is>
      </c>
      <c r="L540" s="5">
        <f>HYPERLINK("https://fin.land.naver.com/articles/2649178224", "매물Link")</f>
        <v/>
      </c>
      <c r="M540" s="5">
        <f>HYPERLINK("https://map.naver.com/p/search/조치원읍 신안리 179-17", "지도Link")</f>
        <v/>
      </c>
      <c r="N540" s="5">
        <f>HYPERLINK("http://www.eum.go.kr/web/ar/lu/luLandDet.jsp?pnu=3611025032101790017&amp;isNoScr=script&amp;mode=search", "토지이음")</f>
        <v/>
      </c>
      <c r="O540" s="3" t="inlineStr">
        <is>
          <t>꿈드림</t>
        </is>
      </c>
      <c r="P540" s="3" t="n">
        <v>2</v>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80</v>
      </c>
      <c r="K541" s="3" t="inlineStr">
        <is>
          <t>조치원읍 신안리 신축 프리미엄 빌라 급매, 쓰리룸 엘리베이터 주차여유</t>
        </is>
      </c>
      <c r="L541" s="5">
        <f>HYPERLINK("https://fin.land.naver.com/articles/2647624029", "매물Link")</f>
        <v/>
      </c>
      <c r="M541" s="5">
        <f>HYPERLINK("https://map.naver.com/p/search/조치원읍 신안리 179-17", "지도Link")</f>
        <v/>
      </c>
      <c r="N541" s="5">
        <f>HYPERLINK("http://www.eum.go.kr/web/ar/lu/luLandDet.jsp?pnu=3611025032101790017&amp;isNoScr=script&amp;mode=search", "토지이음")</f>
        <v/>
      </c>
      <c r="O541" s="3" t="inlineStr">
        <is>
          <t>빅토리</t>
        </is>
      </c>
      <c r="P541" s="3" t="n">
        <v>1</v>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80</v>
      </c>
      <c r="K542" s="3" t="inlineStr">
        <is>
          <t>전원형 주거지신축빌라, 올리모델링, 급매 1억6500만원, 역세권예정</t>
        </is>
      </c>
      <c r="L542" s="5">
        <f>HYPERLINK("https://fin.land.naver.com/articles/2644847919", "매물Link")</f>
        <v/>
      </c>
      <c r="M542" s="5">
        <f>HYPERLINK("https://map.naver.com/p/search/조치원읍 신안리 179-17", "지도Link")</f>
        <v/>
      </c>
      <c r="N542" s="5">
        <f>HYPERLINK("http://www.eum.go.kr/web/ar/lu/luLandDet.jsp?pnu=3611025032101790017&amp;isNoScr=script&amp;mode=search", "토지이음")</f>
        <v/>
      </c>
      <c r="O542" s="3" t="inlineStr">
        <is>
          <t>대한</t>
        </is>
      </c>
      <c r="P542" s="3" t="n">
        <v>1</v>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80</v>
      </c>
      <c r="K543" s="3" t="inlineStr">
        <is>
          <t>컨디션최상 신축빌라. 즉시입주가능. 엘레베이터O</t>
        </is>
      </c>
      <c r="L543" s="5">
        <f>HYPERLINK("https://fin.land.naver.com/articles/2649989414", "매물Link")</f>
        <v/>
      </c>
      <c r="M543" s="5">
        <f>HYPERLINK("https://map.naver.com/p/search/조치원읍 신안리 179-17", "지도Link")</f>
        <v/>
      </c>
      <c r="N543" s="5">
        <f>HYPERLINK("http://www.eum.go.kr/web/ar/lu/luLandDet.jsp?pnu=3611025032101790017&amp;isNoScr=script&amp;mode=search", "토지이음")</f>
        <v/>
      </c>
      <c r="O543" s="3" t="inlineStr">
        <is>
          <t>세종금밭</t>
        </is>
      </c>
      <c r="P543" s="3" t="n">
        <v>5</v>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80</v>
      </c>
      <c r="K544" s="3" t="inlineStr">
        <is>
          <t>신축,즉시입주가능, 홍대근접,엘리베이터 있음 주차장 여유, 조용한 환경</t>
        </is>
      </c>
      <c r="L544" s="5">
        <f>HYPERLINK("https://fin.land.naver.com/articles/2645450946", "매물Link")</f>
        <v/>
      </c>
      <c r="M544" s="5">
        <f>HYPERLINK("https://map.naver.com/p/search/조치원읍 신안리 179-17", "지도Link")</f>
        <v/>
      </c>
      <c r="N544" s="5">
        <f>HYPERLINK("http://www.eum.go.kr/web/ar/lu/luLandDet.jsp?pnu=3611025032101790017&amp;isNoScr=script&amp;mode=search", "토지이음")</f>
        <v/>
      </c>
      <c r="O544" s="3" t="inlineStr">
        <is>
          <t>담뜰</t>
        </is>
      </c>
      <c r="P544" s="3" t="n">
        <v>1</v>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61</v>
      </c>
      <c r="K545" s="3" t="inlineStr">
        <is>
          <t>세종시 홍익대 주변 농가주택 급매</t>
        </is>
      </c>
      <c r="L545" s="5">
        <f>HYPERLINK("https://fin.land.naver.com/articles/2646577453", "매물Link")</f>
        <v/>
      </c>
      <c r="M545" s="5">
        <f>HYPERLINK("https://map.naver.com/p/search/조치원읍 신안리 179-2", "지도Link")</f>
        <v/>
      </c>
      <c r="N545" s="5">
        <f>HYPERLINK("http://www.eum.go.kr/web/ar/lu/luLandDet.jsp?pnu=3611025032101790002&amp;isNoScr=script&amp;mode=search", "토지이음")</f>
        <v/>
      </c>
      <c r="O545" s="3" t="inlineStr">
        <is>
          <t>강우림</t>
        </is>
      </c>
      <c r="P545" s="3" t="n">
        <v>1</v>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36</v>
      </c>
      <c r="K546" s="3" t="inlineStr">
        <is>
          <t>리모델링된 깨끗한 원룸</t>
        </is>
      </c>
      <c r="L546" s="5">
        <f>HYPERLINK("https://fin.land.naver.com/articles/2645458074", "매물Link")</f>
        <v/>
      </c>
      <c r="M546" s="5">
        <f>HYPERLINK("https://map.naver.com/p/search/조치원읍 신안리 193-10", "지도Link")</f>
        <v/>
      </c>
      <c r="N546" s="5">
        <f>HYPERLINK("http://www.eum.go.kr/web/ar/lu/luLandDet.jsp?pnu=3611025032101930010&amp;isNoScr=script&amp;mode=search", "토지이음")</f>
        <v/>
      </c>
      <c r="O546" s="3" t="inlineStr">
        <is>
          <t>세종베스트</t>
        </is>
      </c>
      <c r="P546" s="3" t="n">
        <v>1</v>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346</v>
      </c>
      <c r="K547" s="3" t="inlineStr">
        <is>
          <t>서창역인근,주인세대전세끼고,수익형다가구매매,인근대학교,연수원</t>
        </is>
      </c>
      <c r="L547" s="5">
        <f>HYPERLINK("https://fin.land.naver.com/articles/2647021016", "매물Link")</f>
        <v/>
      </c>
      <c r="M547" s="5">
        <f>HYPERLINK("https://map.naver.com/p/search/조치원읍 신안리 197-3", "지도Link")</f>
        <v/>
      </c>
      <c r="N547" s="5">
        <f>HYPERLINK("http://www.eum.go.kr/web/ar/lu/luLandDet.jsp?pnu=3611025032101970003&amp;isNoScr=script&amp;mode=search", "토지이음")</f>
        <v/>
      </c>
      <c r="O547" s="3" t="inlineStr">
        <is>
          <t>에이팩시티지정</t>
        </is>
      </c>
      <c r="P547" s="3" t="n">
        <v>1</v>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299</v>
      </c>
      <c r="K548" s="3" t="inlineStr">
        <is>
          <t>홍익대초인접 연세잘나오고 수익좋아요 공실없는 수익형다가구</t>
        </is>
      </c>
      <c r="L548" s="5">
        <f>HYPERLINK("https://fin.land.naver.com/articles/2646673124", "매물Link")</f>
        <v/>
      </c>
      <c r="M548" s="5">
        <f>HYPERLINK("https://map.naver.com/p/search/조치원읍 신안리 329-3", "지도Link")</f>
        <v/>
      </c>
      <c r="N548" s="5">
        <f>HYPERLINK("http://www.eum.go.kr/web/ar/lu/luLandDet.jsp?pnu=3611025032103290003&amp;isNoScr=script&amp;mode=search", "토지이음")</f>
        <v/>
      </c>
      <c r="O548" s="3" t="inlineStr">
        <is>
          <t>세종새빛</t>
        </is>
      </c>
      <c r="P548" s="3" t="n">
        <v>1</v>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428</v>
      </c>
      <c r="K549" s="3" t="inlineStr">
        <is>
          <t>홍익대학생들의  입소문으로만 임대계약완료, 공실걱정 없음</t>
        </is>
      </c>
      <c r="L549" s="5">
        <f>HYPERLINK("https://fin.land.naver.com/articles/2647256496", "매물Link")</f>
        <v/>
      </c>
      <c r="M549" s="5">
        <f>HYPERLINK("https://map.naver.com/p/search/조치원읍 신안리 341-1", "지도Link")</f>
        <v/>
      </c>
      <c r="N549" s="5">
        <f>HYPERLINK("http://www.eum.go.kr/web/ar/lu/luLandDet.jsp?pnu=3611025032103410001&amp;isNoScr=script&amp;mode=search", "토지이음")</f>
        <v/>
      </c>
      <c r="O549" s="3" t="inlineStr">
        <is>
          <t>세종공감</t>
        </is>
      </c>
      <c r="P549" s="3" t="n">
        <v>1</v>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331</v>
      </c>
      <c r="K550" s="3" t="inlineStr">
        <is>
          <t>고객만족1위, 앞상가 동시매매,세종시 홍익대, 고려대  인근, 투자 최상</t>
        </is>
      </c>
      <c r="L550" s="5">
        <f>HYPERLINK("https://fin.land.naver.com/articles/2646541554", "매물Link")</f>
        <v/>
      </c>
      <c r="M550" s="5">
        <f>HYPERLINK("https://map.naver.com/p/search/조치원읍 신안리 343-5", "지도Link")</f>
        <v/>
      </c>
      <c r="N550" s="5">
        <f>HYPERLINK("http://www.eum.go.kr/web/ar/lu/luLandDet.jsp?pnu=3611025032103430005&amp;isNoScr=script&amp;mode=search", "토지이음")</f>
        <v/>
      </c>
      <c r="O550" s="3" t="inlineStr">
        <is>
          <t>생생</t>
        </is>
      </c>
      <c r="P550" s="3" t="n">
        <v>1</v>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264</v>
      </c>
      <c r="K551" s="3" t="inlineStr">
        <is>
          <t>nan</t>
        </is>
      </c>
      <c r="L551" s="5">
        <f>HYPERLINK("https://fin.land.naver.com/articles/2644120409", "매물Link")</f>
        <v/>
      </c>
      <c r="M551" s="5">
        <f>HYPERLINK("https://map.naver.com/p/search/조치원읍 신안리 353-19", "지도Link")</f>
        <v/>
      </c>
      <c r="N551" s="5">
        <f>HYPERLINK("http://www.eum.go.kr/web/ar/lu/luLandDet.jsp?pnu=3611025032103530019&amp;isNoScr=script&amp;mode=search", "토지이음")</f>
        <v/>
      </c>
      <c r="O551" s="3" t="inlineStr">
        <is>
          <t>바다</t>
        </is>
      </c>
      <c r="P551" s="3" t="n">
        <v>1</v>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264</v>
      </c>
      <c r="K552" s="3" t="inlineStr">
        <is>
          <t>고객만족1위, 홍익대부근세종캠, 고려대근방세종캠, 조치원역 부근</t>
        </is>
      </c>
      <c r="L552" s="5">
        <f>HYPERLINK("https://fin.land.naver.com/articles/2645913527", "매물Link")</f>
        <v/>
      </c>
      <c r="M552" s="5">
        <f>HYPERLINK("https://map.naver.com/p/search/조치원읍 신안리 353-19", "지도Link")</f>
        <v/>
      </c>
      <c r="N552" s="5">
        <f>HYPERLINK("http://www.eum.go.kr/web/ar/lu/luLandDet.jsp?pnu=3611025032103530019&amp;isNoScr=script&amp;mode=search", "토지이음")</f>
        <v/>
      </c>
      <c r="O552" s="3" t="inlineStr">
        <is>
          <t>생생</t>
        </is>
      </c>
      <c r="P552" s="3" t="n">
        <v>1</v>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615</v>
      </c>
      <c r="K553" s="3" t="inlineStr">
        <is>
          <t>대학생들에게 인기 있고 관리가 잘된 원룸입니다.</t>
        </is>
      </c>
      <c r="L553" s="5">
        <f>HYPERLINK("https://fin.land.naver.com/articles/2647249221", "매물Link")</f>
        <v/>
      </c>
      <c r="M553" s="5">
        <f>HYPERLINK("https://map.naver.com/p/search/조치원읍 신안리 354-40", "지도Link")</f>
        <v/>
      </c>
      <c r="N553" s="5">
        <f>HYPERLINK("http://www.eum.go.kr/web/ar/lu/luLandDet.jsp?pnu=3611025032103540040&amp;isNoScr=script&amp;mode=search", "토지이음")</f>
        <v/>
      </c>
      <c r="O553" s="3" t="inlineStr">
        <is>
          <t>세종공감</t>
        </is>
      </c>
      <c r="P553" s="3" t="n">
        <v>1</v>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521</v>
      </c>
      <c r="K554" s="3" t="inlineStr">
        <is>
          <t>nan</t>
        </is>
      </c>
      <c r="L554" s="5">
        <f>HYPERLINK("https://fin.land.naver.com/articles/2645782172", "매물Link")</f>
        <v/>
      </c>
      <c r="M554" s="5">
        <f>HYPERLINK("https://map.naver.com/p/search/조치원읍 신안리 373-1", "지도Link")</f>
        <v/>
      </c>
      <c r="N554" s="5">
        <f>HYPERLINK("http://www.eum.go.kr/web/ar/lu/luLandDet.jsp?pnu=3611025032103730001&amp;isNoScr=script&amp;mode=search", "토지이음")</f>
        <v/>
      </c>
      <c r="O554" s="3" t="inlineStr">
        <is>
          <t>척척</t>
        </is>
      </c>
      <c r="P554" s="3" t="n">
        <v>1</v>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326</v>
      </c>
      <c r="K555" s="3" t="inlineStr">
        <is>
          <t>리모델링 원룸 매매</t>
        </is>
      </c>
      <c r="L555" s="5">
        <f>HYPERLINK("https://fin.land.naver.com/articles/2648567043", "매물Link")</f>
        <v/>
      </c>
      <c r="M555" s="5">
        <f>HYPERLINK("https://map.naver.com/p/search/조치원읍 신안리 383-13", "지도Link")</f>
        <v/>
      </c>
      <c r="N555" s="5">
        <f>HYPERLINK("http://www.eum.go.kr/web/ar/lu/luLandDet.jsp?pnu=3611025032103830013&amp;isNoScr=script&amp;mode=search", "토지이음")</f>
        <v/>
      </c>
      <c r="O555" s="3" t="inlineStr">
        <is>
          <t>고래</t>
        </is>
      </c>
      <c r="P555" s="3" t="n">
        <v>1</v>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224</v>
      </c>
      <c r="K556" s="3" t="inlineStr">
        <is>
          <t>남향, 고려대홍익대 인근 대지 넓은 2층 단독주택</t>
        </is>
      </c>
      <c r="L556" s="5">
        <f>HYPERLINK("https://fin.land.naver.com/articles/2647246878", "매물Link")</f>
        <v/>
      </c>
      <c r="M556" s="5">
        <f>HYPERLINK("https://map.naver.com/p/search/조치원읍 신안리 383-8", "지도Link")</f>
        <v/>
      </c>
      <c r="N556" s="5">
        <f>HYPERLINK("http://www.eum.go.kr/web/ar/lu/luLandDet.jsp?pnu=3611025032103830008&amp;isNoScr=script&amp;mode=search", "토지이음")</f>
        <v/>
      </c>
      <c r="O556" s="3" t="inlineStr">
        <is>
          <t>세종공감</t>
        </is>
      </c>
      <c r="P556" s="3" t="n">
        <v>1</v>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156</v>
      </c>
      <c r="K557" s="3" t="inlineStr">
        <is>
          <t>세종시 홍익대 고려대 홍익대정책연구원 인근</t>
        </is>
      </c>
      <c r="L557" s="5">
        <f>HYPERLINK("https://fin.land.naver.com/articles/2647867345", "매물Link")</f>
        <v/>
      </c>
      <c r="M557" s="5">
        <f>HYPERLINK("https://map.naver.com/p/search/조치원읍 신안리 384-2", "지도Link")</f>
        <v/>
      </c>
      <c r="N557" s="5">
        <f>HYPERLINK("http://www.eum.go.kr/web/ar/lu/luLandDet.jsp?pnu=3611025032103840002&amp;isNoScr=script&amp;mode=search", "토지이음")</f>
        <v/>
      </c>
      <c r="O557" s="3" t="inlineStr">
        <is>
          <t>서울(단지내)</t>
        </is>
      </c>
      <c r="P557" s="3" t="n">
        <v>1</v>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493</v>
      </c>
      <c r="K558" s="3" t="inlineStr">
        <is>
          <t>홍익대학교 원룸 다가구매매.수익률잘나옴.</t>
        </is>
      </c>
      <c r="L558" s="5">
        <f>HYPERLINK("https://fin.land.naver.com/articles/2644111033", "매물Link")</f>
        <v/>
      </c>
      <c r="M558" s="5">
        <f>HYPERLINK("https://map.naver.com/p/search/조치원읍 신안리 385-12", "지도Link")</f>
        <v/>
      </c>
      <c r="N558" s="5">
        <f>HYPERLINK("http://www.eum.go.kr/web/ar/lu/luLandDet.jsp?pnu=3611025032103850012&amp;isNoScr=script&amp;mode=search", "토지이음")</f>
        <v/>
      </c>
      <c r="O558" s="3" t="inlineStr">
        <is>
          <t>바다</t>
        </is>
      </c>
      <c r="P558" s="3" t="n">
        <v>1</v>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493</v>
      </c>
      <c r="K559" s="3" t="inlineStr">
        <is>
          <t>nan</t>
        </is>
      </c>
      <c r="L559" s="5">
        <f>HYPERLINK("https://fin.land.naver.com/articles/2645783015", "매물Link")</f>
        <v/>
      </c>
      <c r="M559" s="5">
        <f>HYPERLINK("https://map.naver.com/p/search/조치원읍 신안리 385-12", "지도Link")</f>
        <v/>
      </c>
      <c r="N559" s="5">
        <f>HYPERLINK("http://www.eum.go.kr/web/ar/lu/luLandDet.jsp?pnu=3611025032103850012&amp;isNoScr=script&amp;mode=search", "토지이음")</f>
        <v/>
      </c>
      <c r="O559" s="3" t="inlineStr">
        <is>
          <t>척척</t>
        </is>
      </c>
      <c r="P559" s="3" t="n">
        <v>1</v>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493</v>
      </c>
      <c r="K560" s="3" t="inlineStr">
        <is>
          <t>홍익대학교, 고려대학교 후문쪽 위치, 공실없음</t>
        </is>
      </c>
      <c r="L560" s="5">
        <f>HYPERLINK("https://fin.land.naver.com/articles/2647247647", "매물Link")</f>
        <v/>
      </c>
      <c r="M560" s="5">
        <f>HYPERLINK("https://map.naver.com/p/search/조치원읍 신안리 385-12", "지도Link")</f>
        <v/>
      </c>
      <c r="N560" s="5">
        <f>HYPERLINK("http://www.eum.go.kr/web/ar/lu/luLandDet.jsp?pnu=3611025032103850012&amp;isNoScr=script&amp;mode=search", "토지이음")</f>
        <v/>
      </c>
      <c r="O560" s="3" t="inlineStr">
        <is>
          <t>세종공감</t>
        </is>
      </c>
      <c r="P560" s="3" t="n">
        <v>1</v>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26</v>
      </c>
      <c r="K561" s="3" t="inlineStr">
        <is>
          <t>보증금과 월세가 저렴하고 넓은 방, 고려대, 홍익대 인근임</t>
        </is>
      </c>
      <c r="L561" s="5">
        <f>HYPERLINK("https://fin.land.naver.com/articles/2648513014", "매물Link")</f>
        <v/>
      </c>
      <c r="M561" s="5">
        <f>HYPERLINK("https://map.naver.com/p/search/조치원읍 신안리 386", "지도Link")</f>
        <v/>
      </c>
      <c r="N561" s="5">
        <f>HYPERLINK("http://www.eum.go.kr/web/ar/lu/luLandDet.jsp?pnu=3611025032103860000&amp;isNoScr=script&amp;mode=search", "토지이음")</f>
        <v/>
      </c>
      <c r="O561" s="3" t="inlineStr">
        <is>
          <t>세종베스트</t>
        </is>
      </c>
      <c r="P561" s="3" t="n">
        <v>1</v>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594</v>
      </c>
      <c r="K562" s="3" t="inlineStr">
        <is>
          <t>고대홍대 매년 공실X 수익율 좋은 다가구</t>
        </is>
      </c>
      <c r="L562" s="5">
        <f>HYPERLINK("https://fin.land.naver.com/articles/2645237870", "매물Link")</f>
        <v/>
      </c>
      <c r="M562" s="5">
        <f>HYPERLINK("https://map.naver.com/p/search/조치원읍 신안리 387-5", "지도Link")</f>
        <v/>
      </c>
      <c r="N562" s="5">
        <f>HYPERLINK("http://www.eum.go.kr/web/ar/lu/luLandDet.jsp?pnu=3611025032103870005&amp;isNoScr=script&amp;mode=search", "토지이음")</f>
        <v/>
      </c>
      <c r="O562" s="3" t="inlineStr">
        <is>
          <t>무지개</t>
        </is>
      </c>
      <c r="P562" s="3" t="n">
        <v>1</v>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594</v>
      </c>
      <c r="K563" s="3" t="inlineStr">
        <is>
          <t>고대와 홍대사이의 인기있는 원룸으로 공실없음</t>
        </is>
      </c>
      <c r="L563" s="5">
        <f>HYPERLINK("https://fin.land.naver.com/articles/2647249766", "매물Link")</f>
        <v/>
      </c>
      <c r="M563" s="5">
        <f>HYPERLINK("https://map.naver.com/p/search/조치원읍 신안리 387-5", "지도Link")</f>
        <v/>
      </c>
      <c r="N563" s="5">
        <f>HYPERLINK("http://www.eum.go.kr/web/ar/lu/luLandDet.jsp?pnu=3611025032103870005&amp;isNoScr=script&amp;mode=search", "토지이음")</f>
        <v/>
      </c>
      <c r="O563" s="3" t="inlineStr">
        <is>
          <t>세종공감</t>
        </is>
      </c>
      <c r="P563" s="3" t="n">
        <v>1</v>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25</v>
      </c>
      <c r="K564" s="3" t="inlineStr">
        <is>
          <t>공실 즉시입주 1층 주차장 있는 집</t>
        </is>
      </c>
      <c r="L564" s="5">
        <f>HYPERLINK("https://fin.land.naver.com/articles/2649956504", "매물Link")</f>
        <v/>
      </c>
      <c r="M564" s="5">
        <f>HYPERLINK("https://map.naver.com/p/search/조치원읍 신안리 388", "지도Link")</f>
        <v/>
      </c>
      <c r="N564" s="5">
        <f>HYPERLINK("http://www.eum.go.kr/web/ar/lu/luLandDet.jsp?pnu=3611025032103880000&amp;isNoScr=script&amp;mode=search", "토지이음")</f>
        <v/>
      </c>
      <c r="O564" s="3" t="inlineStr">
        <is>
          <t>부자터</t>
        </is>
      </c>
      <c r="P564" s="3" t="n">
        <v>1</v>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25</v>
      </c>
      <c r="K565" s="3" t="inlineStr">
        <is>
          <t>공과금 모두 포함하여 1달 15만원 추가비용없음</t>
        </is>
      </c>
      <c r="L565" s="5">
        <f>HYPERLINK("https://fin.land.naver.com/articles/2647185496", "매물Link")</f>
        <v/>
      </c>
      <c r="M565" s="5">
        <f>HYPERLINK("https://map.naver.com/p/search/조치원읍 신안리 389-8", "지도Link")</f>
        <v/>
      </c>
      <c r="N565" s="5">
        <f>HYPERLINK("http://www.eum.go.kr/web/ar/lu/luLandDet.jsp?pnu=3611025032103890008&amp;isNoScr=script&amp;mode=search", "토지이음")</f>
        <v/>
      </c>
      <c r="O565" s="3" t="inlineStr">
        <is>
          <t>부자터</t>
        </is>
      </c>
      <c r="P565" s="3" t="n">
        <v>1</v>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15</v>
      </c>
      <c r="K566" s="3" t="inlineStr">
        <is>
          <t>한달28만원에 공과금 모두 포함, 추가금 없음</t>
        </is>
      </c>
      <c r="L566" s="5">
        <f>HYPERLINK("https://fin.land.naver.com/articles/2648554234", "매물Link")</f>
        <v/>
      </c>
      <c r="M566" s="5">
        <f>HYPERLINK("https://map.naver.com/p/search/조치원읍 신안리 389-8", "지도Link")</f>
        <v/>
      </c>
      <c r="N566" s="5">
        <f>HYPERLINK("http://www.eum.go.kr/web/ar/lu/luLandDet.jsp?pnu=3611025032103890008&amp;isNoScr=script&amp;mode=search", "토지이음")</f>
        <v/>
      </c>
      <c r="O566" s="3" t="inlineStr">
        <is>
          <t>부자터</t>
        </is>
      </c>
      <c r="P566" s="3" t="n">
        <v>1</v>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13</v>
      </c>
      <c r="K567" s="3" t="inlineStr">
        <is>
          <t>출퇴근용으로 거주하기 좋은 저렴한 원룸단기가능모든공과금포함</t>
        </is>
      </c>
      <c r="L567" s="5">
        <f>HYPERLINK("https://fin.land.naver.com/articles/2647381579", "매물Link")</f>
        <v/>
      </c>
      <c r="M567" s="5">
        <f>HYPERLINK("https://map.naver.com/p/search/조치원읍 신안리 393-12", "지도Link")</f>
        <v/>
      </c>
      <c r="N567" s="5">
        <f>HYPERLINK("http://www.eum.go.kr/web/ar/lu/luLandDet.jsp?pnu=3611025032103930012&amp;isNoScr=script&amp;mode=search", "토지이음")</f>
        <v/>
      </c>
      <c r="O567" s="3" t="inlineStr">
        <is>
          <t>무지개</t>
        </is>
      </c>
      <c r="P567" s="3" t="n">
        <v>1</v>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25</v>
      </c>
      <c r="K568" s="3" t="inlineStr">
        <is>
          <t>음식점, 편의점, 버스정류장도 가까운 곳에 있는 집</t>
        </is>
      </c>
      <c r="L568" s="5">
        <f>HYPERLINK("https://fin.land.naver.com/articles/2649956802", "매물Link")</f>
        <v/>
      </c>
      <c r="M568" s="5">
        <f>HYPERLINK("https://map.naver.com/p/search/조치원읍 신안리 394-12", "지도Link")</f>
        <v/>
      </c>
      <c r="N568" s="5">
        <f>HYPERLINK("http://www.eum.go.kr/web/ar/lu/luLandDet.jsp?pnu=3611025032103940012&amp;isNoScr=script&amp;mode=search", "토지이음")</f>
        <v/>
      </c>
      <c r="O568" s="3" t="inlineStr">
        <is>
          <t>부자터</t>
        </is>
      </c>
      <c r="P568" s="3" t="n">
        <v>1</v>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328</v>
      </c>
      <c r="K569" s="3" t="inlineStr">
        <is>
          <t>수익률 10 년수익 5,145만원 원룸 통매매</t>
        </is>
      </c>
      <c r="L569" s="5">
        <f>HYPERLINK("https://fin.land.naver.com/articles/2648570400", "매물Link")</f>
        <v/>
      </c>
      <c r="M569" s="5">
        <f>HYPERLINK("https://map.naver.com/p/search/조치원읍 신안리 394-35", "지도Link")</f>
        <v/>
      </c>
      <c r="N569" s="5">
        <f>HYPERLINK("http://www.eum.go.kr/web/ar/lu/luLandDet.jsp?pnu=3611025032103940035&amp;isNoScr=script&amp;mode=search", "토지이음")</f>
        <v/>
      </c>
      <c r="O569" s="3" t="inlineStr">
        <is>
          <t>고래</t>
        </is>
      </c>
      <c r="P569" s="3" t="n">
        <v>1</v>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20</v>
      </c>
      <c r="K570" s="3" t="inlineStr">
        <is>
          <t>귀한 원룸 전세매물</t>
        </is>
      </c>
      <c r="L570" s="5">
        <f>HYPERLINK("https://fin.land.naver.com/articles/2649956631", "매물Link")</f>
        <v/>
      </c>
      <c r="M570" s="5">
        <f>HYPERLINK("https://map.naver.com/p/search/조치원읍 신안리 394-38", "지도Link")</f>
        <v/>
      </c>
      <c r="N570" s="5">
        <f>HYPERLINK("http://www.eum.go.kr/web/ar/lu/luLandDet.jsp?pnu=3611025032103940038&amp;isNoScr=script&amp;mode=search", "토지이음")</f>
        <v/>
      </c>
      <c r="O570" s="3" t="inlineStr">
        <is>
          <t>부자터</t>
        </is>
      </c>
      <c r="P570" s="3" t="n">
        <v>1</v>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329</v>
      </c>
      <c r="K571" s="3" t="inlineStr">
        <is>
          <t>수익률8프로대,총세대수18가구,연세계약,공실없음</t>
        </is>
      </c>
      <c r="L571" s="5">
        <f>HYPERLINK("https://fin.land.naver.com/articles/2644625360", "매물Link")</f>
        <v/>
      </c>
      <c r="M571" s="5">
        <f>HYPERLINK("https://map.naver.com/p/search/조치원읍 신안리 394-38", "지도Link")</f>
        <v/>
      </c>
      <c r="N571" s="5">
        <f>HYPERLINK("http://www.eum.go.kr/web/ar/lu/luLandDet.jsp?pnu=3611025032103940038&amp;isNoScr=script&amp;mode=search", "토지이음")</f>
        <v/>
      </c>
      <c r="O571" s="3" t="inlineStr">
        <is>
          <t>오송올래</t>
        </is>
      </c>
      <c r="P571" s="3" t="n">
        <v>1</v>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23</v>
      </c>
      <c r="K572" s="3" t="inlineStr">
        <is>
          <t>심플하고 예쁜방 풀옵션완비  바로입주 짐만 가져오세요  전동 전의면10분</t>
        </is>
      </c>
      <c r="L572" s="5">
        <f>HYPERLINK("https://fin.land.naver.com/articles/2649995608", "매물Link")</f>
        <v/>
      </c>
      <c r="M572" s="5">
        <f>HYPERLINK("https://map.naver.com/p/search/조치원읍 신안리 394-8", "지도Link")</f>
        <v/>
      </c>
      <c r="N572" s="5">
        <f>HYPERLINK("http://www.eum.go.kr/web/ar/lu/luLandDet.jsp?pnu=3611025032103940008&amp;isNoScr=script&amp;mode=search", "토지이음")</f>
        <v/>
      </c>
      <c r="O572" s="3" t="inlineStr">
        <is>
          <t>연서으뜸</t>
        </is>
      </c>
      <c r="P572" s="3" t="n">
        <v>1</v>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329</v>
      </c>
      <c r="K573" s="3" t="inlineStr">
        <is>
          <t>수익율 최고 18세대, 연 9.5 프로 수익율,  관리상태 최상급</t>
        </is>
      </c>
      <c r="L573" s="5">
        <f>HYPERLINK("https://fin.land.naver.com/articles/2649567909", "매물Link")</f>
        <v/>
      </c>
      <c r="M573" s="5">
        <f>HYPERLINK("https://map.naver.com/p/search/조치원읍 신안리 394-8", "지도Link")</f>
        <v/>
      </c>
      <c r="N573" s="5">
        <f>HYPERLINK("http://www.eum.go.kr/web/ar/lu/luLandDet.jsp?pnu=3611025032103940008&amp;isNoScr=script&amp;mode=search", "토지이음")</f>
        <v/>
      </c>
      <c r="O573" s="3" t="inlineStr">
        <is>
          <t>기흥역미래</t>
        </is>
      </c>
      <c r="P573" s="3" t="n">
        <v>1</v>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397</v>
      </c>
      <c r="K574" s="3" t="inlineStr">
        <is>
          <t>후문앞. 공실없는 원룸건물. 관리잘됨</t>
        </is>
      </c>
      <c r="L574" s="5">
        <f>HYPERLINK("https://fin.land.naver.com/articles/2644110570", "매물Link")</f>
        <v/>
      </c>
      <c r="M574" s="5">
        <f>HYPERLINK("https://map.naver.com/p/search/조치원읍 신안리 445-9", "지도Link")</f>
        <v/>
      </c>
      <c r="N574" s="5">
        <f>HYPERLINK("http://www.eum.go.kr/web/ar/lu/luLandDet.jsp?pnu=3611025032104450009&amp;isNoScr=script&amp;mode=search", "토지이음")</f>
        <v/>
      </c>
      <c r="O574" s="3" t="inlineStr">
        <is>
          <t>바다</t>
        </is>
      </c>
      <c r="P574" s="3" t="n">
        <v>1</v>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397</v>
      </c>
      <c r="K575" s="3" t="inlineStr">
        <is>
          <t>홍대 후문 1분 거리로 선호하는 위치,수익률 좋고 투자 비용 낮음</t>
        </is>
      </c>
      <c r="L575" s="5">
        <f>HYPERLINK("https://fin.land.naver.com/articles/2643931071", "매물Link")</f>
        <v/>
      </c>
      <c r="M575" s="5">
        <f>HYPERLINK("https://map.naver.com/p/search/조치원읍 신안리 445-9", "지도Link")</f>
        <v/>
      </c>
      <c r="N575" s="5">
        <f>HYPERLINK("http://www.eum.go.kr/web/ar/lu/luLandDet.jsp?pnu=3611025032104450009&amp;isNoScr=script&amp;mode=search", "토지이음")</f>
        <v/>
      </c>
      <c r="O575" s="3" t="inlineStr">
        <is>
          <t>유정희</t>
        </is>
      </c>
      <c r="P575" s="3" t="n">
        <v>1</v>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55</v>
      </c>
      <c r="K576" s="3" t="inlineStr">
        <is>
          <t>일부리모델링 됨. 이사협의 가능. 도배.장판 새로.깨끗한 호실.</t>
        </is>
      </c>
      <c r="L576" s="5">
        <f>HYPERLINK("https://fin.land.naver.com/articles/2648775732", "매물Link")</f>
        <v/>
      </c>
      <c r="M576" s="5">
        <f>HYPERLINK("https://map.naver.com/p/search/조치원읍 신흥리 17-2", "지도Link")</f>
        <v/>
      </c>
      <c r="N576" s="5">
        <f>HYPERLINK("http://www.eum.go.kr/web/ar/lu/luLandDet.jsp?pnu=3611025029100170002&amp;isNoScr=script&amp;mode=search", "토지이음")</f>
        <v/>
      </c>
      <c r="O576" s="3" t="inlineStr">
        <is>
          <t>굿모닝</t>
        </is>
      </c>
      <c r="P576" s="3" t="n">
        <v>1</v>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73</v>
      </c>
      <c r="K577" s="3" t="inlineStr">
        <is>
          <t>신흥리 위치 좋은 곳 단독주택</t>
        </is>
      </c>
      <c r="L577" s="5">
        <f>HYPERLINK("https://fin.land.naver.com/articles/2647576467", "매물Link")</f>
        <v/>
      </c>
      <c r="M577" s="5">
        <f>HYPERLINK("https://map.naver.com/p/search/조치원읍 신흥리 26-1", "지도Link")</f>
        <v/>
      </c>
      <c r="N577" s="5">
        <f>HYPERLINK("http://www.eum.go.kr/web/ar/lu/luLandDet.jsp?pnu=3611025029100260001&amp;isNoScr=script&amp;mode=search", "토지이음")</f>
        <v/>
      </c>
      <c r="O577" s="3" t="inlineStr">
        <is>
          <t>KB세종</t>
        </is>
      </c>
      <c r="P577" s="3" t="n">
        <v>1</v>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70</v>
      </c>
      <c r="K578" s="3" t="inlineStr">
        <is>
          <t>토지 가치가 돋보이는 주택입니다</t>
        </is>
      </c>
      <c r="L578" s="5">
        <f>HYPERLINK("https://fin.land.naver.com/articles/2647355842", "매물Link")</f>
        <v/>
      </c>
      <c r="M578" s="5">
        <f>HYPERLINK("https://map.naver.com/p/search/조치원읍 신흥리 63-10", "지도Link")</f>
        <v/>
      </c>
      <c r="N578" s="5">
        <f>HYPERLINK("http://www.eum.go.kr/web/ar/lu/luLandDet.jsp?pnu=3611025029100630010&amp;isNoScr=script&amp;mode=search", "토지이음")</f>
        <v/>
      </c>
      <c r="O578" s="3" t="inlineStr">
        <is>
          <t>캠퍼스</t>
        </is>
      </c>
      <c r="P578" s="3" t="n">
        <v>1</v>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139</v>
      </c>
      <c r="K579" s="3" t="inlineStr">
        <is>
          <t>소형 상가주택매매,장사하시면서 거주하시기 좋아요.</t>
        </is>
      </c>
      <c r="L579" s="5">
        <f>HYPERLINK("https://fin.land.naver.com/articles/2647881780", "매물Link")</f>
        <v/>
      </c>
      <c r="M579" s="5">
        <f>HYPERLINK("https://map.naver.com/p/search/조치원읍 원리 15-9", "지도Link")</f>
        <v/>
      </c>
      <c r="N579" s="5">
        <f>HYPERLINK("http://www.eum.go.kr/web/ar/lu/luLandDet.jsp?pnu=3611025021100150009&amp;isNoScr=script&amp;mode=search", "토지이음")</f>
        <v/>
      </c>
      <c r="O579" s="3" t="inlineStr">
        <is>
          <t>이음 사무소</t>
        </is>
      </c>
      <c r="P579" s="3" t="n">
        <v>1</v>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139</v>
      </c>
      <c r="K580" s="3" t="inlineStr">
        <is>
          <t>원리 서독안경원 골목 먹자골목내 자기상가하면서 거주하실분 추천</t>
        </is>
      </c>
      <c r="L580" s="5">
        <f>HYPERLINK("https://fin.land.naver.com/articles/2646830435", "매물Link")</f>
        <v/>
      </c>
      <c r="M580" s="5">
        <f>HYPERLINK("https://map.naver.com/p/search/조치원읍 원리 15-9", "지도Link")</f>
        <v/>
      </c>
      <c r="N580" s="5">
        <f>HYPERLINK("http://www.eum.go.kr/web/ar/lu/luLandDet.jsp?pnu=3611025021100150009&amp;isNoScr=script&amp;mode=search", "토지이음")</f>
        <v/>
      </c>
      <c r="O580" s="3" t="inlineStr">
        <is>
          <t>OK수</t>
        </is>
      </c>
      <c r="P580" s="3" t="n">
        <v>1</v>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360</v>
      </c>
      <c r="K581" s="3" t="inlineStr">
        <is>
          <t>조치원역 회전교차로 인근 최상위치</t>
        </is>
      </c>
      <c r="L581" s="5">
        <f>HYPERLINK("https://fin.land.naver.com/articles/2645226980", "매물Link")</f>
        <v/>
      </c>
      <c r="M581" s="5">
        <f>HYPERLINK("https://map.naver.com/p/search/조치원읍 원리 9-29", "지도Link")</f>
        <v/>
      </c>
      <c r="N581" s="5">
        <f>HYPERLINK("http://www.eum.go.kr/web/ar/lu/luLandDet.jsp?pnu=3611025021100090029&amp;isNoScr=script&amp;mode=search", "토지이음")</f>
        <v/>
      </c>
      <c r="O581" s="3" t="inlineStr">
        <is>
          <t>OK수</t>
        </is>
      </c>
      <c r="P581" s="3" t="n">
        <v>1</v>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11</v>
      </c>
      <c r="K582" s="3" t="inlineStr">
        <is>
          <t>정리 조치원역 2분  깨끗한 원룸입니다</t>
        </is>
      </c>
      <c r="L582" s="5">
        <f>HYPERLINK("https://fin.land.naver.com/articles/2649986088", "매물Link")</f>
        <v/>
      </c>
      <c r="M582" s="5">
        <f>HYPERLINK("https://map.naver.com/p/search/조치원읍 정리 112", "지도Link")</f>
        <v/>
      </c>
      <c r="N582" s="5">
        <f>HYPERLINK("http://www.eum.go.kr/web/ar/lu/luLandDet.jsp?pnu=3611025025101120000&amp;isNoScr=script&amp;mode=search", "토지이음")</f>
        <v/>
      </c>
      <c r="O582" s="3" t="inlineStr">
        <is>
          <t>OK수</t>
        </is>
      </c>
      <c r="P582" s="3" t="n">
        <v>1</v>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22</v>
      </c>
      <c r="K583" s="3" t="inlineStr">
        <is>
          <t>공실이라 즉시입주 가능한 분리형 원룸</t>
        </is>
      </c>
      <c r="L583" s="5">
        <f>HYPERLINK("https://fin.land.naver.com/articles/2648997531", "매물Link")</f>
        <v/>
      </c>
      <c r="M583" s="5">
        <f>HYPERLINK("https://map.naver.com/p/search/조치원읍 죽림리 206-2", "지도Link")</f>
        <v/>
      </c>
      <c r="N583" s="5">
        <f>HYPERLINK("http://www.eum.go.kr/web/ar/lu/luLandDet.jsp?pnu=3611025030102060002&amp;isNoScr=script&amp;mode=search", "토지이음")</f>
        <v/>
      </c>
      <c r="O583" s="3" t="inlineStr">
        <is>
          <t>KB세종</t>
        </is>
      </c>
      <c r="P583" s="3" t="n">
        <v>1</v>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740</v>
      </c>
      <c r="K584" s="3" t="inlineStr">
        <is>
          <t>nan</t>
        </is>
      </c>
      <c r="L584" s="5">
        <f>HYPERLINK("https://fin.land.naver.com/articles/2648694246", "매물Link")</f>
        <v/>
      </c>
      <c r="M584" s="5">
        <f>HYPERLINK("https://map.naver.com/p/search/조치원읍 죽림리 333-3", "지도Link")</f>
        <v/>
      </c>
      <c r="N584" s="5">
        <f>HYPERLINK("http://www.eum.go.kr/web/ar/lu/luLandDet.jsp?pnu=3611025030103330003&amp;isNoScr=script&amp;mode=search", "토지이음")</f>
        <v/>
      </c>
      <c r="O584" s="3" t="inlineStr">
        <is>
          <t>가온마을</t>
        </is>
      </c>
      <c r="P584" s="3" t="n">
        <v>1</v>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693</v>
      </c>
      <c r="K585" s="3" t="inlineStr">
        <is>
          <t>o몽땅o수익률9프로</t>
        </is>
      </c>
      <c r="L585" s="5">
        <f>HYPERLINK("https://fin.land.naver.com/articles/2644377680", "매물Link")</f>
        <v/>
      </c>
      <c r="M585" s="5">
        <f>HYPERLINK("https://map.naver.com/p/search/조치원읍 죽림리 338-2", "지도Link")</f>
        <v/>
      </c>
      <c r="N585" s="5">
        <f>HYPERLINK("http://www.eum.go.kr/web/ar/lu/luLandDet.jsp?pnu=3611025030103380002&amp;isNoScr=script&amp;mode=search", "토지이음")</f>
        <v/>
      </c>
      <c r="O585" s="3" t="inlineStr">
        <is>
          <t>세종몽땅</t>
        </is>
      </c>
      <c r="P585" s="3" t="n">
        <v>1</v>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693</v>
      </c>
      <c r="K586" s="3" t="inlineStr">
        <is>
          <t>nan</t>
        </is>
      </c>
      <c r="L586" s="5">
        <f>HYPERLINK("https://fin.land.naver.com/articles/2645781590", "매물Link")</f>
        <v/>
      </c>
      <c r="M586" s="5">
        <f>HYPERLINK("https://map.naver.com/p/search/조치원읍 죽림리 338-2", "지도Link")</f>
        <v/>
      </c>
      <c r="N586" s="5">
        <f>HYPERLINK("http://www.eum.go.kr/web/ar/lu/luLandDet.jsp?pnu=3611025030103380002&amp;isNoScr=script&amp;mode=search", "토지이음")</f>
        <v/>
      </c>
      <c r="O586" s="3" t="inlineStr">
        <is>
          <t>척척</t>
        </is>
      </c>
      <c r="P586" s="3" t="n">
        <v>1</v>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3" t="inlineStr">
        <is>
          <t>nan</t>
        </is>
      </c>
      <c r="L587" s="5">
        <f>HYPERLINK("https://fin.land.naver.com/articles/2647881030", "매물Link")</f>
        <v/>
      </c>
      <c r="M587" s="5">
        <f>HYPERLINK("https://map.naver.com/p/search/조치원읍 침산리 130-20", "지도Link")</f>
        <v/>
      </c>
      <c r="N587" s="5">
        <f>HYPERLINK("http://www.eum.go.kr/web/ar/lu/luLandDet.jsp?pnu=3611025028101300020&amp;isNoScr=script&amp;mode=search", "토지이음")</f>
        <v/>
      </c>
      <c r="O587" s="3" t="inlineStr">
        <is>
          <t>새둥지</t>
        </is>
      </c>
      <c r="P587" s="3" t="n">
        <v>1</v>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16</v>
      </c>
      <c r="K588" s="3" t="inlineStr">
        <is>
          <t>뉴리모델링O조치원역부근O모두새것O햇살가득</t>
        </is>
      </c>
      <c r="L588" s="5">
        <f>HYPERLINK("https://fin.land.naver.com/articles/2646886305", "매물Link")</f>
        <v/>
      </c>
      <c r="M588" s="5">
        <f>HYPERLINK("https://map.naver.com/p/search/조치원읍 침산리 132-2", "지도Link")</f>
        <v/>
      </c>
      <c r="N588" s="5">
        <f>HYPERLINK("http://www.eum.go.kr/web/ar/lu/luLandDet.jsp?pnu=3611025028101320002&amp;isNoScr=script&amp;mode=search", "토지이음")</f>
        <v/>
      </c>
      <c r="O588" s="3" t="inlineStr">
        <is>
          <t>척척</t>
        </is>
      </c>
      <c r="P588" s="3" t="n">
        <v>1</v>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144</v>
      </c>
      <c r="K589" s="3" t="inlineStr">
        <is>
          <t>조치원역 서쪽 4차선 도로접함 1층 상가 2층 주택이용하실분 추천</t>
        </is>
      </c>
      <c r="L589" s="5">
        <f>HYPERLINK("https://fin.land.naver.com/articles/2646832247", "매물Link")</f>
        <v/>
      </c>
      <c r="M589" s="5">
        <f>HYPERLINK("https://map.naver.com/p/search/조치원읍 침산리 144-9", "지도Link")</f>
        <v/>
      </c>
      <c r="N589" s="5">
        <f>HYPERLINK("http://www.eum.go.kr/web/ar/lu/luLandDet.jsp?pnu=3611025028101440009&amp;isNoScr=script&amp;mode=search", "토지이음")</f>
        <v/>
      </c>
      <c r="O589" s="3" t="inlineStr">
        <is>
          <t>OK수</t>
        </is>
      </c>
      <c r="P589" s="3" t="n">
        <v>1</v>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76</v>
      </c>
      <c r="K590" s="3" t="inlineStr">
        <is>
          <t>공실,역세권 빌라,막히지 않은 조망,방이 큰 빌라</t>
        </is>
      </c>
      <c r="L590" s="5">
        <f>HYPERLINK("https://fin.land.naver.com/articles/2647281789", "매물Link")</f>
        <v/>
      </c>
      <c r="M590" s="5">
        <f>HYPERLINK("https://map.naver.com/p/search/조치원읍 침산리 148-3", "지도Link")</f>
        <v/>
      </c>
      <c r="N590" s="5">
        <f>HYPERLINK("http://www.eum.go.kr/web/ar/lu/luLandDet.jsp?pnu=3611025028101480003&amp;isNoScr=script&amp;mode=search", "토지이음")</f>
        <v/>
      </c>
      <c r="O590" s="3" t="inlineStr">
        <is>
          <t>이천하이닉스사무소</t>
        </is>
      </c>
      <c r="P590" s="3" t="n">
        <v>1</v>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76</v>
      </c>
      <c r="K591" s="3" t="inlineStr">
        <is>
          <t>공실,귀한 전세,보증보험가능,방이 큰 빌라</t>
        </is>
      </c>
      <c r="L591" s="5">
        <f>HYPERLINK("https://fin.land.naver.com/articles/2645805671", "매물Link")</f>
        <v/>
      </c>
      <c r="M591" s="5">
        <f>HYPERLINK("https://map.naver.com/p/search/조치원읍 침산리 148-3", "지도Link")</f>
        <v/>
      </c>
      <c r="N591" s="5">
        <f>HYPERLINK("http://www.eum.go.kr/web/ar/lu/luLandDet.jsp?pnu=3611025028101480003&amp;isNoScr=script&amp;mode=search", "토지이음")</f>
        <v/>
      </c>
      <c r="O591" s="3" t="inlineStr">
        <is>
          <t>이천하이닉스사무소</t>
        </is>
      </c>
      <c r="P591" s="3" t="n">
        <v>1</v>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39</v>
      </c>
      <c r="K592" s="3" t="inlineStr">
        <is>
          <t>귀한 투룸.도도리파크앞.즉시입주 가능.</t>
        </is>
      </c>
      <c r="L592" s="5">
        <f>HYPERLINK("https://fin.land.naver.com/articles/2650140429", "매물Link")</f>
        <v/>
      </c>
      <c r="M592" s="5">
        <f>HYPERLINK("https://map.naver.com/p/search/조치원읍 침산리 219-5", "지도Link")</f>
        <v/>
      </c>
      <c r="N592" s="5">
        <f>HYPERLINK("http://www.eum.go.kr/web/ar/lu/luLandDet.jsp?pnu=3611025028102190005&amp;isNoScr=script&amp;mode=search", "토지이음")</f>
        <v/>
      </c>
      <c r="O592" s="3" t="inlineStr">
        <is>
          <t>척척</t>
        </is>
      </c>
      <c r="P592" s="3" t="n">
        <v>1</v>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39</v>
      </c>
      <c r="K593" s="3" t="inlineStr">
        <is>
          <t>침산리 조용한 투룸</t>
        </is>
      </c>
      <c r="L593" s="5">
        <f>HYPERLINK("https://fin.land.naver.com/articles/2650116041", "매물Link")</f>
        <v/>
      </c>
      <c r="M593" s="5">
        <f>HYPERLINK("https://map.naver.com/p/search/조치원읍 침산리 219-5", "지도Link")</f>
        <v/>
      </c>
      <c r="N593" s="5">
        <f>HYPERLINK("http://www.eum.go.kr/web/ar/lu/luLandDet.jsp?pnu=3611025028102190005&amp;isNoScr=script&amp;mode=search", "토지이음")</f>
        <v/>
      </c>
      <c r="O593" s="3" t="inlineStr">
        <is>
          <t>고래</t>
        </is>
      </c>
      <c r="P593" s="3" t="n">
        <v>1</v>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26</v>
      </c>
      <c r="K594" s="3" t="inlineStr">
        <is>
          <t>큰방2개 2룸</t>
        </is>
      </c>
      <c r="L594" s="5">
        <f>HYPERLINK("https://fin.land.naver.com/articles/2648309224", "매물Link")</f>
        <v/>
      </c>
      <c r="M594" s="5">
        <f>HYPERLINK("https://map.naver.com/p/search/조치원읍 침산리 251-6", "지도Link")</f>
        <v/>
      </c>
      <c r="N594" s="5">
        <f>HYPERLINK("http://www.eum.go.kr/web/ar/lu/luLandDet.jsp?pnu=3611025028102510006&amp;isNoScr=script&amp;mode=search", "토지이음")</f>
        <v/>
      </c>
      <c r="O594" s="3" t="inlineStr">
        <is>
          <t>척척</t>
        </is>
      </c>
      <c r="P594" s="3" t="n">
        <v>1</v>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39</v>
      </c>
      <c r="K595" s="3" t="inlineStr">
        <is>
          <t>침산리 투룸 월세 고려대 인접 상권 인프라 완벽한 화성타운</t>
        </is>
      </c>
      <c r="L595" s="5">
        <f>HYPERLINK("https://fin.land.naver.com/articles/2647479834", "매물Link")</f>
        <v/>
      </c>
      <c r="M595" s="5">
        <f>HYPERLINK("https://map.naver.com/p/search/조치원읍 침산리 251-6", "지도Link")</f>
        <v/>
      </c>
      <c r="N595" s="5">
        <f>HYPERLINK("http://www.eum.go.kr/web/ar/lu/luLandDet.jsp?pnu=3611025028102510006&amp;isNoScr=script&amp;mode=search", "토지이음")</f>
        <v/>
      </c>
      <c r="O595" s="3" t="inlineStr">
        <is>
          <t>번암주공</t>
        </is>
      </c>
      <c r="P595" s="3" t="n">
        <v>1</v>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3" t="inlineStr">
        <is>
          <t>nan</t>
        </is>
      </c>
      <c r="L596" s="5">
        <f>HYPERLINK("https://fin.land.naver.com/articles/2647831340", "매물Link")</f>
        <v/>
      </c>
      <c r="M596" s="5">
        <f>HYPERLINK("https://map.naver.com/p/search/조치원읍 침산리 251-6", "지도Link")</f>
        <v/>
      </c>
      <c r="N596" s="5">
        <f>HYPERLINK("http://www.eum.go.kr/web/ar/lu/luLandDet.jsp?pnu=3611025028102510006&amp;isNoScr=script&amp;mode=search", "토지이음")</f>
        <v/>
      </c>
      <c r="O596" s="3" t="inlineStr">
        <is>
          <t>한뜰금빛</t>
        </is>
      </c>
      <c r="P596" s="3" t="n">
        <v>1</v>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30</v>
      </c>
      <c r="K597" s="3" t="inlineStr">
        <is>
          <t>투룸 방2 월세</t>
        </is>
      </c>
      <c r="L597" s="5">
        <f>HYPERLINK("https://fin.land.naver.com/articles/2647861513", "매물Link")</f>
        <v/>
      </c>
      <c r="M597" s="5">
        <f>HYPERLINK("https://map.naver.com/p/search/조치원읍 침산리 251-6", "지도Link")</f>
        <v/>
      </c>
      <c r="N597" s="5">
        <f>HYPERLINK("http://www.eum.go.kr/web/ar/lu/luLandDet.jsp?pnu=3611025028102510006&amp;isNoScr=script&amp;mode=search", "토지이음")</f>
        <v/>
      </c>
      <c r="O597" s="3" t="inlineStr">
        <is>
          <t>김준희</t>
        </is>
      </c>
      <c r="P597" s="3" t="n">
        <v>1</v>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39</v>
      </c>
      <c r="K598" s="3" t="inlineStr">
        <is>
          <t>원룸 2개구조. 2인숙소 강추.</t>
        </is>
      </c>
      <c r="L598" s="5">
        <f>HYPERLINK("https://fin.land.naver.com/articles/2649229081", "매물Link")</f>
        <v/>
      </c>
      <c r="M598" s="5">
        <f>HYPERLINK("https://map.naver.com/p/search/조치원읍 침산리 255-4", "지도Link")</f>
        <v/>
      </c>
      <c r="N598" s="5">
        <f>HYPERLINK("http://www.eum.go.kr/web/ar/lu/luLandDet.jsp?pnu=3611025028102550004&amp;isNoScr=script&amp;mode=search", "토지이음")</f>
        <v/>
      </c>
      <c r="O598" s="3" t="inlineStr">
        <is>
          <t>척척</t>
        </is>
      </c>
      <c r="P598" s="3" t="n">
        <v>1</v>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33</v>
      </c>
      <c r="K599" s="3" t="inlineStr">
        <is>
          <t>화장실2개 에어컨 2개    2룸</t>
        </is>
      </c>
      <c r="L599" s="5">
        <f>HYPERLINK("https://fin.land.naver.com/articles/2649435819", "매물Link")</f>
        <v/>
      </c>
      <c r="M599" s="5">
        <f>HYPERLINK("https://map.naver.com/p/search/조치원읍 침산리 255-4", "지도Link")</f>
        <v/>
      </c>
      <c r="N599" s="5">
        <f>HYPERLINK("http://www.eum.go.kr/web/ar/lu/luLandDet.jsp?pnu=3611025028102550004&amp;isNoScr=script&amp;mode=search", "토지이음")</f>
        <v/>
      </c>
      <c r="O599" s="3" t="inlineStr">
        <is>
          <t>척척</t>
        </is>
      </c>
      <c r="P599" s="3" t="n">
        <v>1</v>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40</v>
      </c>
      <c r="K600" s="3" t="inlineStr">
        <is>
          <t>방2 화장실2</t>
        </is>
      </c>
      <c r="L600" s="5">
        <f>HYPERLINK("https://fin.land.naver.com/articles/2650123958", "매물Link")</f>
        <v/>
      </c>
      <c r="M600" s="5">
        <f>HYPERLINK("https://map.naver.com/p/search/조치원읍 침산리 255-4", "지도Link")</f>
        <v/>
      </c>
      <c r="N600" s="5">
        <f>HYPERLINK("http://www.eum.go.kr/web/ar/lu/luLandDet.jsp?pnu=3611025028102550004&amp;isNoScr=script&amp;mode=search", "토지이음")</f>
        <v/>
      </c>
      <c r="O600" s="3" t="inlineStr">
        <is>
          <t>김준희</t>
        </is>
      </c>
      <c r="P600" s="3" t="n">
        <v>1</v>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39</v>
      </c>
      <c r="K601" s="3" t="inlineStr">
        <is>
          <t>2개.귀한투룸.상권좋고. 즉시입주가능</t>
        </is>
      </c>
      <c r="L601" s="5">
        <f>HYPERLINK("https://fin.land.naver.com/articles/2646624768", "매물Link")</f>
        <v/>
      </c>
      <c r="M601" s="5">
        <f>HYPERLINK("https://map.naver.com/p/search/조치원읍 침산리 258-1", "지도Link")</f>
        <v/>
      </c>
      <c r="N601" s="5">
        <f>HYPERLINK("http://www.eum.go.kr/web/ar/lu/luLandDet.jsp?pnu=3611025028102580001&amp;isNoScr=script&amp;mode=search", "토지이음")</f>
        <v/>
      </c>
      <c r="O601" s="3" t="inlineStr">
        <is>
          <t>척척</t>
        </is>
      </c>
      <c r="P601" s="3" t="n">
        <v>1</v>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23</v>
      </c>
      <c r="K602" s="3" t="inlineStr">
        <is>
          <t>nan</t>
        </is>
      </c>
      <c r="L602" s="5">
        <f>HYPERLINK("https://fin.land.naver.com/articles/2649877584", "매물Link")</f>
        <v/>
      </c>
      <c r="M602" s="5">
        <f>HYPERLINK("https://map.naver.com/p/search/조치원읍 침산리 265-11", "지도Link")</f>
        <v/>
      </c>
      <c r="N602" s="5">
        <f>HYPERLINK("http://www.eum.go.kr/web/ar/lu/luLandDet.jsp?pnu=3611025028102650011&amp;isNoScr=script&amp;mode=search", "토지이음")</f>
        <v/>
      </c>
      <c r="O602" s="3" t="inlineStr">
        <is>
          <t>척척</t>
        </is>
      </c>
      <c r="P602" s="3" t="n">
        <v>1</v>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23</v>
      </c>
      <c r="K603" s="3" t="inlineStr">
        <is>
          <t>nan</t>
        </is>
      </c>
      <c r="L603" s="5">
        <f>HYPERLINK("https://fin.land.naver.com/articles/2648302133", "매물Link")</f>
        <v/>
      </c>
      <c r="M603" s="5">
        <f>HYPERLINK("https://map.naver.com/p/search/조치원읍 침산리 265-11", "지도Link")</f>
        <v/>
      </c>
      <c r="N603" s="5">
        <f>HYPERLINK("http://www.eum.go.kr/web/ar/lu/luLandDet.jsp?pnu=3611025028102650011&amp;isNoScr=script&amp;mode=search", "토지이음")</f>
        <v/>
      </c>
      <c r="O603" s="3" t="inlineStr">
        <is>
          <t>척척</t>
        </is>
      </c>
      <c r="P603" s="3" t="n">
        <v>1</v>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30</v>
      </c>
      <c r="K604" s="3" t="inlineStr">
        <is>
          <t>투베이 분리형 이사협의</t>
        </is>
      </c>
      <c r="L604" s="5">
        <f>HYPERLINK("https://fin.land.naver.com/articles/2648493335", "매물Link")</f>
        <v/>
      </c>
      <c r="M604" s="5">
        <f>HYPERLINK("https://map.naver.com/p/search/조치원읍 침산리 265-9", "지도Link")</f>
        <v/>
      </c>
      <c r="N604" s="5">
        <f>HYPERLINK("http://www.eum.go.kr/web/ar/lu/luLandDet.jsp?pnu=3611025028102650009&amp;isNoScr=script&amp;mode=search", "토지이음")</f>
        <v/>
      </c>
      <c r="O604" s="3" t="inlineStr">
        <is>
          <t>김준희</t>
        </is>
      </c>
      <c r="P604" s="3" t="n">
        <v>1</v>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473</v>
      </c>
      <c r="K605" s="3" t="inlineStr">
        <is>
          <t>nan</t>
        </is>
      </c>
      <c r="L605" s="5">
        <f>HYPERLINK("https://fin.land.naver.com/articles/2649229764", "매물Link")</f>
        <v/>
      </c>
      <c r="M605" s="5">
        <f>HYPERLINK("https://map.naver.com/p/search/조치원읍 침산리 266-12", "지도Link")</f>
        <v/>
      </c>
      <c r="N605" s="5">
        <f>HYPERLINK("http://www.eum.go.kr/web/ar/lu/luLandDet.jsp?pnu=3611025028102660012&amp;isNoScr=script&amp;mode=search", "토지이음")</f>
        <v/>
      </c>
      <c r="O605" s="3" t="inlineStr">
        <is>
          <t>김준희</t>
        </is>
      </c>
      <c r="P605" s="3" t="n">
        <v>1</v>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23</v>
      </c>
      <c r="K606" s="3" t="inlineStr">
        <is>
          <t>침산리 원룸 월세 보100 월30 관리비10</t>
        </is>
      </c>
      <c r="L606" s="5">
        <f>HYPERLINK("https://fin.land.naver.com/articles/2647838658", "매물Link")</f>
        <v/>
      </c>
      <c r="M606" s="5">
        <f>HYPERLINK("https://map.naver.com/p/search/조치원읍 침산리 267-11", "지도Link")</f>
        <v/>
      </c>
      <c r="N606" s="5">
        <f>HYPERLINK("http://www.eum.go.kr/web/ar/lu/luLandDet.jsp?pnu=3611025028102670011&amp;isNoScr=script&amp;mode=search", "토지이음")</f>
        <v/>
      </c>
      <c r="O606" s="3" t="inlineStr">
        <is>
          <t>김준희</t>
        </is>
      </c>
      <c r="P606" s="3" t="n">
        <v>1</v>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23</v>
      </c>
      <c r="K607" s="3" t="inlineStr">
        <is>
          <t>욱일앞 생활편의 시설 좋은 위치</t>
        </is>
      </c>
      <c r="L607" s="5">
        <f>HYPERLINK("https://fin.land.naver.com/articles/2648305935", "매물Link")</f>
        <v/>
      </c>
      <c r="M607" s="5">
        <f>HYPERLINK("https://map.naver.com/p/search/조치원읍 침산리 267-11", "지도Link")</f>
        <v/>
      </c>
      <c r="N607" s="5">
        <f>HYPERLINK("http://www.eum.go.kr/web/ar/lu/luLandDet.jsp?pnu=3611025028102670011&amp;isNoScr=script&amp;mode=search", "토지이음")</f>
        <v/>
      </c>
      <c r="O607" s="3" t="inlineStr">
        <is>
          <t>척척</t>
        </is>
      </c>
      <c r="P607" s="3" t="n">
        <v>1</v>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25</v>
      </c>
      <c r="K608" s="3" t="inlineStr">
        <is>
          <t>넓고 깔끔한 풀옵션 완비방  엘베는기본  주방분리  주차편함 바로입주</t>
        </is>
      </c>
      <c r="L608" s="5">
        <f>HYPERLINK("https://fin.land.naver.com/articles/2649569143", "매물Link")</f>
        <v/>
      </c>
      <c r="M608" s="5">
        <f>HYPERLINK("https://map.naver.com/p/search/조치원읍 침산리 267-7", "지도Link")</f>
        <v/>
      </c>
      <c r="N608" s="5">
        <f>HYPERLINK("http://www.eum.go.kr/web/ar/lu/luLandDet.jsp?pnu=3611025028102670007&amp;isNoScr=script&amp;mode=search", "토지이음")</f>
        <v/>
      </c>
      <c r="O608" s="3" t="inlineStr">
        <is>
          <t>연서으뜸</t>
        </is>
      </c>
      <c r="P608" s="3" t="n">
        <v>1</v>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370</v>
      </c>
      <c r="K609" s="3" t="inlineStr">
        <is>
          <t>관리잘됨. 공실 걱정 없는 곳. 역5분</t>
        </is>
      </c>
      <c r="L609" s="5">
        <f>HYPERLINK("https://fin.land.naver.com/articles/2644120482", "매물Link")</f>
        <v/>
      </c>
      <c r="M609" s="5">
        <f>HYPERLINK("https://map.naver.com/p/search/조치원읍 침산리 277-15", "지도Link")</f>
        <v/>
      </c>
      <c r="N609" s="5">
        <f>HYPERLINK("http://www.eum.go.kr/web/ar/lu/luLandDet.jsp?pnu=3611025028102770015&amp;isNoScr=script&amp;mode=search", "토지이음")</f>
        <v/>
      </c>
      <c r="O609" s="3" t="inlineStr">
        <is>
          <t>바다</t>
        </is>
      </c>
      <c r="P609" s="3" t="n">
        <v>1</v>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25</v>
      </c>
      <c r="K610" s="3" t="inlineStr">
        <is>
          <t>분리형원룸.즉시입주가능.</t>
        </is>
      </c>
      <c r="L610" s="5">
        <f>HYPERLINK("https://fin.land.naver.com/articles/2646875981", "매물Link")</f>
        <v/>
      </c>
      <c r="M610" s="5">
        <f>HYPERLINK("https://map.naver.com/p/search/조치원읍 침산리 277-15", "지도Link")</f>
        <v/>
      </c>
      <c r="N610" s="5">
        <f>HYPERLINK("http://www.eum.go.kr/web/ar/lu/luLandDet.jsp?pnu=3611025028102770015&amp;isNoScr=script&amp;mode=search", "토지이음")</f>
        <v/>
      </c>
      <c r="O610" s="3" t="inlineStr">
        <is>
          <t>이음</t>
        </is>
      </c>
      <c r="P610" s="3" t="n">
        <v>1</v>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459</v>
      </c>
      <c r="K611" s="3" t="inlineStr">
        <is>
          <t>nan</t>
        </is>
      </c>
      <c r="L611" s="5">
        <f>HYPERLINK("https://fin.land.naver.com/articles/2645776356", "매물Link")</f>
        <v/>
      </c>
      <c r="M611" s="5">
        <f>HYPERLINK("https://map.naver.com/p/search/조치원읍 침산리 278-11", "지도Link")</f>
        <v/>
      </c>
      <c r="N611" s="5">
        <f>HYPERLINK("http://www.eum.go.kr/web/ar/lu/luLandDet.jsp?pnu=3611025028102780011&amp;isNoScr=script&amp;mode=search", "토지이음")</f>
        <v/>
      </c>
      <c r="O611" s="3" t="inlineStr">
        <is>
          <t>척척</t>
        </is>
      </c>
      <c r="P611" s="3" t="n">
        <v>1</v>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20</v>
      </c>
      <c r="K612" s="3" t="inlineStr">
        <is>
          <t>L 역5분. 분리형원룸. 풀옵션. 즉시입주가능</t>
        </is>
      </c>
      <c r="L612" s="5">
        <f>HYPERLINK("https://fin.land.naver.com/articles/2650104336", "매물Link")</f>
        <v/>
      </c>
      <c r="M612" s="5">
        <f>HYPERLINK("https://map.naver.com/p/search/조치원읍 침산리 279-1", "지도Link")</f>
        <v/>
      </c>
      <c r="N612" s="5">
        <f>HYPERLINK("http://www.eum.go.kr/web/ar/lu/luLandDet.jsp?pnu=3611025028102790001&amp;isNoScr=script&amp;mode=search", "토지이음")</f>
        <v/>
      </c>
      <c r="O612" s="3" t="inlineStr">
        <is>
          <t>바다</t>
        </is>
      </c>
      <c r="P612" s="3" t="n">
        <v>1</v>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25</v>
      </c>
      <c r="K613" s="3" t="inlineStr">
        <is>
          <t>1.5룸 9월말 이후 입주가능 관리비포함 금액</t>
        </is>
      </c>
      <c r="L613" s="5">
        <f>HYPERLINK("https://fin.land.naver.com/articles/2650183787", "매물Link")</f>
        <v/>
      </c>
      <c r="M613" s="5">
        <f>HYPERLINK("https://map.naver.com/p/search/조치원읍 침산리 279-1", "지도Link")</f>
        <v/>
      </c>
      <c r="N613" s="5">
        <f>HYPERLINK("http://www.eum.go.kr/web/ar/lu/luLandDet.jsp?pnu=3611025028102790001&amp;isNoScr=script&amp;mode=search", "토지이음")</f>
        <v/>
      </c>
      <c r="O613" s="3" t="inlineStr">
        <is>
          <t>욱일</t>
        </is>
      </c>
      <c r="P613" s="3" t="n">
        <v>1</v>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545</v>
      </c>
      <c r="K614" s="3" t="inlineStr">
        <is>
          <t>다가주주택 연수익률 8%</t>
        </is>
      </c>
      <c r="L614" s="5">
        <f>HYPERLINK("https://fin.land.naver.com/articles/2649673971", "매물Link")</f>
        <v/>
      </c>
      <c r="M614" s="5">
        <f>HYPERLINK("https://map.naver.com/p/search/조치원읍 침산리 279-15", "지도Link")</f>
        <v/>
      </c>
      <c r="N614" s="5">
        <f>HYPERLINK("http://www.eum.go.kr/web/ar/lu/luLandDet.jsp?pnu=3611025028102790015&amp;isNoScr=script&amp;mode=search", "토지이음")</f>
        <v/>
      </c>
      <c r="O614" s="3" t="inlineStr">
        <is>
          <t>세종베스트</t>
        </is>
      </c>
      <c r="P614" s="3" t="n">
        <v>1</v>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18</v>
      </c>
      <c r="K615" s="3" t="inlineStr">
        <is>
          <t>시원하고 따뜻한집전기가스30절감 깔끔한집</t>
        </is>
      </c>
      <c r="L615" s="5">
        <f>HYPERLINK("https://fin.land.naver.com/articles/2649080565", "매물Link")</f>
        <v/>
      </c>
      <c r="M615" s="5">
        <f>HYPERLINK("https://map.naver.com/p/search/조치원읍 침산리 279-16", "지도Link")</f>
        <v/>
      </c>
      <c r="N615" s="5">
        <f>HYPERLINK("http://www.eum.go.kr/web/ar/lu/luLandDet.jsp?pnu=3611025028102790016&amp;isNoScr=script&amp;mode=search", "토지이음")</f>
        <v/>
      </c>
      <c r="O615" s="3" t="inlineStr">
        <is>
          <t>마이룸</t>
        </is>
      </c>
      <c r="P615" s="3" t="n">
        <v>1</v>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504</v>
      </c>
      <c r="K616" s="3" t="inlineStr">
        <is>
          <t>nan</t>
        </is>
      </c>
      <c r="L616" s="5">
        <f>HYPERLINK("https://fin.land.naver.com/articles/2645775884", "매물Link")</f>
        <v/>
      </c>
      <c r="M616" s="5">
        <f>HYPERLINK("https://map.naver.com/p/search/조치원읍 침산리 280-5", "지도Link")</f>
        <v/>
      </c>
      <c r="N616" s="5">
        <f>HYPERLINK("http://www.eum.go.kr/web/ar/lu/luLandDet.jsp?pnu=3611025028102800005&amp;isNoScr=script&amp;mode=search", "토지이음")</f>
        <v/>
      </c>
      <c r="O616" s="3" t="inlineStr">
        <is>
          <t>척척</t>
        </is>
      </c>
      <c r="P616" s="3" t="n">
        <v>1</v>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24</v>
      </c>
      <c r="K617" s="3" t="inlineStr">
        <is>
          <t>인기좋은  풀옵션완비방   깔끔한 주거공간  넓은 수납공간  주차편함</t>
        </is>
      </c>
      <c r="L617" s="5">
        <f>HYPERLINK("https://fin.land.naver.com/articles/2649858777", "매물Link")</f>
        <v/>
      </c>
      <c r="M617" s="5">
        <f>HYPERLINK("https://map.naver.com/p/search/조치원읍 침산리 283-12", "지도Link")</f>
        <v/>
      </c>
      <c r="N617" s="5">
        <f>HYPERLINK("http://www.eum.go.kr/web/ar/lu/luLandDet.jsp?pnu=3611025028102830012&amp;isNoScr=script&amp;mode=search", "토지이음")</f>
        <v/>
      </c>
      <c r="O617" s="3" t="inlineStr">
        <is>
          <t>연서으뜸</t>
        </is>
      </c>
      <c r="P617" s="3" t="n">
        <v>1</v>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25</v>
      </c>
      <c r="K618" s="3" t="inlineStr">
        <is>
          <t>넓고 깔끔한  풀옵션 완비방  주방분리  짐만 가져오세요  바로입주</t>
        </is>
      </c>
      <c r="L618" s="5">
        <f>HYPERLINK("https://fin.land.naver.com/articles/2648568156", "매물Link")</f>
        <v/>
      </c>
      <c r="M618" s="5">
        <f>HYPERLINK("https://map.naver.com/p/search/조치원읍 침산리 283-16", "지도Link")</f>
        <v/>
      </c>
      <c r="N618" s="5">
        <f>HYPERLINK("http://www.eum.go.kr/web/ar/lu/luLandDet.jsp?pnu=3611025028102830016&amp;isNoScr=script&amp;mode=search", "토지이음")</f>
        <v/>
      </c>
      <c r="O618" s="3" t="inlineStr">
        <is>
          <t>연서으뜸</t>
        </is>
      </c>
      <c r="P618" s="3" t="n">
        <v>1</v>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440</v>
      </c>
      <c r="K619" s="3" t="inlineStr">
        <is>
          <t>nan</t>
        </is>
      </c>
      <c r="L619" s="5">
        <f>HYPERLINK("https://fin.land.naver.com/articles/2645775408", "매물Link")</f>
        <v/>
      </c>
      <c r="M619" s="5">
        <f>HYPERLINK("https://map.naver.com/p/search/조치원읍 침산리 283-16", "지도Link")</f>
        <v/>
      </c>
      <c r="N619" s="5">
        <f>HYPERLINK("http://www.eum.go.kr/web/ar/lu/luLandDet.jsp?pnu=3611025028102830016&amp;isNoScr=script&amp;mode=search", "토지이음")</f>
        <v/>
      </c>
      <c r="O619" s="3" t="inlineStr">
        <is>
          <t>척척</t>
        </is>
      </c>
      <c r="P619" s="3" t="n">
        <v>1</v>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164</v>
      </c>
      <c r="K620" s="3" t="inlineStr">
        <is>
          <t>세종시 상권이용편리한 단독주택  앞뒤뻥</t>
        </is>
      </c>
      <c r="L620" s="5">
        <f>HYPERLINK("https://fin.land.naver.com/articles/2646211687", "매물Link")</f>
        <v/>
      </c>
      <c r="M620" s="5">
        <f>HYPERLINK("https://map.naver.com/p/search/한솔동 1118", "지도Link")</f>
        <v/>
      </c>
      <c r="N620" s="5">
        <f>HYPERLINK("http://www.eum.go.kr/web/ar/lu/luLandDet.jsp?pnu=3611010600111180000&amp;isNoScr=script&amp;mode=search", "토지이음")</f>
        <v/>
      </c>
      <c r="O620" s="3" t="inlineStr">
        <is>
          <t>세종믿음</t>
        </is>
      </c>
      <c r="P620" s="3" t="n">
        <v>1</v>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164</v>
      </c>
      <c r="K621" s="3" t="inlineStr">
        <is>
          <t>전용49.8p, 방3개 화장실2개, 사유지땅 사용가능</t>
        </is>
      </c>
      <c r="L621" s="5">
        <f>HYPERLINK("https://fin.land.naver.com/articles/2648834239", "매물Link")</f>
        <v/>
      </c>
      <c r="M621" s="5">
        <f>HYPERLINK("https://map.naver.com/p/search/한솔동 1118", "지도Link")</f>
        <v/>
      </c>
      <c r="N621" s="5">
        <f>HYPERLINK("http://www.eum.go.kr/web/ar/lu/luLandDet.jsp?pnu=3611010600111180000&amp;isNoScr=script&amp;mode=search", "토지이음")</f>
        <v/>
      </c>
      <c r="O621" s="3" t="inlineStr">
        <is>
          <t>세종무지개</t>
        </is>
      </c>
      <c r="P621" s="3" t="n">
        <v>1</v>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164</v>
      </c>
      <c r="K622" s="3" t="inlineStr">
        <is>
          <t>공원사유지 무상이용가능, 입지 좋은 한솔동 단독주택 매매</t>
        </is>
      </c>
      <c r="L622" s="5">
        <f>HYPERLINK("https://fin.land.naver.com/articles/2649007409", "매물Link")</f>
        <v/>
      </c>
      <c r="M622" s="5">
        <f>HYPERLINK("https://map.naver.com/p/search/한솔동 1118", "지도Link")</f>
        <v/>
      </c>
      <c r="N622" s="5">
        <f>HYPERLINK("http://www.eum.go.kr/web/ar/lu/luLandDet.jsp?pnu=3611010600111180000&amp;isNoScr=script&amp;mode=search", "토지이음")</f>
        <v/>
      </c>
      <c r="O622" s="3" t="inlineStr">
        <is>
          <t>명진</t>
        </is>
      </c>
      <c r="P622" s="3" t="n">
        <v>1</v>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164</v>
      </c>
      <c r="K623" s="3" t="inlineStr">
        <is>
          <t>마당연결 공원전유사용 옆시유지 무상이용 2층 테라스 데크 실수요최적</t>
        </is>
      </c>
      <c r="L623" s="5">
        <f>HYPERLINK("https://fin.land.naver.com/articles/2649262816", "매물Link")</f>
        <v/>
      </c>
      <c r="M623" s="5">
        <f>HYPERLINK("https://map.naver.com/p/search/한솔동 1118", "지도Link")</f>
        <v/>
      </c>
      <c r="N623" s="5">
        <f>HYPERLINK("http://www.eum.go.kr/web/ar/lu/luLandDet.jsp?pnu=3611010600111180000&amp;isNoScr=script&amp;mode=search", "토지이음")</f>
        <v/>
      </c>
      <c r="O623" s="3" t="inlineStr">
        <is>
          <t>삼성래미안</t>
        </is>
      </c>
      <c r="P623" s="3" t="n">
        <v>3</v>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164</v>
      </c>
      <c r="K624" s="3" t="inlineStr">
        <is>
          <t>착한매우급매 마당넓은공원 내집처럼사용 옆시유지땅 무상사용 꼭 해 달래요</t>
        </is>
      </c>
      <c r="L624" s="5">
        <f>HYPERLINK("https://fin.land.naver.com/articles/2646097576", "매물Link")</f>
        <v/>
      </c>
      <c r="M624" s="5">
        <f>HYPERLINK("https://map.naver.com/p/search/한솔동 1118", "지도Link")</f>
        <v/>
      </c>
      <c r="N624" s="5">
        <f>HYPERLINK("http://www.eum.go.kr/web/ar/lu/luLandDet.jsp?pnu=3611010600111180000&amp;isNoScr=script&amp;mode=search", "토지이음")</f>
        <v/>
      </c>
      <c r="O624" s="3" t="inlineStr">
        <is>
          <t>세종골드삼성</t>
        </is>
      </c>
      <c r="P624" s="3" t="n">
        <v>1</v>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99</v>
      </c>
      <c r="K625" s="3" t="inlineStr">
        <is>
          <t>정원이 잘 가꾸어진 주택. 초,중, 고 도보권</t>
        </is>
      </c>
      <c r="L625" s="5">
        <f>HYPERLINK("https://fin.land.naver.com/articles/2649457945", "매물Link")</f>
        <v/>
      </c>
      <c r="M625" s="5">
        <f>HYPERLINK("https://map.naver.com/p/search/한솔동 1219", "지도Link")</f>
        <v/>
      </c>
      <c r="N625" s="5">
        <f>HYPERLINK("http://www.eum.go.kr/web/ar/lu/luLandDet.jsp?pnu=3611010600112190000&amp;isNoScr=script&amp;mode=search", "토지이음")</f>
        <v/>
      </c>
      <c r="O625" s="3" t="inlineStr">
        <is>
          <t>세종삼촌</t>
        </is>
      </c>
      <c r="P625" s="3" t="n">
        <v>1</v>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99</v>
      </c>
      <c r="K626" s="3" t="inlineStr">
        <is>
          <t>급매 추가조율협의가능 단층 철근콘크리트 가성비 주택</t>
        </is>
      </c>
      <c r="L626" s="5">
        <f>HYPERLINK("https://fin.land.naver.com/articles/2649375331", "매물Link")</f>
        <v/>
      </c>
      <c r="M626" s="5">
        <f>HYPERLINK("https://map.naver.com/p/search/한솔동 1219", "지도Link")</f>
        <v/>
      </c>
      <c r="N626" s="5">
        <f>HYPERLINK("http://www.eum.go.kr/web/ar/lu/luLandDet.jsp?pnu=3611010600112190000&amp;isNoScr=script&amp;mode=search", "토지이음")</f>
        <v/>
      </c>
      <c r="O626" s="3" t="inlineStr">
        <is>
          <t>세종스타</t>
        </is>
      </c>
      <c r="P626" s="3" t="n">
        <v>1</v>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182</v>
      </c>
      <c r="K627" s="3" t="inlineStr">
        <is>
          <t>막힘없이 좋아요 좋은 위치 brt 가까운 위치 입니다 방3, 화장실 2</t>
        </is>
      </c>
      <c r="L627" s="5">
        <f>HYPERLINK("https://fin.land.naver.com/articles/2645901594", "매물Link")</f>
        <v/>
      </c>
      <c r="M627" s="5">
        <f>HYPERLINK("https://map.naver.com/p/search/한솔동 867", "지도Link")</f>
        <v/>
      </c>
      <c r="N627" s="5">
        <f>HYPERLINK("http://www.eum.go.kr/web/ar/lu/luLandDet.jsp?pnu=3611010600108670000&amp;isNoScr=script&amp;mode=search", "토지이음")</f>
        <v/>
      </c>
      <c r="O627" s="3" t="inlineStr">
        <is>
          <t>은성</t>
        </is>
      </c>
      <c r="P627" s="3" t="n">
        <v>1</v>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201</v>
      </c>
      <c r="K628" s="3" t="inlineStr">
        <is>
          <t>입지 좋고 공간활용도가 높은 한솔동 단독주택 매매</t>
        </is>
      </c>
      <c r="L628" s="5">
        <f>HYPERLINK("https://fin.land.naver.com/articles/2644395820", "매물Link")</f>
        <v/>
      </c>
      <c r="M628" s="5">
        <f>HYPERLINK("https://map.naver.com/p/search/한솔동 899", "지도Link")</f>
        <v/>
      </c>
      <c r="N628" s="5">
        <f>HYPERLINK("http://www.eum.go.kr/web/ar/lu/luLandDet.jsp?pnu=3611010600108990000&amp;isNoScr=script&amp;mode=search", "토지이음")</f>
        <v/>
      </c>
      <c r="O628" s="3" t="inlineStr">
        <is>
          <t>명진</t>
        </is>
      </c>
      <c r="P628" s="3" t="n">
        <v>1</v>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201</v>
      </c>
      <c r="K629" s="3" t="inlineStr">
        <is>
          <t>태양광, 풀에어컨, 주차2대, 한솔동 입지 좋은 주택 매매</t>
        </is>
      </c>
      <c r="L629" s="5">
        <f>HYPERLINK("https://fin.land.naver.com/articles/2644084278", "매물Link")</f>
        <v/>
      </c>
      <c r="M629" s="5">
        <f>HYPERLINK("https://map.naver.com/p/search/한솔동 899", "지도Link")</f>
        <v/>
      </c>
      <c r="N629" s="5">
        <f>HYPERLINK("http://www.eum.go.kr/web/ar/lu/luLandDet.jsp?pnu=3611010600108990000&amp;isNoScr=script&amp;mode=search", "토지이음")</f>
        <v/>
      </c>
      <c r="O629" s="3" t="inlineStr">
        <is>
          <t>세종무지개</t>
        </is>
      </c>
      <c r="P629" s="3" t="n">
        <v>1</v>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201</v>
      </c>
      <c r="K630" s="3" t="inlineStr">
        <is>
          <t>입지 좋고 튼튼하게 지어서 실거주로 거주하기 좋은집</t>
        </is>
      </c>
      <c r="L630" s="5">
        <f>HYPERLINK("https://fin.land.naver.com/articles/2646538585", "매물Link")</f>
        <v/>
      </c>
      <c r="M630" s="5">
        <f>HYPERLINK("https://map.naver.com/p/search/한솔동 899", "지도Link")</f>
        <v/>
      </c>
      <c r="N630" s="5">
        <f>HYPERLINK("http://www.eum.go.kr/web/ar/lu/luLandDet.jsp?pnu=3611010600108990000&amp;isNoScr=script&amp;mode=search", "토지이음")</f>
        <v/>
      </c>
      <c r="O630" s="3" t="inlineStr">
        <is>
          <t>현대탑</t>
        </is>
      </c>
      <c r="P630" s="3" t="n">
        <v>1</v>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201</v>
      </c>
      <c r="K631" s="3" t="inlineStr">
        <is>
          <t>공원옆 코너각지 남향 가격조절가 태양열 전기차충전기 정원에카페사용공간있음</t>
        </is>
      </c>
      <c r="L631" s="5">
        <f>HYPERLINK("https://fin.land.naver.com/articles/2649425303", "매물Link")</f>
        <v/>
      </c>
      <c r="M631" s="5">
        <f>HYPERLINK("https://map.naver.com/p/search/한솔동 899", "지도Link")</f>
        <v/>
      </c>
      <c r="N631" s="5">
        <f>HYPERLINK("http://www.eum.go.kr/web/ar/lu/luLandDet.jsp?pnu=3611010600108990000&amp;isNoScr=script&amp;mode=search", "토지이음")</f>
        <v/>
      </c>
      <c r="O631" s="3" t="inlineStr">
        <is>
          <t>세종시해냄</t>
        </is>
      </c>
      <c r="P631" s="3" t="n">
        <v>1</v>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196</v>
      </c>
      <c r="K632" s="3" t="inlineStr">
        <is>
          <t>급매 1년차 최신축 현대식 세련된 내부인테리어 방3개 욕실3개</t>
        </is>
      </c>
      <c r="L632" s="5">
        <f>HYPERLINK("https://fin.land.naver.com/articles/2647126217", "매물Link")</f>
        <v/>
      </c>
      <c r="M632" s="5">
        <f>HYPERLINK("https://map.naver.com/p/search/한솔동 997", "지도Link")</f>
        <v/>
      </c>
      <c r="N632" s="5">
        <f>HYPERLINK("http://www.eum.go.kr/web/ar/lu/luLandDet.jsp?pnu=3611010600109970000&amp;isNoScr=script&amp;mode=search", "토지이음")</f>
        <v/>
      </c>
      <c r="O632" s="3" t="inlineStr">
        <is>
          <t>세종스타</t>
        </is>
      </c>
      <c r="P632" s="3" t="n">
        <v>1</v>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933</v>
      </c>
      <c r="K633" s="3" t="inlineStr">
        <is>
          <t>해밀동 라포르테 단독주택 월세</t>
        </is>
      </c>
      <c r="L633" s="5">
        <f>HYPERLINK("https://fin.land.naver.com/articles/2649244700", "매물Link")</f>
        <v/>
      </c>
      <c r="M633" s="5">
        <f>HYPERLINK("https://map.naver.com/p/search/해밀동 665", "지도Link")</f>
        <v/>
      </c>
      <c r="N633" s="5">
        <f>HYPERLINK("http://www.eum.go.kr/web/ar/lu/luLandDet.jsp?pnu=3611011600106650000&amp;isNoScr=script&amp;mode=search", "토지이음")</f>
        <v/>
      </c>
      <c r="O633" s="3" t="inlineStr">
        <is>
          <t>태양</t>
        </is>
      </c>
      <c r="P633" s="3" t="n">
        <v>1</v>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222</v>
      </c>
      <c r="K634" s="3" t="inlineStr">
        <is>
          <t>해밀동 고급 타운하우스 시그니매종 전세 010 3819 3805</t>
        </is>
      </c>
      <c r="L634" s="5">
        <f>HYPERLINK("https://fin.land.naver.com/articles/2646491942", "매물Link")</f>
        <v/>
      </c>
      <c r="M634" s="5">
        <f>HYPERLINK("https://map.naver.com/p/search/해밀동 692", "지도Link")</f>
        <v/>
      </c>
      <c r="N634" s="5">
        <f>HYPERLINK("http://www.eum.go.kr/web/ar/lu/luLandDet.jsp?pnu=3611011600106920000&amp;isNoScr=script&amp;mode=search", "토지이음")</f>
        <v/>
      </c>
      <c r="O634" s="3" t="inlineStr">
        <is>
          <t>국제</t>
        </is>
      </c>
      <c r="P634" s="3" t="n">
        <v>1</v>
      </c>
    </row>
  </sheetData>
  <autoFilter ref="A1:P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8" max="8"/>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매물특징</t>
        </is>
      </c>
      <c r="I1" s="2" t="inlineStr">
        <is>
          <t>매물보기</t>
        </is>
      </c>
      <c r="J1" s="2" t="inlineStr">
        <is>
          <t>지도보기</t>
        </is>
      </c>
      <c r="K1" s="2" t="inlineStr">
        <is>
          <t>토지이용계획</t>
        </is>
      </c>
      <c r="L1" s="2" t="inlineStr">
        <is>
          <t>업소</t>
        </is>
      </c>
      <c r="M1" s="2" t="inlineStr">
        <is>
          <t>중개사</t>
        </is>
      </c>
    </row>
    <row r="2">
      <c r="A2" s="3" t="inlineStr">
        <is>
          <t>고운동 1010</t>
        </is>
      </c>
      <c r="B2" s="3" t="inlineStr">
        <is>
          <t>제1종전용주거지역</t>
        </is>
      </c>
      <c r="C2" s="3" t="inlineStr">
        <is>
          <t>대</t>
        </is>
      </c>
      <c r="D2" s="3" t="inlineStr">
        <is>
          <t>대</t>
        </is>
      </c>
      <c r="E2" s="3" t="inlineStr">
        <is>
          <t>매매</t>
        </is>
      </c>
      <c r="F2" s="4" t="n">
        <v>67000</v>
      </c>
      <c r="G2" s="4" t="n">
        <v>319</v>
      </c>
      <c r="H2" s="3" t="inlineStr">
        <is>
          <t>총 96.9p, 상가인근 토지</t>
        </is>
      </c>
      <c r="I2" s="5">
        <f>HYPERLINK("https://fin.land.naver.com/articles/2648840106", "매물Link")</f>
        <v/>
      </c>
      <c r="J2" s="5">
        <f>HYPERLINK("https://map.naver.com/p/search/고운동 1010", "지도Link")</f>
        <v/>
      </c>
      <c r="K2" s="5">
        <f>HYPERLINK("http://www.eum.go.kr/web/ar/lu/luLandDet.jsp?pnu=3611011200110100000&amp;isNoScr=script&amp;mode=search", "토지이음")</f>
        <v/>
      </c>
      <c r="L2" s="3" t="inlineStr">
        <is>
          <t>세종무지개</t>
        </is>
      </c>
      <c r="M2" s="3" t="n">
        <v>1</v>
      </c>
    </row>
    <row r="3">
      <c r="A3" s="3" t="inlineStr">
        <is>
          <t>고운동 1010</t>
        </is>
      </c>
      <c r="B3" s="3" t="inlineStr">
        <is>
          <t>제1종전용주거지역</t>
        </is>
      </c>
      <c r="C3" s="3" t="inlineStr">
        <is>
          <t>대</t>
        </is>
      </c>
      <c r="D3" s="3" t="inlineStr">
        <is>
          <t>대</t>
        </is>
      </c>
      <c r="E3" s="3" t="inlineStr">
        <is>
          <t>매매</t>
        </is>
      </c>
      <c r="F3" s="4" t="n">
        <v>67000</v>
      </c>
      <c r="G3" s="4" t="n">
        <v>319</v>
      </c>
      <c r="H3" s="3" t="inlineStr">
        <is>
          <t>학교와 근린생활 근처에 위치하고 3면 각지에 접해있어서 상권이 좋은 대지</t>
        </is>
      </c>
      <c r="I3" s="5">
        <f>HYPERLINK("https://fin.land.naver.com/articles/2649287514", "매물Link")</f>
        <v/>
      </c>
      <c r="J3" s="5">
        <f>HYPERLINK("https://map.naver.com/p/search/고운동 1010", "지도Link")</f>
        <v/>
      </c>
      <c r="K3" s="5">
        <f>HYPERLINK("http://www.eum.go.kr/web/ar/lu/luLandDet.jsp?pnu=3611011200110100000&amp;isNoScr=script&amp;mode=search", "토지이음")</f>
        <v/>
      </c>
      <c r="L3" s="3" t="inlineStr">
        <is>
          <t>송림탑</t>
        </is>
      </c>
      <c r="M3" s="3" t="n">
        <v>3</v>
      </c>
    </row>
    <row r="4">
      <c r="A4" s="3" t="inlineStr">
        <is>
          <t>고운동 1010</t>
        </is>
      </c>
      <c r="B4" s="3" t="inlineStr">
        <is>
          <t>제1종전용주거지역</t>
        </is>
      </c>
      <c r="C4" s="3" t="inlineStr">
        <is>
          <t>대</t>
        </is>
      </c>
      <c r="D4" s="3" t="inlineStr">
        <is>
          <t>대</t>
        </is>
      </c>
      <c r="E4" s="3" t="inlineStr">
        <is>
          <t>매매</t>
        </is>
      </c>
      <c r="F4" s="4" t="n">
        <v>67000</v>
      </c>
      <c r="G4" s="4" t="n">
        <v>319</v>
      </c>
      <c r="H4" s="3" t="inlineStr">
        <is>
          <t>총 96.9p, 길가 코너자리, 정남향</t>
        </is>
      </c>
      <c r="I4" s="5">
        <f>HYPERLINK("https://fin.land.naver.com/articles/2648182149", "매물Link")</f>
        <v/>
      </c>
      <c r="J4" s="5">
        <f>HYPERLINK("https://map.naver.com/p/search/고운동 1010", "지도Link")</f>
        <v/>
      </c>
      <c r="K4" s="5">
        <f>HYPERLINK("http://www.eum.go.kr/web/ar/lu/luLandDet.jsp?pnu=3611011200110100000&amp;isNoScr=script&amp;mode=search", "토지이음")</f>
        <v/>
      </c>
      <c r="L4" s="3" t="inlineStr">
        <is>
          <t>명진</t>
        </is>
      </c>
      <c r="M4" s="3" t="n">
        <v>1</v>
      </c>
    </row>
    <row r="5">
      <c r="A5" s="3" t="inlineStr">
        <is>
          <t>고운동 1031</t>
        </is>
      </c>
      <c r="B5" s="3" t="inlineStr">
        <is>
          <t>제1종전용주거지역</t>
        </is>
      </c>
      <c r="C5" s="3" t="inlineStr">
        <is>
          <t>대</t>
        </is>
      </c>
      <c r="D5" s="3" t="inlineStr">
        <is>
          <t>대</t>
        </is>
      </c>
      <c r="E5" s="3" t="inlineStr">
        <is>
          <t>매매</t>
        </is>
      </c>
      <c r="F5" s="4" t="n">
        <v>70000</v>
      </c>
      <c r="G5" s="4" t="n">
        <v>388</v>
      </c>
      <c r="H5" s="3" t="inlineStr">
        <is>
          <t>급매 공원조망 큰평수 위치최상</t>
        </is>
      </c>
      <c r="I5" s="5">
        <f>HYPERLINK("https://fin.land.naver.com/articles/2646937343", "매물Link")</f>
        <v/>
      </c>
      <c r="J5" s="5">
        <f>HYPERLINK("https://map.naver.com/p/search/고운동 1031", "지도Link")</f>
        <v/>
      </c>
      <c r="K5" s="5">
        <f>HYPERLINK("http://www.eum.go.kr/web/ar/lu/luLandDet.jsp?pnu=3611011200110310000&amp;isNoScr=script&amp;mode=search", "토지이음")</f>
        <v/>
      </c>
      <c r="L5" s="3" t="inlineStr">
        <is>
          <t>세종스타</t>
        </is>
      </c>
      <c r="M5" s="3" t="n">
        <v>2</v>
      </c>
    </row>
    <row r="6">
      <c r="A6" s="3" t="inlineStr">
        <is>
          <t>고운동 1050</t>
        </is>
      </c>
      <c r="B6" s="3" t="inlineStr">
        <is>
          <t>제1종전용주거지역</t>
        </is>
      </c>
      <c r="C6" s="3" t="inlineStr">
        <is>
          <t>대</t>
        </is>
      </c>
      <c r="D6" s="3" t="inlineStr">
        <is>
          <t>대</t>
        </is>
      </c>
      <c r="E6" s="3" t="inlineStr">
        <is>
          <t>매매</t>
        </is>
      </c>
      <c r="F6" s="4" t="n">
        <v>50000</v>
      </c>
      <c r="G6" s="4" t="n">
        <v>347</v>
      </c>
      <c r="H6" s="3" t="inlineStr">
        <is>
          <t>초급매, 학군, 중심상권 생활권 편리한 위치,어린이공원앞 택지</t>
        </is>
      </c>
      <c r="I6" s="5">
        <f>HYPERLINK("https://fin.land.naver.com/articles/2647929897", "매물Link")</f>
        <v/>
      </c>
      <c r="J6" s="5">
        <f>HYPERLINK("https://map.naver.com/p/search/고운동 1050", "지도Link")</f>
        <v/>
      </c>
      <c r="K6" s="5">
        <f>HYPERLINK("http://www.eum.go.kr/web/ar/lu/luLandDet.jsp?pnu=3611011200110500000&amp;isNoScr=script&amp;mode=search", "토지이음")</f>
        <v/>
      </c>
      <c r="L6" s="3" t="inlineStr">
        <is>
          <t>고운맘</t>
        </is>
      </c>
      <c r="M6" s="3" t="n">
        <v>1</v>
      </c>
    </row>
    <row r="7">
      <c r="A7" s="3" t="inlineStr">
        <is>
          <t>고운동 1050</t>
        </is>
      </c>
      <c r="B7" s="3" t="inlineStr">
        <is>
          <t>제1종전용주거지역</t>
        </is>
      </c>
      <c r="C7" s="3" t="inlineStr">
        <is>
          <t>대</t>
        </is>
      </c>
      <c r="D7" s="3" t="inlineStr">
        <is>
          <t>대</t>
        </is>
      </c>
      <c r="E7" s="3" t="inlineStr">
        <is>
          <t>매매</t>
        </is>
      </c>
      <c r="F7" s="4" t="n">
        <v>55000</v>
      </c>
      <c r="G7" s="4" t="n">
        <v>347</v>
      </c>
      <c r="H7" s="3" t="inlineStr">
        <is>
          <t>가격조절가능 넓은공원이 있는 단독주택지 매매</t>
        </is>
      </c>
      <c r="I7" s="5">
        <f>HYPERLINK("https://fin.land.naver.com/articles/2645696203", "매물Link")</f>
        <v/>
      </c>
      <c r="J7" s="5">
        <f>HYPERLINK("https://map.naver.com/p/search/고운동 1050", "지도Link")</f>
        <v/>
      </c>
      <c r="K7" s="5">
        <f>HYPERLINK("http://www.eum.go.kr/web/ar/lu/luLandDet.jsp?pnu=3611011200110500000&amp;isNoScr=script&amp;mode=search", "토지이음")</f>
        <v/>
      </c>
      <c r="L7" s="3" t="inlineStr">
        <is>
          <t>세종시토지</t>
        </is>
      </c>
      <c r="M7" s="3" t="n">
        <v>1</v>
      </c>
    </row>
    <row r="8">
      <c r="A8" s="3" t="inlineStr">
        <is>
          <t>고운동 1051</t>
        </is>
      </c>
      <c r="B8" s="3" t="inlineStr">
        <is>
          <t>제1종전용주거지역</t>
        </is>
      </c>
      <c r="C8" s="3" t="inlineStr">
        <is>
          <t>대</t>
        </is>
      </c>
      <c r="D8" s="3" t="inlineStr">
        <is>
          <t>대</t>
        </is>
      </c>
      <c r="E8" s="3" t="inlineStr">
        <is>
          <t>매매</t>
        </is>
      </c>
      <c r="F8" s="4" t="n">
        <v>52000</v>
      </c>
      <c r="G8" s="4" t="n">
        <v>347</v>
      </c>
      <c r="H8" s="3" t="inlineStr">
        <is>
          <t>급매 I 넓은 공원옆 I 생활권이용편리 I 조율가능</t>
        </is>
      </c>
      <c r="I8" s="5">
        <f>HYPERLINK("https://fin.land.naver.com/articles/2645966606", "매물Link")</f>
        <v/>
      </c>
      <c r="J8" s="5">
        <f>HYPERLINK("https://map.naver.com/p/search/고운동 1051", "지도Link")</f>
        <v/>
      </c>
      <c r="K8" s="5">
        <f>HYPERLINK("http://www.eum.go.kr/web/ar/lu/luLandDet.jsp?pnu=3611011200110510000&amp;isNoScr=script&amp;mode=search", "토지이음")</f>
        <v/>
      </c>
      <c r="L8" s="3" t="inlineStr">
        <is>
          <t>힐스테이트으뜸원</t>
        </is>
      </c>
      <c r="M8" s="3" t="n">
        <v>1</v>
      </c>
    </row>
    <row r="9">
      <c r="A9" s="3" t="inlineStr">
        <is>
          <t>고운동 1053</t>
        </is>
      </c>
      <c r="B9" s="3" t="inlineStr">
        <is>
          <t>제1종전용주거지역</t>
        </is>
      </c>
      <c r="C9" s="3" t="inlineStr">
        <is>
          <t>대</t>
        </is>
      </c>
      <c r="D9" s="3" t="inlineStr">
        <is>
          <t>대</t>
        </is>
      </c>
      <c r="E9" s="3" t="inlineStr">
        <is>
          <t>매매</t>
        </is>
      </c>
      <c r="F9" s="4" t="n">
        <v>57000</v>
      </c>
      <c r="G9" s="4" t="n">
        <v>347</v>
      </c>
      <c r="H9" s="3" t="inlineStr">
        <is>
          <t>고운동단독택지로 입지최상 학군 상권 복컴 생활하기편리</t>
        </is>
      </c>
      <c r="I9" s="5">
        <f>HYPERLINK("https://fin.land.naver.com/articles/2644723033", "매물Link")</f>
        <v/>
      </c>
      <c r="J9" s="5">
        <f>HYPERLINK("https://map.naver.com/p/search/고운동 1053", "지도Link")</f>
        <v/>
      </c>
      <c r="K9" s="5">
        <f>HYPERLINK("http://www.eum.go.kr/web/ar/lu/luLandDet.jsp?pnu=3611011200110530000&amp;isNoScr=script&amp;mode=search", "토지이음")</f>
        <v/>
      </c>
      <c r="L9" s="3" t="inlineStr">
        <is>
          <t>고운동리치세종</t>
        </is>
      </c>
      <c r="M9" s="3" t="n">
        <v>1</v>
      </c>
    </row>
    <row r="10">
      <c r="A10" s="3" t="inlineStr">
        <is>
          <t>고운동 1058</t>
        </is>
      </c>
      <c r="B10" s="3" t="inlineStr">
        <is>
          <t>제1종전용주거지역</t>
        </is>
      </c>
      <c r="C10" s="3" t="inlineStr">
        <is>
          <t>대</t>
        </is>
      </c>
      <c r="D10" s="3" t="inlineStr">
        <is>
          <t>대</t>
        </is>
      </c>
      <c r="E10" s="3" t="inlineStr">
        <is>
          <t>매매</t>
        </is>
      </c>
      <c r="F10" s="4" t="n">
        <v>65000</v>
      </c>
      <c r="G10" s="4" t="n">
        <v>357</v>
      </c>
      <c r="H10" s="3" t="inlineStr">
        <is>
          <t>도로,인도,버스정류장 인접, 공영주차장옆</t>
        </is>
      </c>
      <c r="I10" s="5">
        <f>HYPERLINK("https://fin.land.naver.com/articles/2648272133", "매물Link")</f>
        <v/>
      </c>
      <c r="J10" s="5">
        <f>HYPERLINK("https://map.naver.com/p/search/고운동 1058", "지도Link")</f>
        <v/>
      </c>
      <c r="K10" s="5">
        <f>HYPERLINK("http://www.eum.go.kr/web/ar/lu/luLandDet.jsp?pnu=3611011200110580000&amp;isNoScr=script&amp;mode=search", "토지이음")</f>
        <v/>
      </c>
      <c r="L10" s="3" t="inlineStr">
        <is>
          <t>세종제일1</t>
        </is>
      </c>
      <c r="M10" s="3" t="n">
        <v>2</v>
      </c>
    </row>
    <row r="11">
      <c r="A11" s="3" t="inlineStr">
        <is>
          <t>고운동 1067</t>
        </is>
      </c>
      <c r="B11" s="3" t="inlineStr">
        <is>
          <t>제1종전용주거지역</t>
        </is>
      </c>
      <c r="C11" s="3" t="inlineStr">
        <is>
          <t>대</t>
        </is>
      </c>
      <c r="D11" s="3" t="inlineStr">
        <is>
          <t>대</t>
        </is>
      </c>
      <c r="E11" s="3" t="inlineStr">
        <is>
          <t>매매</t>
        </is>
      </c>
      <c r="F11" s="4" t="n">
        <v>60000</v>
      </c>
      <c r="G11" s="4" t="n">
        <v>333</v>
      </c>
      <c r="H11" s="3" t="inlineStr">
        <is>
          <t>3면코너각지, 공원조망, 조율가능 가락초 두루고 바로옆</t>
        </is>
      </c>
      <c r="I11" s="5">
        <f>HYPERLINK("https://fin.land.naver.com/articles/2645720982", "매물Link")</f>
        <v/>
      </c>
      <c r="J11" s="5">
        <f>HYPERLINK("https://map.naver.com/p/search/고운동 1067", "지도Link")</f>
        <v/>
      </c>
      <c r="K11" s="5">
        <f>HYPERLINK("http://www.eum.go.kr/web/ar/lu/luLandDet.jsp?pnu=3611011200110670000&amp;isNoScr=script&amp;mode=search", "토지이음")</f>
        <v/>
      </c>
      <c r="L11" s="3" t="inlineStr">
        <is>
          <t>세종스타</t>
        </is>
      </c>
      <c r="M11" s="3" t="n">
        <v>1</v>
      </c>
    </row>
    <row r="12">
      <c r="A12" s="3" t="inlineStr">
        <is>
          <t>고운동 1069</t>
        </is>
      </c>
      <c r="B12" s="3" t="inlineStr">
        <is>
          <t>제1종전용주거지역</t>
        </is>
      </c>
      <c r="C12" s="3" t="inlineStr">
        <is>
          <t>대</t>
        </is>
      </c>
      <c r="D12" s="3" t="inlineStr">
        <is>
          <t>대</t>
        </is>
      </c>
      <c r="E12" s="3" t="inlineStr">
        <is>
          <t>매매</t>
        </is>
      </c>
      <c r="F12" s="4" t="n">
        <v>51500</v>
      </c>
      <c r="G12" s="4" t="n">
        <v>341</v>
      </c>
      <c r="H12" s="3" t="inlineStr">
        <is>
          <t>공원뷰로 학교 상권 이용편리 저렴한매매</t>
        </is>
      </c>
      <c r="I12" s="5">
        <f>HYPERLINK("https://fin.land.naver.com/articles/2650101946", "매물Link")</f>
        <v/>
      </c>
      <c r="J12" s="5">
        <f>HYPERLINK("https://map.naver.com/p/search/고운동 1069", "지도Link")</f>
        <v/>
      </c>
      <c r="K12" s="5">
        <f>HYPERLINK("http://www.eum.go.kr/web/ar/lu/luLandDet.jsp?pnu=3611011200110690000&amp;isNoScr=script&amp;mode=search", "토지이음")</f>
        <v/>
      </c>
      <c r="L12" s="3" t="inlineStr">
        <is>
          <t>새롬스마트</t>
        </is>
      </c>
      <c r="M12" s="3" t="n">
        <v>2</v>
      </c>
    </row>
    <row r="13">
      <c r="A13" s="3" t="inlineStr">
        <is>
          <t>고운동 1070</t>
        </is>
      </c>
      <c r="B13" s="3" t="inlineStr">
        <is>
          <t>제1종전용주거지역</t>
        </is>
      </c>
      <c r="C13" s="3" t="inlineStr">
        <is>
          <t>대</t>
        </is>
      </c>
      <c r="D13" s="3" t="inlineStr">
        <is>
          <t>대</t>
        </is>
      </c>
      <c r="E13" s="3" t="inlineStr">
        <is>
          <t>매매</t>
        </is>
      </c>
      <c r="F13" s="4" t="n">
        <v>69000</v>
      </c>
      <c r="G13" s="4" t="n">
        <v>341</v>
      </c>
      <c r="H13" s="3" t="inlineStr">
        <is>
          <t>공원과 주차장 옆으로 입지 좋은 고운동 단독주택지</t>
        </is>
      </c>
      <c r="I13" s="5">
        <f>HYPERLINK("https://fin.land.naver.com/articles/2645253248", "매물Link")</f>
        <v/>
      </c>
      <c r="J13" s="5">
        <f>HYPERLINK("https://map.naver.com/p/search/고운동 1070", "지도Link")</f>
        <v/>
      </c>
      <c r="K13" s="5">
        <f>HYPERLINK("http://www.eum.go.kr/web/ar/lu/luLandDet.jsp?pnu=3611011200110700000&amp;isNoScr=script&amp;mode=search", "토지이음")</f>
        <v/>
      </c>
      <c r="L13" s="3" t="inlineStr">
        <is>
          <t>세종무지개</t>
        </is>
      </c>
      <c r="M13" s="3" t="n">
        <v>1</v>
      </c>
    </row>
    <row r="14">
      <c r="A14" s="3" t="inlineStr">
        <is>
          <t>고운동 1070</t>
        </is>
      </c>
      <c r="B14" s="3" t="inlineStr">
        <is>
          <t>제1종전용주거지역</t>
        </is>
      </c>
      <c r="C14" s="3" t="inlineStr">
        <is>
          <t>대</t>
        </is>
      </c>
      <c r="D14" s="3" t="inlineStr">
        <is>
          <t>대</t>
        </is>
      </c>
      <c r="E14" s="3" t="inlineStr">
        <is>
          <t>매매</t>
        </is>
      </c>
      <c r="F14" s="4" t="n">
        <v>69000</v>
      </c>
      <c r="G14" s="4" t="n">
        <v>341</v>
      </c>
      <c r="H14" s="3" t="inlineStr">
        <is>
          <t>고운동 입지 좋은 단독주택 매매, 공원 근처</t>
        </is>
      </c>
      <c r="I14" s="5">
        <f>HYPERLINK("https://fin.land.naver.com/articles/2645677232", "매물Link")</f>
        <v/>
      </c>
      <c r="J14" s="5">
        <f>HYPERLINK("https://map.naver.com/p/search/고운동 1070", "지도Link")</f>
        <v/>
      </c>
      <c r="K14" s="5">
        <f>HYPERLINK("http://www.eum.go.kr/web/ar/lu/luLandDet.jsp?pnu=3611011200110700000&amp;isNoScr=script&amp;mode=search", "토지이음")</f>
        <v/>
      </c>
      <c r="L14" s="3" t="inlineStr">
        <is>
          <t>명진</t>
        </is>
      </c>
      <c r="M14" s="3" t="n">
        <v>1</v>
      </c>
    </row>
    <row r="15">
      <c r="A15" s="3" t="inlineStr">
        <is>
          <t>고운동 1070</t>
        </is>
      </c>
      <c r="B15" s="3" t="inlineStr">
        <is>
          <t>제1종전용주거지역</t>
        </is>
      </c>
      <c r="C15" s="3" t="inlineStr">
        <is>
          <t>대</t>
        </is>
      </c>
      <c r="D15" s="3" t="inlineStr">
        <is>
          <t>대</t>
        </is>
      </c>
      <c r="E15" s="3" t="inlineStr">
        <is>
          <t>매매</t>
        </is>
      </c>
      <c r="F15" s="4" t="n">
        <v>69000</v>
      </c>
      <c r="G15" s="4" t="n">
        <v>341</v>
      </c>
      <c r="H15" s="3" t="inlineStr">
        <is>
          <t>입지좋은단독택지학군상권이용편리공원바로옆위치</t>
        </is>
      </c>
      <c r="I15" s="5">
        <f>HYPERLINK("https://fin.land.naver.com/articles/2645684375", "매물Link")</f>
        <v/>
      </c>
      <c r="J15" s="5">
        <f>HYPERLINK("https://map.naver.com/p/search/고운동 1070", "지도Link")</f>
        <v/>
      </c>
      <c r="K15" s="5">
        <f>HYPERLINK("http://www.eum.go.kr/web/ar/lu/luLandDet.jsp?pnu=3611011200110700000&amp;isNoScr=script&amp;mode=search", "토지이음")</f>
        <v/>
      </c>
      <c r="L15" s="3" t="inlineStr">
        <is>
          <t>세종시토지</t>
        </is>
      </c>
      <c r="M15" s="3" t="n">
        <v>1</v>
      </c>
    </row>
    <row r="16">
      <c r="A16" s="3" t="inlineStr">
        <is>
          <t>고운동 1072</t>
        </is>
      </c>
      <c r="B16" s="3" t="inlineStr">
        <is>
          <t>제1종전용주거지역</t>
        </is>
      </c>
      <c r="C16" s="3" t="inlineStr">
        <is>
          <t>대</t>
        </is>
      </c>
      <c r="D16" s="3" t="inlineStr">
        <is>
          <t>대</t>
        </is>
      </c>
      <c r="E16" s="3" t="inlineStr">
        <is>
          <t>매매</t>
        </is>
      </c>
      <c r="F16" s="4" t="n">
        <v>65000</v>
      </c>
      <c r="G16" s="4" t="n">
        <v>336</v>
      </c>
      <c r="H16" s="3" t="inlineStr">
        <is>
          <t>급매위치좋은코너자리고운동학교 상권 이용편리</t>
        </is>
      </c>
      <c r="I16" s="5">
        <f>HYPERLINK("https://fin.land.naver.com/articles/2645686722", "매물Link")</f>
        <v/>
      </c>
      <c r="J16" s="5">
        <f>HYPERLINK("https://map.naver.com/p/search/고운동 1072", "지도Link")</f>
        <v/>
      </c>
      <c r="K16" s="5">
        <f>HYPERLINK("http://www.eum.go.kr/web/ar/lu/luLandDet.jsp?pnu=3611011200110720000&amp;isNoScr=script&amp;mode=search", "토지이음")</f>
        <v/>
      </c>
      <c r="L16" s="3" t="inlineStr">
        <is>
          <t>세종시토지</t>
        </is>
      </c>
      <c r="M16" s="3" t="n">
        <v>1</v>
      </c>
    </row>
    <row r="17">
      <c r="A17" s="3" t="inlineStr">
        <is>
          <t>고운동 1072</t>
        </is>
      </c>
      <c r="B17" s="3" t="inlineStr">
        <is>
          <t>제1종전용주거지역</t>
        </is>
      </c>
      <c r="C17" s="3" t="inlineStr">
        <is>
          <t>대</t>
        </is>
      </c>
      <c r="D17" s="3" t="inlineStr">
        <is>
          <t>대</t>
        </is>
      </c>
      <c r="E17" s="3" t="inlineStr">
        <is>
          <t>매매</t>
        </is>
      </c>
      <c r="F17" s="4" t="n">
        <v>65000</v>
      </c>
      <c r="G17" s="4" t="n">
        <v>336</v>
      </c>
      <c r="H17" s="3" t="inlineStr">
        <is>
          <t>고운동 사거리 코너 각지 위치한 토지매매</t>
        </is>
      </c>
      <c r="I17" s="5">
        <f>HYPERLINK("https://fin.land.naver.com/articles/2645493520", "매물Link")</f>
        <v/>
      </c>
      <c r="J17" s="5">
        <f>HYPERLINK("https://map.naver.com/p/search/고운동 1072", "지도Link")</f>
        <v/>
      </c>
      <c r="K17" s="5">
        <f>HYPERLINK("http://www.eum.go.kr/web/ar/lu/luLandDet.jsp?pnu=3611011200110720000&amp;isNoScr=script&amp;mode=search", "토지이음")</f>
        <v/>
      </c>
      <c r="L17" s="3" t="inlineStr">
        <is>
          <t>명진</t>
        </is>
      </c>
      <c r="M17" s="3" t="n">
        <v>1</v>
      </c>
    </row>
    <row r="18">
      <c r="A18" s="3" t="inlineStr">
        <is>
          <t>고운동 1072</t>
        </is>
      </c>
      <c r="B18" s="3" t="inlineStr">
        <is>
          <t>제1종전용주거지역</t>
        </is>
      </c>
      <c r="C18" s="3" t="inlineStr">
        <is>
          <t>대</t>
        </is>
      </c>
      <c r="D18" s="3" t="inlineStr">
        <is>
          <t>대</t>
        </is>
      </c>
      <c r="E18" s="3" t="inlineStr">
        <is>
          <t>매매</t>
        </is>
      </c>
      <c r="F18" s="4" t="n">
        <v>65000</v>
      </c>
      <c r="G18" s="4" t="n">
        <v>336</v>
      </c>
      <c r="H18" s="3" t="inlineStr">
        <is>
          <t>사거리 코너 각지 위치, 입지 좋은 토지매매</t>
        </is>
      </c>
      <c r="I18" s="5">
        <f>HYPERLINK("https://fin.land.naver.com/articles/2645384320", "매물Link")</f>
        <v/>
      </c>
      <c r="J18" s="5">
        <f>HYPERLINK("https://map.naver.com/p/search/고운동 1072", "지도Link")</f>
        <v/>
      </c>
      <c r="K18" s="5">
        <f>HYPERLINK("http://www.eum.go.kr/web/ar/lu/luLandDet.jsp?pnu=3611011200110720000&amp;isNoScr=script&amp;mode=search", "토지이음")</f>
        <v/>
      </c>
      <c r="L18" s="3" t="inlineStr">
        <is>
          <t>세종무지개</t>
        </is>
      </c>
      <c r="M18" s="3" t="n">
        <v>1</v>
      </c>
    </row>
    <row r="19">
      <c r="A19" s="3" t="inlineStr">
        <is>
          <t>고운동 1090</t>
        </is>
      </c>
      <c r="B19" s="3" t="inlineStr">
        <is>
          <t>제1종전용주거지역</t>
        </is>
      </c>
      <c r="C19" s="3" t="inlineStr">
        <is>
          <t>대</t>
        </is>
      </c>
      <c r="D19" s="3" t="inlineStr">
        <is>
          <t>대</t>
        </is>
      </c>
      <c r="E19" s="3" t="inlineStr">
        <is>
          <t>매매</t>
        </is>
      </c>
      <c r="F19" s="4" t="n">
        <v>43000</v>
      </c>
      <c r="G19" s="4" t="n">
        <v>331</v>
      </c>
      <c r="H19" s="3" t="inlineStr">
        <is>
          <t>급매 3면코너 위치최상 보행로접함 경사지</t>
        </is>
      </c>
      <c r="I19" s="5">
        <f>HYPERLINK("https://fin.land.naver.com/articles/2644482765", "매물Link")</f>
        <v/>
      </c>
      <c r="J19" s="5">
        <f>HYPERLINK("https://map.naver.com/p/search/고운동 1090", "지도Link")</f>
        <v/>
      </c>
      <c r="K19" s="5">
        <f>HYPERLINK("http://www.eum.go.kr/web/ar/lu/luLandDet.jsp?pnu=3611011200110900000&amp;isNoScr=script&amp;mode=search", "토지이음")</f>
        <v/>
      </c>
      <c r="L19" s="3" t="inlineStr">
        <is>
          <t>세종스타</t>
        </is>
      </c>
      <c r="M19" s="3" t="n">
        <v>1</v>
      </c>
    </row>
    <row r="20">
      <c r="A20" s="3" t="inlineStr">
        <is>
          <t>고운동 1093</t>
        </is>
      </c>
      <c r="B20" s="3" t="inlineStr">
        <is>
          <t>제1종전용주거지역</t>
        </is>
      </c>
      <c r="C20" s="3" t="inlineStr">
        <is>
          <t>대</t>
        </is>
      </c>
      <c r="D20" s="3" t="inlineStr">
        <is>
          <t>대</t>
        </is>
      </c>
      <c r="E20" s="3" t="inlineStr">
        <is>
          <t>매매</t>
        </is>
      </c>
      <c r="F20" s="4" t="n">
        <v>43500</v>
      </c>
      <c r="G20" s="4" t="n">
        <v>338</v>
      </c>
      <c r="H20" s="3" t="inlineStr">
        <is>
          <t>급매, 조정가, 공원앞으로 상권 학교 이용편리</t>
        </is>
      </c>
      <c r="I20" s="5">
        <f>HYPERLINK("https://fin.land.naver.com/articles/2647450751", "매물Link")</f>
        <v/>
      </c>
      <c r="J20" s="5">
        <f>HYPERLINK("https://map.naver.com/p/search/고운동 1093", "지도Link")</f>
        <v/>
      </c>
      <c r="K20" s="5">
        <f>HYPERLINK("http://www.eum.go.kr/web/ar/lu/luLandDet.jsp?pnu=3611011200110930000&amp;isNoScr=script&amp;mode=search", "토지이음")</f>
        <v/>
      </c>
      <c r="L20" s="3" t="inlineStr">
        <is>
          <t>고운동리치세종</t>
        </is>
      </c>
      <c r="M20" s="3" t="n">
        <v>1</v>
      </c>
    </row>
    <row r="21">
      <c r="A21" s="3" t="inlineStr">
        <is>
          <t>고운동 1105</t>
        </is>
      </c>
      <c r="B21" s="3" t="inlineStr">
        <is>
          <t>제1종전용주거지역</t>
        </is>
      </c>
      <c r="C21" s="3" t="inlineStr">
        <is>
          <t>대</t>
        </is>
      </c>
      <c r="D21" s="3" t="inlineStr">
        <is>
          <t>대</t>
        </is>
      </c>
      <c r="E21" s="3" t="inlineStr">
        <is>
          <t>매매</t>
        </is>
      </c>
      <c r="F21" s="4" t="n">
        <v>60000</v>
      </c>
      <c r="G21" s="4" t="n">
        <v>364</v>
      </c>
      <c r="H21" s="3" t="inlineStr">
        <is>
          <t>코너자리로 입지최고 고운동학교 상권이용편리 가격조정가능</t>
        </is>
      </c>
      <c r="I21" s="5">
        <f>HYPERLINK("https://fin.land.naver.com/articles/2646129450", "매물Link")</f>
        <v/>
      </c>
      <c r="J21" s="5">
        <f>HYPERLINK("https://map.naver.com/p/search/고운동 1105", "지도Link")</f>
        <v/>
      </c>
      <c r="K21" s="5">
        <f>HYPERLINK("http://www.eum.go.kr/web/ar/lu/luLandDet.jsp?pnu=3611011200111050000&amp;isNoScr=script&amp;mode=search", "토지이음")</f>
        <v/>
      </c>
      <c r="L21" s="3" t="inlineStr">
        <is>
          <t>고운동리치세종</t>
        </is>
      </c>
      <c r="M21" s="3" t="n">
        <v>2</v>
      </c>
    </row>
    <row r="22">
      <c r="A22" s="3" t="inlineStr">
        <is>
          <t>고운동 1105</t>
        </is>
      </c>
      <c r="B22" s="3" t="inlineStr">
        <is>
          <t>제1종전용주거지역</t>
        </is>
      </c>
      <c r="C22" s="3" t="inlineStr">
        <is>
          <t>대</t>
        </is>
      </c>
      <c r="D22" s="3" t="inlineStr">
        <is>
          <t>대</t>
        </is>
      </c>
      <c r="E22" s="3" t="inlineStr">
        <is>
          <t>매매</t>
        </is>
      </c>
      <c r="F22" s="4" t="n">
        <v>60000</v>
      </c>
      <c r="G22" s="4" t="n">
        <v>360</v>
      </c>
      <c r="H22" s="3" t="inlineStr">
        <is>
          <t>학교 인근 입지 좋은 토지, 사거리 코너</t>
        </is>
      </c>
      <c r="I22" s="5">
        <f>HYPERLINK("https://fin.land.naver.com/articles/2645622582", "매물Link")</f>
        <v/>
      </c>
      <c r="J22" s="5">
        <f>HYPERLINK("https://map.naver.com/p/search/고운동 1105", "지도Link")</f>
        <v/>
      </c>
      <c r="K22" s="5">
        <f>HYPERLINK("http://www.eum.go.kr/web/ar/lu/luLandDet.jsp?pnu=3611011200111050000&amp;isNoScr=script&amp;mode=search", "토지이음")</f>
        <v/>
      </c>
      <c r="L22" s="3" t="inlineStr">
        <is>
          <t>명진</t>
        </is>
      </c>
      <c r="M22" s="3" t="n">
        <v>1</v>
      </c>
    </row>
    <row r="23">
      <c r="A23" s="3" t="inlineStr">
        <is>
          <t>고운동 1105</t>
        </is>
      </c>
      <c r="B23" s="3" t="inlineStr">
        <is>
          <t>제1종전용주거지역</t>
        </is>
      </c>
      <c r="C23" s="3" t="inlineStr">
        <is>
          <t>대</t>
        </is>
      </c>
      <c r="D23" s="3" t="inlineStr">
        <is>
          <t>대</t>
        </is>
      </c>
      <c r="E23" s="3" t="inlineStr">
        <is>
          <t>매매</t>
        </is>
      </c>
      <c r="F23" s="4" t="n">
        <v>60000</v>
      </c>
      <c r="G23" s="4" t="n">
        <v>360</v>
      </c>
      <c r="H23" s="3" t="inlineStr">
        <is>
          <t>사거리 코너, 입지 좋은 토지, 3면 각지, 전원주택지 토지매매</t>
        </is>
      </c>
      <c r="I23" s="5">
        <f>HYPERLINK("https://fin.land.naver.com/articles/2645252887", "매물Link")</f>
        <v/>
      </c>
      <c r="J23" s="5">
        <f>HYPERLINK("https://map.naver.com/p/search/고운동 1105", "지도Link")</f>
        <v/>
      </c>
      <c r="K23" s="5">
        <f>HYPERLINK("http://www.eum.go.kr/web/ar/lu/luLandDet.jsp?pnu=3611011200111050000&amp;isNoScr=script&amp;mode=search", "토지이음")</f>
        <v/>
      </c>
      <c r="L23" s="3" t="inlineStr">
        <is>
          <t>세종무지개</t>
        </is>
      </c>
      <c r="M23" s="3" t="n">
        <v>1</v>
      </c>
    </row>
    <row r="24">
      <c r="A24" s="3" t="inlineStr">
        <is>
          <t>고운동 1109</t>
        </is>
      </c>
      <c r="B24" s="3" t="inlineStr">
        <is>
          <t>제1종전용주거지역</t>
        </is>
      </c>
      <c r="C24" s="3" t="inlineStr">
        <is>
          <t>대</t>
        </is>
      </c>
      <c r="D24" s="3" t="inlineStr">
        <is>
          <t>대</t>
        </is>
      </c>
      <c r="E24" s="3" t="inlineStr">
        <is>
          <t>매매</t>
        </is>
      </c>
      <c r="F24" s="4" t="n">
        <v>50000</v>
      </c>
      <c r="G24" s="4" t="n">
        <v>330</v>
      </c>
      <c r="H24" s="3" t="inlineStr">
        <is>
          <t>nan</t>
        </is>
      </c>
      <c r="I24" s="5">
        <f>HYPERLINK("https://fin.land.naver.com/articles/2649599583", "매물Link")</f>
        <v/>
      </c>
      <c r="J24" s="5">
        <f>HYPERLINK("https://map.naver.com/p/search/고운동 1109", "지도Link")</f>
        <v/>
      </c>
      <c r="K24" s="5">
        <f>HYPERLINK("http://www.eum.go.kr/web/ar/lu/luLandDet.jsp?pnu=3611011200111090000&amp;isNoScr=script&amp;mode=search", "토지이음")</f>
        <v/>
      </c>
      <c r="L24" s="3" t="inlineStr">
        <is>
          <t>성훈</t>
        </is>
      </c>
      <c r="M24" s="3" t="n">
        <v>1</v>
      </c>
    </row>
    <row r="25">
      <c r="A25" s="3" t="inlineStr">
        <is>
          <t>고운동 1109</t>
        </is>
      </c>
      <c r="B25" s="3" t="inlineStr">
        <is>
          <t>제1종전용주거지역</t>
        </is>
      </c>
      <c r="C25" s="3" t="inlineStr">
        <is>
          <t>대</t>
        </is>
      </c>
      <c r="D25" s="3" t="inlineStr">
        <is>
          <t>대</t>
        </is>
      </c>
      <c r="E25" s="3" t="inlineStr">
        <is>
          <t>매매</t>
        </is>
      </c>
      <c r="F25" s="4" t="n">
        <v>50000</v>
      </c>
      <c r="G25" s="4" t="n">
        <v>330</v>
      </c>
      <c r="H25" s="3" t="inlineStr">
        <is>
          <t>입지좋은단독택지  학군 상권 이용편리</t>
        </is>
      </c>
      <c r="I25" s="5">
        <f>HYPERLINK("https://fin.land.naver.com/articles/2645687473", "매물Link")</f>
        <v/>
      </c>
      <c r="J25" s="5">
        <f>HYPERLINK("https://map.naver.com/p/search/고운동 1109", "지도Link")</f>
        <v/>
      </c>
      <c r="K25" s="5">
        <f>HYPERLINK("http://www.eum.go.kr/web/ar/lu/luLandDet.jsp?pnu=3611011200111090000&amp;isNoScr=script&amp;mode=search", "토지이음")</f>
        <v/>
      </c>
      <c r="L25" s="3" t="inlineStr">
        <is>
          <t>세종시토지</t>
        </is>
      </c>
      <c r="M25" s="3" t="n">
        <v>1</v>
      </c>
    </row>
    <row r="26">
      <c r="A26" s="3" t="inlineStr">
        <is>
          <t>고운동 1119</t>
        </is>
      </c>
      <c r="B26" s="3" t="inlineStr">
        <is>
          <t>제1종전용주거지역</t>
        </is>
      </c>
      <c r="C26" s="3" t="inlineStr">
        <is>
          <t>대</t>
        </is>
      </c>
      <c r="D26" s="3" t="inlineStr">
        <is>
          <t>대</t>
        </is>
      </c>
      <c r="E26" s="3" t="inlineStr">
        <is>
          <t>매매</t>
        </is>
      </c>
      <c r="F26" s="4" t="n">
        <v>60000</v>
      </c>
      <c r="G26" s="4" t="n">
        <v>351</v>
      </c>
      <c r="H26" s="3" t="inlineStr">
        <is>
          <t>nan</t>
        </is>
      </c>
      <c r="I26" s="5">
        <f>HYPERLINK("https://fin.land.naver.com/articles/2648716272", "매물Link")</f>
        <v/>
      </c>
      <c r="J26" s="5">
        <f>HYPERLINK("https://map.naver.com/p/search/고운동 1119", "지도Link")</f>
        <v/>
      </c>
      <c r="K26" s="5">
        <f>HYPERLINK("http://www.eum.go.kr/web/ar/lu/luLandDet.jsp?pnu=3611011200111190000&amp;isNoScr=script&amp;mode=search", "토지이음")</f>
        <v/>
      </c>
      <c r="L26" s="3" t="inlineStr">
        <is>
          <t>세종스타</t>
        </is>
      </c>
      <c r="M26" s="3" t="n">
        <v>1</v>
      </c>
    </row>
    <row r="27">
      <c r="A27" s="3" t="inlineStr">
        <is>
          <t>고운동 1138</t>
        </is>
      </c>
      <c r="B27" s="3" t="inlineStr">
        <is>
          <t>제1종전용주거지역</t>
        </is>
      </c>
      <c r="C27" s="3" t="inlineStr">
        <is>
          <t>대</t>
        </is>
      </c>
      <c r="D27" s="3" t="inlineStr">
        <is>
          <t>대</t>
        </is>
      </c>
      <c r="E27" s="3" t="inlineStr">
        <is>
          <t>매매</t>
        </is>
      </c>
      <c r="F27" s="4" t="n">
        <v>60000</v>
      </c>
      <c r="G27" s="4" t="n">
        <v>361</v>
      </c>
      <c r="H27" s="3" t="inlineStr">
        <is>
          <t>전용 109.6P, 두루고등학교앞, 단독주택지</t>
        </is>
      </c>
      <c r="I27" s="5">
        <f>HYPERLINK("https://fin.land.naver.com/articles/2648900135", "매물Link")</f>
        <v/>
      </c>
      <c r="J27" s="5">
        <f>HYPERLINK("https://map.naver.com/p/search/고운동 1138", "지도Link")</f>
        <v/>
      </c>
      <c r="K27" s="5">
        <f>HYPERLINK("http://www.eum.go.kr/web/ar/lu/luLandDet.jsp?pnu=3611011200111380000&amp;isNoScr=script&amp;mode=search", "토지이음")</f>
        <v/>
      </c>
      <c r="L27" s="3" t="inlineStr">
        <is>
          <t>명진</t>
        </is>
      </c>
      <c r="M27" s="3" t="n">
        <v>1</v>
      </c>
    </row>
    <row r="28">
      <c r="A28" s="3" t="inlineStr">
        <is>
          <t>고운동 1138</t>
        </is>
      </c>
      <c r="B28" s="3" t="inlineStr">
        <is>
          <t>제1종전용주거지역</t>
        </is>
      </c>
      <c r="C28" s="3" t="inlineStr">
        <is>
          <t>대</t>
        </is>
      </c>
      <c r="D28" s="3" t="inlineStr">
        <is>
          <t>대</t>
        </is>
      </c>
      <c r="E28" s="3" t="inlineStr">
        <is>
          <t>매매</t>
        </is>
      </c>
      <c r="F28" s="4" t="n">
        <v>60000</v>
      </c>
      <c r="G28" s="4" t="n">
        <v>361</v>
      </c>
      <c r="H28" s="3" t="inlineStr">
        <is>
          <t>109.6p, 유.초등학교인근, 고등학교 인근</t>
        </is>
      </c>
      <c r="I28" s="5">
        <f>HYPERLINK("https://fin.land.naver.com/articles/2648840606", "매물Link")</f>
        <v/>
      </c>
      <c r="J28" s="5">
        <f>HYPERLINK("https://map.naver.com/p/search/고운동 1138", "지도Link")</f>
        <v/>
      </c>
      <c r="K28" s="5">
        <f>HYPERLINK("http://www.eum.go.kr/web/ar/lu/luLandDet.jsp?pnu=3611011200111380000&amp;isNoScr=script&amp;mode=search", "토지이음")</f>
        <v/>
      </c>
      <c r="L28" s="3" t="inlineStr">
        <is>
          <t>세종무지개</t>
        </is>
      </c>
      <c r="M28" s="3" t="n">
        <v>1</v>
      </c>
    </row>
    <row r="29">
      <c r="A29" s="3" t="inlineStr">
        <is>
          <t>고운동 1142</t>
        </is>
      </c>
      <c r="B29" s="3" t="inlineStr">
        <is>
          <t>제1종전용주거지역</t>
        </is>
      </c>
      <c r="C29" s="3" t="inlineStr">
        <is>
          <t>대</t>
        </is>
      </c>
      <c r="D29" s="3" t="inlineStr">
        <is>
          <t>대</t>
        </is>
      </c>
      <c r="E29" s="3" t="inlineStr">
        <is>
          <t>매매</t>
        </is>
      </c>
      <c r="F29" s="4" t="n">
        <v>52000</v>
      </c>
      <c r="G29" s="4" t="n">
        <v>344</v>
      </c>
      <c r="H29" s="3" t="inlineStr">
        <is>
          <t>두루고등학교앞 단독주택지 최선을다해서 가격조정해보겠습니다.</t>
        </is>
      </c>
      <c r="I29" s="5">
        <f>HYPERLINK("https://fin.land.naver.com/articles/2649565774", "매물Link")</f>
        <v/>
      </c>
      <c r="J29" s="5">
        <f>HYPERLINK("https://map.naver.com/p/search/고운동 1142", "지도Link")</f>
        <v/>
      </c>
      <c r="K29" s="5">
        <f>HYPERLINK("http://www.eum.go.kr/web/ar/lu/luLandDet.jsp?pnu=3611011200111420000&amp;isNoScr=script&amp;mode=search", "토지이음")</f>
        <v/>
      </c>
      <c r="L29" s="3" t="inlineStr">
        <is>
          <t>고운동리치세종</t>
        </is>
      </c>
      <c r="M29" s="3" t="n">
        <v>3</v>
      </c>
    </row>
    <row r="30">
      <c r="A30" s="3" t="inlineStr">
        <is>
          <t>고운동 1142</t>
        </is>
      </c>
      <c r="B30" s="3" t="inlineStr">
        <is>
          <t>제1종전용주거지역</t>
        </is>
      </c>
      <c r="C30" s="3" t="inlineStr">
        <is>
          <t>대</t>
        </is>
      </c>
      <c r="D30" s="3" t="inlineStr">
        <is>
          <t>대</t>
        </is>
      </c>
      <c r="E30" s="3" t="inlineStr">
        <is>
          <t>매매</t>
        </is>
      </c>
      <c r="F30" s="4" t="n">
        <v>52000</v>
      </c>
      <c r="G30" s="4" t="n">
        <v>343</v>
      </c>
      <c r="H30" s="3" t="inlineStr">
        <is>
          <t>고운동 단독주택지 매매, 두루고 인근, 위치 추천</t>
        </is>
      </c>
      <c r="I30" s="5">
        <f>HYPERLINK("https://fin.land.naver.com/articles/2645492772", "매물Link")</f>
        <v/>
      </c>
      <c r="J30" s="5">
        <f>HYPERLINK("https://map.naver.com/p/search/고운동 1142", "지도Link")</f>
        <v/>
      </c>
      <c r="K30" s="5">
        <f>HYPERLINK("http://www.eum.go.kr/web/ar/lu/luLandDet.jsp?pnu=3611011200111420000&amp;isNoScr=script&amp;mode=search", "토지이음")</f>
        <v/>
      </c>
      <c r="L30" s="3" t="inlineStr">
        <is>
          <t>명진</t>
        </is>
      </c>
      <c r="M30" s="3" t="n">
        <v>1</v>
      </c>
    </row>
    <row r="31">
      <c r="A31" s="3" t="inlineStr">
        <is>
          <t>고운동 1142</t>
        </is>
      </c>
      <c r="B31" s="3" t="inlineStr">
        <is>
          <t>제1종전용주거지역</t>
        </is>
      </c>
      <c r="C31" s="3" t="inlineStr">
        <is>
          <t>대</t>
        </is>
      </c>
      <c r="D31" s="3" t="inlineStr">
        <is>
          <t>대</t>
        </is>
      </c>
      <c r="E31" s="3" t="inlineStr">
        <is>
          <t>매매</t>
        </is>
      </c>
      <c r="F31" s="4" t="n">
        <v>60000</v>
      </c>
      <c r="G31" s="4" t="n">
        <v>343</v>
      </c>
      <c r="H31" s="3" t="inlineStr">
        <is>
          <t>두루고 앞, 고운동 단독주택지 매매</t>
        </is>
      </c>
      <c r="I31" s="5">
        <f>HYPERLINK("https://fin.land.naver.com/articles/2645386600", "매물Link")</f>
        <v/>
      </c>
      <c r="J31" s="5">
        <f>HYPERLINK("https://map.naver.com/p/search/고운동 1142", "지도Link")</f>
        <v/>
      </c>
      <c r="K31" s="5">
        <f>HYPERLINK("http://www.eum.go.kr/web/ar/lu/luLandDet.jsp?pnu=3611011200111420000&amp;isNoScr=script&amp;mode=search", "토지이음")</f>
        <v/>
      </c>
      <c r="L31" s="3" t="inlineStr">
        <is>
          <t>세종무지개</t>
        </is>
      </c>
      <c r="M31" s="3" t="n">
        <v>1</v>
      </c>
    </row>
    <row r="32">
      <c r="A32" s="3" t="inlineStr">
        <is>
          <t>고운동 1145</t>
        </is>
      </c>
      <c r="B32" s="3" t="inlineStr">
        <is>
          <t>제1종전용주거지역</t>
        </is>
      </c>
      <c r="C32" s="3" t="inlineStr">
        <is>
          <t>대</t>
        </is>
      </c>
      <c r="D32" s="3" t="inlineStr">
        <is>
          <t>대</t>
        </is>
      </c>
      <c r="E32" s="3" t="inlineStr">
        <is>
          <t>매매</t>
        </is>
      </c>
      <c r="F32" s="4" t="n">
        <v>80000</v>
      </c>
      <c r="G32" s="4" t="n">
        <v>383</v>
      </c>
      <c r="H32" s="3" t="inlineStr">
        <is>
          <t>고운동북측 전용주택지 , 상권,학교 인접 생활인프라 좋음.</t>
        </is>
      </c>
      <c r="I32" s="5">
        <f>HYPERLINK("https://fin.land.naver.com/articles/2647434704", "매물Link")</f>
        <v/>
      </c>
      <c r="J32" s="5">
        <f>HYPERLINK("https://map.naver.com/p/search/고운동 1145", "지도Link")</f>
        <v/>
      </c>
      <c r="K32" s="5">
        <f>HYPERLINK("http://www.eum.go.kr/web/ar/lu/luLandDet.jsp?pnu=3611011200111450000&amp;isNoScr=script&amp;mode=search", "토지이음")</f>
        <v/>
      </c>
      <c r="L32" s="3" t="inlineStr">
        <is>
          <t>세종만세</t>
        </is>
      </c>
      <c r="M32" s="3" t="n">
        <v>1</v>
      </c>
    </row>
    <row r="33">
      <c r="A33" s="3" t="inlineStr">
        <is>
          <t>고운동 1179</t>
        </is>
      </c>
      <c r="B33" s="3" t="inlineStr">
        <is>
          <t>제1종전용주거지역</t>
        </is>
      </c>
      <c r="C33" s="3" t="inlineStr">
        <is>
          <t>대</t>
        </is>
      </c>
      <c r="D33" s="3" t="inlineStr">
        <is>
          <t>대</t>
        </is>
      </c>
      <c r="E33" s="3" t="inlineStr">
        <is>
          <t>매매</t>
        </is>
      </c>
      <c r="F33" s="4" t="n">
        <v>45000</v>
      </c>
      <c r="G33" s="4" t="n">
        <v>332</v>
      </c>
      <c r="H33" s="3" t="inlineStr">
        <is>
          <t>항아리상권 가까운 생활인프라 좋은 토지 매매</t>
        </is>
      </c>
      <c r="I33" s="5">
        <f>HYPERLINK("https://fin.land.naver.com/articles/2645252849", "매물Link")</f>
        <v/>
      </c>
      <c r="J33" s="5">
        <f>HYPERLINK("https://map.naver.com/p/search/고운동 1179", "지도Link")</f>
        <v/>
      </c>
      <c r="K33" s="5">
        <f>HYPERLINK("http://www.eum.go.kr/web/ar/lu/luLandDet.jsp?pnu=3611011200111790000&amp;isNoScr=script&amp;mode=search", "토지이음")</f>
        <v/>
      </c>
      <c r="L33" s="3" t="inlineStr">
        <is>
          <t>세종무지개</t>
        </is>
      </c>
      <c r="M33" s="3" t="n">
        <v>1</v>
      </c>
    </row>
    <row r="34">
      <c r="A34" s="3" t="inlineStr">
        <is>
          <t>고운동 1179</t>
        </is>
      </c>
      <c r="B34" s="3" t="inlineStr">
        <is>
          <t>제1종전용주거지역</t>
        </is>
      </c>
      <c r="C34" s="3" t="inlineStr">
        <is>
          <t>대</t>
        </is>
      </c>
      <c r="D34" s="3" t="inlineStr">
        <is>
          <t>대</t>
        </is>
      </c>
      <c r="E34" s="3" t="inlineStr">
        <is>
          <t>매매</t>
        </is>
      </c>
      <c r="F34" s="4" t="n">
        <v>45000</v>
      </c>
      <c r="G34" s="4" t="n">
        <v>332</v>
      </c>
      <c r="H34" s="3" t="inlineStr">
        <is>
          <t>상가근접한 입지좋은택지,</t>
        </is>
      </c>
      <c r="I34" s="5">
        <f>HYPERLINK("https://fin.land.naver.com/articles/2647138962", "매물Link")</f>
        <v/>
      </c>
      <c r="J34" s="5">
        <f>HYPERLINK("https://map.naver.com/p/search/고운동 1179", "지도Link")</f>
        <v/>
      </c>
      <c r="K34" s="5">
        <f>HYPERLINK("http://www.eum.go.kr/web/ar/lu/luLandDet.jsp?pnu=3611011200111790000&amp;isNoScr=script&amp;mode=search", "토지이음")</f>
        <v/>
      </c>
      <c r="L34" s="3" t="inlineStr">
        <is>
          <t>세종황소</t>
        </is>
      </c>
      <c r="M34" s="3" t="n">
        <v>2</v>
      </c>
    </row>
    <row r="35">
      <c r="A35" s="3" t="inlineStr">
        <is>
          <t>고운동 1179</t>
        </is>
      </c>
      <c r="B35" s="3" t="inlineStr">
        <is>
          <t>제1종전용주거지역</t>
        </is>
      </c>
      <c r="C35" s="3" t="inlineStr">
        <is>
          <t>대</t>
        </is>
      </c>
      <c r="D35" s="3" t="inlineStr">
        <is>
          <t>대</t>
        </is>
      </c>
      <c r="E35" s="3" t="inlineStr">
        <is>
          <t>매매</t>
        </is>
      </c>
      <c r="F35" s="4" t="n">
        <v>45000</v>
      </c>
      <c r="G35" s="4" t="n">
        <v>332</v>
      </c>
      <c r="H35" s="3" t="inlineStr">
        <is>
          <t>급매, 고운동 입지 좋은 단독주택지</t>
        </is>
      </c>
      <c r="I35" s="5">
        <f>HYPERLINK("https://fin.land.naver.com/articles/2645493009", "매물Link")</f>
        <v/>
      </c>
      <c r="J35" s="5">
        <f>HYPERLINK("https://map.naver.com/p/search/고운동 1179", "지도Link")</f>
        <v/>
      </c>
      <c r="K35" s="5">
        <f>HYPERLINK("http://www.eum.go.kr/web/ar/lu/luLandDet.jsp?pnu=3611011200111790000&amp;isNoScr=script&amp;mode=search", "토지이음")</f>
        <v/>
      </c>
      <c r="L35" s="3" t="inlineStr">
        <is>
          <t>명진</t>
        </is>
      </c>
      <c r="M35" s="3" t="n">
        <v>1</v>
      </c>
    </row>
    <row r="36">
      <c r="A36" s="3" t="inlineStr">
        <is>
          <t>고운동 1236</t>
        </is>
      </c>
      <c r="B36" s="3" t="inlineStr">
        <is>
          <t>제1종전용주거지역</t>
        </is>
      </c>
      <c r="C36" s="3" t="inlineStr">
        <is>
          <t>대</t>
        </is>
      </c>
      <c r="D36" s="3" t="inlineStr">
        <is>
          <t>대</t>
        </is>
      </c>
      <c r="E36" s="3" t="inlineStr">
        <is>
          <t>매매</t>
        </is>
      </c>
      <c r="F36" s="4" t="n">
        <v>75000</v>
      </c>
      <c r="G36" s="4" t="n">
        <v>338</v>
      </c>
      <c r="H36" s="3" t="inlineStr">
        <is>
          <t>공원근접.초등학교 가까운 위치.조용한 전원주택지 ,투자추천</t>
        </is>
      </c>
      <c r="I36" s="5">
        <f>HYPERLINK("https://fin.land.naver.com/articles/2647141300", "매물Link")</f>
        <v/>
      </c>
      <c r="J36" s="5">
        <f>HYPERLINK("https://map.naver.com/p/search/고운동 1236", "지도Link")</f>
        <v/>
      </c>
      <c r="K36" s="5">
        <f>HYPERLINK("http://www.eum.go.kr/web/ar/lu/luLandDet.jsp?pnu=3611011200112360000&amp;isNoScr=script&amp;mode=search", "토지이음")</f>
        <v/>
      </c>
      <c r="L36" s="3" t="inlineStr">
        <is>
          <t>세종특별시</t>
        </is>
      </c>
      <c r="M36" s="3" t="n">
        <v>1</v>
      </c>
    </row>
    <row r="37">
      <c r="A37" s="3" t="inlineStr">
        <is>
          <t>고운동 1238</t>
        </is>
      </c>
      <c r="B37" s="3" t="inlineStr">
        <is>
          <t>제1종전용주거지역</t>
        </is>
      </c>
      <c r="C37" s="3" t="inlineStr">
        <is>
          <t>대</t>
        </is>
      </c>
      <c r="D37" s="3" t="inlineStr">
        <is>
          <t>대</t>
        </is>
      </c>
      <c r="E37" s="3" t="inlineStr">
        <is>
          <t>매매</t>
        </is>
      </c>
      <c r="F37" s="4" t="n">
        <v>69000</v>
      </c>
      <c r="G37" s="4" t="n">
        <v>348</v>
      </c>
      <c r="H37" s="3" t="inlineStr">
        <is>
          <t>최상급 전원주택부지로 주민센터와 근린생활시설 인근에 위치, 가격조정 가능</t>
        </is>
      </c>
      <c r="I37" s="5">
        <f>HYPERLINK("https://fin.land.naver.com/articles/2646570985", "매물Link")</f>
        <v/>
      </c>
      <c r="J37" s="5">
        <f>HYPERLINK("https://map.naver.com/p/search/고운동 1238", "지도Link")</f>
        <v/>
      </c>
      <c r="K37" s="5">
        <f>HYPERLINK("http://www.eum.go.kr/web/ar/lu/luLandDet.jsp?pnu=3611011200112380000&amp;isNoScr=script&amp;mode=search", "토지이음")</f>
        <v/>
      </c>
      <c r="L37" s="3" t="inlineStr">
        <is>
          <t>수성</t>
        </is>
      </c>
      <c r="M37" s="3" t="n">
        <v>1</v>
      </c>
    </row>
    <row r="38">
      <c r="A38" s="3" t="inlineStr">
        <is>
          <t>고운동 1242</t>
        </is>
      </c>
      <c r="B38" s="3" t="inlineStr">
        <is>
          <t>제1종전용주거지역</t>
        </is>
      </c>
      <c r="C38" s="3" t="inlineStr">
        <is>
          <t>대</t>
        </is>
      </c>
      <c r="D38" s="3" t="inlineStr">
        <is>
          <t>대</t>
        </is>
      </c>
      <c r="E38" s="3" t="inlineStr">
        <is>
          <t>매매</t>
        </is>
      </c>
      <c r="F38" s="4" t="n">
        <v>59000</v>
      </c>
      <c r="G38" s="4" t="n">
        <v>339</v>
      </c>
      <c r="H38" s="3" t="inlineStr">
        <is>
          <t>위치좋고 저렴한 코너각지 남향의 최 상급 주택부지</t>
        </is>
      </c>
      <c r="I38" s="5">
        <f>HYPERLINK("https://fin.land.naver.com/articles/2646971089", "매물Link")</f>
        <v/>
      </c>
      <c r="J38" s="5">
        <f>HYPERLINK("https://map.naver.com/p/search/고운동 1242", "지도Link")</f>
        <v/>
      </c>
      <c r="K38" s="5">
        <f>HYPERLINK("http://www.eum.go.kr/web/ar/lu/luLandDet.jsp?pnu=3611011200112420000&amp;isNoScr=script&amp;mode=search", "토지이음")</f>
        <v/>
      </c>
      <c r="L38" s="3" t="inlineStr">
        <is>
          <t>대전토지로무소</t>
        </is>
      </c>
      <c r="M38" s="3" t="n">
        <v>1</v>
      </c>
    </row>
    <row r="39">
      <c r="A39" s="3" t="inlineStr">
        <is>
          <t>고운동 1242</t>
        </is>
      </c>
      <c r="B39" s="3" t="inlineStr">
        <is>
          <t>제1종전용주거지역</t>
        </is>
      </c>
      <c r="C39" s="3" t="inlineStr">
        <is>
          <t>대</t>
        </is>
      </c>
      <c r="D39" s="3" t="inlineStr">
        <is>
          <t>대</t>
        </is>
      </c>
      <c r="E39" s="3" t="inlineStr">
        <is>
          <t>매매</t>
        </is>
      </c>
      <c r="F39" s="4" t="n">
        <v>58000</v>
      </c>
      <c r="G39" s="4" t="n">
        <v>339</v>
      </c>
      <c r="H39" s="3" t="inlineStr">
        <is>
          <t>o추천택지o. 남향. 학교 상가 이용 편리. 아파트 주거지 중심.</t>
        </is>
      </c>
      <c r="I39" s="5">
        <f>HYPERLINK("https://fin.land.naver.com/articles/2648297773", "매물Link")</f>
        <v/>
      </c>
      <c r="J39" s="5">
        <f>HYPERLINK("https://map.naver.com/p/search/고운동 1242", "지도Link")</f>
        <v/>
      </c>
      <c r="K39" s="5">
        <f>HYPERLINK("http://www.eum.go.kr/web/ar/lu/luLandDet.jsp?pnu=3611011200112420000&amp;isNoScr=script&amp;mode=search", "토지이음")</f>
        <v/>
      </c>
      <c r="L39" s="3" t="inlineStr">
        <is>
          <t>세종썬</t>
        </is>
      </c>
      <c r="M39" s="3" t="n">
        <v>1</v>
      </c>
    </row>
    <row r="40">
      <c r="A40" s="3" t="inlineStr">
        <is>
          <t>고운동 1248</t>
        </is>
      </c>
      <c r="B40" s="3" t="inlineStr">
        <is>
          <t>제1종전용주거지역</t>
        </is>
      </c>
      <c r="C40" s="3" t="inlineStr">
        <is>
          <t>대</t>
        </is>
      </c>
      <c r="D40" s="3" t="inlineStr">
        <is>
          <t>대</t>
        </is>
      </c>
      <c r="E40" s="3" t="inlineStr">
        <is>
          <t>매매</t>
        </is>
      </c>
      <c r="F40" s="4" t="n">
        <v>150000</v>
      </c>
      <c r="G40" s="4" t="n">
        <v>327</v>
      </c>
      <c r="H40" s="3" t="inlineStr">
        <is>
          <t>대로변 코너각지 위치 최상의 귀한 근생부지 매매</t>
        </is>
      </c>
      <c r="I40" s="5">
        <f>HYPERLINK("https://fin.land.naver.com/articles/2646720322", "매물Link")</f>
        <v/>
      </c>
      <c r="J40" s="5">
        <f>HYPERLINK("https://map.naver.com/p/search/고운동 1248", "지도Link")</f>
        <v/>
      </c>
      <c r="K40" s="5">
        <f>HYPERLINK("http://www.eum.go.kr/web/ar/lu/luLandDet.jsp?pnu=3611011200112480000&amp;isNoScr=script&amp;mode=search", "토지이음")</f>
        <v/>
      </c>
      <c r="L40" s="3" t="inlineStr">
        <is>
          <t>(주)정민근</t>
        </is>
      </c>
      <c r="M40" s="3" t="n">
        <v>3</v>
      </c>
    </row>
    <row r="41">
      <c r="A41" s="3" t="inlineStr">
        <is>
          <t>고운동 1262</t>
        </is>
      </c>
      <c r="B41" s="3" t="inlineStr">
        <is>
          <t>제1종전용주거지역</t>
        </is>
      </c>
      <c r="C41" s="3" t="inlineStr">
        <is>
          <t>대</t>
        </is>
      </c>
      <c r="D41" s="3" t="inlineStr">
        <is>
          <t>대</t>
        </is>
      </c>
      <c r="E41" s="3" t="inlineStr">
        <is>
          <t>매매</t>
        </is>
      </c>
      <c r="F41" s="4" t="n">
        <v>58000</v>
      </c>
      <c r="G41" s="4" t="n">
        <v>348</v>
      </c>
      <c r="H41" s="3" t="inlineStr">
        <is>
          <t>3면코너각지 실개천인근 위치최상 조율가능</t>
        </is>
      </c>
      <c r="I41" s="5">
        <f>HYPERLINK("https://fin.land.naver.com/articles/2644917704", "매물Link")</f>
        <v/>
      </c>
      <c r="J41" s="5">
        <f>HYPERLINK("https://map.naver.com/p/search/고운동 1262", "지도Link")</f>
        <v/>
      </c>
      <c r="K41" s="5">
        <f>HYPERLINK("http://www.eum.go.kr/web/ar/lu/luLandDet.jsp?pnu=3611011200112620000&amp;isNoScr=script&amp;mode=search", "토지이음")</f>
        <v/>
      </c>
      <c r="L41" s="3" t="inlineStr">
        <is>
          <t>세종스타</t>
        </is>
      </c>
      <c r="M41" s="3" t="n">
        <v>1</v>
      </c>
    </row>
    <row r="42">
      <c r="A42" s="3" t="inlineStr">
        <is>
          <t>고운동 1272</t>
        </is>
      </c>
      <c r="B42" s="3" t="inlineStr">
        <is>
          <t>제1종전용주거지역</t>
        </is>
      </c>
      <c r="C42" s="3" t="inlineStr">
        <is>
          <t>대</t>
        </is>
      </c>
      <c r="D42" s="3" t="inlineStr">
        <is>
          <t>대</t>
        </is>
      </c>
      <c r="E42" s="3" t="inlineStr">
        <is>
          <t>매매</t>
        </is>
      </c>
      <c r="F42" s="4" t="n">
        <v>80000</v>
      </c>
      <c r="G42" s="4" t="n">
        <v>330</v>
      </c>
      <c r="H42" s="3" t="inlineStr">
        <is>
          <t>코너각지, 실개천 주변으로 입지 좋은 토지매매</t>
        </is>
      </c>
      <c r="I42" s="5">
        <f>HYPERLINK("https://fin.land.naver.com/articles/2645342528", "매물Link")</f>
        <v/>
      </c>
      <c r="J42" s="5">
        <f>HYPERLINK("https://map.naver.com/p/search/고운동 1272", "지도Link")</f>
        <v/>
      </c>
      <c r="K42" s="5">
        <f>HYPERLINK("http://www.eum.go.kr/web/ar/lu/luLandDet.jsp?pnu=3611011200112720000&amp;isNoScr=script&amp;mode=search", "토지이음")</f>
        <v/>
      </c>
      <c r="L42" s="3" t="inlineStr">
        <is>
          <t>세종무지개</t>
        </is>
      </c>
      <c r="M42" s="3" t="n">
        <v>1</v>
      </c>
    </row>
    <row r="43">
      <c r="A43" s="3" t="inlineStr">
        <is>
          <t>고운동 1272</t>
        </is>
      </c>
      <c r="B43" s="3" t="inlineStr">
        <is>
          <t>제1종전용주거지역</t>
        </is>
      </c>
      <c r="C43" s="3" t="inlineStr">
        <is>
          <t>대</t>
        </is>
      </c>
      <c r="D43" s="3" t="inlineStr">
        <is>
          <t>대</t>
        </is>
      </c>
      <c r="E43" s="3" t="inlineStr">
        <is>
          <t>매매</t>
        </is>
      </c>
      <c r="F43" s="4" t="n">
        <v>80000</v>
      </c>
      <c r="G43" s="4" t="n">
        <v>329</v>
      </c>
      <c r="H43" s="3" t="inlineStr">
        <is>
          <t>삼거리 코너, 토지매매, 실개천 인근</t>
        </is>
      </c>
      <c r="I43" s="5">
        <f>HYPERLINK("https://fin.land.naver.com/articles/2645493319", "매물Link")</f>
        <v/>
      </c>
      <c r="J43" s="5">
        <f>HYPERLINK("https://map.naver.com/p/search/고운동 1272", "지도Link")</f>
        <v/>
      </c>
      <c r="K43" s="5">
        <f>HYPERLINK("http://www.eum.go.kr/web/ar/lu/luLandDet.jsp?pnu=3611011200112720000&amp;isNoScr=script&amp;mode=search", "토지이음")</f>
        <v/>
      </c>
      <c r="L43" s="3" t="inlineStr">
        <is>
          <t>명진</t>
        </is>
      </c>
      <c r="M43" s="3" t="n">
        <v>1</v>
      </c>
    </row>
    <row r="44">
      <c r="A44" s="3" t="inlineStr">
        <is>
          <t>고운동 1293</t>
        </is>
      </c>
      <c r="B44" s="3" t="inlineStr">
        <is>
          <t>제1종전용주거지역</t>
        </is>
      </c>
      <c r="C44" s="3" t="inlineStr">
        <is>
          <t>대</t>
        </is>
      </c>
      <c r="D44" s="3" t="inlineStr">
        <is>
          <t>대</t>
        </is>
      </c>
      <c r="E44" s="3" t="inlineStr">
        <is>
          <t>매매</t>
        </is>
      </c>
      <c r="F44" s="4" t="n">
        <v>95000</v>
      </c>
      <c r="G44" s="4" t="n">
        <v>332</v>
      </c>
      <c r="H44" s="3" t="inlineStr">
        <is>
          <t>100.91p, 개방감 좋은 실개천 인근 토지</t>
        </is>
      </c>
      <c r="I44" s="5">
        <f>HYPERLINK("https://fin.land.naver.com/articles/2644482629", "매물Link")</f>
        <v/>
      </c>
      <c r="J44" s="5">
        <f>HYPERLINK("https://map.naver.com/p/search/고운동 1293", "지도Link")</f>
        <v/>
      </c>
      <c r="K44" s="5">
        <f>HYPERLINK("http://www.eum.go.kr/web/ar/lu/luLandDet.jsp?pnu=3611011200112930000&amp;isNoScr=script&amp;mode=search", "토지이음")</f>
        <v/>
      </c>
      <c r="L44" s="3" t="inlineStr">
        <is>
          <t>세종무지개</t>
        </is>
      </c>
      <c r="M44" s="3" t="n">
        <v>1</v>
      </c>
    </row>
    <row r="45">
      <c r="A45" s="3" t="inlineStr">
        <is>
          <t>고운동 1293</t>
        </is>
      </c>
      <c r="B45" s="3" t="inlineStr">
        <is>
          <t>제1종전용주거지역</t>
        </is>
      </c>
      <c r="C45" s="3" t="inlineStr">
        <is>
          <t>대</t>
        </is>
      </c>
      <c r="D45" s="3" t="inlineStr">
        <is>
          <t>대</t>
        </is>
      </c>
      <c r="E45" s="3" t="inlineStr">
        <is>
          <t>매매</t>
        </is>
      </c>
      <c r="F45" s="4" t="n">
        <v>95000</v>
      </c>
      <c r="G45" s="4" t="n">
        <v>333</v>
      </c>
      <c r="H45" s="3" t="inlineStr">
        <is>
          <t>총 100p, 실개천 주변으로 위치좋은 토지</t>
        </is>
      </c>
      <c r="I45" s="5">
        <f>HYPERLINK("https://fin.land.naver.com/articles/2649013264", "매물Link")</f>
        <v/>
      </c>
      <c r="J45" s="5">
        <f>HYPERLINK("https://map.naver.com/p/search/고운동 1293", "지도Link")</f>
        <v/>
      </c>
      <c r="K45" s="5">
        <f>HYPERLINK("http://www.eum.go.kr/web/ar/lu/luLandDet.jsp?pnu=3611011200112930000&amp;isNoScr=script&amp;mode=search", "토지이음")</f>
        <v/>
      </c>
      <c r="L45" s="3" t="inlineStr">
        <is>
          <t>명진</t>
        </is>
      </c>
      <c r="M45" s="3" t="n">
        <v>1</v>
      </c>
    </row>
    <row r="46">
      <c r="A46" s="3" t="inlineStr">
        <is>
          <t>고운동 1297</t>
        </is>
      </c>
      <c r="B46" s="3" t="inlineStr">
        <is>
          <t>제1종전용주거지역</t>
        </is>
      </c>
      <c r="C46" s="3" t="inlineStr">
        <is>
          <t>대</t>
        </is>
      </c>
      <c r="D46" s="3" t="inlineStr">
        <is>
          <t>대</t>
        </is>
      </c>
      <c r="E46" s="3" t="inlineStr">
        <is>
          <t>매매</t>
        </is>
      </c>
      <c r="F46" s="4" t="n">
        <v>56000</v>
      </c>
      <c r="G46" s="4" t="n">
        <v>338</v>
      </c>
      <c r="H46" s="3" t="inlineStr">
        <is>
          <t>실개천옆 천조망 가락초2분 두루고5분</t>
        </is>
      </c>
      <c r="I46" s="5">
        <f>HYPERLINK("https://fin.land.naver.com/articles/2648615465", "매물Link")</f>
        <v/>
      </c>
      <c r="J46" s="5">
        <f>HYPERLINK("https://map.naver.com/p/search/고운동 1297", "지도Link")</f>
        <v/>
      </c>
      <c r="K46" s="5">
        <f>HYPERLINK("http://www.eum.go.kr/web/ar/lu/luLandDet.jsp?pnu=3611011200112970000&amp;isNoScr=script&amp;mode=search", "토지이음")</f>
        <v/>
      </c>
      <c r="L46" s="3" t="inlineStr">
        <is>
          <t>세종스타</t>
        </is>
      </c>
      <c r="M46" s="3" t="n">
        <v>2</v>
      </c>
    </row>
    <row r="47">
      <c r="A47" s="3" t="inlineStr">
        <is>
          <t>고운동 1302</t>
        </is>
      </c>
      <c r="B47" s="3" t="inlineStr">
        <is>
          <t>제1종전용주거지역</t>
        </is>
      </c>
      <c r="C47" s="3" t="inlineStr">
        <is>
          <t>대</t>
        </is>
      </c>
      <c r="D47" s="3" t="inlineStr">
        <is>
          <t>대</t>
        </is>
      </c>
      <c r="E47" s="3" t="inlineStr">
        <is>
          <t>매매</t>
        </is>
      </c>
      <c r="F47" s="4" t="n">
        <v>85000</v>
      </c>
      <c r="G47" s="4" t="n">
        <v>351</v>
      </c>
      <c r="H47" s="3" t="inlineStr">
        <is>
          <t>총 106.3p, 공원바로 옆, 도로인접 위치 좋은 전원주택지</t>
        </is>
      </c>
      <c r="I47" s="5">
        <f>HYPERLINK("https://fin.land.naver.com/articles/2648899207", "매물Link")</f>
        <v/>
      </c>
      <c r="J47" s="5">
        <f>HYPERLINK("https://map.naver.com/p/search/고운동 1302", "지도Link")</f>
        <v/>
      </c>
      <c r="K47" s="5">
        <f>HYPERLINK("http://www.eum.go.kr/web/ar/lu/luLandDet.jsp?pnu=3611011200113020000&amp;isNoScr=script&amp;mode=search", "토지이음")</f>
        <v/>
      </c>
      <c r="L47" s="3" t="inlineStr">
        <is>
          <t>명진</t>
        </is>
      </c>
      <c r="M47" s="3" t="n">
        <v>1</v>
      </c>
    </row>
    <row r="48">
      <c r="A48" s="3" t="inlineStr">
        <is>
          <t>고운동 1302</t>
        </is>
      </c>
      <c r="B48" s="3" t="inlineStr">
        <is>
          <t>제1종전용주거지역</t>
        </is>
      </c>
      <c r="C48" s="3" t="inlineStr">
        <is>
          <t>대</t>
        </is>
      </c>
      <c r="D48" s="3" t="inlineStr">
        <is>
          <t>대</t>
        </is>
      </c>
      <c r="E48" s="3" t="inlineStr">
        <is>
          <t>매매</t>
        </is>
      </c>
      <c r="F48" s="4" t="n">
        <v>85000</v>
      </c>
      <c r="G48" s="4" t="n">
        <v>351</v>
      </c>
      <c r="H48" s="3" t="inlineStr">
        <is>
          <t>106.3p, 실개천 앞, 공원인근</t>
        </is>
      </c>
      <c r="I48" s="5">
        <f>HYPERLINK("https://fin.land.naver.com/articles/2644185931", "매물Link")</f>
        <v/>
      </c>
      <c r="J48" s="5">
        <f>HYPERLINK("https://map.naver.com/p/search/고운동 1302", "지도Link")</f>
        <v/>
      </c>
      <c r="K48" s="5">
        <f>HYPERLINK("http://www.eum.go.kr/web/ar/lu/luLandDet.jsp?pnu=3611011200113020000&amp;isNoScr=script&amp;mode=search", "토지이음")</f>
        <v/>
      </c>
      <c r="L48" s="3" t="inlineStr">
        <is>
          <t>세종무지개</t>
        </is>
      </c>
      <c r="M48" s="3" t="n">
        <v>1</v>
      </c>
    </row>
    <row r="49">
      <c r="A49" s="3" t="inlineStr">
        <is>
          <t>고운동 1310</t>
        </is>
      </c>
      <c r="B49" s="3" t="inlineStr">
        <is>
          <t>제1종전용주거지역</t>
        </is>
      </c>
      <c r="C49" s="3" t="inlineStr">
        <is>
          <t>대</t>
        </is>
      </c>
      <c r="D49" s="3" t="inlineStr">
        <is>
          <t>대</t>
        </is>
      </c>
      <c r="E49" s="3" t="inlineStr">
        <is>
          <t>매매</t>
        </is>
      </c>
      <c r="F49" s="4" t="n">
        <v>70000</v>
      </c>
      <c r="G49" s="4" t="n">
        <v>351</v>
      </c>
      <c r="H49" s="3" t="inlineStr">
        <is>
          <t>전원주택지 산책로 및 실개천에 연접한 좋은위치 단독택지, 가락초 인근</t>
        </is>
      </c>
      <c r="I49" s="5">
        <f>HYPERLINK("https://fin.land.naver.com/articles/2643997605", "매물Link")</f>
        <v/>
      </c>
      <c r="J49" s="5">
        <f>HYPERLINK("https://map.naver.com/p/search/고운동 1310", "지도Link")</f>
        <v/>
      </c>
      <c r="K49" s="5">
        <f>HYPERLINK("http://www.eum.go.kr/web/ar/lu/luLandDet.jsp?pnu=3611011200113100000&amp;isNoScr=script&amp;mode=search", "토지이음")</f>
        <v/>
      </c>
      <c r="L49" s="3" t="inlineStr">
        <is>
          <t>온뜰</t>
        </is>
      </c>
      <c r="M49" s="3" t="n">
        <v>1</v>
      </c>
    </row>
    <row r="50">
      <c r="A50" s="3" t="inlineStr">
        <is>
          <t>고운동 1319</t>
        </is>
      </c>
      <c r="B50" s="3" t="inlineStr">
        <is>
          <t>제1종전용주거지역</t>
        </is>
      </c>
      <c r="C50" s="3" t="inlineStr">
        <is>
          <t>대</t>
        </is>
      </c>
      <c r="D50" s="3" t="inlineStr">
        <is>
          <t>대</t>
        </is>
      </c>
      <c r="E50" s="3" t="inlineStr">
        <is>
          <t>매매</t>
        </is>
      </c>
      <c r="F50" s="4" t="n">
        <v>58000</v>
      </c>
      <c r="G50" s="4" t="n">
        <v>365</v>
      </c>
      <c r="H50" s="3" t="inlineStr">
        <is>
          <t>도심속 전원생활 가능한 입지,여건 좋은 단독주택부지</t>
        </is>
      </c>
      <c r="I50" s="5">
        <f>HYPERLINK("https://fin.land.naver.com/articles/2645537774", "매물Link")</f>
        <v/>
      </c>
      <c r="J50" s="5">
        <f>HYPERLINK("https://map.naver.com/p/search/고운동 1319", "지도Link")</f>
        <v/>
      </c>
      <c r="K50" s="5">
        <f>HYPERLINK("http://www.eum.go.kr/web/ar/lu/luLandDet.jsp?pnu=3611011200113190000&amp;isNoScr=script&amp;mode=search", "토지이음")</f>
        <v/>
      </c>
      <c r="L50" s="3" t="inlineStr">
        <is>
          <t>도안우리집</t>
        </is>
      </c>
      <c r="M50" s="3" t="n">
        <v>1</v>
      </c>
    </row>
    <row r="51">
      <c r="A51" s="3" t="inlineStr">
        <is>
          <t>고운동 1319</t>
        </is>
      </c>
      <c r="B51" s="3" t="inlineStr">
        <is>
          <t>제1종전용주거지역</t>
        </is>
      </c>
      <c r="C51" s="3" t="inlineStr">
        <is>
          <t>대</t>
        </is>
      </c>
      <c r="D51" s="3" t="inlineStr">
        <is>
          <t>대</t>
        </is>
      </c>
      <c r="E51" s="3" t="inlineStr">
        <is>
          <t>매매</t>
        </is>
      </c>
      <c r="F51" s="4" t="n">
        <v>58000</v>
      </c>
      <c r="G51" s="4" t="n">
        <v>365</v>
      </c>
      <c r="H51" s="3" t="inlineStr">
        <is>
          <t>위치좋고 저렴한 단독주택 용지 추천드립니다</t>
        </is>
      </c>
      <c r="I51" s="5">
        <f>HYPERLINK("https://fin.land.naver.com/articles/2644677580", "매물Link")</f>
        <v/>
      </c>
      <c r="J51" s="5">
        <f>HYPERLINK("https://map.naver.com/p/search/고운동 1319", "지도Link")</f>
        <v/>
      </c>
      <c r="K51" s="5">
        <f>HYPERLINK("http://www.eum.go.kr/web/ar/lu/luLandDet.jsp?pnu=3611011200113190000&amp;isNoScr=script&amp;mode=search", "토지이음")</f>
        <v/>
      </c>
      <c r="L51" s="3" t="inlineStr">
        <is>
          <t>골드클래스</t>
        </is>
      </c>
      <c r="M51" s="3" t="n">
        <v>2</v>
      </c>
    </row>
    <row r="52">
      <c r="A52" s="3" t="inlineStr">
        <is>
          <t>고운동 1320</t>
        </is>
      </c>
      <c r="B52" s="3" t="inlineStr">
        <is>
          <t>제1종전용주거지역</t>
        </is>
      </c>
      <c r="C52" s="3" t="inlineStr">
        <is>
          <t>대</t>
        </is>
      </c>
      <c r="D52" s="3" t="inlineStr">
        <is>
          <t>대</t>
        </is>
      </c>
      <c r="E52" s="3" t="inlineStr">
        <is>
          <t>매매</t>
        </is>
      </c>
      <c r="F52" s="4" t="n">
        <v>65000</v>
      </c>
      <c r="G52" s="4" t="n">
        <v>353</v>
      </c>
      <c r="H52" s="3" t="inlineStr">
        <is>
          <t>코너자리로 입지 최고  공원옆  실개천옆 학군 상권이용편리</t>
        </is>
      </c>
      <c r="I52" s="5">
        <f>HYPERLINK("https://fin.land.naver.com/articles/2645691378", "매물Link")</f>
        <v/>
      </c>
      <c r="J52" s="5">
        <f>HYPERLINK("https://map.naver.com/p/search/고운동 1320", "지도Link")</f>
        <v/>
      </c>
      <c r="K52" s="5">
        <f>HYPERLINK("http://www.eum.go.kr/web/ar/lu/luLandDet.jsp?pnu=3611011200113200000&amp;isNoScr=script&amp;mode=search", "토지이음")</f>
        <v/>
      </c>
      <c r="L52" s="3" t="inlineStr">
        <is>
          <t>세종시토지</t>
        </is>
      </c>
      <c r="M52" s="3" t="n">
        <v>1</v>
      </c>
    </row>
    <row r="53">
      <c r="A53" s="3" t="inlineStr">
        <is>
          <t>고운동 1320</t>
        </is>
      </c>
      <c r="B53" s="3" t="inlineStr">
        <is>
          <t>제1종전용주거지역</t>
        </is>
      </c>
      <c r="C53" s="3" t="inlineStr">
        <is>
          <t>대</t>
        </is>
      </c>
      <c r="D53" s="3" t="inlineStr">
        <is>
          <t>대</t>
        </is>
      </c>
      <c r="E53" s="3" t="inlineStr">
        <is>
          <t>매매</t>
        </is>
      </c>
      <c r="F53" s="4" t="n">
        <v>65000</v>
      </c>
      <c r="G53" s="4" t="n">
        <v>353</v>
      </c>
      <c r="H53" s="3" t="inlineStr">
        <is>
          <t>107p, 삼거리 코너자리</t>
        </is>
      </c>
      <c r="I53" s="5">
        <f>HYPERLINK("https://fin.land.naver.com/articles/2648840359", "매물Link")</f>
        <v/>
      </c>
      <c r="J53" s="5">
        <f>HYPERLINK("https://map.naver.com/p/search/고운동 1320", "지도Link")</f>
        <v/>
      </c>
      <c r="K53" s="5">
        <f>HYPERLINK("http://www.eum.go.kr/web/ar/lu/luLandDet.jsp?pnu=3611011200113200000&amp;isNoScr=script&amp;mode=search", "토지이음")</f>
        <v/>
      </c>
      <c r="L53" s="3" t="inlineStr">
        <is>
          <t>세종무지개</t>
        </is>
      </c>
      <c r="M53" s="3" t="n">
        <v>1</v>
      </c>
    </row>
    <row r="54">
      <c r="A54" s="3" t="inlineStr">
        <is>
          <t>고운동 1323</t>
        </is>
      </c>
      <c r="B54" s="3" t="inlineStr">
        <is>
          <t>제1종전용주거지역</t>
        </is>
      </c>
      <c r="C54" s="3" t="inlineStr">
        <is>
          <t>대</t>
        </is>
      </c>
      <c r="D54" s="3" t="inlineStr">
        <is>
          <t>대</t>
        </is>
      </c>
      <c r="E54" s="3" t="inlineStr">
        <is>
          <t>매매</t>
        </is>
      </c>
      <c r="F54" s="4" t="n">
        <v>60000</v>
      </c>
      <c r="G54" s="4" t="n">
        <v>361</v>
      </c>
      <c r="H54" s="3" t="inlineStr">
        <is>
          <t>급매 추가조율가능 넓은평수 뒤로보행로접</t>
        </is>
      </c>
      <c r="I54" s="5">
        <f>HYPERLINK("https://fin.land.naver.com/articles/2645801552", "매물Link")</f>
        <v/>
      </c>
      <c r="J54" s="5">
        <f>HYPERLINK("https://map.naver.com/p/search/고운동 1323", "지도Link")</f>
        <v/>
      </c>
      <c r="K54" s="5">
        <f>HYPERLINK("http://www.eum.go.kr/web/ar/lu/luLandDet.jsp?pnu=3611011200113230000&amp;isNoScr=script&amp;mode=search", "토지이음")</f>
        <v/>
      </c>
      <c r="L54" s="3" t="inlineStr">
        <is>
          <t>세종스타</t>
        </is>
      </c>
      <c r="M54" s="3" t="n">
        <v>2</v>
      </c>
    </row>
    <row r="55">
      <c r="A55" s="3" t="inlineStr">
        <is>
          <t>고운동 1323</t>
        </is>
      </c>
      <c r="B55" s="3" t="inlineStr">
        <is>
          <t>제1종전용주거지역</t>
        </is>
      </c>
      <c r="C55" s="3" t="inlineStr">
        <is>
          <t>대</t>
        </is>
      </c>
      <c r="D55" s="3" t="inlineStr">
        <is>
          <t>대</t>
        </is>
      </c>
      <c r="E55" s="3" t="inlineStr">
        <is>
          <t>매매</t>
        </is>
      </c>
      <c r="F55" s="4" t="n">
        <v>60000</v>
      </c>
      <c r="G55" s="4" t="n">
        <v>361</v>
      </c>
      <c r="H55" s="3" t="inlineStr">
        <is>
          <t>총 109.3p, 고운동 생활인프라 좋은 위치 토지매매</t>
        </is>
      </c>
      <c r="I55" s="5">
        <f>HYPERLINK("https://fin.land.naver.com/articles/2645495836", "매물Link")</f>
        <v/>
      </c>
      <c r="J55" s="5">
        <f>HYPERLINK("https://map.naver.com/p/search/고운동 1323", "지도Link")</f>
        <v/>
      </c>
      <c r="K55" s="5">
        <f>HYPERLINK("http://www.eum.go.kr/web/ar/lu/luLandDet.jsp?pnu=3611011200113230000&amp;isNoScr=script&amp;mode=search", "토지이음")</f>
        <v/>
      </c>
      <c r="L55" s="3" t="inlineStr">
        <is>
          <t>명진</t>
        </is>
      </c>
      <c r="M55" s="3" t="n">
        <v>1</v>
      </c>
    </row>
    <row r="56">
      <c r="A56" s="3" t="inlineStr">
        <is>
          <t>고운동 1323</t>
        </is>
      </c>
      <c r="B56" s="3" t="inlineStr">
        <is>
          <t>제1종전용주거지역</t>
        </is>
      </c>
      <c r="C56" s="3" t="inlineStr">
        <is>
          <t>대</t>
        </is>
      </c>
      <c r="D56" s="3" t="inlineStr">
        <is>
          <t>대</t>
        </is>
      </c>
      <c r="E56" s="3" t="inlineStr">
        <is>
          <t>매매</t>
        </is>
      </c>
      <c r="F56" s="4" t="n">
        <v>60000</v>
      </c>
      <c r="G56" s="4" t="n">
        <v>361</v>
      </c>
      <c r="H56" s="3" t="inlineStr">
        <is>
          <t>총 109.3p, 위치 좋은 단독주택지, 공원인근</t>
        </is>
      </c>
      <c r="I56" s="5">
        <f>HYPERLINK("https://fin.land.naver.com/articles/2649613023", "매물Link")</f>
        <v/>
      </c>
      <c r="J56" s="5">
        <f>HYPERLINK("https://map.naver.com/p/search/고운동 1323", "지도Link")</f>
        <v/>
      </c>
      <c r="K56" s="5">
        <f>HYPERLINK("http://www.eum.go.kr/web/ar/lu/luLandDet.jsp?pnu=3611011200113230000&amp;isNoScr=script&amp;mode=search", "토지이음")</f>
        <v/>
      </c>
      <c r="L56" s="3" t="inlineStr">
        <is>
          <t>세종무지개</t>
        </is>
      </c>
      <c r="M56" s="3" t="n">
        <v>1</v>
      </c>
    </row>
    <row r="57">
      <c r="A57" s="3" t="inlineStr">
        <is>
          <t>고운동 1328</t>
        </is>
      </c>
      <c r="B57" s="3" t="inlineStr">
        <is>
          <t>제1종전용주거지역</t>
        </is>
      </c>
      <c r="C57" s="3" t="inlineStr">
        <is>
          <t>대</t>
        </is>
      </c>
      <c r="D57" s="3" t="inlineStr">
        <is>
          <t>대</t>
        </is>
      </c>
      <c r="E57" s="3" t="inlineStr">
        <is>
          <t>매매</t>
        </is>
      </c>
      <c r="F57" s="4" t="n">
        <v>65000</v>
      </c>
      <c r="G57" s="4" t="n">
        <v>352</v>
      </c>
      <c r="H57" s="3" t="inlineStr">
        <is>
          <t>실개천 가깝고 코너각지 위치 좋은 단독주택지, 조정가능</t>
        </is>
      </c>
      <c r="I57" s="5">
        <f>HYPERLINK("https://fin.land.naver.com/articles/2649699066", "매물Link")</f>
        <v/>
      </c>
      <c r="J57" s="5">
        <f>HYPERLINK("https://map.naver.com/p/search/고운동 1328", "지도Link")</f>
        <v/>
      </c>
      <c r="K57" s="5">
        <f>HYPERLINK("http://www.eum.go.kr/web/ar/lu/luLandDet.jsp?pnu=3611011200113280000&amp;isNoScr=script&amp;mode=search", "토지이음")</f>
        <v/>
      </c>
      <c r="L57" s="3" t="inlineStr">
        <is>
          <t>온뜰</t>
        </is>
      </c>
      <c r="M57" s="3" t="n">
        <v>1</v>
      </c>
    </row>
    <row r="58">
      <c r="A58" s="3" t="inlineStr">
        <is>
          <t>고운동 1328</t>
        </is>
      </c>
      <c r="B58" s="3" t="inlineStr">
        <is>
          <t>제1종전용주거지역</t>
        </is>
      </c>
      <c r="C58" s="3" t="inlineStr">
        <is>
          <t>대</t>
        </is>
      </c>
      <c r="D58" s="3" t="inlineStr">
        <is>
          <t>대</t>
        </is>
      </c>
      <c r="E58" s="3" t="inlineStr">
        <is>
          <t>매매</t>
        </is>
      </c>
      <c r="F58" s="4" t="n">
        <v>65000</v>
      </c>
      <c r="G58" s="4" t="n">
        <v>352</v>
      </c>
      <c r="H58" s="3" t="inlineStr">
        <is>
          <t>106.8p, 삼거리 코너 위치 토지매매</t>
        </is>
      </c>
      <c r="I58" s="5">
        <f>HYPERLINK("https://fin.land.naver.com/articles/2647421174", "매물Link")</f>
        <v/>
      </c>
      <c r="J58" s="5">
        <f>HYPERLINK("https://map.naver.com/p/search/고운동 1328", "지도Link")</f>
        <v/>
      </c>
      <c r="K58" s="5">
        <f>HYPERLINK("http://www.eum.go.kr/web/ar/lu/luLandDet.jsp?pnu=3611011200113280000&amp;isNoScr=script&amp;mode=search", "토지이음")</f>
        <v/>
      </c>
      <c r="L58" s="3" t="inlineStr">
        <is>
          <t>명진</t>
        </is>
      </c>
      <c r="M58" s="3" t="n">
        <v>1</v>
      </c>
    </row>
    <row r="59">
      <c r="A59" s="3" t="inlineStr">
        <is>
          <t>고운동 1328</t>
        </is>
      </c>
      <c r="B59" s="3" t="inlineStr">
        <is>
          <t>제1종전용주거지역</t>
        </is>
      </c>
      <c r="C59" s="3" t="inlineStr">
        <is>
          <t>대</t>
        </is>
      </c>
      <c r="D59" s="3" t="inlineStr">
        <is>
          <t>대</t>
        </is>
      </c>
      <c r="E59" s="3" t="inlineStr">
        <is>
          <t>매매</t>
        </is>
      </c>
      <c r="F59" s="4" t="n">
        <v>65000</v>
      </c>
      <c r="G59" s="4" t="n">
        <v>352</v>
      </c>
      <c r="H59" s="3" t="inlineStr">
        <is>
          <t>공원바로옆 실개천품은단독택지학교상가이용편리</t>
        </is>
      </c>
      <c r="I59" s="5">
        <f>HYPERLINK("https://fin.land.naver.com/articles/2645694568", "매물Link")</f>
        <v/>
      </c>
      <c r="J59" s="5">
        <f>HYPERLINK("https://map.naver.com/p/search/고운동 1328", "지도Link")</f>
        <v/>
      </c>
      <c r="K59" s="5">
        <f>HYPERLINK("http://www.eum.go.kr/web/ar/lu/luLandDet.jsp?pnu=3611011200113280000&amp;isNoScr=script&amp;mode=search", "토지이음")</f>
        <v/>
      </c>
      <c r="L59" s="3" t="inlineStr">
        <is>
          <t>세종시토지</t>
        </is>
      </c>
      <c r="M59" s="3" t="n">
        <v>1</v>
      </c>
    </row>
    <row r="60">
      <c r="A60" s="3" t="inlineStr">
        <is>
          <t>고운동 1328</t>
        </is>
      </c>
      <c r="B60" s="3" t="inlineStr">
        <is>
          <t>제1종전용주거지역</t>
        </is>
      </c>
      <c r="C60" s="3" t="inlineStr">
        <is>
          <t>대</t>
        </is>
      </c>
      <c r="D60" s="3" t="inlineStr">
        <is>
          <t>대</t>
        </is>
      </c>
      <c r="E60" s="3" t="inlineStr">
        <is>
          <t>매매</t>
        </is>
      </c>
      <c r="F60" s="4" t="n">
        <v>65000</v>
      </c>
      <c r="G60" s="4" t="n">
        <v>352</v>
      </c>
      <c r="H60" s="3" t="inlineStr">
        <is>
          <t>106.8p, 실개천 근처, 위치 좋은 토지, 공원 인근</t>
        </is>
      </c>
      <c r="I60" s="5">
        <f>HYPERLINK("https://fin.land.naver.com/articles/2644482432", "매물Link")</f>
        <v/>
      </c>
      <c r="J60" s="5">
        <f>HYPERLINK("https://map.naver.com/p/search/고운동 1328", "지도Link")</f>
        <v/>
      </c>
      <c r="K60" s="5">
        <f>HYPERLINK("http://www.eum.go.kr/web/ar/lu/luLandDet.jsp?pnu=3611011200113280000&amp;isNoScr=script&amp;mode=search", "토지이음")</f>
        <v/>
      </c>
      <c r="L60" s="3" t="inlineStr">
        <is>
          <t>세종무지개</t>
        </is>
      </c>
      <c r="M60" s="3" t="n">
        <v>1</v>
      </c>
    </row>
    <row r="61">
      <c r="A61" s="3" t="inlineStr">
        <is>
          <t>고운동 1330</t>
        </is>
      </c>
      <c r="B61" s="3" t="inlineStr">
        <is>
          <t>제1종전용주거지역</t>
        </is>
      </c>
      <c r="C61" s="3" t="inlineStr">
        <is>
          <t>대</t>
        </is>
      </c>
      <c r="D61" s="3" t="inlineStr">
        <is>
          <t>대</t>
        </is>
      </c>
      <c r="E61" s="3" t="inlineStr">
        <is>
          <t>매매</t>
        </is>
      </c>
      <c r="F61" s="4" t="n">
        <v>60000</v>
      </c>
      <c r="G61" s="4" t="n">
        <v>336</v>
      </c>
      <c r="H61" s="3" t="inlineStr">
        <is>
          <t>햇빛 잘 들고 학교, 상가 가까워 생활 편리, 조율 가능</t>
        </is>
      </c>
      <c r="I61" s="5">
        <f>HYPERLINK("https://fin.land.naver.com/articles/2644847557", "매물Link")</f>
        <v/>
      </c>
      <c r="J61" s="5">
        <f>HYPERLINK("https://map.naver.com/p/search/고운동 1330", "지도Link")</f>
        <v/>
      </c>
      <c r="K61" s="5">
        <f>HYPERLINK("http://www.eum.go.kr/web/ar/lu/luLandDet.jsp?pnu=3611011200113300000&amp;isNoScr=script&amp;mode=search", "토지이음")</f>
        <v/>
      </c>
      <c r="L61" s="3" t="inlineStr">
        <is>
          <t>온뜰</t>
        </is>
      </c>
      <c r="M61" s="3" t="n">
        <v>1</v>
      </c>
    </row>
    <row r="62">
      <c r="A62" s="3" t="inlineStr">
        <is>
          <t>고운동 1331</t>
        </is>
      </c>
      <c r="B62" s="3" t="inlineStr">
        <is>
          <t>제1종전용주거지역</t>
        </is>
      </c>
      <c r="C62" s="3" t="inlineStr">
        <is>
          <t>대</t>
        </is>
      </c>
      <c r="D62" s="3" t="inlineStr">
        <is>
          <t>대</t>
        </is>
      </c>
      <c r="E62" s="3" t="inlineStr">
        <is>
          <t>매매</t>
        </is>
      </c>
      <c r="F62" s="4" t="n">
        <v>60000</v>
      </c>
      <c r="G62" s="4" t="n">
        <v>333</v>
      </c>
      <c r="H62" s="3" t="inlineStr">
        <is>
          <t>코너각지 위치 좋은 단독주택지</t>
        </is>
      </c>
      <c r="I62" s="5">
        <f>HYPERLINK("https://fin.land.naver.com/articles/2649698053", "매물Link")</f>
        <v/>
      </c>
      <c r="J62" s="5">
        <f>HYPERLINK("https://map.naver.com/p/search/고운동 1331", "지도Link")</f>
        <v/>
      </c>
      <c r="K62" s="5">
        <f>HYPERLINK("http://www.eum.go.kr/web/ar/lu/luLandDet.jsp?pnu=3611011200113310000&amp;isNoScr=script&amp;mode=search", "토지이음")</f>
        <v/>
      </c>
      <c r="L62" s="3" t="inlineStr">
        <is>
          <t>온뜰</t>
        </is>
      </c>
      <c r="M62" s="3" t="n">
        <v>1</v>
      </c>
    </row>
    <row r="63">
      <c r="A63" s="3" t="inlineStr">
        <is>
          <t>고운동 1331</t>
        </is>
      </c>
      <c r="B63" s="3" t="inlineStr">
        <is>
          <t>제1종전용주거지역</t>
        </is>
      </c>
      <c r="C63" s="3" t="inlineStr">
        <is>
          <t>대</t>
        </is>
      </c>
      <c r="D63" s="3" t="inlineStr">
        <is>
          <t>대</t>
        </is>
      </c>
      <c r="E63" s="3" t="inlineStr">
        <is>
          <t>매매</t>
        </is>
      </c>
      <c r="F63" s="4" t="n">
        <v>60000</v>
      </c>
      <c r="G63" s="4" t="n">
        <v>333</v>
      </c>
      <c r="H63" s="3" t="inlineStr">
        <is>
          <t>급매 추가조율가능 남향 코너각지</t>
        </is>
      </c>
      <c r="I63" s="5">
        <f>HYPERLINK("https://fin.land.naver.com/articles/2644917611", "매물Link")</f>
        <v/>
      </c>
      <c r="J63" s="5">
        <f>HYPERLINK("https://map.naver.com/p/search/고운동 1331", "지도Link")</f>
        <v/>
      </c>
      <c r="K63" s="5">
        <f>HYPERLINK("http://www.eum.go.kr/web/ar/lu/luLandDet.jsp?pnu=3611011200113310000&amp;isNoScr=script&amp;mode=search", "토지이음")</f>
        <v/>
      </c>
      <c r="L63" s="3" t="inlineStr">
        <is>
          <t>세종스타</t>
        </is>
      </c>
      <c r="M63" s="3" t="n">
        <v>1</v>
      </c>
    </row>
    <row r="64">
      <c r="A64" s="3" t="inlineStr">
        <is>
          <t>고운동 1334</t>
        </is>
      </c>
      <c r="B64" s="3" t="inlineStr">
        <is>
          <t>제1종전용주거지역</t>
        </is>
      </c>
      <c r="C64" s="3" t="inlineStr">
        <is>
          <t>대</t>
        </is>
      </c>
      <c r="D64" s="3" t="inlineStr">
        <is>
          <t>대</t>
        </is>
      </c>
      <c r="E64" s="3" t="inlineStr">
        <is>
          <t>매매</t>
        </is>
      </c>
      <c r="F64" s="4" t="n">
        <v>43000</v>
      </c>
      <c r="G64" s="4" t="n">
        <v>329</v>
      </c>
      <c r="H64" s="3" t="inlineStr">
        <is>
          <t>급매 채광좋음 보행로접함</t>
        </is>
      </c>
      <c r="I64" s="5">
        <f>HYPERLINK("https://fin.land.naver.com/articles/2650193279", "매물Link")</f>
        <v/>
      </c>
      <c r="J64" s="5">
        <f>HYPERLINK("https://map.naver.com/p/search/고운동 1334", "지도Link")</f>
        <v/>
      </c>
      <c r="K64" s="5">
        <f>HYPERLINK("http://www.eum.go.kr/web/ar/lu/luLandDet.jsp?pnu=3611011200113340000&amp;isNoScr=script&amp;mode=search", "토지이음")</f>
        <v/>
      </c>
      <c r="L64" s="3" t="inlineStr">
        <is>
          <t>파트너</t>
        </is>
      </c>
      <c r="M64" s="3" t="n">
        <v>1</v>
      </c>
    </row>
    <row r="65">
      <c r="A65" s="3" t="inlineStr">
        <is>
          <t>고운동 1343</t>
        </is>
      </c>
      <c r="B65" s="3" t="inlineStr">
        <is>
          <t>제1종전용주거지역</t>
        </is>
      </c>
      <c r="C65" s="3" t="inlineStr">
        <is>
          <t>대</t>
        </is>
      </c>
      <c r="D65" s="3" t="inlineStr">
        <is>
          <t>대</t>
        </is>
      </c>
      <c r="E65" s="3" t="inlineStr">
        <is>
          <t>매매</t>
        </is>
      </c>
      <c r="F65" s="4" t="n">
        <v>80000</v>
      </c>
      <c r="G65" s="4" t="n">
        <v>386</v>
      </c>
      <c r="H65" s="3" t="inlineStr">
        <is>
          <t>넓은 평수 3면 도로접 개방감 최고, 학교 아파트 상가 가까워 생활편리</t>
        </is>
      </c>
      <c r="I65" s="5">
        <f>HYPERLINK("https://fin.land.naver.com/articles/2649698505", "매물Link")</f>
        <v/>
      </c>
      <c r="J65" s="5">
        <f>HYPERLINK("https://map.naver.com/p/search/고운동 1343", "지도Link")</f>
        <v/>
      </c>
      <c r="K65" s="5">
        <f>HYPERLINK("http://www.eum.go.kr/web/ar/lu/luLandDet.jsp?pnu=3611011200113430000&amp;isNoScr=script&amp;mode=search", "토지이음")</f>
        <v/>
      </c>
      <c r="L65" s="3" t="inlineStr">
        <is>
          <t>온뜰</t>
        </is>
      </c>
      <c r="M65" s="3" t="n">
        <v>1</v>
      </c>
    </row>
    <row r="66">
      <c r="A66" s="3" t="inlineStr">
        <is>
          <t>고운동 1343</t>
        </is>
      </c>
      <c r="B66" s="3" t="inlineStr">
        <is>
          <t>제1종전용주거지역</t>
        </is>
      </c>
      <c r="C66" s="3" t="inlineStr">
        <is>
          <t>대</t>
        </is>
      </c>
      <c r="D66" s="3" t="inlineStr">
        <is>
          <t>대</t>
        </is>
      </c>
      <c r="E66" s="3" t="inlineStr">
        <is>
          <t>매매</t>
        </is>
      </c>
      <c r="F66" s="4" t="n">
        <v>80000</v>
      </c>
      <c r="G66" s="4" t="n">
        <v>386</v>
      </c>
      <c r="H66" s="3" t="inlineStr">
        <is>
          <t>코너가지로 상가 학교 이용하기 편리한 위치</t>
        </is>
      </c>
      <c r="I66" s="5">
        <f>HYPERLINK("https://fin.land.naver.com/articles/2646114412", "매물Link")</f>
        <v/>
      </c>
      <c r="J66" s="5">
        <f>HYPERLINK("https://map.naver.com/p/search/고운동 1343", "지도Link")</f>
        <v/>
      </c>
      <c r="K66" s="5">
        <f>HYPERLINK("http://www.eum.go.kr/web/ar/lu/luLandDet.jsp?pnu=3611011200113430000&amp;isNoScr=script&amp;mode=search", "토지이음")</f>
        <v/>
      </c>
      <c r="L66" s="3" t="inlineStr">
        <is>
          <t>고운동리치세종</t>
        </is>
      </c>
      <c r="M66" s="3" t="n">
        <v>1</v>
      </c>
    </row>
    <row r="67">
      <c r="A67" s="3" t="inlineStr">
        <is>
          <t>고운동 1344</t>
        </is>
      </c>
      <c r="B67" s="3" t="inlineStr">
        <is>
          <t>제1종전용주거지역</t>
        </is>
      </c>
      <c r="C67" s="3" t="inlineStr">
        <is>
          <t>대</t>
        </is>
      </c>
      <c r="D67" s="3" t="inlineStr">
        <is>
          <t>대</t>
        </is>
      </c>
      <c r="E67" s="3" t="inlineStr">
        <is>
          <t>매매</t>
        </is>
      </c>
      <c r="F67" s="4" t="n">
        <v>64000</v>
      </c>
      <c r="G67" s="4" t="n">
        <v>348</v>
      </c>
      <c r="H67" s="3" t="inlineStr">
        <is>
          <t>총 105.7p, 정남향, 상가인근 토지</t>
        </is>
      </c>
      <c r="I67" s="5">
        <f>HYPERLINK("https://fin.land.naver.com/articles/2647420830", "매물Link")</f>
        <v/>
      </c>
      <c r="J67" s="5">
        <f>HYPERLINK("https://map.naver.com/p/search/고운동 1344", "지도Link")</f>
        <v/>
      </c>
      <c r="K67" s="5">
        <f>HYPERLINK("http://www.eum.go.kr/web/ar/lu/luLandDet.jsp?pnu=3611011200113440000&amp;isNoScr=script&amp;mode=search", "토지이음")</f>
        <v/>
      </c>
      <c r="L67" s="3" t="inlineStr">
        <is>
          <t>명진</t>
        </is>
      </c>
      <c r="M67" s="3" t="n">
        <v>1</v>
      </c>
    </row>
    <row r="68">
      <c r="A68" s="3" t="inlineStr">
        <is>
          <t>고운동 1344</t>
        </is>
      </c>
      <c r="B68" s="3" t="inlineStr">
        <is>
          <t>제1종전용주거지역</t>
        </is>
      </c>
      <c r="C68" s="3" t="inlineStr">
        <is>
          <t>대</t>
        </is>
      </c>
      <c r="D68" s="3" t="inlineStr">
        <is>
          <t>대</t>
        </is>
      </c>
      <c r="E68" s="3" t="inlineStr">
        <is>
          <t>매매</t>
        </is>
      </c>
      <c r="F68" s="4" t="n">
        <v>63000</v>
      </c>
      <c r="G68" s="4" t="n">
        <v>348</v>
      </c>
      <c r="H68" s="3" t="inlineStr">
        <is>
          <t>주택에 정원 설계가 용이한 토지 모양, 편의시설 가까워 생활편리</t>
        </is>
      </c>
      <c r="I68" s="5">
        <f>HYPERLINK("https://fin.land.naver.com/articles/2649699764", "매물Link")</f>
        <v/>
      </c>
      <c r="J68" s="5">
        <f>HYPERLINK("https://map.naver.com/p/search/고운동 1344", "지도Link")</f>
        <v/>
      </c>
      <c r="K68" s="5">
        <f>HYPERLINK("http://www.eum.go.kr/web/ar/lu/luLandDet.jsp?pnu=3611011200113440000&amp;isNoScr=script&amp;mode=search", "토지이음")</f>
        <v/>
      </c>
      <c r="L68" s="3" t="inlineStr">
        <is>
          <t>온뜰</t>
        </is>
      </c>
      <c r="M68" s="3" t="n">
        <v>1</v>
      </c>
    </row>
    <row r="69">
      <c r="A69" s="3" t="inlineStr">
        <is>
          <t>고운동 1433</t>
        </is>
      </c>
      <c r="B69" s="3" t="inlineStr">
        <is>
          <t>제1종전용주거지역</t>
        </is>
      </c>
      <c r="C69" s="3" t="inlineStr">
        <is>
          <t>대</t>
        </is>
      </c>
      <c r="D69" s="3" t="inlineStr">
        <is>
          <t>대</t>
        </is>
      </c>
      <c r="E69" s="3" t="inlineStr">
        <is>
          <t>매매</t>
        </is>
      </c>
      <c r="F69" s="4" t="n">
        <v>65000</v>
      </c>
      <c r="G69" s="4" t="n">
        <v>334</v>
      </c>
      <c r="H69" s="3" t="inlineStr">
        <is>
          <t>nan</t>
        </is>
      </c>
      <c r="I69" s="5">
        <f>HYPERLINK("https://fin.land.naver.com/articles/2649619098", "매물Link")</f>
        <v/>
      </c>
      <c r="J69" s="5">
        <f>HYPERLINK("https://map.naver.com/p/search/고운동 1433", "지도Link")</f>
        <v/>
      </c>
      <c r="K69" s="5">
        <f>HYPERLINK("http://www.eum.go.kr/web/ar/lu/luLandDet.jsp?pnu=3611011200114330000&amp;isNoScr=script&amp;mode=search", "토지이음")</f>
        <v/>
      </c>
      <c r="L69" s="3" t="inlineStr">
        <is>
          <t>세종스타</t>
        </is>
      </c>
      <c r="M69" s="3" t="n">
        <v>2</v>
      </c>
    </row>
    <row r="70">
      <c r="A70" s="3" t="inlineStr">
        <is>
          <t>고운동 1462</t>
        </is>
      </c>
      <c r="B70" s="3" t="inlineStr">
        <is>
          <t>제1종전용주거지역</t>
        </is>
      </c>
      <c r="C70" s="3" t="inlineStr">
        <is>
          <t>대</t>
        </is>
      </c>
      <c r="D70" s="3" t="inlineStr">
        <is>
          <t>대</t>
        </is>
      </c>
      <c r="E70" s="3" t="inlineStr">
        <is>
          <t>매매</t>
        </is>
      </c>
      <c r="F70" s="4" t="n">
        <v>60000</v>
      </c>
      <c r="G70" s="4" t="n">
        <v>358</v>
      </c>
      <c r="H70" s="3" t="inlineStr">
        <is>
          <t>조율가능 넓은평수 지대높음</t>
        </is>
      </c>
      <c r="I70" s="5">
        <f>HYPERLINK("https://fin.land.naver.com/articles/2648615564", "매물Link")</f>
        <v/>
      </c>
      <c r="J70" s="5">
        <f>HYPERLINK("https://map.naver.com/p/search/고운동 1462", "지도Link")</f>
        <v/>
      </c>
      <c r="K70" s="5">
        <f>HYPERLINK("http://www.eum.go.kr/web/ar/lu/luLandDet.jsp?pnu=3611011200114620000&amp;isNoScr=script&amp;mode=search", "토지이음")</f>
        <v/>
      </c>
      <c r="L70" s="3" t="inlineStr">
        <is>
          <t>세종스타</t>
        </is>
      </c>
      <c r="M70" s="3" t="n">
        <v>2</v>
      </c>
    </row>
    <row r="71">
      <c r="A71" s="3" t="inlineStr">
        <is>
          <t>고운동 1463</t>
        </is>
      </c>
      <c r="B71" s="3" t="inlineStr">
        <is>
          <t>제1종전용주거지역</t>
        </is>
      </c>
      <c r="C71" s="3" t="inlineStr">
        <is>
          <t>대</t>
        </is>
      </c>
      <c r="D71" s="3" t="inlineStr">
        <is>
          <t>대</t>
        </is>
      </c>
      <c r="E71" s="3" t="inlineStr">
        <is>
          <t>매매</t>
        </is>
      </c>
      <c r="F71" s="4" t="n">
        <v>69000</v>
      </c>
      <c r="G71" s="4" t="n">
        <v>356</v>
      </c>
      <c r="H71" s="3" t="inlineStr">
        <is>
          <t>고운동 단독주택지 저렴한 매물</t>
        </is>
      </c>
      <c r="I71" s="5">
        <f>HYPERLINK("https://fin.land.naver.com/articles/2648967212", "매물Link")</f>
        <v/>
      </c>
      <c r="J71" s="5">
        <f>HYPERLINK("https://map.naver.com/p/search/고운동 1463", "지도Link")</f>
        <v/>
      </c>
      <c r="K71" s="5">
        <f>HYPERLINK("http://www.eum.go.kr/web/ar/lu/luLandDet.jsp?pnu=3611011200114630000&amp;isNoScr=script&amp;mode=search", "토지이음")</f>
        <v/>
      </c>
      <c r="L71" s="3" t="inlineStr">
        <is>
          <t>명품시티</t>
        </is>
      </c>
      <c r="M71" s="3" t="n">
        <v>1</v>
      </c>
    </row>
    <row r="72">
      <c r="A72" s="3" t="inlineStr">
        <is>
          <t>고운동 1464</t>
        </is>
      </c>
      <c r="B72" s="3" t="inlineStr">
        <is>
          <t>제1종전용주거지역</t>
        </is>
      </c>
      <c r="C72" s="3" t="inlineStr">
        <is>
          <t>대</t>
        </is>
      </c>
      <c r="D72" s="3" t="inlineStr">
        <is>
          <t>대</t>
        </is>
      </c>
      <c r="E72" s="3" t="inlineStr">
        <is>
          <t>매매</t>
        </is>
      </c>
      <c r="F72" s="4" t="n">
        <v>60000</v>
      </c>
      <c r="G72" s="4" t="n">
        <v>357</v>
      </c>
      <c r="H72" s="3" t="inlineStr">
        <is>
          <t>급매 우측시유지 넓은접함 조율가능</t>
        </is>
      </c>
      <c r="I72" s="5">
        <f>HYPERLINK("https://fin.land.naver.com/articles/2644909011", "매물Link")</f>
        <v/>
      </c>
      <c r="J72" s="5">
        <f>HYPERLINK("https://map.naver.com/p/search/고운동 1464", "지도Link")</f>
        <v/>
      </c>
      <c r="K72" s="5">
        <f>HYPERLINK("http://www.eum.go.kr/web/ar/lu/luLandDet.jsp?pnu=3611011200114640000&amp;isNoScr=script&amp;mode=search", "토지이음")</f>
        <v/>
      </c>
      <c r="L72" s="3" t="inlineStr">
        <is>
          <t>세종스타</t>
        </is>
      </c>
      <c r="M72" s="3" t="n">
        <v>1</v>
      </c>
    </row>
    <row r="73">
      <c r="A73" s="3" t="inlineStr">
        <is>
          <t>고운동 1491</t>
        </is>
      </c>
      <c r="B73" s="3" t="inlineStr">
        <is>
          <t>제1종전용주거지역</t>
        </is>
      </c>
      <c r="C73" s="3" t="inlineStr">
        <is>
          <t>대</t>
        </is>
      </c>
      <c r="D73" s="3" t="inlineStr">
        <is>
          <t>대</t>
        </is>
      </c>
      <c r="E73" s="3" t="inlineStr">
        <is>
          <t>매매</t>
        </is>
      </c>
      <c r="F73" s="4" t="n">
        <v>60000</v>
      </c>
      <c r="G73" s="4" t="n">
        <v>325</v>
      </c>
      <c r="H73" s="3" t="inlineStr">
        <is>
          <t>코너각지로 상가와복컴,학교가까운 위치좋은택지</t>
        </is>
      </c>
      <c r="I73" s="5">
        <f>HYPERLINK("https://fin.land.naver.com/articles/2649416314", "매물Link")</f>
        <v/>
      </c>
      <c r="J73" s="5">
        <f>HYPERLINK("https://map.naver.com/p/search/고운동 1491", "지도Link")</f>
        <v/>
      </c>
      <c r="K73" s="5">
        <f>HYPERLINK("http://www.eum.go.kr/web/ar/lu/luLandDet.jsp?pnu=3611011200114910000&amp;isNoScr=script&amp;mode=search", "토지이음")</f>
        <v/>
      </c>
      <c r="L73" s="3" t="inlineStr">
        <is>
          <t>세종황소</t>
        </is>
      </c>
      <c r="M73" s="3" t="n">
        <v>1</v>
      </c>
    </row>
    <row r="74">
      <c r="A74" s="3" t="inlineStr">
        <is>
          <t>고운동 1524</t>
        </is>
      </c>
      <c r="B74" s="3" t="inlineStr">
        <is>
          <t>제1종전용주거지역</t>
        </is>
      </c>
      <c r="C74" s="3" t="inlineStr">
        <is>
          <t>대</t>
        </is>
      </c>
      <c r="D74" s="3" t="inlineStr">
        <is>
          <t>대</t>
        </is>
      </c>
      <c r="E74" s="3" t="inlineStr">
        <is>
          <t>매매</t>
        </is>
      </c>
      <c r="F74" s="4" t="n">
        <v>112000</v>
      </c>
      <c r="G74" s="4" t="n">
        <v>409</v>
      </c>
      <c r="H74" s="3" t="inlineStr">
        <is>
          <t>급매 고운동 귀한 근생용지 매매 서두르세요</t>
        </is>
      </c>
      <c r="I74" s="5">
        <f>HYPERLINK("https://fin.land.naver.com/articles/2649795902", "매물Link")</f>
        <v/>
      </c>
      <c r="J74" s="5">
        <f>HYPERLINK("https://map.naver.com/p/search/고운동 1524", "지도Link")</f>
        <v/>
      </c>
      <c r="K74" s="5">
        <f>HYPERLINK("http://www.eum.go.kr/web/ar/lu/luLandDet.jsp?pnu=3611011200115240000&amp;isNoScr=script&amp;mode=search", "토지이음")</f>
        <v/>
      </c>
      <c r="L74" s="3" t="inlineStr">
        <is>
          <t>국제</t>
        </is>
      </c>
      <c r="M74" s="3" t="n">
        <v>3</v>
      </c>
    </row>
    <row r="75">
      <c r="A75" s="3" t="inlineStr">
        <is>
          <t>고운동 1531</t>
        </is>
      </c>
      <c r="B75" s="3" t="inlineStr">
        <is>
          <t>제1종전용주거지역</t>
        </is>
      </c>
      <c r="C75" s="3" t="inlineStr">
        <is>
          <t>대</t>
        </is>
      </c>
      <c r="D75" s="3" t="inlineStr">
        <is>
          <t>대</t>
        </is>
      </c>
      <c r="E75" s="3" t="inlineStr">
        <is>
          <t>매매</t>
        </is>
      </c>
      <c r="F75" s="4" t="n">
        <v>99000</v>
      </c>
      <c r="G75" s="4" t="n">
        <v>361</v>
      </c>
      <c r="H75" s="3" t="inlineStr">
        <is>
          <t>I 급매 I 먹자골목 메인 대로변 파격 급매 근생용지, 직접 지어서 운영</t>
        </is>
      </c>
      <c r="I75" s="5">
        <f>HYPERLINK("https://fin.land.naver.com/articles/2648523071", "매물Link")</f>
        <v/>
      </c>
      <c r="J75" s="5">
        <f>HYPERLINK("https://map.naver.com/p/search/고운동 1531", "지도Link")</f>
        <v/>
      </c>
      <c r="K75" s="5">
        <f>HYPERLINK("http://www.eum.go.kr/web/ar/lu/luLandDet.jsp?pnu=3611011200115310000&amp;isNoScr=script&amp;mode=search", "토지이음")</f>
        <v/>
      </c>
      <c r="L75" s="3" t="inlineStr">
        <is>
          <t>세종신한</t>
        </is>
      </c>
      <c r="M75" s="3" t="n">
        <v>1</v>
      </c>
    </row>
    <row r="76">
      <c r="A76" s="3" t="inlineStr">
        <is>
          <t>고운동 1531</t>
        </is>
      </c>
      <c r="B76" s="3" t="inlineStr">
        <is>
          <t>제1종전용주거지역</t>
        </is>
      </c>
      <c r="C76" s="3" t="inlineStr">
        <is>
          <t>대</t>
        </is>
      </c>
      <c r="D76" s="3" t="inlineStr">
        <is>
          <t>대</t>
        </is>
      </c>
      <c r="E76" s="3" t="inlineStr">
        <is>
          <t>매매</t>
        </is>
      </c>
      <c r="F76" s="4" t="n">
        <v>110000</v>
      </c>
      <c r="G76" s="4" t="n">
        <v>361</v>
      </c>
      <c r="H76" s="3" t="inlineStr">
        <is>
          <t>대로변 근생부지 매매</t>
        </is>
      </c>
      <c r="I76" s="5">
        <f>HYPERLINK("https://fin.land.naver.com/articles/2646339339", "매물Link")</f>
        <v/>
      </c>
      <c r="J76" s="5">
        <f>HYPERLINK("https://map.naver.com/p/search/고운동 1531", "지도Link")</f>
        <v/>
      </c>
      <c r="K76" s="5">
        <f>HYPERLINK("http://www.eum.go.kr/web/ar/lu/luLandDet.jsp?pnu=3611011200115310000&amp;isNoScr=script&amp;mode=search", "토지이음")</f>
        <v/>
      </c>
      <c r="L76" s="3" t="inlineStr">
        <is>
          <t>창고의여왕</t>
        </is>
      </c>
      <c r="M76" s="3" t="n">
        <v>1</v>
      </c>
    </row>
    <row r="77">
      <c r="A77" s="3" t="inlineStr">
        <is>
          <t>고운동 1539</t>
        </is>
      </c>
      <c r="B77" s="3" t="inlineStr">
        <is>
          <t>제1종전용주거지역</t>
        </is>
      </c>
      <c r="C77" s="3" t="inlineStr">
        <is>
          <t>대</t>
        </is>
      </c>
      <c r="D77" s="3" t="inlineStr">
        <is>
          <t>대</t>
        </is>
      </c>
      <c r="E77" s="3" t="inlineStr">
        <is>
          <t>매매</t>
        </is>
      </c>
      <c r="F77" s="4" t="n">
        <v>50000</v>
      </c>
      <c r="G77" s="4" t="n">
        <v>377</v>
      </c>
      <c r="H77" s="3" t="inlineStr">
        <is>
          <t>급매 추가조율협의됨 넓은필지</t>
        </is>
      </c>
      <c r="I77" s="5">
        <f>HYPERLINK("https://fin.land.naver.com/articles/2644917560", "매물Link")</f>
        <v/>
      </c>
      <c r="J77" s="5">
        <f>HYPERLINK("https://map.naver.com/p/search/고운동 1539", "지도Link")</f>
        <v/>
      </c>
      <c r="K77" s="5">
        <f>HYPERLINK("http://www.eum.go.kr/web/ar/lu/luLandDet.jsp?pnu=3611011200115390000&amp;isNoScr=script&amp;mode=search", "토지이음")</f>
        <v/>
      </c>
      <c r="L77" s="3" t="inlineStr">
        <is>
          <t>세종스타</t>
        </is>
      </c>
      <c r="M77" s="3" t="n">
        <v>1</v>
      </c>
    </row>
    <row r="78">
      <c r="A78" s="3" t="inlineStr">
        <is>
          <t>고운동 1551</t>
        </is>
      </c>
      <c r="B78" s="3" t="inlineStr">
        <is>
          <t>제1종전용주거지역</t>
        </is>
      </c>
      <c r="C78" s="3" t="inlineStr">
        <is>
          <t>대</t>
        </is>
      </c>
      <c r="D78" s="3" t="inlineStr">
        <is>
          <t>대</t>
        </is>
      </c>
      <c r="E78" s="3" t="inlineStr">
        <is>
          <t>매매</t>
        </is>
      </c>
      <c r="F78" s="4" t="n">
        <v>50000</v>
      </c>
      <c r="G78" s="4" t="n">
        <v>395</v>
      </c>
      <c r="H78" s="3" t="inlineStr">
        <is>
          <t>총 119.9p, 상가인근토지, 삼거리 위치</t>
        </is>
      </c>
      <c r="I78" s="5">
        <f>HYPERLINK("https://fin.land.naver.com/articles/2646696906", "매물Link")</f>
        <v/>
      </c>
      <c r="J78" s="5">
        <f>HYPERLINK("https://map.naver.com/p/search/고운동 1551", "지도Link")</f>
        <v/>
      </c>
      <c r="K78" s="5">
        <f>HYPERLINK("http://www.eum.go.kr/web/ar/lu/luLandDet.jsp?pnu=3611011200115510000&amp;isNoScr=script&amp;mode=search", "토지이음")</f>
        <v/>
      </c>
      <c r="L78" s="3" t="inlineStr">
        <is>
          <t>세종무지개</t>
        </is>
      </c>
      <c r="M78" s="3" t="n">
        <v>1</v>
      </c>
    </row>
    <row r="79">
      <c r="A79" s="3" t="inlineStr">
        <is>
          <t>고운동 1551</t>
        </is>
      </c>
      <c r="B79" s="3" t="inlineStr">
        <is>
          <t>제1종전용주거지역</t>
        </is>
      </c>
      <c r="C79" s="3" t="inlineStr">
        <is>
          <t>대</t>
        </is>
      </c>
      <c r="D79" s="3" t="inlineStr">
        <is>
          <t>대</t>
        </is>
      </c>
      <c r="E79" s="3" t="inlineStr">
        <is>
          <t>매매</t>
        </is>
      </c>
      <c r="F79" s="4" t="n">
        <v>50000</v>
      </c>
      <c r="G79" s="4" t="n">
        <v>395</v>
      </c>
      <c r="H79" s="3" t="inlineStr">
        <is>
          <t>급매,복합커뮤니티센터,중심상권,학군도보가능 생활권 편리</t>
        </is>
      </c>
      <c r="I79" s="5">
        <f>HYPERLINK("https://fin.land.naver.com/articles/2644708794", "매물Link")</f>
        <v/>
      </c>
      <c r="J79" s="5">
        <f>HYPERLINK("https://map.naver.com/p/search/고운동 1551", "지도Link")</f>
        <v/>
      </c>
      <c r="K79" s="5">
        <f>HYPERLINK("http://www.eum.go.kr/web/ar/lu/luLandDet.jsp?pnu=3611011200115510000&amp;isNoScr=script&amp;mode=search", "토지이음")</f>
        <v/>
      </c>
      <c r="L79" s="3" t="inlineStr">
        <is>
          <t>고운맘</t>
        </is>
      </c>
      <c r="M79" s="3" t="n">
        <v>1</v>
      </c>
    </row>
    <row r="80">
      <c r="A80" s="3" t="inlineStr">
        <is>
          <t>고운동 1551</t>
        </is>
      </c>
      <c r="B80" s="3" t="inlineStr">
        <is>
          <t>제1종전용주거지역</t>
        </is>
      </c>
      <c r="C80" s="3" t="inlineStr">
        <is>
          <t>대</t>
        </is>
      </c>
      <c r="D80" s="3" t="inlineStr">
        <is>
          <t>대</t>
        </is>
      </c>
      <c r="E80" s="3" t="inlineStr">
        <is>
          <t>매매</t>
        </is>
      </c>
      <c r="F80" s="4" t="n">
        <v>50000</v>
      </c>
      <c r="G80" s="4" t="n">
        <v>395</v>
      </c>
      <c r="H80" s="3" t="inlineStr">
        <is>
          <t>nan</t>
        </is>
      </c>
      <c r="I80" s="5">
        <f>HYPERLINK("https://fin.land.naver.com/articles/2648898784", "매물Link")</f>
        <v/>
      </c>
      <c r="J80" s="5">
        <f>HYPERLINK("https://map.naver.com/p/search/고운동 1551", "지도Link")</f>
        <v/>
      </c>
      <c r="K80" s="5">
        <f>HYPERLINK("http://www.eum.go.kr/web/ar/lu/luLandDet.jsp?pnu=3611011200115510000&amp;isNoScr=script&amp;mode=search", "토지이음")</f>
        <v/>
      </c>
      <c r="L80" s="3" t="inlineStr">
        <is>
          <t>명진</t>
        </is>
      </c>
      <c r="M80" s="3" t="n">
        <v>1</v>
      </c>
    </row>
    <row r="81">
      <c r="A81" s="3" t="inlineStr">
        <is>
          <t>고운동 1551</t>
        </is>
      </c>
      <c r="B81" s="3" t="inlineStr">
        <is>
          <t>제1종전용주거지역</t>
        </is>
      </c>
      <c r="C81" s="3" t="inlineStr">
        <is>
          <t>대</t>
        </is>
      </c>
      <c r="D81" s="3" t="inlineStr">
        <is>
          <t>대</t>
        </is>
      </c>
      <c r="E81" s="3" t="inlineStr">
        <is>
          <t>매매</t>
        </is>
      </c>
      <c r="F81" s="4" t="n">
        <v>50000</v>
      </c>
      <c r="G81" s="4" t="n">
        <v>395</v>
      </c>
      <c r="H81" s="3" t="inlineStr">
        <is>
          <t>급 매매 평수 좋음</t>
        </is>
      </c>
      <c r="I81" s="5">
        <f>HYPERLINK("https://fin.land.naver.com/articles/2649564858", "매물Link")</f>
        <v/>
      </c>
      <c r="J81" s="5">
        <f>HYPERLINK("https://map.naver.com/p/search/고운동 1551", "지도Link")</f>
        <v/>
      </c>
      <c r="K81" s="5">
        <f>HYPERLINK("http://www.eum.go.kr/web/ar/lu/luLandDet.jsp?pnu=3611011200115510000&amp;isNoScr=script&amp;mode=search", "토지이음")</f>
        <v/>
      </c>
      <c r="L81" s="3" t="inlineStr">
        <is>
          <t>킹세종</t>
        </is>
      </c>
      <c r="M81" s="3" t="n">
        <v>3</v>
      </c>
    </row>
    <row r="82">
      <c r="A82" s="3" t="inlineStr">
        <is>
          <t>고운동 1556</t>
        </is>
      </c>
      <c r="B82" s="3" t="inlineStr">
        <is>
          <t>제1종전용주거지역</t>
        </is>
      </c>
      <c r="C82" s="3" t="inlineStr">
        <is>
          <t>대</t>
        </is>
      </c>
      <c r="D82" s="3" t="inlineStr">
        <is>
          <t>대</t>
        </is>
      </c>
      <c r="E82" s="3" t="inlineStr">
        <is>
          <t>매매</t>
        </is>
      </c>
      <c r="F82" s="4" t="n">
        <v>55000</v>
      </c>
      <c r="G82" s="4" t="n">
        <v>340</v>
      </c>
      <c r="H82" s="3" t="inlineStr">
        <is>
          <t>급매.상권가까운 저렴한 택지.</t>
        </is>
      </c>
      <c r="I82" s="5">
        <f>HYPERLINK("https://fin.land.naver.com/articles/2647592924", "매물Link")</f>
        <v/>
      </c>
      <c r="J82" s="5">
        <f>HYPERLINK("https://map.naver.com/p/search/고운동 1556", "지도Link")</f>
        <v/>
      </c>
      <c r="K82" s="5">
        <f>HYPERLINK("http://www.eum.go.kr/web/ar/lu/luLandDet.jsp?pnu=3611011200115560000&amp;isNoScr=script&amp;mode=search", "토지이음")</f>
        <v/>
      </c>
      <c r="L82" s="3" t="inlineStr">
        <is>
          <t>킹</t>
        </is>
      </c>
      <c r="M82" s="3" t="n">
        <v>1</v>
      </c>
    </row>
    <row r="83">
      <c r="A83" s="3" t="inlineStr">
        <is>
          <t>고운동 1560</t>
        </is>
      </c>
      <c r="B83" s="3" t="inlineStr">
        <is>
          <t>제1종전용주거지역</t>
        </is>
      </c>
      <c r="C83" s="3" t="inlineStr">
        <is>
          <t>대</t>
        </is>
      </c>
      <c r="D83" s="3" t="inlineStr">
        <is>
          <t>대</t>
        </is>
      </c>
      <c r="E83" s="3" t="inlineStr">
        <is>
          <t>매매</t>
        </is>
      </c>
      <c r="F83" s="4" t="n">
        <v>65000</v>
      </c>
      <c r="G83" s="4" t="n">
        <v>342</v>
      </c>
      <c r="H83" s="3" t="inlineStr">
        <is>
          <t>2면도로 접한 코너땅,근린상가 근접 이용편의</t>
        </is>
      </c>
      <c r="I83" s="5">
        <f>HYPERLINK("https://fin.land.naver.com/articles/2649660852", "매물Link")</f>
        <v/>
      </c>
      <c r="J83" s="5">
        <f>HYPERLINK("https://map.naver.com/p/search/고운동 1560", "지도Link")</f>
        <v/>
      </c>
      <c r="K83" s="5">
        <f>HYPERLINK("http://www.eum.go.kr/web/ar/lu/luLandDet.jsp?pnu=3611011200115600000&amp;isNoScr=script&amp;mode=search", "토지이음")</f>
        <v/>
      </c>
      <c r="L83" s="3" t="inlineStr">
        <is>
          <t>킹세종</t>
        </is>
      </c>
      <c r="M83" s="3" t="n">
        <v>2</v>
      </c>
    </row>
    <row r="84">
      <c r="A84" s="3" t="inlineStr">
        <is>
          <t>고운동 1568</t>
        </is>
      </c>
      <c r="B84" s="3" t="inlineStr">
        <is>
          <t>제1종전용주거지역</t>
        </is>
      </c>
      <c r="C84" s="3" t="inlineStr">
        <is>
          <t>대</t>
        </is>
      </c>
      <c r="D84" s="3" t="inlineStr">
        <is>
          <t>대</t>
        </is>
      </c>
      <c r="E84" s="3" t="inlineStr">
        <is>
          <t>매매</t>
        </is>
      </c>
      <c r="F84" s="4" t="n">
        <v>55000</v>
      </c>
      <c r="G84" s="4" t="n">
        <v>356</v>
      </c>
      <c r="H84" s="3" t="inlineStr">
        <is>
          <t>108.1p, 급매, 고운동 위치좋은 토지매매</t>
        </is>
      </c>
      <c r="I84" s="5">
        <f>HYPERLINK("https://fin.land.naver.com/articles/2645492644", "매물Link")</f>
        <v/>
      </c>
      <c r="J84" s="5">
        <f>HYPERLINK("https://map.naver.com/p/search/고운동 1568", "지도Link")</f>
        <v/>
      </c>
      <c r="K84" s="5">
        <f>HYPERLINK("http://www.eum.go.kr/web/ar/lu/luLandDet.jsp?pnu=3611011200115680000&amp;isNoScr=script&amp;mode=search", "토지이음")</f>
        <v/>
      </c>
      <c r="L84" s="3" t="inlineStr">
        <is>
          <t>명진</t>
        </is>
      </c>
      <c r="M84" s="3" t="n">
        <v>1</v>
      </c>
    </row>
    <row r="85">
      <c r="A85" s="3" t="inlineStr">
        <is>
          <t>고운동 1568</t>
        </is>
      </c>
      <c r="B85" s="3" t="inlineStr">
        <is>
          <t>제1종전용주거지역</t>
        </is>
      </c>
      <c r="C85" s="3" t="inlineStr">
        <is>
          <t>대</t>
        </is>
      </c>
      <c r="D85" s="3" t="inlineStr">
        <is>
          <t>대</t>
        </is>
      </c>
      <c r="E85" s="3" t="inlineStr">
        <is>
          <t>매매</t>
        </is>
      </c>
      <c r="F85" s="4" t="n">
        <v>55000</v>
      </c>
      <c r="G85" s="4" t="n">
        <v>356</v>
      </c>
      <c r="H85" s="3" t="inlineStr">
        <is>
          <t>급매, 위치좋은 토지매매, 108.1p</t>
        </is>
      </c>
      <c r="I85" s="5">
        <f>HYPERLINK("https://fin.land.naver.com/articles/2646692779", "매물Link")</f>
        <v/>
      </c>
      <c r="J85" s="5">
        <f>HYPERLINK("https://map.naver.com/p/search/고운동 1568", "지도Link")</f>
        <v/>
      </c>
      <c r="K85" s="5">
        <f>HYPERLINK("http://www.eum.go.kr/web/ar/lu/luLandDet.jsp?pnu=3611011200115680000&amp;isNoScr=script&amp;mode=search", "토지이음")</f>
        <v/>
      </c>
      <c r="L85" s="3" t="inlineStr">
        <is>
          <t>세종무지개</t>
        </is>
      </c>
      <c r="M85" s="3" t="n">
        <v>1</v>
      </c>
    </row>
    <row r="86">
      <c r="A86" s="3" t="inlineStr">
        <is>
          <t>고운동 1578</t>
        </is>
      </c>
      <c r="B86" s="3" t="inlineStr">
        <is>
          <t>제1종전용주거지역</t>
        </is>
      </c>
      <c r="C86" s="3" t="inlineStr">
        <is>
          <t>대</t>
        </is>
      </c>
      <c r="D86" s="3" t="inlineStr">
        <is>
          <t>대</t>
        </is>
      </c>
      <c r="E86" s="3" t="inlineStr">
        <is>
          <t>매매</t>
        </is>
      </c>
      <c r="F86" s="4" t="n">
        <v>80000</v>
      </c>
      <c r="G86" s="4" t="n">
        <v>362</v>
      </c>
      <c r="H86" s="3" t="inlineStr">
        <is>
          <t>조율가능 실개천 남향 코너각지</t>
        </is>
      </c>
      <c r="I86" s="5">
        <f>HYPERLINK("https://fin.land.naver.com/articles/2645721186", "매물Link")</f>
        <v/>
      </c>
      <c r="J86" s="5">
        <f>HYPERLINK("https://map.naver.com/p/search/고운동 1578", "지도Link")</f>
        <v/>
      </c>
      <c r="K86" s="5">
        <f>HYPERLINK("http://www.eum.go.kr/web/ar/lu/luLandDet.jsp?pnu=3611011200115780000&amp;isNoScr=script&amp;mode=search", "토지이음")</f>
        <v/>
      </c>
      <c r="L86" s="3" t="inlineStr">
        <is>
          <t>세종스타</t>
        </is>
      </c>
      <c r="M86" s="3" t="n">
        <v>1</v>
      </c>
    </row>
    <row r="87">
      <c r="A87" s="3" t="inlineStr">
        <is>
          <t>고운동 1595</t>
        </is>
      </c>
      <c r="B87" s="3" t="inlineStr">
        <is>
          <t>제1종전용주거지역</t>
        </is>
      </c>
      <c r="C87" s="3" t="inlineStr">
        <is>
          <t>대</t>
        </is>
      </c>
      <c r="D87" s="3" t="inlineStr">
        <is>
          <t>대</t>
        </is>
      </c>
      <c r="E87" s="3" t="inlineStr">
        <is>
          <t>매매</t>
        </is>
      </c>
      <c r="F87" s="4" t="n">
        <v>53000</v>
      </c>
      <c r="G87" s="4" t="n">
        <v>393</v>
      </c>
      <c r="H87" s="3" t="inlineStr">
        <is>
          <t>급매,학교앞 위치좋은곳,대지면적넓음</t>
        </is>
      </c>
      <c r="I87" s="5">
        <f>HYPERLINK("https://fin.land.naver.com/articles/2649455123", "매물Link")</f>
        <v/>
      </c>
      <c r="J87" s="5">
        <f>HYPERLINK("https://map.naver.com/p/search/고운동 1595", "지도Link")</f>
        <v/>
      </c>
      <c r="K87" s="5">
        <f>HYPERLINK("http://www.eum.go.kr/web/ar/lu/luLandDet.jsp?pnu=3611011200115950000&amp;isNoScr=script&amp;mode=search", "토지이음")</f>
        <v/>
      </c>
      <c r="L87" s="3" t="inlineStr">
        <is>
          <t>세종황소</t>
        </is>
      </c>
      <c r="M87" s="3" t="n">
        <v>1</v>
      </c>
    </row>
    <row r="88">
      <c r="A88" s="3" t="inlineStr">
        <is>
          <t>고운동 1598</t>
        </is>
      </c>
      <c r="B88" s="3" t="inlineStr">
        <is>
          <t>제1종전용주거지역</t>
        </is>
      </c>
      <c r="C88" s="3" t="inlineStr">
        <is>
          <t>대</t>
        </is>
      </c>
      <c r="D88" s="3" t="inlineStr">
        <is>
          <t>대</t>
        </is>
      </c>
      <c r="E88" s="3" t="inlineStr">
        <is>
          <t>매매</t>
        </is>
      </c>
      <c r="F88" s="4" t="n">
        <v>58000</v>
      </c>
      <c r="G88" s="4" t="n">
        <v>340</v>
      </c>
      <c r="H88" s="3" t="inlineStr">
        <is>
          <t>급매 3면코너각지 산조망 위치최상 조율가능</t>
        </is>
      </c>
      <c r="I88" s="5">
        <f>HYPERLINK("https://fin.land.naver.com/articles/2648615408", "매물Link")</f>
        <v/>
      </c>
      <c r="J88" s="5">
        <f>HYPERLINK("https://map.naver.com/p/search/고운동 1598", "지도Link")</f>
        <v/>
      </c>
      <c r="K88" s="5">
        <f>HYPERLINK("http://www.eum.go.kr/web/ar/lu/luLandDet.jsp?pnu=3611011200115980000&amp;isNoScr=script&amp;mode=search", "토지이음")</f>
        <v/>
      </c>
      <c r="L88" s="3" t="inlineStr">
        <is>
          <t>세종스타</t>
        </is>
      </c>
      <c r="M88" s="3" t="n">
        <v>1</v>
      </c>
    </row>
    <row r="89">
      <c r="A89" s="3" t="inlineStr">
        <is>
          <t>고운동 1618</t>
        </is>
      </c>
      <c r="B89" s="3" t="inlineStr">
        <is>
          <t>제1종전용주거지역</t>
        </is>
      </c>
      <c r="C89" s="3" t="inlineStr">
        <is>
          <t>대</t>
        </is>
      </c>
      <c r="D89" s="3" t="inlineStr">
        <is>
          <t>대</t>
        </is>
      </c>
      <c r="E89" s="3" t="inlineStr">
        <is>
          <t>매매</t>
        </is>
      </c>
      <c r="F89" s="4" t="n">
        <v>80000</v>
      </c>
      <c r="G89" s="4" t="n">
        <v>401</v>
      </c>
      <c r="H89" s="3" t="inlineStr">
        <is>
          <t>조율가능 남향 실개천옆 최선호위치</t>
        </is>
      </c>
      <c r="I89" s="5">
        <f>HYPERLINK("https://fin.land.naver.com/articles/2649618762", "매물Link")</f>
        <v/>
      </c>
      <c r="J89" s="5">
        <f>HYPERLINK("https://map.naver.com/p/search/고운동 1618", "지도Link")</f>
        <v/>
      </c>
      <c r="K89" s="5">
        <f>HYPERLINK("http://www.eum.go.kr/web/ar/lu/luLandDet.jsp?pnu=3611011200116180000&amp;isNoScr=script&amp;mode=search", "토지이음")</f>
        <v/>
      </c>
      <c r="L89" s="3" t="inlineStr">
        <is>
          <t>세종스타</t>
        </is>
      </c>
      <c r="M89" s="3" t="n">
        <v>1</v>
      </c>
    </row>
    <row r="90">
      <c r="A90" s="3" t="inlineStr">
        <is>
          <t>고운동 1629</t>
        </is>
      </c>
      <c r="B90" s="3" t="inlineStr">
        <is>
          <t>제1종전용주거지역</t>
        </is>
      </c>
      <c r="C90" s="3" t="inlineStr">
        <is>
          <t>대</t>
        </is>
      </c>
      <c r="D90" s="3" t="inlineStr">
        <is>
          <t>대</t>
        </is>
      </c>
      <c r="E90" s="3" t="inlineStr">
        <is>
          <t>매매</t>
        </is>
      </c>
      <c r="F90" s="4" t="n">
        <v>51000</v>
      </c>
      <c r="G90" s="4" t="n">
        <v>347</v>
      </c>
      <c r="H90" s="3" t="inlineStr">
        <is>
          <t>전원주택을 지을수있는 위치좋은 대지</t>
        </is>
      </c>
      <c r="I90" s="5">
        <f>HYPERLINK("https://fin.land.naver.com/articles/2649719558", "매물Link")</f>
        <v/>
      </c>
      <c r="J90" s="5">
        <f>HYPERLINK("https://map.naver.com/p/search/고운동 1629", "지도Link")</f>
        <v/>
      </c>
      <c r="K90" s="5">
        <f>HYPERLINK("http://www.eum.go.kr/web/ar/lu/luLandDet.jsp?pnu=3611011200116290000&amp;isNoScr=script&amp;mode=search", "토지이음")</f>
        <v/>
      </c>
      <c r="L90" s="3" t="inlineStr">
        <is>
          <t>대한</t>
        </is>
      </c>
      <c r="M90" s="3" t="n">
        <v>1</v>
      </c>
    </row>
    <row r="91">
      <c r="A91" s="3" t="inlineStr">
        <is>
          <t>고운동 1642</t>
        </is>
      </c>
      <c r="B91" s="3" t="inlineStr">
        <is>
          <t>제1종전용주거지역</t>
        </is>
      </c>
      <c r="C91" s="3" t="inlineStr">
        <is>
          <t>대</t>
        </is>
      </c>
      <c r="D91" s="3" t="inlineStr">
        <is>
          <t>대</t>
        </is>
      </c>
      <c r="E91" s="3" t="inlineStr">
        <is>
          <t>매매</t>
        </is>
      </c>
      <c r="F91" s="4" t="n">
        <v>172000</v>
      </c>
      <c r="G91" s="4" t="n">
        <v>391</v>
      </c>
      <c r="H91" s="3" t="inlineStr">
        <is>
          <t>근생토지, 맛집 라인에 위치한 입지 좋은 토지</t>
        </is>
      </c>
      <c r="I91" s="5">
        <f>HYPERLINK("https://fin.land.naver.com/articles/2644183171", "매물Link")</f>
        <v/>
      </c>
      <c r="J91" s="5">
        <f>HYPERLINK("https://map.naver.com/p/search/고운동 1642", "지도Link")</f>
        <v/>
      </c>
      <c r="K91" s="5">
        <f>HYPERLINK("http://www.eum.go.kr/web/ar/lu/luLandDet.jsp?pnu=3611011200116420000&amp;isNoScr=script&amp;mode=search", "토지이음")</f>
        <v/>
      </c>
      <c r="L91" s="3" t="inlineStr">
        <is>
          <t>세종무지개</t>
        </is>
      </c>
      <c r="M91" s="3" t="n">
        <v>1</v>
      </c>
    </row>
    <row r="92">
      <c r="A92" s="3" t="inlineStr">
        <is>
          <t>고운동 1653</t>
        </is>
      </c>
      <c r="B92" s="3" t="inlineStr">
        <is>
          <t>제1종전용주거지역</t>
        </is>
      </c>
      <c r="C92" s="3" t="inlineStr">
        <is>
          <t>대</t>
        </is>
      </c>
      <c r="D92" s="3" t="inlineStr">
        <is>
          <t>대</t>
        </is>
      </c>
      <c r="E92" s="3" t="inlineStr">
        <is>
          <t>매매</t>
        </is>
      </c>
      <c r="F92" s="4" t="n">
        <v>58000</v>
      </c>
      <c r="G92" s="4" t="n">
        <v>337</v>
      </c>
      <c r="H92" s="3" t="inlineStr">
        <is>
          <t>총 102.1p, 사거리 코너, 입지 좋은 단독주택지</t>
        </is>
      </c>
      <c r="I92" s="5">
        <f>HYPERLINK("https://fin.land.naver.com/articles/2645495934", "매물Link")</f>
        <v/>
      </c>
      <c r="J92" s="5">
        <f>HYPERLINK("https://map.naver.com/p/search/고운동 1653", "지도Link")</f>
        <v/>
      </c>
      <c r="K92" s="5">
        <f>HYPERLINK("http://www.eum.go.kr/web/ar/lu/luLandDet.jsp?pnu=3611011200116530000&amp;isNoScr=script&amp;mode=search", "토지이음")</f>
        <v/>
      </c>
      <c r="L92" s="3" t="inlineStr">
        <is>
          <t>명진</t>
        </is>
      </c>
      <c r="M92" s="3" t="n">
        <v>1</v>
      </c>
    </row>
    <row r="93">
      <c r="A93" s="3" t="inlineStr">
        <is>
          <t>고운동 1664</t>
        </is>
      </c>
      <c r="B93" s="3" t="inlineStr">
        <is>
          <t>제1종전용주거지역</t>
        </is>
      </c>
      <c r="C93" s="3" t="inlineStr">
        <is>
          <t>대</t>
        </is>
      </c>
      <c r="D93" s="3" t="inlineStr">
        <is>
          <t>대</t>
        </is>
      </c>
      <c r="E93" s="3" t="inlineStr">
        <is>
          <t>매매</t>
        </is>
      </c>
      <c r="F93" s="4" t="n">
        <v>60000</v>
      </c>
      <c r="G93" s="4" t="n">
        <v>348</v>
      </c>
      <c r="H93" s="3" t="inlineStr">
        <is>
          <t>총 105.5p, 공원 앞, 위치좋은 토지</t>
        </is>
      </c>
      <c r="I93" s="5">
        <f>HYPERLINK("https://fin.land.naver.com/articles/2646693588", "매물Link")</f>
        <v/>
      </c>
      <c r="J93" s="5">
        <f>HYPERLINK("https://map.naver.com/p/search/고운동 1664", "지도Link")</f>
        <v/>
      </c>
      <c r="K93" s="5">
        <f>HYPERLINK("http://www.eum.go.kr/web/ar/lu/luLandDet.jsp?pnu=3611011200116640000&amp;isNoScr=script&amp;mode=search", "토지이음")</f>
        <v/>
      </c>
      <c r="L93" s="3" t="inlineStr">
        <is>
          <t>세종무지개</t>
        </is>
      </c>
      <c r="M93" s="3" t="n">
        <v>1</v>
      </c>
    </row>
    <row r="94">
      <c r="A94" s="3" t="inlineStr">
        <is>
          <t>고운동 1664</t>
        </is>
      </c>
      <c r="B94" s="3" t="inlineStr">
        <is>
          <t>제1종전용주거지역</t>
        </is>
      </c>
      <c r="C94" s="3" t="inlineStr">
        <is>
          <t>대</t>
        </is>
      </c>
      <c r="D94" s="3" t="inlineStr">
        <is>
          <t>대</t>
        </is>
      </c>
      <c r="E94" s="3" t="inlineStr">
        <is>
          <t>매매</t>
        </is>
      </c>
      <c r="F94" s="4" t="n">
        <v>60000</v>
      </c>
      <c r="G94" s="4" t="n">
        <v>348</v>
      </c>
      <c r="H94" s="3" t="inlineStr">
        <is>
          <t>급매 추가조율가능 지대높음 실개천인근 초중고도보5분</t>
        </is>
      </c>
      <c r="I94" s="5">
        <f>HYPERLINK("https://fin.land.naver.com/articles/2648615800", "매물Link")</f>
        <v/>
      </c>
      <c r="J94" s="5">
        <f>HYPERLINK("https://map.naver.com/p/search/고운동 1664", "지도Link")</f>
        <v/>
      </c>
      <c r="K94" s="5">
        <f>HYPERLINK("http://www.eum.go.kr/web/ar/lu/luLandDet.jsp?pnu=3611011200116640000&amp;isNoScr=script&amp;mode=search", "토지이음")</f>
        <v/>
      </c>
      <c r="L94" s="3" t="inlineStr">
        <is>
          <t>세종스타</t>
        </is>
      </c>
      <c r="M94" s="3" t="n">
        <v>1</v>
      </c>
    </row>
    <row r="95">
      <c r="A95" s="3" t="inlineStr">
        <is>
          <t>고운동 1664</t>
        </is>
      </c>
      <c r="B95" s="3" t="inlineStr">
        <is>
          <t>제1종전용주거지역</t>
        </is>
      </c>
      <c r="C95" s="3" t="inlineStr">
        <is>
          <t>대</t>
        </is>
      </c>
      <c r="D95" s="3" t="inlineStr">
        <is>
          <t>대</t>
        </is>
      </c>
      <c r="E95" s="3" t="inlineStr">
        <is>
          <t>매매</t>
        </is>
      </c>
      <c r="F95" s="4" t="n">
        <v>60000</v>
      </c>
      <c r="G95" s="4" t="n">
        <v>348</v>
      </c>
      <c r="H95" s="3" t="inlineStr">
        <is>
          <t>105.5p, 공원 옆 전망 좋은 단독주택 토지 매매</t>
        </is>
      </c>
      <c r="I95" s="5">
        <f>HYPERLINK("https://fin.land.naver.com/articles/2648127338", "매물Link")</f>
        <v/>
      </c>
      <c r="J95" s="5">
        <f>HYPERLINK("https://map.naver.com/p/search/고운동 1664", "지도Link")</f>
        <v/>
      </c>
      <c r="K95" s="5">
        <f>HYPERLINK("http://www.eum.go.kr/web/ar/lu/luLandDet.jsp?pnu=3611011200116640000&amp;isNoScr=script&amp;mode=search", "토지이음")</f>
        <v/>
      </c>
      <c r="L95" s="3" t="inlineStr">
        <is>
          <t>명진</t>
        </is>
      </c>
      <c r="M95" s="3" t="n">
        <v>1</v>
      </c>
    </row>
    <row r="96">
      <c r="A96" s="3" t="inlineStr">
        <is>
          <t>고운동 1682</t>
        </is>
      </c>
      <c r="B96" s="3" t="inlineStr">
        <is>
          <t>제1종전용주거지역</t>
        </is>
      </c>
      <c r="C96" s="3" t="inlineStr">
        <is>
          <t>대</t>
        </is>
      </c>
      <c r="D96" s="3" t="inlineStr">
        <is>
          <t>대</t>
        </is>
      </c>
      <c r="E96" s="3" t="inlineStr">
        <is>
          <t>매매</t>
        </is>
      </c>
      <c r="F96" s="4" t="n">
        <v>49000</v>
      </c>
      <c r="G96" s="4" t="n">
        <v>317</v>
      </c>
      <c r="H96" s="3" t="inlineStr">
        <is>
          <t>96.1p, 고운동 코너자리 단독주택 토지매매</t>
        </is>
      </c>
      <c r="I96" s="5">
        <f>HYPERLINK("https://fin.land.naver.com/articles/2649004997", "매물Link")</f>
        <v/>
      </c>
      <c r="J96" s="5">
        <f>HYPERLINK("https://map.naver.com/p/search/고운동 1682", "지도Link")</f>
        <v/>
      </c>
      <c r="K96" s="5">
        <f>HYPERLINK("http://www.eum.go.kr/web/ar/lu/luLandDet.jsp?pnu=3611011200116820000&amp;isNoScr=script&amp;mode=search", "토지이음")</f>
        <v/>
      </c>
      <c r="L96" s="3" t="inlineStr">
        <is>
          <t>명진</t>
        </is>
      </c>
      <c r="M96" s="3" t="n">
        <v>1</v>
      </c>
    </row>
    <row r="97">
      <c r="A97" s="3" t="inlineStr">
        <is>
          <t>고운동 1684</t>
        </is>
      </c>
      <c r="B97" s="3" t="inlineStr">
        <is>
          <t>제1종전용주거지역</t>
        </is>
      </c>
      <c r="C97" s="3" t="inlineStr">
        <is>
          <t>대</t>
        </is>
      </c>
      <c r="D97" s="3" t="inlineStr">
        <is>
          <t>대</t>
        </is>
      </c>
      <c r="E97" s="3" t="inlineStr">
        <is>
          <t>매매</t>
        </is>
      </c>
      <c r="F97" s="4" t="n">
        <v>55000</v>
      </c>
      <c r="G97" s="4" t="n">
        <v>330</v>
      </c>
      <c r="H97" s="3" t="inlineStr">
        <is>
          <t>공원인접,상가인접,초중고인접,조율가능</t>
        </is>
      </c>
      <c r="I97" s="5">
        <f>HYPERLINK("https://fin.land.naver.com/articles/2648942488", "매물Link")</f>
        <v/>
      </c>
      <c r="J97" s="5">
        <f>HYPERLINK("https://map.naver.com/p/search/고운동 1684", "지도Link")</f>
        <v/>
      </c>
      <c r="K97" s="5">
        <f>HYPERLINK("http://www.eum.go.kr/web/ar/lu/luLandDet.jsp?pnu=3611011200116840000&amp;isNoScr=script&amp;mode=search", "토지이음")</f>
        <v/>
      </c>
      <c r="L97" s="3" t="inlineStr">
        <is>
          <t>똑똑</t>
        </is>
      </c>
      <c r="M97" s="3" t="n">
        <v>1</v>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3" t="inlineStr">
        <is>
          <t>보육시설용지 유치원 어린이집 부지</t>
        </is>
      </c>
      <c r="I98" s="5">
        <f>HYPERLINK("https://fin.land.naver.com/articles/2648978969", "매물Link")</f>
        <v/>
      </c>
      <c r="J98" s="5">
        <f>HYPERLINK("https://map.naver.com/p/search/고운동 1702", "지도Link")</f>
        <v/>
      </c>
      <c r="K98" s="5">
        <f>HYPERLINK("http://www.eum.go.kr/web/ar/lu/luLandDet.jsp?pnu=3611011200117020000&amp;isNoScr=script&amp;mode=search", "토지이음")</f>
        <v/>
      </c>
      <c r="L98" s="3" t="inlineStr">
        <is>
          <t>세종스타</t>
        </is>
      </c>
      <c r="M98" s="3" t="n">
        <v>1</v>
      </c>
    </row>
    <row r="99">
      <c r="A99" s="3" t="inlineStr">
        <is>
          <t>고운동 1742</t>
        </is>
      </c>
      <c r="B99" s="3" t="inlineStr">
        <is>
          <t>제1종전용주거지역</t>
        </is>
      </c>
      <c r="C99" s="3" t="inlineStr">
        <is>
          <t>대</t>
        </is>
      </c>
      <c r="D99" s="3" t="inlineStr">
        <is>
          <t>대</t>
        </is>
      </c>
      <c r="E99" s="3" t="inlineStr">
        <is>
          <t>매매</t>
        </is>
      </c>
      <c r="F99" s="4" t="n">
        <v>60000</v>
      </c>
      <c r="G99" s="4" t="n">
        <v>345</v>
      </c>
      <c r="H99" s="3" t="inlineStr">
        <is>
          <t>조율가능 남향 해잘드는곳 학교 상권 가까운위치</t>
        </is>
      </c>
      <c r="I99" s="5">
        <f>HYPERLINK("https://fin.land.naver.com/articles/2644908886", "매물Link")</f>
        <v/>
      </c>
      <c r="J99" s="5">
        <f>HYPERLINK("https://map.naver.com/p/search/고운동 1742", "지도Link")</f>
        <v/>
      </c>
      <c r="K99" s="5">
        <f>HYPERLINK("http://www.eum.go.kr/web/ar/lu/luLandDet.jsp?pnu=3611011200117420000&amp;isNoScr=script&amp;mode=search", "토지이음")</f>
        <v/>
      </c>
      <c r="L99" s="3" t="inlineStr">
        <is>
          <t>세종스타</t>
        </is>
      </c>
      <c r="M99" s="3" t="n">
        <v>1</v>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3" t="inlineStr">
        <is>
          <t>106.1p, 아파트 맞은편, 상가 인접</t>
        </is>
      </c>
      <c r="I100" s="5">
        <f>HYPERLINK("https://fin.land.naver.com/articles/2649008695", "매물Link")</f>
        <v/>
      </c>
      <c r="J100" s="5">
        <f>HYPERLINK("https://map.naver.com/p/search/고운동 1760", "지도Link")</f>
        <v/>
      </c>
      <c r="K100" s="5">
        <f>HYPERLINK("http://www.eum.go.kr/web/ar/lu/luLandDet.jsp?pnu=3611011200117600000&amp;isNoScr=script&amp;mode=search", "토지이음")</f>
        <v/>
      </c>
      <c r="L100" s="3" t="inlineStr">
        <is>
          <t>명진</t>
        </is>
      </c>
      <c r="M100" s="3" t="n">
        <v>1</v>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3" t="inlineStr">
        <is>
          <t>조율가능 고운초 고운중 도보1분 상권 복컴 도보3분</t>
        </is>
      </c>
      <c r="I101" s="5">
        <f>HYPERLINK("https://fin.land.naver.com/articles/2643971932", "매물Link")</f>
        <v/>
      </c>
      <c r="J101" s="5">
        <f>HYPERLINK("https://map.naver.com/p/search/고운동 1761", "지도Link")</f>
        <v/>
      </c>
      <c r="K101" s="5">
        <f>HYPERLINK("http://www.eum.go.kr/web/ar/lu/luLandDet.jsp?pnu=3611011200117610000&amp;isNoScr=script&amp;mode=search", "토지이음")</f>
        <v/>
      </c>
      <c r="L101" s="3" t="inlineStr">
        <is>
          <t>세종스타</t>
        </is>
      </c>
      <c r="M101" s="3" t="n">
        <v>2</v>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3" t="inlineStr">
        <is>
          <t>급매 조율가능 고운초중 도보3분 학원상권 복컴 도보5분</t>
        </is>
      </c>
      <c r="I102" s="5">
        <f>HYPERLINK("https://fin.land.naver.com/articles/2648979457", "매물Link")</f>
        <v/>
      </c>
      <c r="J102" s="5">
        <f>HYPERLINK("https://map.naver.com/p/search/고운동 1767", "지도Link")</f>
        <v/>
      </c>
      <c r="K102" s="5">
        <f>HYPERLINK("http://www.eum.go.kr/web/ar/lu/luLandDet.jsp?pnu=3611011200117670000&amp;isNoScr=script&amp;mode=search", "토지이음")</f>
        <v/>
      </c>
      <c r="L102" s="3" t="inlineStr">
        <is>
          <t>세종스타</t>
        </is>
      </c>
      <c r="M102" s="3" t="n">
        <v>1</v>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3" t="inlineStr">
        <is>
          <t>저렴하게 나온 매물 , 예쁜집 지을수 있는 토지 . 쌀때 사서 집지으세요</t>
        </is>
      </c>
      <c r="I103" s="5">
        <f>HYPERLINK("https://fin.land.naver.com/articles/2647139766", "매물Link")</f>
        <v/>
      </c>
      <c r="J103" s="5">
        <f>HYPERLINK("https://map.naver.com/p/search/고운동 1767", "지도Link")</f>
        <v/>
      </c>
      <c r="K103" s="5">
        <f>HYPERLINK("http://www.eum.go.kr/web/ar/lu/luLandDet.jsp?pnu=3611011200117670000&amp;isNoScr=script&amp;mode=search", "토지이음")</f>
        <v/>
      </c>
      <c r="L103" s="3" t="inlineStr">
        <is>
          <t>세종특별시</t>
        </is>
      </c>
      <c r="M103" s="3" t="n">
        <v>1</v>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3" t="inlineStr">
        <is>
          <t>세종시 행복도시내 단독주택부지</t>
        </is>
      </c>
      <c r="I104" s="5">
        <f>HYPERLINK("https://fin.land.naver.com/articles/2647094510", "매물Link")</f>
        <v/>
      </c>
      <c r="J104" s="5">
        <f>HYPERLINK("https://map.naver.com/p/search/고운동 1768", "지도Link")</f>
        <v/>
      </c>
      <c r="K104" s="5">
        <f>HYPERLINK("http://www.eum.go.kr/web/ar/lu/luLandDet.jsp?pnu=3611011200117680000&amp;isNoScr=script&amp;mode=search", "토지이음")</f>
        <v/>
      </c>
      <c r="L104" s="3" t="inlineStr">
        <is>
          <t>명품시티</t>
        </is>
      </c>
      <c r="M104" s="3" t="n">
        <v>1</v>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3" t="inlineStr">
        <is>
          <t>3면이 도로인 개방감 넘치는 토지</t>
        </is>
      </c>
      <c r="I105" s="5">
        <f>HYPERLINK("https://fin.land.naver.com/articles/2649748261", "매물Link")</f>
        <v/>
      </c>
      <c r="J105" s="5">
        <f>HYPERLINK("https://map.naver.com/p/search/고운동 1780", "지도Link")</f>
        <v/>
      </c>
      <c r="K105" s="5">
        <f>HYPERLINK("http://www.eum.go.kr/web/ar/lu/luLandDet.jsp?pnu=3611011200117800000&amp;isNoScr=script&amp;mode=search", "토지이음")</f>
        <v/>
      </c>
      <c r="L105" s="3" t="inlineStr">
        <is>
          <t>킹세종</t>
        </is>
      </c>
      <c r="M105" s="3" t="n">
        <v>1</v>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3" t="inlineStr">
        <is>
          <t>nan</t>
        </is>
      </c>
      <c r="I106" s="5">
        <f>HYPERLINK("https://fin.land.naver.com/articles/2646710175", "매물Link")</f>
        <v/>
      </c>
      <c r="J106" s="5">
        <f>HYPERLINK("https://map.naver.com/p/search/고운동 1827", "지도Link")</f>
        <v/>
      </c>
      <c r="K106" s="5">
        <f>HYPERLINK("http://www.eum.go.kr/web/ar/lu/luLandDet.jsp?pnu=3611011200118270000&amp;isNoScr=script&amp;mode=search", "토지이음")</f>
        <v/>
      </c>
      <c r="L106" s="3" t="inlineStr">
        <is>
          <t>세종스타</t>
        </is>
      </c>
      <c r="M106" s="3" t="n">
        <v>2</v>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3" t="inlineStr">
        <is>
          <t>nan</t>
        </is>
      </c>
      <c r="I107" s="5">
        <f>HYPERLINK("https://fin.land.naver.com/articles/2648024777", "매물Link")</f>
        <v/>
      </c>
      <c r="J107" s="5">
        <f>HYPERLINK("https://map.naver.com/p/search/고운동 1830", "지도Link")</f>
        <v/>
      </c>
      <c r="K107" s="5">
        <f>HYPERLINK("http://www.eum.go.kr/web/ar/lu/luLandDet.jsp?pnu=3611011200118300000&amp;isNoScr=script&amp;mode=search", "토지이음")</f>
        <v/>
      </c>
      <c r="L107" s="3" t="inlineStr">
        <is>
          <t>세종지평</t>
        </is>
      </c>
      <c r="M107" s="3" t="n">
        <v>1</v>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3" t="inlineStr">
        <is>
          <t>지하주차장가능하여 개방감 있는 토지</t>
        </is>
      </c>
      <c r="I108" s="5">
        <f>HYPERLINK("https://fin.land.naver.com/articles/2645003696", "매물Link")</f>
        <v/>
      </c>
      <c r="J108" s="5">
        <f>HYPERLINK("https://map.naver.com/p/search/고운동 1835", "지도Link")</f>
        <v/>
      </c>
      <c r="K108" s="5">
        <f>HYPERLINK("http://www.eum.go.kr/web/ar/lu/luLandDet.jsp?pnu=3611011200118350000&amp;isNoScr=script&amp;mode=search", "토지이음")</f>
        <v/>
      </c>
      <c r="L108" s="3" t="inlineStr">
        <is>
          <t>킹세종</t>
        </is>
      </c>
      <c r="M108" s="3" t="n">
        <v>1</v>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3" t="inlineStr">
        <is>
          <t>급매. 고급주택이 가능한 넓은 택지, 정남향</t>
        </is>
      </c>
      <c r="I109" s="5">
        <f>HYPERLINK("https://fin.land.naver.com/articles/2649456450", "매물Link")</f>
        <v/>
      </c>
      <c r="J109" s="5">
        <f>HYPERLINK("https://map.naver.com/p/search/고운동 1850", "지도Link")</f>
        <v/>
      </c>
      <c r="K109" s="5">
        <f>HYPERLINK("http://www.eum.go.kr/web/ar/lu/luLandDet.jsp?pnu=3611011200118500000&amp;isNoScr=script&amp;mode=search", "토지이음")</f>
        <v/>
      </c>
      <c r="L109" s="3" t="inlineStr">
        <is>
          <t>세종삼촌</t>
        </is>
      </c>
      <c r="M109" s="3" t="n">
        <v>1</v>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3" t="inlineStr">
        <is>
          <t>고운동 근생용지 코너위치 3면 접근용이 근생시설최적지</t>
        </is>
      </c>
      <c r="I110" s="5">
        <f>HYPERLINK("https://fin.land.naver.com/articles/2649447450", "매물Link")</f>
        <v/>
      </c>
      <c r="J110" s="5">
        <f>HYPERLINK("https://map.naver.com/p/search/고운동 1906", "지도Link")</f>
        <v/>
      </c>
      <c r="K110" s="5">
        <f>HYPERLINK("http://www.eum.go.kr/web/ar/lu/luLandDet.jsp?pnu=3611011200119060000&amp;isNoScr=script&amp;mode=search", "토지이음")</f>
        <v/>
      </c>
      <c r="L110" s="3" t="inlineStr">
        <is>
          <t>서초만땅</t>
        </is>
      </c>
      <c r="M110" s="3" t="n">
        <v>1</v>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3" t="inlineStr">
        <is>
          <t>인근 고급단독주택형성된 남향의 반듯한 단독주택부지, 가격조율가능</t>
        </is>
      </c>
      <c r="I111" s="5">
        <f>HYPERLINK("https://fin.land.naver.com/articles/2647094929", "매물Link")</f>
        <v/>
      </c>
      <c r="J111" s="5">
        <f>HYPERLINK("https://map.naver.com/p/search/고운동 1934", "지도Link")</f>
        <v/>
      </c>
      <c r="K111" s="5">
        <f>HYPERLINK("http://www.eum.go.kr/web/ar/lu/luLandDet.jsp?pnu=3611011200119340000&amp;isNoScr=script&amp;mode=search", "토지이음")</f>
        <v/>
      </c>
      <c r="L111" s="3" t="inlineStr">
        <is>
          <t>명품시티</t>
        </is>
      </c>
      <c r="M111" s="3" t="n">
        <v>1</v>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3" t="inlineStr">
        <is>
          <t>nan</t>
        </is>
      </c>
      <c r="I112" s="5">
        <f>HYPERLINK("https://fin.land.naver.com/articles/2648367069", "매물Link")</f>
        <v/>
      </c>
      <c r="J112" s="5">
        <f>HYPERLINK("https://map.naver.com/p/search/고운동 1940", "지도Link")</f>
        <v/>
      </c>
      <c r="K112" s="5">
        <f>HYPERLINK("http://www.eum.go.kr/web/ar/lu/luLandDet.jsp?pnu=3611011200119400000&amp;isNoScr=script&amp;mode=search", "토지이음")</f>
        <v/>
      </c>
      <c r="L112" s="3" t="inlineStr">
        <is>
          <t>백프로</t>
        </is>
      </c>
      <c r="M112" s="3" t="n">
        <v>1</v>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3" t="inlineStr">
        <is>
          <t>코너각지에 보행자도로 접하고 남향으로 반듯한 단독주택부지, 가격조정 가능</t>
        </is>
      </c>
      <c r="I113" s="5">
        <f>HYPERLINK("https://fin.land.naver.com/articles/2649697362", "매물Link")</f>
        <v/>
      </c>
      <c r="J113" s="5">
        <f>HYPERLINK("https://map.naver.com/p/search/고운동 1951", "지도Link")</f>
        <v/>
      </c>
      <c r="K113" s="5">
        <f>HYPERLINK("http://www.eum.go.kr/web/ar/lu/luLandDet.jsp?pnu=3611011200119510000&amp;isNoScr=script&amp;mode=search", "토지이음")</f>
        <v/>
      </c>
      <c r="L113" s="3" t="inlineStr">
        <is>
          <t>온뜰</t>
        </is>
      </c>
      <c r="M113" s="3" t="n">
        <v>1</v>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3" t="inlineStr">
        <is>
          <t>코너 급매, 초중교 인접, 생활편의시설 다양함, 대중교통 편리함</t>
        </is>
      </c>
      <c r="I114" s="5">
        <f>HYPERLINK("https://fin.land.naver.com/articles/2649034509", "매물Link")</f>
        <v/>
      </c>
      <c r="J114" s="5">
        <f>HYPERLINK("https://map.naver.com/p/search/고운동 1951", "지도Link")</f>
        <v/>
      </c>
      <c r="K114" s="5">
        <f>HYPERLINK("http://www.eum.go.kr/web/ar/lu/luLandDet.jsp?pnu=3611011200119510000&amp;isNoScr=script&amp;mode=search", "토지이음")</f>
        <v/>
      </c>
      <c r="L114" s="3" t="inlineStr">
        <is>
          <t>백프로</t>
        </is>
      </c>
      <c r="M114" s="3" t="n">
        <v>2</v>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3" t="inlineStr">
        <is>
          <t>급매,막힘없는 코너각지,주민센터 및 항아리중심상권</t>
        </is>
      </c>
      <c r="I115" s="5">
        <f>HYPERLINK("https://fin.land.naver.com/articles/2644714013", "매물Link")</f>
        <v/>
      </c>
      <c r="J115" s="5">
        <f>HYPERLINK("https://map.naver.com/p/search/고운동 1951", "지도Link")</f>
        <v/>
      </c>
      <c r="K115" s="5">
        <f>HYPERLINK("http://www.eum.go.kr/web/ar/lu/luLandDet.jsp?pnu=3611011200119510000&amp;isNoScr=script&amp;mode=search", "토지이음")</f>
        <v/>
      </c>
      <c r="L115" s="3" t="inlineStr">
        <is>
          <t>고운맘</t>
        </is>
      </c>
      <c r="M115" s="3" t="n">
        <v>1</v>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3" t="inlineStr">
        <is>
          <t>급매,전원형 주택단지 남향필지</t>
        </is>
      </c>
      <c r="I116" s="5">
        <f>HYPERLINK("https://fin.land.naver.com/articles/2649745305", "매물Link")</f>
        <v/>
      </c>
      <c r="J116" s="5">
        <f>HYPERLINK("https://map.naver.com/p/search/고운동 1954", "지도Link")</f>
        <v/>
      </c>
      <c r="K116" s="5">
        <f>HYPERLINK("http://www.eum.go.kr/web/ar/lu/luLandDet.jsp?pnu=3611011200119540000&amp;isNoScr=script&amp;mode=search", "토지이음")</f>
        <v/>
      </c>
      <c r="L116" s="3" t="inlineStr">
        <is>
          <t>킹세종</t>
        </is>
      </c>
      <c r="M116" s="3" t="n">
        <v>2</v>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3" t="inlineStr">
        <is>
          <t>남향,  공원인접,  학교 및 편의시설</t>
        </is>
      </c>
      <c r="I117" s="5">
        <f>HYPERLINK("https://fin.land.naver.com/articles/2649038204", "매물Link")</f>
        <v/>
      </c>
      <c r="J117" s="5">
        <f>HYPERLINK("https://map.naver.com/p/search/고운동 1955", "지도Link")</f>
        <v/>
      </c>
      <c r="K117" s="5">
        <f>HYPERLINK("http://www.eum.go.kr/web/ar/lu/luLandDet.jsp?pnu=3611011200119550000&amp;isNoScr=script&amp;mode=search", "토지이음")</f>
        <v/>
      </c>
      <c r="L117" s="3" t="inlineStr">
        <is>
          <t>백프로</t>
        </is>
      </c>
      <c r="M117" s="3" t="n">
        <v>3</v>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3" t="inlineStr">
        <is>
          <t>공원조망 정남향 최고위치 조율가능</t>
        </is>
      </c>
      <c r="I118" s="5">
        <f>HYPERLINK("https://fin.land.naver.com/articles/2644917615", "매물Link")</f>
        <v/>
      </c>
      <c r="J118" s="5">
        <f>HYPERLINK("https://map.naver.com/p/search/고운동 1959", "지도Link")</f>
        <v/>
      </c>
      <c r="K118" s="5">
        <f>HYPERLINK("http://www.eum.go.kr/web/ar/lu/luLandDet.jsp?pnu=3611011200119590000&amp;isNoScr=script&amp;mode=search", "토지이음")</f>
        <v/>
      </c>
      <c r="L118" s="3" t="inlineStr">
        <is>
          <t>세종스타</t>
        </is>
      </c>
      <c r="M118" s="3" t="n">
        <v>1</v>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3" t="inlineStr">
        <is>
          <t>위치 좋은 큰 면적 단독주택지 매매</t>
        </is>
      </c>
      <c r="I119" s="5">
        <f>HYPERLINK("https://fin.land.naver.com/articles/2646674386", "매물Link")</f>
        <v/>
      </c>
      <c r="J119" s="5">
        <f>HYPERLINK("https://map.naver.com/p/search/고운동 1967", "지도Link")</f>
        <v/>
      </c>
      <c r="K119" s="5">
        <f>HYPERLINK("http://www.eum.go.kr/web/ar/lu/luLandDet.jsp?pnu=3611011200119670000&amp;isNoScr=script&amp;mode=search", "토지이음")</f>
        <v/>
      </c>
      <c r="L119" s="3" t="inlineStr">
        <is>
          <t>로데오상가</t>
        </is>
      </c>
      <c r="M119" s="3" t="n">
        <v>1</v>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3" t="inlineStr">
        <is>
          <t>I 신한 I 일조권 최상, 햇살 가득한 정남향 단독주택 필지</t>
        </is>
      </c>
      <c r="I120" s="5">
        <f>HYPERLINK("https://fin.land.naver.com/articles/2645748156", "매물Link")</f>
        <v/>
      </c>
      <c r="J120" s="5">
        <f>HYPERLINK("https://map.naver.com/p/search/고운동 1980", "지도Link")</f>
        <v/>
      </c>
      <c r="K120" s="5">
        <f>HYPERLINK("http://www.eum.go.kr/web/ar/lu/luLandDet.jsp?pnu=3611011200119800000&amp;isNoScr=script&amp;mode=search", "토지이음")</f>
        <v/>
      </c>
      <c r="L120" s="3" t="inlineStr">
        <is>
          <t>세종신한</t>
        </is>
      </c>
      <c r="M120" s="3" t="n">
        <v>1</v>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3" t="inlineStr">
        <is>
          <t>급매매,전원형 주택단지 ,남향에 보행자도로 접</t>
        </is>
      </c>
      <c r="I121" s="5">
        <f>HYPERLINK("https://fin.land.naver.com/articles/2649627304", "매물Link")</f>
        <v/>
      </c>
      <c r="J121" s="5">
        <f>HYPERLINK("https://map.naver.com/p/search/고운동 2014", "지도Link")</f>
        <v/>
      </c>
      <c r="K121" s="5">
        <f>HYPERLINK("http://www.eum.go.kr/web/ar/lu/luLandDet.jsp?pnu=3611011200120140000&amp;isNoScr=script&amp;mode=search", "토지이음")</f>
        <v/>
      </c>
      <c r="L121" s="3" t="inlineStr">
        <is>
          <t>킹세종</t>
        </is>
      </c>
      <c r="M121" s="3" t="n">
        <v>2</v>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3" t="inlineStr">
        <is>
          <t>고운동 1종 전용주거지역 단독주택지 매매,정남향,뻥뷰</t>
        </is>
      </c>
      <c r="I122" s="5">
        <f>HYPERLINK("https://fin.land.naver.com/articles/2644745174", "매물Link")</f>
        <v/>
      </c>
      <c r="J122" s="5">
        <f>HYPERLINK("https://map.naver.com/p/search/고운동 2025", "지도Link")</f>
        <v/>
      </c>
      <c r="K122" s="5">
        <f>HYPERLINK("http://www.eum.go.kr/web/ar/lu/luLandDet.jsp?pnu=3611011200120250000&amp;isNoScr=script&amp;mode=search", "토지이음")</f>
        <v/>
      </c>
      <c r="L122" s="3" t="inlineStr">
        <is>
          <t>천재원</t>
        </is>
      </c>
      <c r="M122" s="3" t="n">
        <v>1</v>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3" t="inlineStr">
        <is>
          <t>고운동 남측, 인기좋은 단독주택지, 주변에 예쁜 주택 지어져 있음</t>
        </is>
      </c>
      <c r="I123" s="5">
        <f>HYPERLINK("https://fin.land.naver.com/articles/2647095527", "매물Link")</f>
        <v/>
      </c>
      <c r="J123" s="5">
        <f>HYPERLINK("https://map.naver.com/p/search/고운동 2025", "지도Link")</f>
        <v/>
      </c>
      <c r="K123" s="5">
        <f>HYPERLINK("http://www.eum.go.kr/web/ar/lu/luLandDet.jsp?pnu=3611011200120250000&amp;isNoScr=script&amp;mode=search", "토지이음")</f>
        <v/>
      </c>
      <c r="L123" s="3" t="inlineStr">
        <is>
          <t>명품시티</t>
        </is>
      </c>
      <c r="M123" s="3" t="n">
        <v>1</v>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3" t="inlineStr">
        <is>
          <t>도로 접한 남향 주택 건축하기좋은 면적과 모양</t>
        </is>
      </c>
      <c r="I124" s="5">
        <f>HYPERLINK("https://fin.land.naver.com/articles/2644527861", "매물Link")</f>
        <v/>
      </c>
      <c r="J124" s="5">
        <f>HYPERLINK("https://map.naver.com/p/search/고운동 2025", "지도Link")</f>
        <v/>
      </c>
      <c r="K124" s="5">
        <f>HYPERLINK("http://www.eum.go.kr/web/ar/lu/luLandDet.jsp?pnu=3611011200120250000&amp;isNoScr=script&amp;mode=search", "토지이음")</f>
        <v/>
      </c>
      <c r="L124" s="3" t="inlineStr">
        <is>
          <t>학하랜드</t>
        </is>
      </c>
      <c r="M124" s="3" t="n">
        <v>1</v>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3" t="inlineStr">
        <is>
          <t>급매 뒷편 넓은공원 남쪽 연결녹지 시유지접함</t>
        </is>
      </c>
      <c r="I125" s="5">
        <f>HYPERLINK("https://fin.land.naver.com/articles/2649812086", "매물Link")</f>
        <v/>
      </c>
      <c r="J125" s="5">
        <f>HYPERLINK("https://map.naver.com/p/search/고운동 2035", "지도Link")</f>
        <v/>
      </c>
      <c r="K125" s="5">
        <f>HYPERLINK("http://www.eum.go.kr/web/ar/lu/luLandDet.jsp?pnu=3611011200120350000&amp;isNoScr=script&amp;mode=search", "토지이음")</f>
        <v/>
      </c>
      <c r="L125" s="3" t="inlineStr">
        <is>
          <t>세종스타</t>
        </is>
      </c>
      <c r="M125" s="3" t="n">
        <v>1</v>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3" t="inlineStr">
        <is>
          <t>코너각지 정남향 고운동 선호도 높은 D8구역 단독주택지</t>
        </is>
      </c>
      <c r="I126" s="5">
        <f>HYPERLINK("https://fin.land.naver.com/articles/2645721125", "매물Link")</f>
        <v/>
      </c>
      <c r="J126" s="5">
        <f>HYPERLINK("https://map.naver.com/p/search/고운동 2043", "지도Link")</f>
        <v/>
      </c>
      <c r="K126" s="5">
        <f>HYPERLINK("http://www.eum.go.kr/web/ar/lu/luLandDet.jsp?pnu=3611011200120430000&amp;isNoScr=script&amp;mode=search", "토지이음")</f>
        <v/>
      </c>
      <c r="L126" s="3" t="inlineStr">
        <is>
          <t>세종스타</t>
        </is>
      </c>
      <c r="M126" s="3" t="n">
        <v>1</v>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3" t="inlineStr">
        <is>
          <t>코너각지 막힘 없는 정남향의 택지</t>
        </is>
      </c>
      <c r="I127" s="5">
        <f>HYPERLINK("https://fin.land.naver.com/articles/2646440107", "매물Link")</f>
        <v/>
      </c>
      <c r="J127" s="5">
        <f>HYPERLINK("https://map.naver.com/p/search/고운동 2052", "지도Link")</f>
        <v/>
      </c>
      <c r="K127" s="5">
        <f>HYPERLINK("http://www.eum.go.kr/web/ar/lu/luLandDet.jsp?pnu=3611011200120520000&amp;isNoScr=script&amp;mode=search", "토지이음")</f>
        <v/>
      </c>
      <c r="L127" s="3" t="inlineStr">
        <is>
          <t>노은탑</t>
        </is>
      </c>
      <c r="M127" s="3" t="n">
        <v>1</v>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3" t="inlineStr">
        <is>
          <t>세종시 일반상업지 토지, 메디컬 및 상가빌딩 건축부지 추천</t>
        </is>
      </c>
      <c r="I128" s="5">
        <f>HYPERLINK("https://fin.land.naver.com/articles/2646662918", "매물Link")</f>
        <v/>
      </c>
      <c r="J128" s="5">
        <f>HYPERLINK("https://map.naver.com/p/search/고운동 2098", "지도Link")</f>
        <v/>
      </c>
      <c r="K128" s="5">
        <f>HYPERLINK("http://www.eum.go.kr/web/ar/lu/luLandDet.jsp?pnu=3611011200120980000&amp;isNoScr=script&amp;mode=search", "토지이음")</f>
        <v/>
      </c>
      <c r="L128" s="3" t="inlineStr">
        <is>
          <t>혜성</t>
        </is>
      </c>
      <c r="M128" s="3" t="n">
        <v>1</v>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3" t="inlineStr">
        <is>
          <t>세종시 고운동 상업지역 토지 매매</t>
        </is>
      </c>
      <c r="I129" s="5">
        <f>HYPERLINK("https://fin.land.naver.com/articles/2649606368", "매물Link")</f>
        <v/>
      </c>
      <c r="J129" s="5">
        <f>HYPERLINK("https://map.naver.com/p/search/고운동 2098", "지도Link")</f>
        <v/>
      </c>
      <c r="K129" s="5">
        <f>HYPERLINK("http://www.eum.go.kr/web/ar/lu/luLandDet.jsp?pnu=3611011200120980000&amp;isNoScr=script&amp;mode=search", "토지이음")</f>
        <v/>
      </c>
      <c r="L129" s="3" t="inlineStr">
        <is>
          <t>행복가득한</t>
        </is>
      </c>
      <c r="M129" s="3" t="n">
        <v>1</v>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3" t="inlineStr">
        <is>
          <t>세종시립도서관 인근에 위치한 대로변에 접한 위치좋은 대지 입니다.</t>
        </is>
      </c>
      <c r="I130" s="5">
        <f>HYPERLINK("https://fin.land.naver.com/articles/2649493417", "매물Link")</f>
        <v/>
      </c>
      <c r="J130" s="5">
        <f>HYPERLINK("https://map.naver.com/p/search/고운동 2098", "지도Link")</f>
        <v/>
      </c>
      <c r="K130" s="5">
        <f>HYPERLINK("http://www.eum.go.kr/web/ar/lu/luLandDet.jsp?pnu=3611011200120980000&amp;isNoScr=script&amp;mode=search", "토지이음")</f>
        <v/>
      </c>
      <c r="L130" s="3" t="inlineStr">
        <is>
          <t>가람</t>
        </is>
      </c>
      <c r="M130" s="3" t="n">
        <v>4</v>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3" t="inlineStr">
        <is>
          <t>세종 행복도시 상업지역 내 귀한 토지</t>
        </is>
      </c>
      <c r="I131" s="5">
        <f>HYPERLINK("https://fin.land.naver.com/articles/2644435616", "매물Link")</f>
        <v/>
      </c>
      <c r="J131" s="5">
        <f>HYPERLINK("https://map.naver.com/p/search/고운동 2098", "지도Link")</f>
        <v/>
      </c>
      <c r="K131" s="5">
        <f>HYPERLINK("http://www.eum.go.kr/web/ar/lu/luLandDet.jsp?pnu=3611011200120980000&amp;isNoScr=script&amp;mode=search", "토지이음")</f>
        <v/>
      </c>
      <c r="L131" s="3" t="inlineStr">
        <is>
          <t>수자인시티</t>
        </is>
      </c>
      <c r="M131" s="3" t="n">
        <v>2</v>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3" t="inlineStr">
        <is>
          <t>귀한 상업지 토지, 병원,근생, 주요도로 접근성유리 ,향후 상권활성화</t>
        </is>
      </c>
      <c r="I132" s="5">
        <f>HYPERLINK("https://fin.land.naver.com/articles/2646054776", "매물Link")</f>
        <v/>
      </c>
      <c r="J132" s="5">
        <f>HYPERLINK("https://map.naver.com/p/search/고운동 2098", "지도Link")</f>
        <v/>
      </c>
      <c r="K132" s="5">
        <f>HYPERLINK("http://www.eum.go.kr/web/ar/lu/luLandDet.jsp?pnu=3611011200120980000&amp;isNoScr=script&amp;mode=search", "토지이음")</f>
        <v/>
      </c>
      <c r="L132" s="3" t="inlineStr">
        <is>
          <t>세종특별시</t>
        </is>
      </c>
      <c r="M132" s="3" t="n">
        <v>1</v>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3" t="inlineStr">
        <is>
          <t>파크힐즈 토지매매, 삼거리 앞</t>
        </is>
      </c>
      <c r="I133" s="5">
        <f>HYPERLINK("https://fin.land.naver.com/articles/2648833625", "매물Link")</f>
        <v/>
      </c>
      <c r="J133" s="5">
        <f>HYPERLINK("https://map.naver.com/p/search/고운동 2106-12", "지도Link")</f>
        <v/>
      </c>
      <c r="K133" s="5">
        <f>HYPERLINK("http://www.eum.go.kr/web/ar/lu/luLandDet.jsp?pnu=3611011200121060012&amp;isNoScr=script&amp;mode=search", "토지이음")</f>
        <v/>
      </c>
      <c r="L133" s="3" t="inlineStr">
        <is>
          <t>세종무지개</t>
        </is>
      </c>
      <c r="M133" s="3" t="n">
        <v>1</v>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3" t="inlineStr">
        <is>
          <t>총 117p, 파크힐즈, 조율가능, 입지좋은 곳</t>
        </is>
      </c>
      <c r="I134" s="5">
        <f>HYPERLINK("https://fin.land.naver.com/articles/2648414195", "매물Link")</f>
        <v/>
      </c>
      <c r="J134" s="5">
        <f>HYPERLINK("https://map.naver.com/p/search/고운동 2106-12", "지도Link")</f>
        <v/>
      </c>
      <c r="K134" s="5">
        <f>HYPERLINK("http://www.eum.go.kr/web/ar/lu/luLandDet.jsp?pnu=3611011200121060012&amp;isNoScr=script&amp;mode=search", "토지이음")</f>
        <v/>
      </c>
      <c r="L134" s="3" t="inlineStr">
        <is>
          <t>명진</t>
        </is>
      </c>
      <c r="M134" s="3" t="n">
        <v>1</v>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3" t="inlineStr">
        <is>
          <t>전용 120.9p, 파크힐즈 단독주택 토지 매매</t>
        </is>
      </c>
      <c r="I135" s="5">
        <f>HYPERLINK("https://fin.land.naver.com/articles/2644494734", "매물Link")</f>
        <v/>
      </c>
      <c r="J135" s="5">
        <f>HYPERLINK("https://map.naver.com/p/search/고운동 2106-19", "지도Link")</f>
        <v/>
      </c>
      <c r="K135" s="5">
        <f>HYPERLINK("http://www.eum.go.kr/web/ar/lu/luLandDet.jsp?pnu=3611011200121060019&amp;isNoScr=script&amp;mode=search", "토지이음")</f>
        <v/>
      </c>
      <c r="L135" s="3" t="inlineStr">
        <is>
          <t>세종무지개</t>
        </is>
      </c>
      <c r="M135" s="3" t="n">
        <v>1</v>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3" t="inlineStr">
        <is>
          <t>총 120.9p, 파크힐즈 단독주택 토지, 네모반듯</t>
        </is>
      </c>
      <c r="I136" s="5">
        <f>HYPERLINK("https://fin.land.naver.com/articles/2648152800", "매물Link")</f>
        <v/>
      </c>
      <c r="J136" s="5">
        <f>HYPERLINK("https://map.naver.com/p/search/고운동 2106-19", "지도Link")</f>
        <v/>
      </c>
      <c r="K136" s="5">
        <f>HYPERLINK("http://www.eum.go.kr/web/ar/lu/luLandDet.jsp?pnu=3611011200121060019&amp;isNoScr=script&amp;mode=search", "토지이음")</f>
        <v/>
      </c>
      <c r="L136" s="3" t="inlineStr">
        <is>
          <t>명진</t>
        </is>
      </c>
      <c r="M136" s="3" t="n">
        <v>1</v>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3" t="inlineStr">
        <is>
          <t>타운하우스내 대지, 고운뜰공원산책로 및 상권 인접</t>
        </is>
      </c>
      <c r="I137" s="5">
        <f>HYPERLINK("https://fin.land.naver.com/articles/2649399557", "매물Link")</f>
        <v/>
      </c>
      <c r="J137" s="5">
        <f>HYPERLINK("https://map.naver.com/p/search/고운동 2106-19", "지도Link")</f>
        <v/>
      </c>
      <c r="K137" s="5">
        <f>HYPERLINK("http://www.eum.go.kr/web/ar/lu/luLandDet.jsp?pnu=3611011200121060019&amp;isNoScr=script&amp;mode=search", "토지이음")</f>
        <v/>
      </c>
      <c r="L137" s="3" t="inlineStr">
        <is>
          <t>세종해비치</t>
        </is>
      </c>
      <c r="M137" s="3" t="n">
        <v>1</v>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3" t="inlineStr">
        <is>
          <t>조율가능 벙커주차장가능 파크힐즈내 위치최상</t>
        </is>
      </c>
      <c r="I138" s="5">
        <f>HYPERLINK("https://fin.land.naver.com/articles/2649812012", "매물Link")</f>
        <v/>
      </c>
      <c r="J138" s="5">
        <f>HYPERLINK("https://map.naver.com/p/search/고운동 2106-2", "지도Link")</f>
        <v/>
      </c>
      <c r="K138" s="5">
        <f>HYPERLINK("http://www.eum.go.kr/web/ar/lu/luLandDet.jsp?pnu=3611011200121060002&amp;isNoScr=script&amp;mode=search", "토지이음")</f>
        <v/>
      </c>
      <c r="L138" s="3" t="inlineStr">
        <is>
          <t>세종스타</t>
        </is>
      </c>
      <c r="M138" s="3" t="n">
        <v>1</v>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3" t="inlineStr">
        <is>
          <t>nan</t>
        </is>
      </c>
      <c r="I139" s="5">
        <f>HYPERLINK("https://fin.land.naver.com/articles/2647095292", "매물Link")</f>
        <v/>
      </c>
      <c r="J139" s="5">
        <f>HYPERLINK("https://map.naver.com/p/search/고운동 2106-24", "지도Link")</f>
        <v/>
      </c>
      <c r="K139" s="5">
        <f>HYPERLINK("http://www.eum.go.kr/web/ar/lu/luLandDet.jsp?pnu=3611011200121060024&amp;isNoScr=script&amp;mode=search", "토지이음")</f>
        <v/>
      </c>
      <c r="L139" s="3" t="inlineStr">
        <is>
          <t>명품시티</t>
        </is>
      </c>
      <c r="M139" s="3" t="n">
        <v>1</v>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3" t="inlineStr">
        <is>
          <t>급매 고급 타운하우스 파크힐즈 최저가</t>
        </is>
      </c>
      <c r="I140" s="5">
        <f>HYPERLINK("https://fin.land.naver.com/articles/2649812113", "매물Link")</f>
        <v/>
      </c>
      <c r="J140" s="5">
        <f>HYPERLINK("https://map.naver.com/p/search/고운동 2106-26", "지도Link")</f>
        <v/>
      </c>
      <c r="K140" s="5">
        <f>HYPERLINK("http://www.eum.go.kr/web/ar/lu/luLandDet.jsp?pnu=3611011200121060026&amp;isNoScr=script&amp;mode=search", "토지이음")</f>
        <v/>
      </c>
      <c r="L140" s="3" t="inlineStr">
        <is>
          <t>세종스타</t>
        </is>
      </c>
      <c r="M140" s="3" t="n">
        <v>1</v>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3" t="inlineStr">
        <is>
          <t>벙커형 주차장가능 최고로얄필지 사생활보호최고 뒷마당 넓은곳</t>
        </is>
      </c>
      <c r="I141" s="5">
        <f>HYPERLINK("https://fin.land.naver.com/articles/2645721389", "매물Link")</f>
        <v/>
      </c>
      <c r="J141" s="5">
        <f>HYPERLINK("https://map.naver.com/p/search/고운동 2106-8", "지도Link")</f>
        <v/>
      </c>
      <c r="K141" s="5">
        <f>HYPERLINK("http://www.eum.go.kr/web/ar/lu/luLandDet.jsp?pnu=3611011200121060008&amp;isNoScr=script&amp;mode=search", "토지이음")</f>
        <v/>
      </c>
      <c r="L141" s="3" t="inlineStr">
        <is>
          <t>세종스타</t>
        </is>
      </c>
      <c r="M141" s="3" t="n">
        <v>1</v>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3" t="inlineStr">
        <is>
          <t>총 117.2p, 고운동 고급 타운하우스 토지매매</t>
        </is>
      </c>
      <c r="I142" s="5">
        <f>HYPERLINK("https://fin.land.naver.com/articles/2649022626", "매물Link")</f>
        <v/>
      </c>
      <c r="J142" s="5">
        <f>HYPERLINK("https://map.naver.com/p/search/고운동 2106-8", "지도Link")</f>
        <v/>
      </c>
      <c r="K142" s="5">
        <f>HYPERLINK("http://www.eum.go.kr/web/ar/lu/luLandDet.jsp?pnu=3611011200121060008&amp;isNoScr=script&amp;mode=search", "토지이음")</f>
        <v/>
      </c>
      <c r="L142" s="3" t="inlineStr">
        <is>
          <t>명진</t>
        </is>
      </c>
      <c r="M142" s="3" t="n">
        <v>2</v>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3" t="inlineStr">
        <is>
          <t>리안비채 토지 매매, 벙커주차장가능, 입지 굿</t>
        </is>
      </c>
      <c r="I143" s="5">
        <f>HYPERLINK("https://fin.land.naver.com/articles/2648121524", "매물Link")</f>
        <v/>
      </c>
      <c r="J143" s="5">
        <f>HYPERLINK("https://map.naver.com/p/search/고운동 2108-11", "지도Link")</f>
        <v/>
      </c>
      <c r="K143" s="5">
        <f>HYPERLINK("http://www.eum.go.kr/web/ar/lu/luLandDet.jsp?pnu=3611011200121080011&amp;isNoScr=script&amp;mode=search", "토지이음")</f>
        <v/>
      </c>
      <c r="L143" s="3" t="inlineStr">
        <is>
          <t>세종무지개</t>
        </is>
      </c>
      <c r="M143" s="3" t="n">
        <v>1</v>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3" t="inlineStr">
        <is>
          <t>세종시 블록형 리안비채힐즈 단독택지</t>
        </is>
      </c>
      <c r="I144" s="5">
        <f>HYPERLINK("https://fin.land.naver.com/articles/2645276002", "매물Link")</f>
        <v/>
      </c>
      <c r="J144" s="5">
        <f>HYPERLINK("https://map.naver.com/p/search/고운동 2108-38", "지도Link")</f>
        <v/>
      </c>
      <c r="K144" s="5">
        <f>HYPERLINK("http://www.eum.go.kr/web/ar/lu/luLandDet.jsp?pnu=3611011200121080038&amp;isNoScr=script&amp;mode=search", "토지이음")</f>
        <v/>
      </c>
      <c r="L144" s="3" t="inlineStr">
        <is>
          <t>부엉이</t>
        </is>
      </c>
      <c r="M144" s="3" t="n">
        <v>1</v>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3" t="inlineStr">
        <is>
          <t>총 118.8p, 리안비체힐즈 단독주택 토지매매</t>
        </is>
      </c>
      <c r="I145" s="5">
        <f>HYPERLINK("https://fin.land.naver.com/articles/2649022250", "매물Link")</f>
        <v/>
      </c>
      <c r="J145" s="5">
        <f>HYPERLINK("https://map.naver.com/p/search/고운동 2108-38", "지도Link")</f>
        <v/>
      </c>
      <c r="K145" s="5">
        <f>HYPERLINK("http://www.eum.go.kr/web/ar/lu/luLandDet.jsp?pnu=3611011200121080038&amp;isNoScr=script&amp;mode=search", "토지이음")</f>
        <v/>
      </c>
      <c r="L145" s="3" t="inlineStr">
        <is>
          <t>명진</t>
        </is>
      </c>
      <c r="M145" s="3" t="n">
        <v>1</v>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3" t="inlineStr">
        <is>
          <t>생명나무,리안비체힐즈 타운하우스 부지</t>
        </is>
      </c>
      <c r="I146" s="5">
        <f>HYPERLINK("https://fin.land.naver.com/articles/2644319204", "매물Link")</f>
        <v/>
      </c>
      <c r="J146" s="5">
        <f>HYPERLINK("https://map.naver.com/p/search/고운동 2108-38", "지도Link")</f>
        <v/>
      </c>
      <c r="K146" s="5">
        <f>HYPERLINK("http://www.eum.go.kr/web/ar/lu/luLandDet.jsp?pnu=3611011200121080038&amp;isNoScr=script&amp;mode=search", "토지이음")</f>
        <v/>
      </c>
      <c r="L146" s="3" t="inlineStr">
        <is>
          <t>생명나무</t>
        </is>
      </c>
      <c r="M146" s="3" t="n">
        <v>1</v>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3" t="inlineStr">
        <is>
          <t>118.8p, 비안비채힐즈 블록형 타운하우스 단독주택 토지매매</t>
        </is>
      </c>
      <c r="I147" s="5">
        <f>HYPERLINK("https://fin.land.naver.com/articles/2644217186", "매물Link")</f>
        <v/>
      </c>
      <c r="J147" s="5">
        <f>HYPERLINK("https://map.naver.com/p/search/고운동 2108-38", "지도Link")</f>
        <v/>
      </c>
      <c r="K147" s="5">
        <f>HYPERLINK("http://www.eum.go.kr/web/ar/lu/luLandDet.jsp?pnu=3611011200121080038&amp;isNoScr=script&amp;mode=search", "토지이음")</f>
        <v/>
      </c>
      <c r="L147" s="3" t="inlineStr">
        <is>
          <t>세종무지개</t>
        </is>
      </c>
      <c r="M147" s="3" t="n">
        <v>1</v>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3" t="inlineStr">
        <is>
          <t>115.2p, 고운동 리안비체힐즈 단독주택 토지매매</t>
        </is>
      </c>
      <c r="I148" s="5">
        <f>HYPERLINK("https://fin.land.naver.com/articles/2649022173", "매물Link")</f>
        <v/>
      </c>
      <c r="J148" s="5">
        <f>HYPERLINK("https://map.naver.com/p/search/고운동 2108-45", "지도Link")</f>
        <v/>
      </c>
      <c r="K148" s="5">
        <f>HYPERLINK("http://www.eum.go.kr/web/ar/lu/luLandDet.jsp?pnu=3611011200121080045&amp;isNoScr=script&amp;mode=search", "토지이음")</f>
        <v/>
      </c>
      <c r="L148" s="3" t="inlineStr">
        <is>
          <t>명진</t>
        </is>
      </c>
      <c r="M148" s="3" t="n">
        <v>1</v>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3" t="inlineStr">
        <is>
          <t>115.2p, 리안비채힐즈 토지, 조율가능, 앞쪽 위치</t>
        </is>
      </c>
      <c r="I149" s="5">
        <f>HYPERLINK("https://fin.land.naver.com/articles/2644315940", "매물Link")</f>
        <v/>
      </c>
      <c r="J149" s="5">
        <f>HYPERLINK("https://map.naver.com/p/search/고운동 2108-45", "지도Link")</f>
        <v/>
      </c>
      <c r="K149" s="5">
        <f>HYPERLINK("http://www.eum.go.kr/web/ar/lu/luLandDet.jsp?pnu=3611011200121080045&amp;isNoScr=script&amp;mode=search", "토지이음")</f>
        <v/>
      </c>
      <c r="L149" s="3" t="inlineStr">
        <is>
          <t>세종무지개</t>
        </is>
      </c>
      <c r="M149" s="3" t="n">
        <v>1</v>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3" t="inlineStr">
        <is>
          <t>119.7p, 리안비채힐즈 토지매매</t>
        </is>
      </c>
      <c r="I150" s="5">
        <f>HYPERLINK("https://fin.land.naver.com/articles/2644480217", "매물Link")</f>
        <v/>
      </c>
      <c r="J150" s="5">
        <f>HYPERLINK("https://map.naver.com/p/search/고운동 2108-51", "지도Link")</f>
        <v/>
      </c>
      <c r="K150" s="5">
        <f>HYPERLINK("http://www.eum.go.kr/web/ar/lu/luLandDet.jsp?pnu=3611011200121080051&amp;isNoScr=script&amp;mode=search", "토지이음")</f>
        <v/>
      </c>
      <c r="L150" s="3" t="inlineStr">
        <is>
          <t>세종무지개</t>
        </is>
      </c>
      <c r="M150" s="3" t="n">
        <v>1</v>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3" t="inlineStr">
        <is>
          <t>108.3p, 노블테라스 토지매매, 분양가 이하</t>
        </is>
      </c>
      <c r="I151" s="5">
        <f>HYPERLINK("https://fin.land.naver.com/articles/2644480765", "매물Link")</f>
        <v/>
      </c>
      <c r="J151" s="5">
        <f>HYPERLINK("https://map.naver.com/p/search/고운동 2110-6", "지도Link")</f>
        <v/>
      </c>
      <c r="K151" s="5">
        <f>HYPERLINK("http://www.eum.go.kr/web/ar/lu/luLandDet.jsp?pnu=3611011200121100006&amp;isNoScr=script&amp;mode=search", "토지이음")</f>
        <v/>
      </c>
      <c r="L151" s="3" t="inlineStr">
        <is>
          <t>세종무지개</t>
        </is>
      </c>
      <c r="M151" s="3" t="n">
        <v>1</v>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3" t="inlineStr">
        <is>
          <t>총 108.3p, 고운동 노블테라스 타운하우스 토지매매</t>
        </is>
      </c>
      <c r="I152" s="5">
        <f>HYPERLINK("https://fin.land.naver.com/articles/2649020706", "매물Link")</f>
        <v/>
      </c>
      <c r="J152" s="5">
        <f>HYPERLINK("https://map.naver.com/p/search/고운동 2110-6", "지도Link")</f>
        <v/>
      </c>
      <c r="K152" s="5">
        <f>HYPERLINK("http://www.eum.go.kr/web/ar/lu/luLandDet.jsp?pnu=3611011200121100006&amp;isNoScr=script&amp;mode=search", "토지이음")</f>
        <v/>
      </c>
      <c r="L152" s="3" t="inlineStr">
        <is>
          <t>명진</t>
        </is>
      </c>
      <c r="M152" s="3" t="n">
        <v>1</v>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3" t="inlineStr">
        <is>
          <t>고운동 노블테라스 토지매매</t>
        </is>
      </c>
      <c r="I153" s="5">
        <f>HYPERLINK("https://fin.land.naver.com/articles/2644106271", "매물Link")</f>
        <v/>
      </c>
      <c r="J153" s="5">
        <f>HYPERLINK("https://map.naver.com/p/search/고운동 2110-6", "지도Link")</f>
        <v/>
      </c>
      <c r="K153" s="5">
        <f>HYPERLINK("http://www.eum.go.kr/web/ar/lu/luLandDet.jsp?pnu=3611011200121100006&amp;isNoScr=script&amp;mode=search", "토지이음")</f>
        <v/>
      </c>
      <c r="L153" s="3" t="inlineStr">
        <is>
          <t>고운동리치세종</t>
        </is>
      </c>
      <c r="M153" s="3" t="n">
        <v>2</v>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3" t="inlineStr">
        <is>
          <t>108.3p, 노블테라스, 단독주택 토지매매</t>
        </is>
      </c>
      <c r="I154" s="5">
        <f>HYPERLINK("https://fin.land.naver.com/articles/2644480955", "매물Link")</f>
        <v/>
      </c>
      <c r="J154" s="5">
        <f>HYPERLINK("https://map.naver.com/p/search/고운동 2110-7", "지도Link")</f>
        <v/>
      </c>
      <c r="K154" s="5">
        <f>HYPERLINK("http://www.eum.go.kr/web/ar/lu/luLandDet.jsp?pnu=3611011200121100007&amp;isNoScr=script&amp;mode=search", "토지이음")</f>
        <v/>
      </c>
      <c r="L154" s="3" t="inlineStr">
        <is>
          <t>세종무지개</t>
        </is>
      </c>
      <c r="M154" s="3" t="n">
        <v>1</v>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3" t="inlineStr">
        <is>
          <t>전용108.3p, 노블테라스, 건축기한없음</t>
        </is>
      </c>
      <c r="I155" s="5">
        <f>HYPERLINK("https://fin.land.naver.com/articles/2648345702", "매물Link")</f>
        <v/>
      </c>
      <c r="J155" s="5">
        <f>HYPERLINK("https://map.naver.com/p/search/고운동 2110-7", "지도Link")</f>
        <v/>
      </c>
      <c r="K155" s="5">
        <f>HYPERLINK("http://www.eum.go.kr/web/ar/lu/luLandDet.jsp?pnu=3611011200121100007&amp;isNoScr=script&amp;mode=search", "토지이음")</f>
        <v/>
      </c>
      <c r="L155" s="3" t="inlineStr">
        <is>
          <t>명진</t>
        </is>
      </c>
      <c r="M155" s="3" t="n">
        <v>1</v>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3" t="inlineStr">
        <is>
          <t>급매,고운동 최상의 고급택지 타운하우스,저렴한 단독주택지</t>
        </is>
      </c>
      <c r="I156" s="5">
        <f>HYPERLINK("https://fin.land.naver.com/articles/2646658274", "매물Link")</f>
        <v/>
      </c>
      <c r="J156" s="5">
        <f>HYPERLINK("https://map.naver.com/p/search/고운동 2110-8", "지도Link")</f>
        <v/>
      </c>
      <c r="K156" s="5">
        <f>HYPERLINK("http://www.eum.go.kr/web/ar/lu/luLandDet.jsp?pnu=3611011200121100008&amp;isNoScr=script&amp;mode=search", "토지이음")</f>
        <v/>
      </c>
      <c r="L156" s="3" t="inlineStr">
        <is>
          <t>고운맘</t>
        </is>
      </c>
      <c r="M156" s="3" t="n">
        <v>1</v>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3" t="inlineStr">
        <is>
          <t>108.3P, 노블테라스, 도로변으로 앞쪽에 위치함</t>
        </is>
      </c>
      <c r="I157" s="5">
        <f>HYPERLINK("https://fin.land.naver.com/articles/2647420346", "매물Link")</f>
        <v/>
      </c>
      <c r="J157" s="5">
        <f>HYPERLINK("https://map.naver.com/p/search/고운동 2110-9", "지도Link")</f>
        <v/>
      </c>
      <c r="K157" s="5">
        <f>HYPERLINK("http://www.eum.go.kr/web/ar/lu/luLandDet.jsp?pnu=3611011200121100009&amp;isNoScr=script&amp;mode=search", "토지이음")</f>
        <v/>
      </c>
      <c r="L157" s="3" t="inlineStr">
        <is>
          <t>명진</t>
        </is>
      </c>
      <c r="M157" s="3" t="n">
        <v>1</v>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3" t="inlineStr">
        <is>
          <t>급매,고운동 최상의 고급택지 타운하우스,저렴한 단독주택지</t>
        </is>
      </c>
      <c r="I158" s="5">
        <f>HYPERLINK("https://fin.land.naver.com/articles/2646658111", "매물Link")</f>
        <v/>
      </c>
      <c r="J158" s="5">
        <f>HYPERLINK("https://map.naver.com/p/search/고운동 2110-9", "지도Link")</f>
        <v/>
      </c>
      <c r="K158" s="5">
        <f>HYPERLINK("http://www.eum.go.kr/web/ar/lu/luLandDet.jsp?pnu=3611011200121100009&amp;isNoScr=script&amp;mode=search", "토지이음")</f>
        <v/>
      </c>
      <c r="L158" s="3" t="inlineStr">
        <is>
          <t>고운맘</t>
        </is>
      </c>
      <c r="M158" s="3" t="n">
        <v>1</v>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3" t="inlineStr">
        <is>
          <t>90.9p, 지대 높은 한옥 마을 토지매매</t>
        </is>
      </c>
      <c r="I159" s="5">
        <f>HYPERLINK("https://fin.land.naver.com/articles/2644481187", "매물Link")</f>
        <v/>
      </c>
      <c r="J159" s="5">
        <f>HYPERLINK("https://map.naver.com/p/search/고운동 2128", "지도Link")</f>
        <v/>
      </c>
      <c r="K159" s="5">
        <f>HYPERLINK("http://www.eum.go.kr/web/ar/lu/luLandDet.jsp?pnu=3611011200121280000&amp;isNoScr=script&amp;mode=search", "토지이음")</f>
        <v/>
      </c>
      <c r="L159" s="3" t="inlineStr">
        <is>
          <t>세종무지개</t>
        </is>
      </c>
      <c r="M159" s="3" t="n">
        <v>1</v>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3" t="inlineStr">
        <is>
          <t>코너각지 지대높음 정자조망</t>
        </is>
      </c>
      <c r="I160" s="5">
        <f>HYPERLINK("https://fin.land.naver.com/articles/2646479186", "매물Link")</f>
        <v/>
      </c>
      <c r="J160" s="5">
        <f>HYPERLINK("https://map.naver.com/p/search/고운동 2128", "지도Link")</f>
        <v/>
      </c>
      <c r="K160" s="5">
        <f>HYPERLINK("http://www.eum.go.kr/web/ar/lu/luLandDet.jsp?pnu=3611011200121280000&amp;isNoScr=script&amp;mode=search", "토지이음")</f>
        <v/>
      </c>
      <c r="L160" s="3" t="inlineStr">
        <is>
          <t>세종스타</t>
        </is>
      </c>
      <c r="M160" s="3" t="n">
        <v>1</v>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3" t="inlineStr">
        <is>
          <t>급매, 조율가능, 총 87.9p, 한옥마을 위치좋은 토지</t>
        </is>
      </c>
      <c r="I161" s="5">
        <f>HYPERLINK("https://fin.land.naver.com/articles/2648996399", "매물Link")</f>
        <v/>
      </c>
      <c r="J161" s="5">
        <f>HYPERLINK("https://map.naver.com/p/search/고운동 2137", "지도Link")</f>
        <v/>
      </c>
      <c r="K161" s="5">
        <f>HYPERLINK("http://www.eum.go.kr/web/ar/lu/luLandDet.jsp?pnu=3611011200121370000&amp;isNoScr=script&amp;mode=search", "토지이음")</f>
        <v/>
      </c>
      <c r="L161" s="3" t="inlineStr">
        <is>
          <t>명진</t>
        </is>
      </c>
      <c r="M161" s="3" t="n">
        <v>1</v>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3" t="inlineStr">
        <is>
          <t>급매 산접한 최상위치 건축하기 좋은 토지모양</t>
        </is>
      </c>
      <c r="I162" s="5">
        <f>HYPERLINK("https://fin.land.naver.com/articles/2649424986", "매물Link")</f>
        <v/>
      </c>
      <c r="J162" s="5">
        <f>HYPERLINK("https://map.naver.com/p/search/고운동 2137", "지도Link")</f>
        <v/>
      </c>
      <c r="K162" s="5">
        <f>HYPERLINK("http://www.eum.go.kr/web/ar/lu/luLandDet.jsp?pnu=3611011200121370000&amp;isNoScr=script&amp;mode=search", "토지이음")</f>
        <v/>
      </c>
      <c r="L162" s="3" t="inlineStr">
        <is>
          <t>세종스타</t>
        </is>
      </c>
      <c r="M162" s="3" t="n">
        <v>1</v>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3" t="inlineStr">
        <is>
          <t>한옥마을토지 급매, 조율도 가능합니다</t>
        </is>
      </c>
      <c r="I163" s="5">
        <f>HYPERLINK("https://fin.land.naver.com/articles/2647424210", "매물Link")</f>
        <v/>
      </c>
      <c r="J163" s="5">
        <f>HYPERLINK("https://map.naver.com/p/search/고운동 2137", "지도Link")</f>
        <v/>
      </c>
      <c r="K163" s="5">
        <f>HYPERLINK("http://www.eum.go.kr/web/ar/lu/luLandDet.jsp?pnu=3611011200121370000&amp;isNoScr=script&amp;mode=search", "토지이음")</f>
        <v/>
      </c>
      <c r="L163" s="3" t="inlineStr">
        <is>
          <t>세종무지개</t>
        </is>
      </c>
      <c r="M163" s="3" t="n">
        <v>1</v>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3" t="inlineStr">
        <is>
          <t>한옥마을 근생용지 투자추천 010 3819 3805</t>
        </is>
      </c>
      <c r="I164" s="5">
        <f>HYPERLINK("https://fin.land.naver.com/articles/2649329270", "매물Link")</f>
        <v/>
      </c>
      <c r="J164" s="5">
        <f>HYPERLINK("https://map.naver.com/p/search/고운동 2161", "지도Link")</f>
        <v/>
      </c>
      <c r="K164" s="5">
        <f>HYPERLINK("http://www.eum.go.kr/web/ar/lu/luLandDet.jsp?pnu=3611011200121610000&amp;isNoScr=script&amp;mode=search", "토지이음")</f>
        <v/>
      </c>
      <c r="L164" s="3" t="inlineStr">
        <is>
          <t>국제</t>
        </is>
      </c>
      <c r="M164" s="3" t="n">
        <v>3</v>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3" t="inlineStr">
        <is>
          <t>96.1p, 한옥마을 근생토지, 위치 좋고 노출 좋은 토지</t>
        </is>
      </c>
      <c r="I165" s="5">
        <f>HYPERLINK("https://fin.land.naver.com/articles/2649596569", "매물Link")</f>
        <v/>
      </c>
      <c r="J165" s="5">
        <f>HYPERLINK("https://map.naver.com/p/search/고운동 2162", "지도Link")</f>
        <v/>
      </c>
      <c r="K165" s="5">
        <f>HYPERLINK("http://www.eum.go.kr/web/ar/lu/luLandDet.jsp?pnu=3611011200121620000&amp;isNoScr=script&amp;mode=search", "토지이음")</f>
        <v/>
      </c>
      <c r="L165" s="3" t="inlineStr">
        <is>
          <t>세종무지개</t>
        </is>
      </c>
      <c r="M165" s="3" t="n">
        <v>1</v>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3" t="inlineStr">
        <is>
          <t>고운동한옥마을 근생용지 도로변인접 노출이 잘되는 입지</t>
        </is>
      </c>
      <c r="I166" s="5">
        <f>HYPERLINK("https://fin.land.naver.com/articles/2646125291", "매물Link")</f>
        <v/>
      </c>
      <c r="J166" s="5">
        <f>HYPERLINK("https://map.naver.com/p/search/고운동 2162", "지도Link")</f>
        <v/>
      </c>
      <c r="K166" s="5">
        <f>HYPERLINK("http://www.eum.go.kr/web/ar/lu/luLandDet.jsp?pnu=3611011200121620000&amp;isNoScr=script&amp;mode=search", "토지이음")</f>
        <v/>
      </c>
      <c r="L166" s="3" t="inlineStr">
        <is>
          <t>고운동리치세종</t>
        </is>
      </c>
      <c r="M166" s="3" t="n">
        <v>1</v>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3" t="inlineStr">
        <is>
          <t>한옥마을  귀한 근생 용지 .   커피숍 ,식당 등추천, 주변 아파트밀집</t>
        </is>
      </c>
      <c r="I167" s="5">
        <f>HYPERLINK("https://fin.land.naver.com/articles/2644461299", "매물Link")</f>
        <v/>
      </c>
      <c r="J167" s="5">
        <f>HYPERLINK("https://map.naver.com/p/search/고운동 2162", "지도Link")</f>
        <v/>
      </c>
      <c r="K167" s="5">
        <f>HYPERLINK("http://www.eum.go.kr/web/ar/lu/luLandDet.jsp?pnu=3611011200121620000&amp;isNoScr=script&amp;mode=search", "토지이음")</f>
        <v/>
      </c>
      <c r="L167" s="3" t="inlineStr">
        <is>
          <t>세종특별시</t>
        </is>
      </c>
      <c r="M167" s="3" t="n">
        <v>1</v>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3" t="inlineStr">
        <is>
          <t>한옥마을토지, 위치 좋은곳</t>
        </is>
      </c>
      <c r="I168" s="5">
        <f>HYPERLINK("https://fin.land.naver.com/articles/2648832539", "매물Link")</f>
        <v/>
      </c>
      <c r="J168" s="5">
        <f>HYPERLINK("https://map.naver.com/p/search/고운동 2202", "지도Link")</f>
        <v/>
      </c>
      <c r="K168" s="5">
        <f>HYPERLINK("http://www.eum.go.kr/web/ar/lu/luLandDet.jsp?pnu=3611011200122020000&amp;isNoScr=script&amp;mode=search", "토지이음")</f>
        <v/>
      </c>
      <c r="L168" s="3" t="inlineStr">
        <is>
          <t>세종무지개</t>
        </is>
      </c>
      <c r="M168" s="3" t="n">
        <v>1</v>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3" t="inlineStr">
        <is>
          <t>고운동 단독주택지</t>
        </is>
      </c>
      <c r="I169" s="5">
        <f>HYPERLINK("https://fin.land.naver.com/articles/2648385636", "매물Link")</f>
        <v/>
      </c>
      <c r="J169" s="5">
        <f>HYPERLINK("https://map.naver.com/p/search/고운동 893-10", "지도Link")</f>
        <v/>
      </c>
      <c r="K169" s="5">
        <f>HYPERLINK("http://www.eum.go.kr/web/ar/lu/luLandDet.jsp?pnu=3611011200108930010&amp;isNoScr=script&amp;mode=search", "토지이음")</f>
        <v/>
      </c>
      <c r="L169" s="3" t="inlineStr">
        <is>
          <t>현대파라곤</t>
        </is>
      </c>
      <c r="M169" s="3" t="n">
        <v>1</v>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3" t="inlineStr">
        <is>
          <t>네이플리브 단독주택지 토지</t>
        </is>
      </c>
      <c r="I170" s="5">
        <f>HYPERLINK("https://fin.land.naver.com/articles/2648832670", "매물Link")</f>
        <v/>
      </c>
      <c r="J170" s="5">
        <f>HYPERLINK("https://map.naver.com/p/search/고운동 893-10", "지도Link")</f>
        <v/>
      </c>
      <c r="K170" s="5">
        <f>HYPERLINK("http://www.eum.go.kr/web/ar/lu/luLandDet.jsp?pnu=3611011200108930010&amp;isNoScr=script&amp;mode=search", "토지이음")</f>
        <v/>
      </c>
      <c r="L170" s="3" t="inlineStr">
        <is>
          <t>세종무지개</t>
        </is>
      </c>
      <c r="M170" s="3" t="n">
        <v>1</v>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3" t="inlineStr">
        <is>
          <t>코지빌 단독주택지, 도로지분 별도</t>
        </is>
      </c>
      <c r="I171" s="5">
        <f>HYPERLINK("https://fin.land.naver.com/articles/2647421619", "매물Link")</f>
        <v/>
      </c>
      <c r="J171" s="5">
        <f>HYPERLINK("https://map.naver.com/p/search/고운동 893-10", "지도Link")</f>
        <v/>
      </c>
      <c r="K171" s="5">
        <f>HYPERLINK("http://www.eum.go.kr/web/ar/lu/luLandDet.jsp?pnu=3611011200108930010&amp;isNoScr=script&amp;mode=search", "토지이음")</f>
        <v/>
      </c>
      <c r="L171" s="3" t="inlineStr">
        <is>
          <t>명진</t>
        </is>
      </c>
      <c r="M171" s="3" t="n">
        <v>1</v>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3" t="inlineStr">
        <is>
          <t>급매, 조망 좋은 고운동에 있는 세종네이플리브 단독주택지 입니다</t>
        </is>
      </c>
      <c r="I172" s="5">
        <f>HYPERLINK("https://fin.land.naver.com/articles/2646085040", "매물Link")</f>
        <v/>
      </c>
      <c r="J172" s="5">
        <f>HYPERLINK("https://map.naver.com/p/search/고운동 893-20", "지도Link")</f>
        <v/>
      </c>
      <c r="K172" s="5">
        <f>HYPERLINK("http://www.eum.go.kr/web/ar/lu/luLandDet.jsp?pnu=3611011200108930020&amp;isNoScr=script&amp;mode=search", "토지이음")</f>
        <v/>
      </c>
      <c r="L172" s="3" t="inlineStr">
        <is>
          <t>스마일세종</t>
        </is>
      </c>
      <c r="M172" s="3" t="n">
        <v>1</v>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3" t="inlineStr">
        <is>
          <t>급매, 네이플리브 토지 76.3p, 도로지분 35.1p 총 111.4p</t>
        </is>
      </c>
      <c r="I173" s="5">
        <f>HYPERLINK("https://fin.land.naver.com/articles/2649017269", "매물Link")</f>
        <v/>
      </c>
      <c r="J173" s="5">
        <f>HYPERLINK("https://map.naver.com/p/search/고운동 893-27", "지도Link")</f>
        <v/>
      </c>
      <c r="K173" s="5">
        <f>HYPERLINK("http://www.eum.go.kr/web/ar/lu/luLandDet.jsp?pnu=3611011200108930027&amp;isNoScr=script&amp;mode=search", "토지이음")</f>
        <v/>
      </c>
      <c r="L173" s="3" t="inlineStr">
        <is>
          <t>명진</t>
        </is>
      </c>
      <c r="M173" s="3" t="n">
        <v>1</v>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3" t="inlineStr">
        <is>
          <t>네이플리브 토지매매, 76.3p 도로지분 35p 별도</t>
        </is>
      </c>
      <c r="I174" s="5">
        <f>HYPERLINK("https://fin.land.naver.com/articles/2646689656", "매물Link")</f>
        <v/>
      </c>
      <c r="J174" s="5">
        <f>HYPERLINK("https://map.naver.com/p/search/고운동 893-27", "지도Link")</f>
        <v/>
      </c>
      <c r="K174" s="5">
        <f>HYPERLINK("http://www.eum.go.kr/web/ar/lu/luLandDet.jsp?pnu=3611011200108930027&amp;isNoScr=script&amp;mode=search", "토지이음")</f>
        <v/>
      </c>
      <c r="L174" s="3" t="inlineStr">
        <is>
          <t>세종무지개</t>
        </is>
      </c>
      <c r="M174" s="3" t="n">
        <v>1</v>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3" t="inlineStr">
        <is>
          <t>타운하우스부지 a타입 건축가능 합니다</t>
        </is>
      </c>
      <c r="I175" s="5">
        <f>HYPERLINK("https://fin.land.naver.com/articles/2646061697", "매물Link")</f>
        <v/>
      </c>
      <c r="J175" s="5">
        <f>HYPERLINK("https://map.naver.com/p/search/고운동 893-7", "지도Link")</f>
        <v/>
      </c>
      <c r="K175" s="5">
        <f>HYPERLINK("http://www.eum.go.kr/web/ar/lu/luLandDet.jsp?pnu=3611011200108930007&amp;isNoScr=script&amp;mode=search", "토지이음")</f>
        <v/>
      </c>
      <c r="L175" s="3" t="inlineStr">
        <is>
          <t>은성</t>
        </is>
      </c>
      <c r="M175" s="3" t="n">
        <v>1</v>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3" t="inlineStr">
        <is>
          <t>r급매 타운하우스부지 A타입 건축가능</t>
        </is>
      </c>
      <c r="I176" s="5">
        <f>HYPERLINK("https://fin.land.naver.com/articles/2648877685", "매물Link")</f>
        <v/>
      </c>
      <c r="J176" s="5">
        <f>HYPERLINK("https://map.naver.com/p/search/고운동 894-1", "지도Link")</f>
        <v/>
      </c>
      <c r="K176" s="5">
        <f>HYPERLINK("http://www.eum.go.kr/web/ar/lu/luLandDet.jsp?pnu=3611011200108940001&amp;isNoScr=script&amp;mode=search", "토지이음")</f>
        <v/>
      </c>
      <c r="L176" s="3" t="inlineStr">
        <is>
          <t>써니</t>
        </is>
      </c>
      <c r="M176" s="3" t="n">
        <v>2</v>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3" t="inlineStr">
        <is>
          <t>고운동 사진O 고운동 코지빌 타운하우스 내 A타입 건축가능토지 매매</t>
        </is>
      </c>
      <c r="I177" s="5">
        <f>HYPERLINK("https://fin.land.naver.com/articles/2649499148", "매물Link")</f>
        <v/>
      </c>
      <c r="J177" s="5">
        <f>HYPERLINK("https://map.naver.com/p/search/고운동 894-1", "지도Link")</f>
        <v/>
      </c>
      <c r="K177" s="5">
        <f>HYPERLINK("http://www.eum.go.kr/web/ar/lu/luLandDet.jsp?pnu=3611011200108940001&amp;isNoScr=script&amp;mode=search", "토지이음")</f>
        <v/>
      </c>
      <c r="L177" s="3" t="inlineStr">
        <is>
          <t>리슈빌대주</t>
        </is>
      </c>
      <c r="M177" s="3" t="n">
        <v>1</v>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3" t="inlineStr">
        <is>
          <t>급매 남서향 타운하우스  A타입 단독주택지</t>
        </is>
      </c>
      <c r="I178" s="5">
        <f>HYPERLINK("https://fin.land.naver.com/articles/2647319640", "매물Link")</f>
        <v/>
      </c>
      <c r="J178" s="5">
        <f>HYPERLINK("https://map.naver.com/p/search/고운동 894-1", "지도Link")</f>
        <v/>
      </c>
      <c r="K178" s="5">
        <f>HYPERLINK("http://www.eum.go.kr/web/ar/lu/luLandDet.jsp?pnu=3611011200108940001&amp;isNoScr=script&amp;mode=search", "토지이음")</f>
        <v/>
      </c>
      <c r="L178" s="3" t="inlineStr">
        <is>
          <t>SD</t>
        </is>
      </c>
      <c r="M178" s="3" t="n">
        <v>1</v>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3" t="inlineStr">
        <is>
          <t>고운동 단독주택지 매매 합니다</t>
        </is>
      </c>
      <c r="I179" s="5">
        <f>HYPERLINK("https://fin.land.naver.com/articles/2647535398", "매물Link")</f>
        <v/>
      </c>
      <c r="J179" s="5">
        <f>HYPERLINK("https://map.naver.com/p/search/고운동 894-17", "지도Link")</f>
        <v/>
      </c>
      <c r="K179" s="5">
        <f>HYPERLINK("http://www.eum.go.kr/web/ar/lu/luLandDet.jsp?pnu=3611011200108940017&amp;isNoScr=script&amp;mode=search", "토지이음")</f>
        <v/>
      </c>
      <c r="L179" s="3" t="inlineStr">
        <is>
          <t>태양투</t>
        </is>
      </c>
      <c r="M179" s="3" t="n">
        <v>1</v>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3" t="inlineStr">
        <is>
          <t>고운동 코지빌 토지매매</t>
        </is>
      </c>
      <c r="I180" s="5">
        <f>HYPERLINK("https://fin.land.naver.com/articles/2649595000", "매물Link")</f>
        <v/>
      </c>
      <c r="J180" s="5">
        <f>HYPERLINK("https://map.naver.com/p/search/고운동 894-21", "지도Link")</f>
        <v/>
      </c>
      <c r="K180" s="5">
        <f>HYPERLINK("http://www.eum.go.kr/web/ar/lu/luLandDet.jsp?pnu=3611011200108940021&amp;isNoScr=script&amp;mode=search", "토지이음")</f>
        <v/>
      </c>
      <c r="L180" s="3" t="inlineStr">
        <is>
          <t>황금도장</t>
        </is>
      </c>
      <c r="M180" s="3" t="n">
        <v>1</v>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3" t="inlineStr">
        <is>
          <t>고운동타운하우스토지매매 가격조정가능</t>
        </is>
      </c>
      <c r="I181" s="5">
        <f>HYPERLINK("https://fin.land.naver.com/articles/2645356321", "매물Link")</f>
        <v/>
      </c>
      <c r="J181" s="5">
        <f>HYPERLINK("https://map.naver.com/p/search/고운동 894-25", "지도Link")</f>
        <v/>
      </c>
      <c r="K181" s="5">
        <f>HYPERLINK("http://www.eum.go.kr/web/ar/lu/luLandDet.jsp?pnu=3611011200108940025&amp;isNoScr=script&amp;mode=search", "토지이음")</f>
        <v/>
      </c>
      <c r="L181" s="3" t="inlineStr">
        <is>
          <t>고운동리치세종</t>
        </is>
      </c>
      <c r="M181" s="3" t="n">
        <v>1</v>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3" t="inlineStr">
        <is>
          <t>코지빌 토지매매, 74.18p, 도로지분 별도, 조율가능</t>
        </is>
      </c>
      <c r="I182" s="5">
        <f>HYPERLINK("https://fin.land.naver.com/articles/2646696503", "매물Link")</f>
        <v/>
      </c>
      <c r="J182" s="5">
        <f>HYPERLINK("https://map.naver.com/p/search/고운동 894-26", "지도Link")</f>
        <v/>
      </c>
      <c r="K182" s="5">
        <f>HYPERLINK("http://www.eum.go.kr/web/ar/lu/luLandDet.jsp?pnu=3611011200108940026&amp;isNoScr=script&amp;mode=search", "토지이음")</f>
        <v/>
      </c>
      <c r="L182" s="3" t="inlineStr">
        <is>
          <t>세종무지개</t>
        </is>
      </c>
      <c r="M182" s="3" t="n">
        <v>1</v>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3" t="inlineStr">
        <is>
          <t>급매, 코지빌 단독주택지 토지매매</t>
        </is>
      </c>
      <c r="I183" s="5">
        <f>HYPERLINK("https://fin.land.naver.com/articles/2645493715", "매물Link")</f>
        <v/>
      </c>
      <c r="J183" s="5">
        <f>HYPERLINK("https://map.naver.com/p/search/고운동 894-35", "지도Link")</f>
        <v/>
      </c>
      <c r="K183" s="5">
        <f>HYPERLINK("http://www.eum.go.kr/web/ar/lu/luLandDet.jsp?pnu=3611011200108940035&amp;isNoScr=script&amp;mode=search", "토지이음")</f>
        <v/>
      </c>
      <c r="L183" s="3" t="inlineStr">
        <is>
          <t>명진</t>
        </is>
      </c>
      <c r="M183" s="3" t="n">
        <v>1</v>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3" t="inlineStr">
        <is>
          <t>코지빌 토지매매, 공원 옆, 앞쪽 입지 좋은 토지</t>
        </is>
      </c>
      <c r="I184" s="5">
        <f>HYPERLINK("https://fin.land.naver.com/articles/2645385552", "매물Link")</f>
        <v/>
      </c>
      <c r="J184" s="5">
        <f>HYPERLINK("https://map.naver.com/p/search/고운동 894-35", "지도Link")</f>
        <v/>
      </c>
      <c r="K184" s="5">
        <f>HYPERLINK("http://www.eum.go.kr/web/ar/lu/luLandDet.jsp?pnu=3611011200108940035&amp;isNoScr=script&amp;mode=search", "토지이음")</f>
        <v/>
      </c>
      <c r="L184" s="3" t="inlineStr">
        <is>
          <t>세종무지개</t>
        </is>
      </c>
      <c r="M184" s="3" t="n">
        <v>1</v>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3" t="inlineStr">
        <is>
          <t>nan</t>
        </is>
      </c>
      <c r="I185" s="5">
        <f>HYPERLINK("https://fin.land.naver.com/articles/2644701452", "매물Link")</f>
        <v/>
      </c>
      <c r="J185" s="5">
        <f>HYPERLINK("https://map.naver.com/p/search/고운동 894-35", "지도Link")</f>
        <v/>
      </c>
      <c r="K185" s="5">
        <f>HYPERLINK("http://www.eum.go.kr/web/ar/lu/luLandDet.jsp?pnu=3611011200108940035&amp;isNoScr=script&amp;mode=search", "토지이음")</f>
        <v/>
      </c>
      <c r="L185" s="3" t="inlineStr">
        <is>
          <t>고운동리치세종</t>
        </is>
      </c>
      <c r="M185" s="3" t="n">
        <v>1</v>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3" t="inlineStr">
        <is>
          <t>고운동 코지빌 입구쪽 코너 타운하우스 택지</t>
        </is>
      </c>
      <c r="I186" s="5">
        <f>HYPERLINK("https://fin.land.naver.com/articles/2644482020", "매물Link")</f>
        <v/>
      </c>
      <c r="J186" s="5">
        <f>HYPERLINK("https://map.naver.com/p/search/고운동 894-37", "지도Link")</f>
        <v/>
      </c>
      <c r="K186" s="5">
        <f>HYPERLINK("http://www.eum.go.kr/web/ar/lu/luLandDet.jsp?pnu=3611011200108940037&amp;isNoScr=script&amp;mode=search", "토지이음")</f>
        <v/>
      </c>
      <c r="L186" s="3" t="inlineStr">
        <is>
          <t>세종무지개</t>
        </is>
      </c>
      <c r="M186" s="3" t="n">
        <v>1</v>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3" t="inlineStr">
        <is>
          <t>고운동 세종코지빌 타운하우스  투자하기 좋은</t>
        </is>
      </c>
      <c r="I187" s="5">
        <f>HYPERLINK("https://fin.land.naver.com/articles/2649937236", "매물Link")</f>
        <v/>
      </c>
      <c r="J187" s="5">
        <f>HYPERLINK("https://map.naver.com/p/search/고운동 894-42", "지도Link")</f>
        <v/>
      </c>
      <c r="K187" s="5">
        <f>HYPERLINK("http://www.eum.go.kr/web/ar/lu/luLandDet.jsp?pnu=3611011200108940042&amp;isNoScr=script&amp;mode=search", "토지이음")</f>
        <v/>
      </c>
      <c r="L187" s="3" t="inlineStr">
        <is>
          <t>은성</t>
        </is>
      </c>
      <c r="M187" s="3" t="n">
        <v>1</v>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3" t="inlineStr">
        <is>
          <t>고운동타운하스토지매매 가격조정가능</t>
        </is>
      </c>
      <c r="I188" s="5">
        <f>HYPERLINK("https://fin.land.naver.com/articles/2650003835", "매물Link")</f>
        <v/>
      </c>
      <c r="J188" s="5">
        <f>HYPERLINK("https://map.naver.com/p/search/고운동 894-42", "지도Link")</f>
        <v/>
      </c>
      <c r="K188" s="5">
        <f>HYPERLINK("http://www.eum.go.kr/web/ar/lu/luLandDet.jsp?pnu=3611011200108940042&amp;isNoScr=script&amp;mode=search", "토지이음")</f>
        <v/>
      </c>
      <c r="L188" s="3" t="inlineStr">
        <is>
          <t>고운동리치세종</t>
        </is>
      </c>
      <c r="M188" s="3" t="n">
        <v>2</v>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3" t="inlineStr">
        <is>
          <t>완충녹지 접한 3면코너각지</t>
        </is>
      </c>
      <c r="I189" s="5">
        <f>HYPERLINK("https://fin.land.naver.com/articles/2645721248", "매물Link")</f>
        <v/>
      </c>
      <c r="J189" s="5">
        <f>HYPERLINK("https://map.naver.com/p/search/고운동 904", "지도Link")</f>
        <v/>
      </c>
      <c r="K189" s="5">
        <f>HYPERLINK("http://www.eum.go.kr/web/ar/lu/luLandDet.jsp?pnu=3611011200109040000&amp;isNoScr=script&amp;mode=search", "토지이음")</f>
        <v/>
      </c>
      <c r="L189" s="3" t="inlineStr">
        <is>
          <t>세종스타</t>
        </is>
      </c>
      <c r="M189" s="3" t="n">
        <v>1</v>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3" t="inlineStr">
        <is>
          <t>아파트 옆으로 생활권편리함.</t>
        </is>
      </c>
      <c r="I190" s="5">
        <f>HYPERLINK("https://fin.land.naver.com/articles/2645686359", "매물Link")</f>
        <v/>
      </c>
      <c r="J190" s="5">
        <f>HYPERLINK("https://map.naver.com/p/search/고운동 911", "지도Link")</f>
        <v/>
      </c>
      <c r="K190" s="5">
        <f>HYPERLINK("http://www.eum.go.kr/web/ar/lu/luLandDet.jsp?pnu=3611011200109110000&amp;isNoScr=script&amp;mode=search", "토지이음")</f>
        <v/>
      </c>
      <c r="L190" s="3" t="inlineStr">
        <is>
          <t>세종시토지</t>
        </is>
      </c>
      <c r="M190" s="3" t="n">
        <v>1</v>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3" t="inlineStr">
        <is>
          <t>급매 시유지 넓게접함 단지내상가 상권편리</t>
        </is>
      </c>
      <c r="I191" s="5">
        <f>HYPERLINK("https://fin.land.naver.com/articles/2648716448", "매물Link")</f>
        <v/>
      </c>
      <c r="J191" s="5">
        <f>HYPERLINK("https://map.naver.com/p/search/고운동 912", "지도Link")</f>
        <v/>
      </c>
      <c r="K191" s="5">
        <f>HYPERLINK("http://www.eum.go.kr/web/ar/lu/luLandDet.jsp?pnu=3611011200109120000&amp;isNoScr=script&amp;mode=search", "토지이음")</f>
        <v/>
      </c>
      <c r="L191" s="3" t="inlineStr">
        <is>
          <t>세종스타</t>
        </is>
      </c>
      <c r="M191" s="3" t="n">
        <v>1</v>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3" t="inlineStr">
        <is>
          <t>고운동아파트옆으로 생활하기 편리 학군상권가까움</t>
        </is>
      </c>
      <c r="I192" s="5">
        <f>HYPERLINK("https://fin.land.naver.com/articles/2645690159", "매물Link")</f>
        <v/>
      </c>
      <c r="J192" s="5">
        <f>HYPERLINK("https://map.naver.com/p/search/고운동 916", "지도Link")</f>
        <v/>
      </c>
      <c r="K192" s="5">
        <f>HYPERLINK("http://www.eum.go.kr/web/ar/lu/luLandDet.jsp?pnu=3611011200109160000&amp;isNoScr=script&amp;mode=search", "토지이음")</f>
        <v/>
      </c>
      <c r="L192" s="3" t="inlineStr">
        <is>
          <t>세종시토지</t>
        </is>
      </c>
      <c r="M192" s="3" t="n">
        <v>1</v>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3" t="inlineStr">
        <is>
          <t>고운동 인프라 활용편한 단독주택지, 입지 좋은 토지</t>
        </is>
      </c>
      <c r="I193" s="5">
        <f>HYPERLINK("https://fin.land.naver.com/articles/2647427194", "매물Link")</f>
        <v/>
      </c>
      <c r="J193" s="5">
        <f>HYPERLINK("https://map.naver.com/p/search/고운동 916", "지도Link")</f>
        <v/>
      </c>
      <c r="K193" s="5">
        <f>HYPERLINK("http://www.eum.go.kr/web/ar/lu/luLandDet.jsp?pnu=3611011200109160000&amp;isNoScr=script&amp;mode=search", "토지이음")</f>
        <v/>
      </c>
      <c r="L193" s="3" t="inlineStr">
        <is>
          <t>세종무지개</t>
        </is>
      </c>
      <c r="M193" s="3" t="n">
        <v>1</v>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3" t="inlineStr">
        <is>
          <t>아파트 단지 바로 옆, 생활 인프라 좋은 토지매매</t>
        </is>
      </c>
      <c r="I194" s="5">
        <f>HYPERLINK("https://fin.land.naver.com/articles/2647421682", "매물Link")</f>
        <v/>
      </c>
      <c r="J194" s="5">
        <f>HYPERLINK("https://map.naver.com/p/search/고운동 916", "지도Link")</f>
        <v/>
      </c>
      <c r="K194" s="5">
        <f>HYPERLINK("http://www.eum.go.kr/web/ar/lu/luLandDet.jsp?pnu=3611011200109160000&amp;isNoScr=script&amp;mode=search", "토지이음")</f>
        <v/>
      </c>
      <c r="L194" s="3" t="inlineStr">
        <is>
          <t>명진</t>
        </is>
      </c>
      <c r="M194" s="3" t="n">
        <v>1</v>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3" t="inlineStr">
        <is>
          <t>급매,넓은평수,복합커뮤니티센터,항아리중심상권 생활권 편리</t>
        </is>
      </c>
      <c r="I195" s="5">
        <f>HYPERLINK("https://fin.land.naver.com/articles/2644946431", "매물Link")</f>
        <v/>
      </c>
      <c r="J195" s="5">
        <f>HYPERLINK("https://map.naver.com/p/search/고운동 916", "지도Link")</f>
        <v/>
      </c>
      <c r="K195" s="5">
        <f>HYPERLINK("http://www.eum.go.kr/web/ar/lu/luLandDet.jsp?pnu=3611011200109160000&amp;isNoScr=script&amp;mode=search", "토지이음")</f>
        <v/>
      </c>
      <c r="L195" s="3" t="inlineStr">
        <is>
          <t>고운맘</t>
        </is>
      </c>
      <c r="M195" s="3" t="n">
        <v>1</v>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3" t="inlineStr">
        <is>
          <t>삼거리 코너각지, 아파트단지 주변으로 생활 인프라 훌륭함</t>
        </is>
      </c>
      <c r="I196" s="5">
        <f>HYPERLINK("https://fin.land.naver.com/articles/2644182414", "매물Link")</f>
        <v/>
      </c>
      <c r="J196" s="5">
        <f>HYPERLINK("https://map.naver.com/p/search/고운동 917", "지도Link")</f>
        <v/>
      </c>
      <c r="K196" s="5">
        <f>HYPERLINK("http://www.eum.go.kr/web/ar/lu/luLandDet.jsp?pnu=3611011200109170000&amp;isNoScr=script&amp;mode=search", "토지이음")</f>
        <v/>
      </c>
      <c r="L196" s="3" t="inlineStr">
        <is>
          <t>세종무지개</t>
        </is>
      </c>
      <c r="M196" s="3" t="n">
        <v>1</v>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3" t="inlineStr">
        <is>
          <t>총 106.8p, 아파트단지 바로 옆, 고운동 단독주택</t>
        </is>
      </c>
      <c r="I197" s="5">
        <f>HYPERLINK("https://fin.land.naver.com/articles/2649004647", "매물Link")</f>
        <v/>
      </c>
      <c r="J197" s="5">
        <f>HYPERLINK("https://map.naver.com/p/search/고운동 920", "지도Link")</f>
        <v/>
      </c>
      <c r="K197" s="5">
        <f>HYPERLINK("http://www.eum.go.kr/web/ar/lu/luLandDet.jsp?pnu=3611011200109200000&amp;isNoScr=script&amp;mode=search", "토지이음")</f>
        <v/>
      </c>
      <c r="L197" s="3" t="inlineStr">
        <is>
          <t>명진</t>
        </is>
      </c>
      <c r="M197" s="3" t="n">
        <v>1</v>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3" t="inlineStr">
        <is>
          <t>총 106.85p, 고운동 공원인근</t>
        </is>
      </c>
      <c r="I198" s="5">
        <f>HYPERLINK("https://fin.land.naver.com/articles/2648840016", "매물Link")</f>
        <v/>
      </c>
      <c r="J198" s="5">
        <f>HYPERLINK("https://map.naver.com/p/search/고운동 920", "지도Link")</f>
        <v/>
      </c>
      <c r="K198" s="5">
        <f>HYPERLINK("http://www.eum.go.kr/web/ar/lu/luLandDet.jsp?pnu=3611011200109200000&amp;isNoScr=script&amp;mode=search", "토지이음")</f>
        <v/>
      </c>
      <c r="L198" s="3" t="inlineStr">
        <is>
          <t>세종무지개</t>
        </is>
      </c>
      <c r="M198" s="3" t="n">
        <v>1</v>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3" t="inlineStr">
        <is>
          <t>코너 입주 우수. 남향. 생활 편리.</t>
        </is>
      </c>
      <c r="I199" s="5">
        <f>HYPERLINK("https://fin.land.naver.com/articles/2648524088", "매물Link")</f>
        <v/>
      </c>
      <c r="J199" s="5">
        <f>HYPERLINK("https://map.naver.com/p/search/고운동 927", "지도Link")</f>
        <v/>
      </c>
      <c r="K199" s="5">
        <f>HYPERLINK("http://www.eum.go.kr/web/ar/lu/luLandDet.jsp?pnu=3611011200109270000&amp;isNoScr=script&amp;mode=search", "토지이음")</f>
        <v/>
      </c>
      <c r="L199" s="3" t="inlineStr">
        <is>
          <t>세종썬사사무소</t>
        </is>
      </c>
      <c r="M199" s="3" t="n">
        <v>1</v>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3" t="inlineStr">
        <is>
          <t>가락마을18단지 인접 단독주택지, 상권 인접한 코너로 위치 최상</t>
        </is>
      </c>
      <c r="I200" s="5">
        <f>HYPERLINK("https://fin.land.naver.com/articles/2648966696", "매물Link")</f>
        <v/>
      </c>
      <c r="J200" s="5">
        <f>HYPERLINK("https://map.naver.com/p/search/고운동 927", "지도Link")</f>
        <v/>
      </c>
      <c r="K200" s="5">
        <f>HYPERLINK("http://www.eum.go.kr/web/ar/lu/luLandDet.jsp?pnu=3611011200109270000&amp;isNoScr=script&amp;mode=search", "토지이음")</f>
        <v/>
      </c>
      <c r="L200" s="3" t="inlineStr">
        <is>
          <t>힐스테이트으뜸원</t>
        </is>
      </c>
      <c r="M200" s="3" t="n">
        <v>5</v>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3" t="inlineStr">
        <is>
          <t>벙커주차장 가능, 귀한 조경수 식재, 접근성 좋은 위치, 귀한 택지</t>
        </is>
      </c>
      <c r="I201" s="5">
        <f>HYPERLINK("https://fin.land.naver.com/articles/2650101642", "매물Link")</f>
        <v/>
      </c>
      <c r="J201" s="5">
        <f>HYPERLINK("https://map.naver.com/p/search/고운동 935", "지도Link")</f>
        <v/>
      </c>
      <c r="K201" s="5">
        <f>HYPERLINK("http://www.eum.go.kr/web/ar/lu/luLandDet.jsp?pnu=3611011200109350000&amp;isNoScr=script&amp;mode=search", "토지이음")</f>
        <v/>
      </c>
      <c r="L201" s="3" t="inlineStr">
        <is>
          <t>다정한길</t>
        </is>
      </c>
      <c r="M201" s="3" t="n">
        <v>4</v>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3" t="inlineStr">
        <is>
          <t>학교 상가 대중교통이용편리,지하벙커주차장가능,측량완료</t>
        </is>
      </c>
      <c r="I202" s="5">
        <f>HYPERLINK("https://fin.land.naver.com/articles/2644712937", "매물Link")</f>
        <v/>
      </c>
      <c r="J202" s="5">
        <f>HYPERLINK("https://map.naver.com/p/search/고운동 935", "지도Link")</f>
        <v/>
      </c>
      <c r="K202" s="5">
        <f>HYPERLINK("http://www.eum.go.kr/web/ar/lu/luLandDet.jsp?pnu=3611011200109350000&amp;isNoScr=script&amp;mode=search", "토지이음")</f>
        <v/>
      </c>
      <c r="L202" s="3" t="inlineStr">
        <is>
          <t>세종제일</t>
        </is>
      </c>
      <c r="M202" s="3" t="n">
        <v>1</v>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3" t="inlineStr">
        <is>
          <t>조율가능O 학군좋고 교통편리한곳 벙커주차가능한 귀한택지 측량완료</t>
        </is>
      </c>
      <c r="I203" s="5">
        <f>HYPERLINK("https://fin.land.naver.com/articles/2644604851", "매물Link")</f>
        <v/>
      </c>
      <c r="J203" s="5">
        <f>HYPERLINK("https://map.naver.com/p/search/고운동 935", "지도Link")</f>
        <v/>
      </c>
      <c r="K203" s="5">
        <f>HYPERLINK("http://www.eum.go.kr/web/ar/lu/luLandDet.jsp?pnu=3611011200109350000&amp;isNoScr=script&amp;mode=search", "토지이음")</f>
        <v/>
      </c>
      <c r="L203" s="3" t="inlineStr">
        <is>
          <t>현</t>
        </is>
      </c>
      <c r="M203" s="3" t="n">
        <v>1</v>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3" t="inlineStr">
        <is>
          <t>도로에서단차가있는토지로벙커주차장가능한귀한땅,측량완료,상가,학교가까움</t>
        </is>
      </c>
      <c r="I204" s="5">
        <f>HYPERLINK("https://fin.land.naver.com/articles/2648318178", "매물Link")</f>
        <v/>
      </c>
      <c r="J204" s="5">
        <f>HYPERLINK("https://map.naver.com/p/search/고운동 935", "지도Link")</f>
        <v/>
      </c>
      <c r="K204" s="5">
        <f>HYPERLINK("http://www.eum.go.kr/web/ar/lu/luLandDet.jsp?pnu=3611011200109350000&amp;isNoScr=script&amp;mode=search", "토지이음")</f>
        <v/>
      </c>
      <c r="L204" s="3" t="inlineStr">
        <is>
          <t>김하나</t>
        </is>
      </c>
      <c r="M204" s="3" t="n">
        <v>1</v>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3" t="inlineStr">
        <is>
          <t>도로 근접한 대지. 중심상가 가까운 위치. 큰평수 찾으시는분께 적합</t>
        </is>
      </c>
      <c r="I205" s="5">
        <f>HYPERLINK("https://fin.land.naver.com/articles/2649960869", "매물Link")</f>
        <v/>
      </c>
      <c r="J205" s="5">
        <f>HYPERLINK("https://map.naver.com/p/search/고운동 951", "지도Link")</f>
        <v/>
      </c>
      <c r="K205" s="5">
        <f>HYPERLINK("http://www.eum.go.kr/web/ar/lu/luLandDet.jsp?pnu=3611011200109510000&amp;isNoScr=script&amp;mode=search", "토지이음")</f>
        <v/>
      </c>
      <c r="L205" s="3" t="inlineStr">
        <is>
          <t>고운힐스테이트</t>
        </is>
      </c>
      <c r="M205" s="3" t="n">
        <v>3</v>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3" t="inlineStr">
        <is>
          <t>급매,넓은평수,복합커뮤니티센터,항아리중심상권 생활권 편리</t>
        </is>
      </c>
      <c r="I206" s="5">
        <f>HYPERLINK("https://fin.land.naver.com/articles/2644767351", "매물Link")</f>
        <v/>
      </c>
      <c r="J206" s="5">
        <f>HYPERLINK("https://map.naver.com/p/search/고운동 954", "지도Link")</f>
        <v/>
      </c>
      <c r="K206" s="5">
        <f>HYPERLINK("http://www.eum.go.kr/web/ar/lu/luLandDet.jsp?pnu=3611011200109540000&amp;isNoScr=script&amp;mode=search", "토지이음")</f>
        <v/>
      </c>
      <c r="L206" s="3" t="inlineStr">
        <is>
          <t>고운맘</t>
        </is>
      </c>
      <c r="M206" s="3" t="n">
        <v>1</v>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3" t="inlineStr">
        <is>
          <t>111.2p, 최대 조율가능한 대형평형 토지매매</t>
        </is>
      </c>
      <c r="I207" s="5">
        <f>HYPERLINK("https://fin.land.naver.com/articles/2649610616", "매물Link")</f>
        <v/>
      </c>
      <c r="J207" s="5">
        <f>HYPERLINK("https://map.naver.com/p/search/고운동 954", "지도Link")</f>
        <v/>
      </c>
      <c r="K207" s="5">
        <f>HYPERLINK("http://www.eum.go.kr/web/ar/lu/luLandDet.jsp?pnu=3611011200109540000&amp;isNoScr=script&amp;mode=search", "토지이음")</f>
        <v/>
      </c>
      <c r="L207" s="3" t="inlineStr">
        <is>
          <t>세종무지개</t>
        </is>
      </c>
      <c r="M207" s="3" t="n">
        <v>1</v>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3" t="inlineStr">
        <is>
          <t>지대높아 전망좋은 토지</t>
        </is>
      </c>
      <c r="I208" s="5">
        <f>HYPERLINK("https://fin.land.naver.com/articles/2649578017", "매물Link")</f>
        <v/>
      </c>
      <c r="J208" s="5">
        <f>HYPERLINK("https://map.naver.com/p/search/고운동 954", "지도Link")</f>
        <v/>
      </c>
      <c r="K208" s="5">
        <f>HYPERLINK("http://www.eum.go.kr/web/ar/lu/luLandDet.jsp?pnu=3611011200109540000&amp;isNoScr=script&amp;mode=search", "토지이음")</f>
        <v/>
      </c>
      <c r="L208" s="3" t="inlineStr">
        <is>
          <t>킹세종</t>
        </is>
      </c>
      <c r="M208" s="3" t="n">
        <v>2</v>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3" t="inlineStr">
        <is>
          <t>고운동 단독주택지, 최대 조율가능, 입지 좋은 넓은 평형</t>
        </is>
      </c>
      <c r="I209" s="5">
        <f>HYPERLINK("https://fin.land.naver.com/articles/2647421229", "매물Link")</f>
        <v/>
      </c>
      <c r="J209" s="5">
        <f>HYPERLINK("https://map.naver.com/p/search/고운동 954", "지도Link")</f>
        <v/>
      </c>
      <c r="K209" s="5">
        <f>HYPERLINK("http://www.eum.go.kr/web/ar/lu/luLandDet.jsp?pnu=3611011200109540000&amp;isNoScr=script&amp;mode=search", "토지이음")</f>
        <v/>
      </c>
      <c r="L209" s="3" t="inlineStr">
        <is>
          <t>명진</t>
        </is>
      </c>
      <c r="M209" s="3" t="n">
        <v>1</v>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3" t="inlineStr">
        <is>
          <t>코너각지,복합커뮤니티센터,항아리중심상권 생활권 편리,가격조정가능</t>
        </is>
      </c>
      <c r="I210" s="5">
        <f>HYPERLINK("https://fin.land.naver.com/articles/2644949503", "매물Link")</f>
        <v/>
      </c>
      <c r="J210" s="5">
        <f>HYPERLINK("https://map.naver.com/p/search/고운동 969", "지도Link")</f>
        <v/>
      </c>
      <c r="K210" s="5">
        <f>HYPERLINK("http://www.eum.go.kr/web/ar/lu/luLandDet.jsp?pnu=3611011200109690000&amp;isNoScr=script&amp;mode=search", "토지이음")</f>
        <v/>
      </c>
      <c r="L210" s="3" t="inlineStr">
        <is>
          <t>고운맘</t>
        </is>
      </c>
      <c r="M210" s="3" t="n">
        <v>1</v>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3" t="inlineStr">
        <is>
          <t>삼거리 코너 각지, 입지 좋은 토지매매</t>
        </is>
      </c>
      <c r="I211" s="5">
        <f>HYPERLINK("https://fin.land.naver.com/articles/2645250423", "매물Link")</f>
        <v/>
      </c>
      <c r="J211" s="5">
        <f>HYPERLINK("https://map.naver.com/p/search/고운동 969", "지도Link")</f>
        <v/>
      </c>
      <c r="K211" s="5">
        <f>HYPERLINK("http://www.eum.go.kr/web/ar/lu/luLandDet.jsp?pnu=3611011200109690000&amp;isNoScr=script&amp;mode=search", "토지이음")</f>
        <v/>
      </c>
      <c r="L211" s="3" t="inlineStr">
        <is>
          <t>세종무지개</t>
        </is>
      </c>
      <c r="M211" s="3" t="n">
        <v>1</v>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3" t="inlineStr">
        <is>
          <t>입지 좋은 고운동 토지매매, 코너 각지 위치</t>
        </is>
      </c>
      <c r="I212" s="5">
        <f>HYPERLINK("https://fin.land.naver.com/articles/2645677581", "매물Link")</f>
        <v/>
      </c>
      <c r="J212" s="5">
        <f>HYPERLINK("https://map.naver.com/p/search/고운동 969", "지도Link")</f>
        <v/>
      </c>
      <c r="K212" s="5">
        <f>HYPERLINK("http://www.eum.go.kr/web/ar/lu/luLandDet.jsp?pnu=3611011200109690000&amp;isNoScr=script&amp;mode=search", "토지이음")</f>
        <v/>
      </c>
      <c r="L212" s="3" t="inlineStr">
        <is>
          <t>명진</t>
        </is>
      </c>
      <c r="M212" s="3" t="n">
        <v>1</v>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3" t="inlineStr">
        <is>
          <t>nan</t>
        </is>
      </c>
      <c r="I213" s="5">
        <f>HYPERLINK("https://fin.land.naver.com/articles/2646026108", "매물Link")</f>
        <v/>
      </c>
      <c r="J213" s="5">
        <f>HYPERLINK("https://map.naver.com/p/search/고운동 976", "지도Link")</f>
        <v/>
      </c>
      <c r="K213" s="5">
        <f>HYPERLINK("http://www.eum.go.kr/web/ar/lu/luLandDet.jsp?pnu=3611011200109760000&amp;isNoScr=script&amp;mode=search", "토지이음")</f>
        <v/>
      </c>
      <c r="L213" s="3" t="inlineStr">
        <is>
          <t>세종올리브</t>
        </is>
      </c>
      <c r="M213" s="3" t="n">
        <v>2</v>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3" t="inlineStr">
        <is>
          <t>세종시 고운동 주택지 매매</t>
        </is>
      </c>
      <c r="I214" s="5">
        <f>HYPERLINK("https://fin.land.naver.com/articles/2647488846", "매물Link")</f>
        <v/>
      </c>
      <c r="J214" s="5">
        <f>HYPERLINK("https://map.naver.com/p/search/고운동 978", "지도Link")</f>
        <v/>
      </c>
      <c r="K214" s="5">
        <f>HYPERLINK("http://www.eum.go.kr/web/ar/lu/luLandDet.jsp?pnu=3611011200109780000&amp;isNoScr=script&amp;mode=search", "토지이음")</f>
        <v/>
      </c>
      <c r="L214" s="3" t="inlineStr">
        <is>
          <t>길운</t>
        </is>
      </c>
      <c r="M214" s="3" t="n">
        <v>1</v>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3" t="inlineStr">
        <is>
          <t>조절가능  위치좋은코너자리</t>
        </is>
      </c>
      <c r="I215" s="5">
        <f>HYPERLINK("https://fin.land.naver.com/articles/2650103114", "매물Link")</f>
        <v/>
      </c>
      <c r="J215" s="5">
        <f>HYPERLINK("https://map.naver.com/p/search/고운동 994", "지도Link")</f>
        <v/>
      </c>
      <c r="K215" s="5">
        <f>HYPERLINK("http://www.eum.go.kr/web/ar/lu/luLandDet.jsp?pnu=3611011200109940000&amp;isNoScr=script&amp;mode=search", "토지이음")</f>
        <v/>
      </c>
      <c r="L215" s="3" t="inlineStr">
        <is>
          <t>세종시토지</t>
        </is>
      </c>
      <c r="M215" s="3" t="n">
        <v>3</v>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3" t="inlineStr">
        <is>
          <t>2차선 도로변에 위치하고 있어 향후 투자가치 확보</t>
        </is>
      </c>
      <c r="I216" s="5">
        <f>HYPERLINK("https://fin.land.naver.com/articles/2649117260", "매물Link")</f>
        <v/>
      </c>
      <c r="J216" s="5">
        <f>HYPERLINK("https://map.naver.com/p/search/금남면 감성리 111-1", "지도Link")</f>
        <v/>
      </c>
      <c r="K216" s="5">
        <f>HYPERLINK("http://www.eum.go.kr/web/ar/lu/luLandDet.jsp?pnu=3611034023101110001&amp;isNoScr=script&amp;mode=search", "토지이음")</f>
        <v/>
      </c>
      <c r="L216" s="3" t="inlineStr">
        <is>
          <t>창고의여왕</t>
        </is>
      </c>
      <c r="M216" s="3" t="n">
        <v>1</v>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3" t="inlineStr">
        <is>
          <t>nan</t>
        </is>
      </c>
      <c r="I217" s="5">
        <f>HYPERLINK("https://fin.land.naver.com/articles/2646505831", "매물Link")</f>
        <v/>
      </c>
      <c r="J217" s="5">
        <f>HYPERLINK("https://map.naver.com/p/search/금남면 감성리 56-6", "지도Link")</f>
        <v/>
      </c>
      <c r="K217" s="5">
        <f>HYPERLINK("http://www.eum.go.kr/web/ar/lu/luLandDet.jsp?pnu=3611034023100560006&amp;isNoScr=script&amp;mode=search", "토지이음")</f>
        <v/>
      </c>
      <c r="L217" s="3" t="inlineStr">
        <is>
          <t>세종</t>
        </is>
      </c>
      <c r="M217" s="3" t="n">
        <v>1</v>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3" t="inlineStr">
        <is>
          <t>nan</t>
        </is>
      </c>
      <c r="I218" s="5">
        <f>HYPERLINK("https://fin.land.naver.com/articles/2645409196", "매물Link")</f>
        <v/>
      </c>
      <c r="J218" s="5">
        <f>HYPERLINK("https://map.naver.com/p/search/금남면 국곡리 215", "지도Link")</f>
        <v/>
      </c>
      <c r="K218" s="5">
        <f>HYPERLINK("http://www.eum.go.kr/web/ar/lu/luLandDet.jsp?pnu=3611034044102150000&amp;isNoScr=script&amp;mode=search", "토지이음")</f>
        <v/>
      </c>
      <c r="L218" s="3" t="inlineStr">
        <is>
          <t>그래그</t>
        </is>
      </c>
      <c r="M218" s="3" t="n">
        <v>1</v>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3" t="inlineStr">
        <is>
          <t>nan</t>
        </is>
      </c>
      <c r="I219" s="5">
        <f>HYPERLINK("https://fin.land.naver.com/articles/2645414472", "매물Link")</f>
        <v/>
      </c>
      <c r="J219" s="5">
        <f>HYPERLINK("https://map.naver.com/p/search/금남면 국곡리 217", "지도Link")</f>
        <v/>
      </c>
      <c r="K219" s="5">
        <f>HYPERLINK("http://www.eum.go.kr/web/ar/lu/luLandDet.jsp?pnu=3611034044102170000&amp;isNoScr=script&amp;mode=search", "토지이음")</f>
        <v/>
      </c>
      <c r="L219" s="3" t="inlineStr">
        <is>
          <t>그래그</t>
        </is>
      </c>
      <c r="M219" s="3" t="n">
        <v>1</v>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3" t="inlineStr">
        <is>
          <t>계획관리지역으로 투자가치 양호함.</t>
        </is>
      </c>
      <c r="I220" s="5">
        <f>HYPERLINK("https://fin.land.naver.com/articles/2649019057", "매물Link")</f>
        <v/>
      </c>
      <c r="J220" s="5">
        <f>HYPERLINK("https://map.naver.com/p/search/금남면 국곡리 217", "지도Link")</f>
        <v/>
      </c>
      <c r="K220" s="5">
        <f>HYPERLINK("http://www.eum.go.kr/web/ar/lu/luLandDet.jsp?pnu=3611034044102170000&amp;isNoScr=script&amp;mode=search", "토지이음")</f>
        <v/>
      </c>
      <c r="L220" s="3" t="inlineStr">
        <is>
          <t>다정현대</t>
        </is>
      </c>
      <c r="M220" s="3" t="n">
        <v>1</v>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3" t="inlineStr">
        <is>
          <t>nan</t>
        </is>
      </c>
      <c r="I221" s="5">
        <f>HYPERLINK("https://fin.land.naver.com/articles/2645416093", "매물Link")</f>
        <v/>
      </c>
      <c r="J221" s="5">
        <f>HYPERLINK("https://map.naver.com/p/search/금남면 국곡리 218", "지도Link")</f>
        <v/>
      </c>
      <c r="K221" s="5">
        <f>HYPERLINK("http://www.eum.go.kr/web/ar/lu/luLandDet.jsp?pnu=3611034044102180000&amp;isNoScr=script&amp;mode=search", "토지이음")</f>
        <v/>
      </c>
      <c r="L221" s="3" t="inlineStr">
        <is>
          <t>그래그</t>
        </is>
      </c>
      <c r="M221" s="3" t="n">
        <v>1</v>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3" t="inlineStr">
        <is>
          <t>nan</t>
        </is>
      </c>
      <c r="I222" s="5">
        <f>HYPERLINK("https://fin.land.naver.com/articles/2649621340", "매물Link")</f>
        <v/>
      </c>
      <c r="J222" s="5">
        <f>HYPERLINK("https://map.naver.com/p/search/금남면 국곡리 234-1", "지도Link")</f>
        <v/>
      </c>
      <c r="K222" s="5">
        <f>HYPERLINK("http://www.eum.go.kr/web/ar/lu/luLandDet.jsp?pnu=3611034044102340001&amp;isNoScr=script&amp;mode=search", "토지이음")</f>
        <v/>
      </c>
      <c r="L222" s="3" t="inlineStr">
        <is>
          <t>그래그</t>
        </is>
      </c>
      <c r="M222" s="3" t="n">
        <v>1</v>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3" t="inlineStr">
        <is>
          <t>정남향땅</t>
        </is>
      </c>
      <c r="I223" s="5">
        <f>HYPERLINK("https://fin.land.naver.com/articles/2645346874", "매물Link")</f>
        <v/>
      </c>
      <c r="J223" s="5">
        <f>HYPERLINK("https://map.naver.com/p/search/금남면 국곡리 34-7", "지도Link")</f>
        <v/>
      </c>
      <c r="K223" s="5">
        <f>HYPERLINK("http://www.eum.go.kr/web/ar/lu/luLandDet.jsp?pnu=3611034044100340007&amp;isNoScr=script&amp;mode=search", "토지이음")</f>
        <v/>
      </c>
      <c r="L223" s="3" t="inlineStr">
        <is>
          <t>일등사무소</t>
        </is>
      </c>
      <c r="M223" s="3" t="n">
        <v>1</v>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3" t="inlineStr">
        <is>
          <t>nan</t>
        </is>
      </c>
      <c r="I224" s="5">
        <f>HYPERLINK("https://fin.land.naver.com/articles/2649604810", "매물Link")</f>
        <v/>
      </c>
      <c r="J224" s="5">
        <f>HYPERLINK("https://map.naver.com/p/search/금남면 국곡리 85-1", "지도Link")</f>
        <v/>
      </c>
      <c r="K224" s="5">
        <f>HYPERLINK("http://www.eum.go.kr/web/ar/lu/luLandDet.jsp?pnu=3611034044100850001&amp;isNoScr=script&amp;mode=search", "토지이음")</f>
        <v/>
      </c>
      <c r="L224" s="3" t="inlineStr">
        <is>
          <t>그래그</t>
        </is>
      </c>
      <c r="M224" s="3" t="n">
        <v>1</v>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3" t="inlineStr">
        <is>
          <t>남세종IC 7분. 코스트코10분. 위치좋은 국곡리 토지</t>
        </is>
      </c>
      <c r="I225" s="5">
        <f>HYPERLINK("https://fin.land.naver.com/articles/2644522426", "매물Link")</f>
        <v/>
      </c>
      <c r="J225" s="5">
        <f>HYPERLINK("https://map.naver.com/p/search/금남면 국곡리 91", "지도Link")</f>
        <v/>
      </c>
      <c r="K225" s="5">
        <f>HYPERLINK("http://www.eum.go.kr/web/ar/lu/luLandDet.jsp?pnu=3611034044100910000&amp;isNoScr=script&amp;mode=search", "토지이음")</f>
        <v/>
      </c>
      <c r="L225" s="3" t="inlineStr">
        <is>
          <t>새롬삼둥이</t>
        </is>
      </c>
      <c r="M225" s="3" t="n">
        <v>1</v>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3" t="inlineStr">
        <is>
          <t>세종인근의 아담한 대지 매매</t>
        </is>
      </c>
      <c r="I226" s="5">
        <f>HYPERLINK("https://fin.land.naver.com/articles/2644425311", "매물Link")</f>
        <v/>
      </c>
      <c r="J226" s="5">
        <f>HYPERLINK("https://map.naver.com/p/search/금남면 국곡리 98-7", "지도Link")</f>
        <v/>
      </c>
      <c r="K226" s="5">
        <f>HYPERLINK("http://www.eum.go.kr/web/ar/lu/luLandDet.jsp?pnu=3611034044100980007&amp;isNoScr=script&amp;mode=search", "토지이음")</f>
        <v/>
      </c>
      <c r="L226" s="3" t="inlineStr">
        <is>
          <t>세종다올</t>
        </is>
      </c>
      <c r="M226" s="3" t="n">
        <v>1</v>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3" t="inlineStr">
        <is>
          <t>농막있는 과수원 주말영농지로 강추합니다.</t>
        </is>
      </c>
      <c r="I227" s="5">
        <f>HYPERLINK("https://fin.land.naver.com/articles/2648791565", "매물Link")</f>
        <v/>
      </c>
      <c r="J227" s="5">
        <f>HYPERLINK("https://map.naver.com/p/search/금남면 금천리 177", "지도Link")</f>
        <v/>
      </c>
      <c r="K227" s="5">
        <f>HYPERLINK("http://www.eum.go.kr/web/ar/lu/luLandDet.jsp?pnu=3611034027101770000&amp;isNoScr=script&amp;mode=search", "토지이음")</f>
        <v/>
      </c>
      <c r="L227" s="3" t="inlineStr">
        <is>
          <t>세계로</t>
        </is>
      </c>
      <c r="M227" s="3" t="n">
        <v>1</v>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3" t="inlineStr">
        <is>
          <t>마을 앞에 있는 저렴하고 위치좋음.</t>
        </is>
      </c>
      <c r="I228" s="5">
        <f>HYPERLINK("https://fin.land.naver.com/articles/2648553034", "매물Link")</f>
        <v/>
      </c>
      <c r="J228" s="5">
        <f>HYPERLINK("https://map.naver.com/p/search/금남면 금천리 183", "지도Link")</f>
        <v/>
      </c>
      <c r="K228" s="5">
        <f>HYPERLINK("http://www.eum.go.kr/web/ar/lu/luLandDet.jsp?pnu=3611034027101830000&amp;isNoScr=script&amp;mode=search", "토지이음")</f>
        <v/>
      </c>
      <c r="L228" s="3" t="inlineStr">
        <is>
          <t>세종리츠</t>
        </is>
      </c>
      <c r="M228" s="3" t="n">
        <v>1</v>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3" t="inlineStr">
        <is>
          <t>nan</t>
        </is>
      </c>
      <c r="I229" s="5">
        <f>HYPERLINK("https://fin.land.naver.com/articles/2646822469", "매물Link")</f>
        <v/>
      </c>
      <c r="J229" s="5">
        <f>HYPERLINK("https://map.naver.com/p/search/금남면 금천리 205", "지도Link")</f>
        <v/>
      </c>
      <c r="K229" s="5">
        <f>HYPERLINK("http://www.eum.go.kr/web/ar/lu/luLandDet.jsp?pnu=3611034027102050000&amp;isNoScr=script&amp;mode=search", "토지이음")</f>
        <v/>
      </c>
      <c r="L229" s="3" t="inlineStr">
        <is>
          <t>세종대평</t>
        </is>
      </c>
      <c r="M229" s="3" t="n">
        <v>1</v>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3" t="inlineStr">
        <is>
          <t>nan</t>
        </is>
      </c>
      <c r="I230" s="5">
        <f>HYPERLINK("https://fin.land.naver.com/articles/2644314652", "매물Link")</f>
        <v/>
      </c>
      <c r="J230" s="5">
        <f>HYPERLINK("https://map.naver.com/p/search/금남면 금천리 205", "지도Link")</f>
        <v/>
      </c>
      <c r="K230" s="5">
        <f>HYPERLINK("http://www.eum.go.kr/web/ar/lu/luLandDet.jsp?pnu=3611034027102050000&amp;isNoScr=script&amp;mode=search", "토지이음")</f>
        <v/>
      </c>
      <c r="L230" s="3" t="inlineStr">
        <is>
          <t>뉴엘리트탑</t>
        </is>
      </c>
      <c r="M230" s="3" t="n">
        <v>1</v>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3" t="inlineStr">
        <is>
          <t>금남면 금천리마을 2차선도로 접해 다양하게 활용하기 좋은 토지 매매</t>
        </is>
      </c>
      <c r="I231" s="5">
        <f>HYPERLINK("https://fin.land.naver.com/articles/2644190636", "매물Link")</f>
        <v/>
      </c>
      <c r="J231" s="5">
        <f>HYPERLINK("https://map.naver.com/p/search/금남면 금천리 225-4", "지도Link")</f>
        <v/>
      </c>
      <c r="K231" s="5">
        <f>HYPERLINK("http://www.eum.go.kr/web/ar/lu/luLandDet.jsp?pnu=3611034027102250004&amp;isNoScr=script&amp;mode=search", "토지이음")</f>
        <v/>
      </c>
      <c r="L231" s="3" t="inlineStr">
        <is>
          <t>나침반</t>
        </is>
      </c>
      <c r="M231" s="3" t="n">
        <v>1</v>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3" t="inlineStr">
        <is>
          <t>자연취락지구로 주택용지로 매우 좋음.</t>
        </is>
      </c>
      <c r="I232" s="5">
        <f>HYPERLINK("https://fin.land.naver.com/articles/2648552043", "매물Link")</f>
        <v/>
      </c>
      <c r="J232" s="5">
        <f>HYPERLINK("https://map.naver.com/p/search/금남면 금천리 63-2", "지도Link")</f>
        <v/>
      </c>
      <c r="K232" s="5">
        <f>HYPERLINK("http://www.eum.go.kr/web/ar/lu/luLandDet.jsp?pnu=3611034027100630002&amp;isNoScr=script&amp;mode=search", "토지이음")</f>
        <v/>
      </c>
      <c r="L232" s="3" t="inlineStr">
        <is>
          <t>세종리츠</t>
        </is>
      </c>
      <c r="M232" s="3" t="n">
        <v>1</v>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3" t="inlineStr">
        <is>
          <t>금남면 복컴 10분, 세종시청15분거리  도로접함, 도시지역 건축가능함</t>
        </is>
      </c>
      <c r="I233" s="5">
        <f>HYPERLINK("https://fin.land.naver.com/articles/2644524440", "매물Link")</f>
        <v/>
      </c>
      <c r="J233" s="5">
        <f>HYPERLINK("https://map.naver.com/p/search/금남면 금천리 63-3", "지도Link")</f>
        <v/>
      </c>
      <c r="K233" s="5">
        <f>HYPERLINK("http://www.eum.go.kr/web/ar/lu/luLandDet.jsp?pnu=3611034027100630003&amp;isNoScr=script&amp;mode=search", "토지이음")</f>
        <v/>
      </c>
      <c r="L233" s="3" t="inlineStr">
        <is>
          <t>새롬삼둥이</t>
        </is>
      </c>
      <c r="M233" s="3" t="n">
        <v>1</v>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3" t="inlineStr">
        <is>
          <t>자연녹지지역. 개발제한구역으로 저렴한 비용으로 급매.</t>
        </is>
      </c>
      <c r="I234" s="5">
        <f>HYPERLINK("https://fin.land.naver.com/articles/2646708423", "매물Link")</f>
        <v/>
      </c>
      <c r="J234" s="5">
        <f>HYPERLINK("https://map.naver.com/p/search/금남면 금천리 65", "지도Link")</f>
        <v/>
      </c>
      <c r="K234" s="5">
        <f>HYPERLINK("http://www.eum.go.kr/web/ar/lu/luLandDet.jsp?pnu=3611034027100650000&amp;isNoScr=script&amp;mode=search", "토지이음")</f>
        <v/>
      </c>
      <c r="L234" s="3" t="inlineStr">
        <is>
          <t>세종대장</t>
        </is>
      </c>
      <c r="M234" s="3" t="n">
        <v>1</v>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3" t="inlineStr">
        <is>
          <t>세종시 금남면 그린벨트 임야 매매</t>
        </is>
      </c>
      <c r="I235" s="5">
        <f>HYPERLINK("https://fin.land.naver.com/articles/2649751411", "매물Link")</f>
        <v/>
      </c>
      <c r="J235" s="5">
        <f>HYPERLINK("https://map.naver.com/p/search/금남면 금천리 산1-1", "지도Link")</f>
        <v/>
      </c>
      <c r="K235" s="5">
        <f>HYPERLINK("http://www.eum.go.kr/web/ar/lu/luLandDet.jsp?pnu=3611034027200010001&amp;isNoScr=script&amp;mode=search", "토지이음")</f>
        <v/>
      </c>
      <c r="L235" s="3" t="inlineStr">
        <is>
          <t>뉴스카이</t>
        </is>
      </c>
      <c r="M235" s="3" t="n">
        <v>1</v>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3" t="inlineStr">
        <is>
          <t>급매매금천리 개발제한구역내 도로접 차량진입가능 임야</t>
        </is>
      </c>
      <c r="I236" s="5">
        <f>HYPERLINK("https://fin.land.naver.com/articles/2648530980", "매물Link")</f>
        <v/>
      </c>
      <c r="J236" s="5">
        <f>HYPERLINK("https://map.naver.com/p/search/금남면 금천리 산28-4", "지도Link")</f>
        <v/>
      </c>
      <c r="K236" s="5">
        <f>HYPERLINK("http://www.eum.go.kr/web/ar/lu/luLandDet.jsp?pnu=3611034027200280004&amp;isNoScr=script&amp;mode=search", "토지이음")</f>
        <v/>
      </c>
      <c r="L236" s="3" t="inlineStr">
        <is>
          <t>세계로</t>
        </is>
      </c>
      <c r="M236" s="3" t="n">
        <v>1</v>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3" t="inlineStr">
        <is>
          <t>세종시내10분거리.비포장 임도존재.저렴한가격.장기투자가치</t>
        </is>
      </c>
      <c r="I237" s="5">
        <f>HYPERLINK("https://fin.land.naver.com/articles/2643931542", "매물Link")</f>
        <v/>
      </c>
      <c r="J237" s="5">
        <f>HYPERLINK("https://map.naver.com/p/search/금남면 금천리 산3", "지도Link")</f>
        <v/>
      </c>
      <c r="K237" s="5">
        <f>HYPERLINK("http://www.eum.go.kr/web/ar/lu/luLandDet.jsp?pnu=3611034027200030000&amp;isNoScr=script&amp;mode=search", "토지이음")</f>
        <v/>
      </c>
      <c r="L237" s="3" t="inlineStr">
        <is>
          <t>돈방석</t>
        </is>
      </c>
      <c r="M237" s="3" t="n">
        <v>1</v>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3" t="inlineStr">
        <is>
          <t>매매가 조정가,시멘트 포장도로접,가격 저렴함,투자양호.</t>
        </is>
      </c>
      <c r="I238" s="5">
        <f>HYPERLINK("https://fin.land.naver.com/articles/2648500060", "매물Link")</f>
        <v/>
      </c>
      <c r="J238" s="5">
        <f>HYPERLINK("https://map.naver.com/p/search/금남면 남곡리 128-1", "지도Link")</f>
        <v/>
      </c>
      <c r="K238" s="5">
        <f>HYPERLINK("http://www.eum.go.kr/web/ar/lu/luLandDet.jsp?pnu=3611034029101280001&amp;isNoScr=script&amp;mode=search", "토지이음")</f>
        <v/>
      </c>
      <c r="L238" s="3" t="inlineStr">
        <is>
          <t>장터</t>
        </is>
      </c>
      <c r="M238" s="3" t="n">
        <v>1</v>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3" t="inlineStr">
        <is>
          <t>답으로 이용중이고 저렴한 농지</t>
        </is>
      </c>
      <c r="I239" s="5">
        <f>HYPERLINK("https://fin.land.naver.com/articles/2647957481", "매물Link")</f>
        <v/>
      </c>
      <c r="J239" s="5">
        <f>HYPERLINK("https://map.naver.com/p/search/금남면 남곡리 128-1", "지도Link")</f>
        <v/>
      </c>
      <c r="K239" s="5">
        <f>HYPERLINK("http://www.eum.go.kr/web/ar/lu/luLandDet.jsp?pnu=3611034029101280001&amp;isNoScr=script&amp;mode=search", "토지이음")</f>
        <v/>
      </c>
      <c r="L239" s="3" t="inlineStr">
        <is>
          <t>도안부자</t>
        </is>
      </c>
      <c r="M239" s="3" t="n">
        <v>1</v>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3" t="inlineStr">
        <is>
          <t>금남면 남곡리 마을포장도로에 접한 개발제한구역의 투자용 전입니다</t>
        </is>
      </c>
      <c r="I240" s="5">
        <f>HYPERLINK("https://fin.land.naver.com/articles/2649202568", "매물Link")</f>
        <v/>
      </c>
      <c r="J240" s="5">
        <f>HYPERLINK("https://map.naver.com/p/search/금남면 남곡리 276", "지도Link")</f>
        <v/>
      </c>
      <c r="K240" s="5">
        <f>HYPERLINK("http://www.eum.go.kr/web/ar/lu/luLandDet.jsp?pnu=3611034029102760000&amp;isNoScr=script&amp;mode=search", "토지이음")</f>
        <v/>
      </c>
      <c r="L240" s="3" t="inlineStr">
        <is>
          <t>스마일세종</t>
        </is>
      </c>
      <c r="M240" s="3" t="n">
        <v>1</v>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3" t="inlineStr">
        <is>
          <t>금남면  저렴한 전 토지매매 진입도로 있음</t>
        </is>
      </c>
      <c r="I241" s="5">
        <f>HYPERLINK("https://fin.land.naver.com/articles/2646068452", "매물Link")</f>
        <v/>
      </c>
      <c r="J241" s="5">
        <f>HYPERLINK("https://map.naver.com/p/search/금남면 남곡리 286", "지도Link")</f>
        <v/>
      </c>
      <c r="K241" s="5">
        <f>HYPERLINK("http://www.eum.go.kr/web/ar/lu/luLandDet.jsp?pnu=3611034029102860000&amp;isNoScr=script&amp;mode=search", "토지이음")</f>
        <v/>
      </c>
      <c r="L241" s="3" t="inlineStr">
        <is>
          <t>도안부자</t>
        </is>
      </c>
      <c r="M241" s="3" t="n">
        <v>1</v>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3" t="inlineStr">
        <is>
          <t>대전 인접 세종시 금남면 복숭아 나무 포함 ,관리 잘 된 알짜 과수원</t>
        </is>
      </c>
      <c r="I242" s="5">
        <f>HYPERLINK("https://fin.land.naver.com/articles/2645021611", "매물Link")</f>
        <v/>
      </c>
      <c r="J242" s="5">
        <f>HYPERLINK("https://map.naver.com/p/search/금남면 남곡리 308", "지도Link")</f>
        <v/>
      </c>
      <c r="K242" s="5">
        <f>HYPERLINK("http://www.eum.go.kr/web/ar/lu/luLandDet.jsp?pnu=3611034029103080000&amp;isNoScr=script&amp;mode=search", "토지이음")</f>
        <v/>
      </c>
      <c r="L242" s="3" t="inlineStr">
        <is>
          <t>한아름</t>
        </is>
      </c>
      <c r="M242" s="3" t="n">
        <v>1</v>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3" t="inlineStr">
        <is>
          <t>개발제한구역 현황도로 있어요  복숭아과수원</t>
        </is>
      </c>
      <c r="I243" s="5">
        <f>HYPERLINK("https://fin.land.naver.com/articles/2644725517", "매물Link")</f>
        <v/>
      </c>
      <c r="J243" s="5">
        <f>HYPERLINK("https://map.naver.com/p/search/금남면 남곡리 308", "지도Link")</f>
        <v/>
      </c>
      <c r="K243" s="5">
        <f>HYPERLINK("http://www.eum.go.kr/web/ar/lu/luLandDet.jsp?pnu=3611034029103080000&amp;isNoScr=script&amp;mode=search", "토지이음")</f>
        <v/>
      </c>
      <c r="L243" s="3" t="inlineStr">
        <is>
          <t>신현대</t>
        </is>
      </c>
      <c r="M243" s="3" t="n">
        <v>1</v>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3" t="inlineStr">
        <is>
          <t>세종과 대전 사이, 자연녹지 개발제한구역</t>
        </is>
      </c>
      <c r="I244" s="5">
        <f>HYPERLINK("https://fin.land.naver.com/articles/2648344526", "매물Link")</f>
        <v/>
      </c>
      <c r="J244" s="5">
        <f>HYPERLINK("https://map.naver.com/p/search/금남면 남곡리 324", "지도Link")</f>
        <v/>
      </c>
      <c r="K244" s="5">
        <f>HYPERLINK("http://www.eum.go.kr/web/ar/lu/luLandDet.jsp?pnu=3611034029103240000&amp;isNoScr=script&amp;mode=search", "토지이음")</f>
        <v/>
      </c>
      <c r="L244" s="3" t="inlineStr">
        <is>
          <t>미스터홈즈강남지사</t>
        </is>
      </c>
      <c r="M244" s="3" t="n">
        <v>1</v>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3" t="inlineStr">
        <is>
          <t>2차선 및 농로 양면 도로접한 논</t>
        </is>
      </c>
      <c r="I245" s="5">
        <f>HYPERLINK("https://fin.land.naver.com/articles/2649643674", "매물Link")</f>
        <v/>
      </c>
      <c r="J245" s="5">
        <f>HYPERLINK("https://map.naver.com/p/search/금남면 남곡리 341-1", "지도Link")</f>
        <v/>
      </c>
      <c r="K245" s="5">
        <f>HYPERLINK("http://www.eum.go.kr/web/ar/lu/luLandDet.jsp?pnu=3611034029103410001&amp;isNoScr=script&amp;mode=search", "토지이음")</f>
        <v/>
      </c>
      <c r="L245" s="3" t="inlineStr">
        <is>
          <t>신안</t>
        </is>
      </c>
      <c r="M245" s="3" t="n">
        <v>1</v>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3" t="inlineStr">
        <is>
          <t>조용하고 한적한 전원주택지</t>
        </is>
      </c>
      <c r="I246" s="5">
        <f>HYPERLINK("https://fin.land.naver.com/articles/2649678060", "매물Link")</f>
        <v/>
      </c>
      <c r="J246" s="5">
        <f>HYPERLINK("https://map.naver.com/p/search/금남면 달전리 189", "지도Link")</f>
        <v/>
      </c>
      <c r="K246" s="5">
        <f>HYPERLINK("http://www.eum.go.kr/web/ar/lu/luLandDet.jsp?pnu=3611034032101890000&amp;isNoScr=script&amp;mode=search", "토지이음")</f>
        <v/>
      </c>
      <c r="L246" s="3" t="inlineStr">
        <is>
          <t>정보은행</t>
        </is>
      </c>
      <c r="M246" s="3" t="n">
        <v>1</v>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3" t="inlineStr">
        <is>
          <t>경지 정리 잘 되어있고 도로 접한 토지</t>
        </is>
      </c>
      <c r="I247" s="5">
        <f>HYPERLINK("https://fin.land.naver.com/articles/2649678573", "매물Link")</f>
        <v/>
      </c>
      <c r="J247" s="5">
        <f>HYPERLINK("https://map.naver.com/p/search/금남면 달전리 226-9", "지도Link")</f>
        <v/>
      </c>
      <c r="K247" s="5">
        <f>HYPERLINK("http://www.eum.go.kr/web/ar/lu/luLandDet.jsp?pnu=3611034032102260009&amp;isNoScr=script&amp;mode=search", "토지이음")</f>
        <v/>
      </c>
      <c r="L247" s="3" t="inlineStr">
        <is>
          <t>정보은행</t>
        </is>
      </c>
      <c r="M247" s="3" t="n">
        <v>1</v>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3" t="inlineStr">
        <is>
          <t>nan</t>
        </is>
      </c>
      <c r="I248" s="5">
        <f>HYPERLINK("https://fin.land.naver.com/articles/2648851498", "매물Link")</f>
        <v/>
      </c>
      <c r="J248" s="5">
        <f>HYPERLINK("https://map.naver.com/p/search/금남면 달전리 227-17", "지도Link")</f>
        <v/>
      </c>
      <c r="K248" s="5">
        <f>HYPERLINK("http://www.eum.go.kr/web/ar/lu/luLandDet.jsp?pnu=3611034032102270017&amp;isNoScr=script&amp;mode=search", "토지이음")</f>
        <v/>
      </c>
      <c r="L248" s="3" t="inlineStr">
        <is>
          <t>세종소담황금</t>
        </is>
      </c>
      <c r="M248" s="3" t="n">
        <v>2</v>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3" t="inlineStr">
        <is>
          <t>nan</t>
        </is>
      </c>
      <c r="I249" s="5">
        <f>HYPERLINK("https://fin.land.naver.com/articles/2647665928", "매물Link")</f>
        <v/>
      </c>
      <c r="J249" s="5">
        <f>HYPERLINK("https://map.naver.com/p/search/금남면 달전리 27-2", "지도Link")</f>
        <v/>
      </c>
      <c r="K249" s="5">
        <f>HYPERLINK("http://www.eum.go.kr/web/ar/lu/luLandDet.jsp?pnu=3611034032100270002&amp;isNoScr=script&amp;mode=search", "토지이음")</f>
        <v/>
      </c>
      <c r="L249" s="3" t="inlineStr">
        <is>
          <t>코리아랜드</t>
        </is>
      </c>
      <c r="M249" s="3" t="n">
        <v>1</v>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3" t="inlineStr">
        <is>
          <t>nan</t>
        </is>
      </c>
      <c r="I250" s="5">
        <f>HYPERLINK("https://fin.land.naver.com/articles/2645898705", "매물Link")</f>
        <v/>
      </c>
      <c r="J250" s="5">
        <f>HYPERLINK("https://map.naver.com/p/search/금남면 달전리 293", "지도Link")</f>
        <v/>
      </c>
      <c r="K250" s="5">
        <f>HYPERLINK("http://www.eum.go.kr/web/ar/lu/luLandDet.jsp?pnu=3611034032102930000&amp;isNoScr=script&amp;mode=search", "토지이음")</f>
        <v/>
      </c>
      <c r="L250" s="3" t="inlineStr">
        <is>
          <t>다온</t>
        </is>
      </c>
      <c r="M250" s="3" t="n">
        <v>1</v>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3" t="inlineStr">
        <is>
          <t>도로보다 지대가 높으며 남동향으로 최고의 전원주택지입니다</t>
        </is>
      </c>
      <c r="I251" s="5">
        <f>HYPERLINK("https://fin.land.naver.com/articles/2649101572", "매물Link")</f>
        <v/>
      </c>
      <c r="J251" s="5">
        <f>HYPERLINK("https://map.naver.com/p/search/금남면 달전리 353", "지도Link")</f>
        <v/>
      </c>
      <c r="K251" s="5">
        <f>HYPERLINK("http://www.eum.go.kr/web/ar/lu/luLandDet.jsp?pnu=3611034032103530000&amp;isNoScr=script&amp;mode=search", "토지이음")</f>
        <v/>
      </c>
      <c r="L251" s="3" t="inlineStr">
        <is>
          <t>대웅</t>
        </is>
      </c>
      <c r="M251" s="3" t="n">
        <v>1</v>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3" t="inlineStr">
        <is>
          <t>급매. 금남면 대로변 옆 농지</t>
        </is>
      </c>
      <c r="I252" s="5">
        <f>HYPERLINK("https://fin.land.naver.com/articles/2645465866", "매물Link")</f>
        <v/>
      </c>
      <c r="J252" s="5">
        <f>HYPERLINK("https://map.naver.com/p/search/금남면 달전리 510-1", "지도Link")</f>
        <v/>
      </c>
      <c r="K252" s="5">
        <f>HYPERLINK("http://www.eum.go.kr/web/ar/lu/luLandDet.jsp?pnu=3611034032105100001&amp;isNoScr=script&amp;mode=search", "토지이음")</f>
        <v/>
      </c>
      <c r="L252" s="3" t="inlineStr">
        <is>
          <t>강아지풀</t>
        </is>
      </c>
      <c r="M252" s="3" t="n">
        <v>1</v>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3" t="inlineStr">
        <is>
          <t>세종시근접,둔곡지구근접토지,미래투자가치좋음</t>
        </is>
      </c>
      <c r="I253" s="5">
        <f>HYPERLINK("https://fin.land.naver.com/articles/2645458378", "매물Link")</f>
        <v/>
      </c>
      <c r="J253" s="5">
        <f>HYPERLINK("https://map.naver.com/p/search/금남면 달전리 515-1", "지도Link")</f>
        <v/>
      </c>
      <c r="K253" s="5">
        <f>HYPERLINK("http://www.eum.go.kr/web/ar/lu/luLandDet.jsp?pnu=3611034032105150001&amp;isNoScr=script&amp;mode=search", "토지이음")</f>
        <v/>
      </c>
      <c r="L253" s="3" t="inlineStr">
        <is>
          <t>담뜰</t>
        </is>
      </c>
      <c r="M253" s="3" t="n">
        <v>1</v>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3" t="inlineStr">
        <is>
          <t>대전 둔곡지구 인근 . 세종시 전답 매매</t>
        </is>
      </c>
      <c r="I254" s="5">
        <f>HYPERLINK("https://fin.land.naver.com/articles/2645317317", "매물Link")</f>
        <v/>
      </c>
      <c r="J254" s="5">
        <f>HYPERLINK("https://map.naver.com/p/search/금남면 달전리 669", "지도Link")</f>
        <v/>
      </c>
      <c r="K254" s="5">
        <f>HYPERLINK("http://www.eum.go.kr/web/ar/lu/luLandDet.jsp?pnu=3611034032106690000&amp;isNoScr=script&amp;mode=search", "토지이음")</f>
        <v/>
      </c>
      <c r="L254" s="3" t="inlineStr">
        <is>
          <t>유성대박</t>
        </is>
      </c>
      <c r="M254" s="3" t="n">
        <v>1</v>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3" t="inlineStr">
        <is>
          <t>용도지역  제1종일반주거지역  현재 지목  답</t>
        </is>
      </c>
      <c r="I255" s="5">
        <f>HYPERLINK("https://fin.land.naver.com/articles/2647244329", "매물Link")</f>
        <v/>
      </c>
      <c r="J255" s="5">
        <f>HYPERLINK("https://map.naver.com/p/search/금남면 달전리 699-19", "지도Link")</f>
        <v/>
      </c>
      <c r="K255" s="5">
        <f>HYPERLINK("http://www.eum.go.kr/web/ar/lu/luLandDet.jsp?pnu=3611034032106990019&amp;isNoScr=script&amp;mode=search", "토지이음")</f>
        <v/>
      </c>
      <c r="L255" s="3" t="inlineStr">
        <is>
          <t>정직한한국</t>
        </is>
      </c>
      <c r="M255" s="3" t="n">
        <v>1</v>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3" t="inlineStr">
        <is>
          <t>산세좋은 최고급의 주말농장입니다</t>
        </is>
      </c>
      <c r="I256" s="5">
        <f>HYPERLINK("https://fin.land.naver.com/articles/2648193656", "매물Link")</f>
        <v/>
      </c>
      <c r="J256" s="5">
        <f>HYPERLINK("https://map.naver.com/p/search/금남면 달전리 80", "지도Link")</f>
        <v/>
      </c>
      <c r="K256" s="5">
        <f>HYPERLINK("http://www.eum.go.kr/web/ar/lu/luLandDet.jsp?pnu=3611034032100800000&amp;isNoScr=script&amp;mode=search", "토지이음")</f>
        <v/>
      </c>
      <c r="L256" s="3" t="inlineStr">
        <is>
          <t>복댕이</t>
        </is>
      </c>
      <c r="M256" s="3" t="n">
        <v>2</v>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3" t="inlineStr">
        <is>
          <t>세종시 금남면 달전리 산10의1외 3필지, 자연녹지, 개발제한구역</t>
        </is>
      </c>
      <c r="I257" s="5">
        <f>HYPERLINK("https://fin.land.naver.com/articles/2647665778", "매물Link")</f>
        <v/>
      </c>
      <c r="J257" s="5">
        <f>HYPERLINK("https://map.naver.com/p/search/금남면 달전리 산10-1", "지도Link")</f>
        <v/>
      </c>
      <c r="K257" s="5">
        <f>HYPERLINK("http://www.eum.go.kr/web/ar/lu/luLandDet.jsp?pnu=3611034032200100001&amp;isNoScr=script&amp;mode=search", "토지이음")</f>
        <v/>
      </c>
      <c r="L257" s="3" t="inlineStr">
        <is>
          <t>코리아랜드</t>
        </is>
      </c>
      <c r="M257" s="3" t="n">
        <v>1</v>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3" t="inlineStr">
        <is>
          <t>세종시 금남면 달전리 산10의1외 3필지, 자연녹지, 개발제한구역</t>
        </is>
      </c>
      <c r="I258" s="5">
        <f>HYPERLINK("https://fin.land.naver.com/articles/2646008067", "매물Link")</f>
        <v/>
      </c>
      <c r="J258" s="5">
        <f>HYPERLINK("https://map.naver.com/p/search/금남면 달전리 산10-1", "지도Link")</f>
        <v/>
      </c>
      <c r="K258" s="5">
        <f>HYPERLINK("http://www.eum.go.kr/web/ar/lu/luLandDet.jsp?pnu=3611034032200100001&amp;isNoScr=script&amp;mode=search", "토지이음")</f>
        <v/>
      </c>
      <c r="L258" s="3" t="inlineStr">
        <is>
          <t>코리아랜드</t>
        </is>
      </c>
      <c r="M258" s="3" t="n">
        <v>2</v>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3" t="inlineStr">
        <is>
          <t>임야이나 실제 사용은 밭으로 사용중
대전둔곡지구 인근에  있습니다.</t>
        </is>
      </c>
      <c r="I259" s="5">
        <f>HYPERLINK("https://fin.land.naver.com/articles/2650042771", "매물Link")</f>
        <v/>
      </c>
      <c r="J259" s="5">
        <f>HYPERLINK("https://map.naver.com/p/search/금남면 달전리 산24-57", "지도Link")</f>
        <v/>
      </c>
      <c r="K259" s="5">
        <f>HYPERLINK("http://www.eum.go.kr/web/ar/lu/luLandDet.jsp?pnu=3611034032200240057&amp;isNoScr=script&amp;mode=search", "토지이음")</f>
        <v/>
      </c>
      <c r="L259" s="3" t="inlineStr">
        <is>
          <t>가오드림</t>
        </is>
      </c>
      <c r="M259" s="3" t="n">
        <v>1</v>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3" t="inlineStr">
        <is>
          <t>달전리 도로접한 토지매매</t>
        </is>
      </c>
      <c r="I260" s="5">
        <f>HYPERLINK("https://fin.land.naver.com/articles/2647112120", "매물Link")</f>
        <v/>
      </c>
      <c r="J260" s="5">
        <f>HYPERLINK("https://map.naver.com/p/search/금남면 달전리 산24-79", "지도Link")</f>
        <v/>
      </c>
      <c r="K260" s="5">
        <f>HYPERLINK("http://www.eum.go.kr/web/ar/lu/luLandDet.jsp?pnu=3611034032200240079&amp;isNoScr=script&amp;mode=search", "토지이음")</f>
        <v/>
      </c>
      <c r="L260" s="3" t="inlineStr">
        <is>
          <t>THE행복</t>
        </is>
      </c>
      <c r="M260" s="3" t="n">
        <v>1</v>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3" t="inlineStr">
        <is>
          <t>활용도에 따라 다양한 가능성,임야 투자처로 추천</t>
        </is>
      </c>
      <c r="I261" s="5">
        <f>HYPERLINK("https://fin.land.naver.com/articles/2644795144", "매물Link")</f>
        <v/>
      </c>
      <c r="J261" s="5">
        <f>HYPERLINK("https://map.naver.com/p/search/금남면 달전리 산71", "지도Link")</f>
        <v/>
      </c>
      <c r="K261" s="5">
        <f>HYPERLINK("http://www.eum.go.kr/web/ar/lu/luLandDet.jsp?pnu=3611034032200710000&amp;isNoScr=script&amp;mode=search", "토지이음")</f>
        <v/>
      </c>
      <c r="L261" s="3" t="inlineStr">
        <is>
          <t>가치잇는</t>
        </is>
      </c>
      <c r="M261" s="3" t="n">
        <v>1</v>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3" t="inlineStr">
        <is>
          <t>nan</t>
        </is>
      </c>
      <c r="I262" s="5">
        <f>HYPERLINK("https://fin.land.naver.com/articles/2646798554", "매물Link")</f>
        <v/>
      </c>
      <c r="J262" s="5">
        <f>HYPERLINK("https://map.naver.com/p/search/금남면 달전리 산9-7", "지도Link")</f>
        <v/>
      </c>
      <c r="K262" s="5">
        <f>HYPERLINK("http://www.eum.go.kr/web/ar/lu/luLandDet.jsp?pnu=3611034032200090007&amp;isNoScr=script&amp;mode=search", "토지이음")</f>
        <v/>
      </c>
      <c r="L262" s="3" t="inlineStr">
        <is>
          <t>가치잇는</t>
        </is>
      </c>
      <c r="M262" s="3" t="n">
        <v>2</v>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3" t="inlineStr">
        <is>
          <t>도로에서 150m떨어진 밭.</t>
        </is>
      </c>
      <c r="I263" s="5">
        <f>HYPERLINK("https://fin.land.naver.com/articles/2648855606", "매물Link")</f>
        <v/>
      </c>
      <c r="J263" s="5">
        <f>HYPERLINK("https://map.naver.com/p/search/금남면 대박리 175", "지도Link")</f>
        <v/>
      </c>
      <c r="K263" s="5">
        <f>HYPERLINK("http://www.eum.go.kr/web/ar/lu/luLandDet.jsp?pnu=3611034034101750000&amp;isNoScr=script&amp;mode=search", "토지이음")</f>
        <v/>
      </c>
      <c r="L263" s="3" t="inlineStr">
        <is>
          <t>-</t>
        </is>
      </c>
      <c r="M263" s="3" t="n">
        <v>1</v>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3" t="inlineStr">
        <is>
          <t>도로 접해있는 답 I 경지정리된 농지</t>
        </is>
      </c>
      <c r="I264" s="5">
        <f>HYPERLINK("https://fin.land.naver.com/articles/2644580769", "매물Link")</f>
        <v/>
      </c>
      <c r="J264" s="5">
        <f>HYPERLINK("https://map.naver.com/p/search/금남면 대박리 242-11", "지도Link")</f>
        <v/>
      </c>
      <c r="K264" s="5">
        <f>HYPERLINK("http://www.eum.go.kr/web/ar/lu/luLandDet.jsp?pnu=3611034034102420011&amp;isNoScr=script&amp;mode=search", "토지이음")</f>
        <v/>
      </c>
      <c r="L264" s="3" t="inlineStr">
        <is>
          <t>옥수</t>
        </is>
      </c>
      <c r="M264" s="3" t="n">
        <v>1</v>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3" t="inlineStr">
        <is>
          <t>경지정리된 농지 I 도로 접한 땅</t>
        </is>
      </c>
      <c r="I265" s="5">
        <f>HYPERLINK("https://fin.land.naver.com/articles/2644581351", "매물Link")</f>
        <v/>
      </c>
      <c r="J265" s="5">
        <f>HYPERLINK("https://map.naver.com/p/search/금남면 대박리 243-14", "지도Link")</f>
        <v/>
      </c>
      <c r="K265" s="5">
        <f>HYPERLINK("http://www.eum.go.kr/web/ar/lu/luLandDet.jsp?pnu=3611034034102430014&amp;isNoScr=script&amp;mode=search", "토지이음")</f>
        <v/>
      </c>
      <c r="L265" s="3" t="inlineStr">
        <is>
          <t>옥수</t>
        </is>
      </c>
      <c r="M265" s="3" t="n">
        <v>1</v>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3" t="inlineStr">
        <is>
          <t>세종 뷰 좋고 투자가치 좋은 전원주택지</t>
        </is>
      </c>
      <c r="I266" s="5">
        <f>HYPERLINK("https://fin.land.naver.com/articles/2649811582", "매물Link")</f>
        <v/>
      </c>
      <c r="J266" s="5">
        <f>HYPERLINK("https://map.naver.com/p/search/금남면 대박리 313-47", "지도Link")</f>
        <v/>
      </c>
      <c r="K266" s="5">
        <f>HYPERLINK("http://www.eum.go.kr/web/ar/lu/luLandDet.jsp?pnu=3611034034103130047&amp;isNoScr=script&amp;mode=search", "토지이음")</f>
        <v/>
      </c>
      <c r="L266" s="3" t="inlineStr">
        <is>
          <t>미소</t>
        </is>
      </c>
      <c r="M266" s="3" t="n">
        <v>1</v>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3" t="inlineStr">
        <is>
          <t>4생활옆 대박리 전원주택지</t>
        </is>
      </c>
      <c r="I267" s="5">
        <f>HYPERLINK("https://fin.land.naver.com/articles/2646292640", "매물Link")</f>
        <v/>
      </c>
      <c r="J267" s="5">
        <f>HYPERLINK("https://map.naver.com/p/search/금남면 대박리 313-47", "지도Link")</f>
        <v/>
      </c>
      <c r="K267" s="5">
        <f>HYPERLINK("http://www.eum.go.kr/web/ar/lu/luLandDet.jsp?pnu=3611034034103130047&amp;isNoScr=script&amp;mode=search", "토지이음")</f>
        <v/>
      </c>
      <c r="L267" s="3" t="inlineStr">
        <is>
          <t>세종천지</t>
        </is>
      </c>
      <c r="M267" s="3" t="n">
        <v>1</v>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3" t="inlineStr">
        <is>
          <t>상하수도 전기통신, 행복도시 5분거리</t>
        </is>
      </c>
      <c r="I268" s="5">
        <f>HYPERLINK("https://fin.land.naver.com/articles/2645606795", "매물Link")</f>
        <v/>
      </c>
      <c r="J268" s="5">
        <f>HYPERLINK("https://map.naver.com/p/search/금남면 대박리 313-53", "지도Link")</f>
        <v/>
      </c>
      <c r="K268" s="5">
        <f>HYPERLINK("http://www.eum.go.kr/web/ar/lu/luLandDet.jsp?pnu=3611034034103130053&amp;isNoScr=script&amp;mode=search", "토지이음")</f>
        <v/>
      </c>
      <c r="L268" s="3" t="inlineStr">
        <is>
          <t>미스터홈즈강남지사</t>
        </is>
      </c>
      <c r="M268" s="3" t="n">
        <v>1</v>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3" t="inlineStr">
        <is>
          <t>세종시청에서 차량으로15분소요,세종시와대전시인접한토지</t>
        </is>
      </c>
      <c r="I269" s="5">
        <f>HYPERLINK("https://fin.land.naver.com/articles/2646092003", "매물Link")</f>
        <v/>
      </c>
      <c r="J269" s="5">
        <f>HYPERLINK("https://map.naver.com/p/search/금남면 대박리 331", "지도Link")</f>
        <v/>
      </c>
      <c r="K269" s="5">
        <f>HYPERLINK("http://www.eum.go.kr/web/ar/lu/luLandDet.jsp?pnu=3611034034103310000&amp;isNoScr=script&amp;mode=search", "토지이음")</f>
        <v/>
      </c>
      <c r="L269" s="3" t="inlineStr">
        <is>
          <t>담뜰</t>
        </is>
      </c>
      <c r="M269" s="3" t="n">
        <v>1</v>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3" t="inlineStr">
        <is>
          <t>마을 안쪽에 위치한 조용한 밭입니다.</t>
        </is>
      </c>
      <c r="I270" s="5">
        <f>HYPERLINK("https://fin.land.naver.com/articles/2647841592", "매물Link")</f>
        <v/>
      </c>
      <c r="J270" s="5">
        <f>HYPERLINK("https://map.naver.com/p/search/금남면 대박리 351", "지도Link")</f>
        <v/>
      </c>
      <c r="K270" s="5">
        <f>HYPERLINK("http://www.eum.go.kr/web/ar/lu/luLandDet.jsp?pnu=3611034034103510000&amp;isNoScr=script&amp;mode=search", "토지이음")</f>
        <v/>
      </c>
      <c r="L270" s="3" t="inlineStr">
        <is>
          <t>대박</t>
        </is>
      </c>
      <c r="M270" s="3" t="n">
        <v>1</v>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3" t="inlineStr">
        <is>
          <t>소액투자추천 세종행복도시원내인접 계획관리</t>
        </is>
      </c>
      <c r="I271" s="5">
        <f>HYPERLINK("https://fin.land.naver.com/articles/2649199751", "매물Link")</f>
        <v/>
      </c>
      <c r="J271" s="5">
        <f>HYPERLINK("https://map.naver.com/p/search/금남면 대박리 367-17", "지도Link")</f>
        <v/>
      </c>
      <c r="K271" s="5">
        <f>HYPERLINK("http://www.eum.go.kr/web/ar/lu/luLandDet.jsp?pnu=3611034034103670017&amp;isNoScr=script&amp;mode=search", "토지이음")</f>
        <v/>
      </c>
      <c r="L271" s="3" t="inlineStr">
        <is>
          <t>뉴엘리트탑</t>
        </is>
      </c>
      <c r="M271" s="3" t="n">
        <v>1</v>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3" t="inlineStr">
        <is>
          <t>도로에 길게 접한 활용성이 좋은 택지</t>
        </is>
      </c>
      <c r="I272" s="5">
        <f>HYPERLINK("https://fin.land.naver.com/articles/2647722359", "매물Link")</f>
        <v/>
      </c>
      <c r="J272" s="5">
        <f>HYPERLINK("https://map.naver.com/p/search/금남면 대박리 368", "지도Link")</f>
        <v/>
      </c>
      <c r="K272" s="5">
        <f>HYPERLINK("http://www.eum.go.kr/web/ar/lu/luLandDet.jsp?pnu=3611034034103680000&amp;isNoScr=script&amp;mode=search", "토지이음")</f>
        <v/>
      </c>
      <c r="L272" s="3" t="inlineStr">
        <is>
          <t>세종제일</t>
        </is>
      </c>
      <c r="M272" s="3" t="n">
        <v>1</v>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3" t="inlineStr">
        <is>
          <t>급매, 계획관리지역, 지목이대로바로건축가능, 협의,절충, 주위인프라굿</t>
        </is>
      </c>
      <c r="I273" s="5">
        <f>HYPERLINK("https://fin.land.naver.com/articles/2647506346", "매물Link")</f>
        <v/>
      </c>
      <c r="J273" s="5">
        <f>HYPERLINK("https://map.naver.com/p/search/금남면 대박리 369-3", "지도Link")</f>
        <v/>
      </c>
      <c r="K273" s="5">
        <f>HYPERLINK("http://www.eum.go.kr/web/ar/lu/luLandDet.jsp?pnu=3611034034103690003&amp;isNoScr=script&amp;mode=search", "토지이음")</f>
        <v/>
      </c>
      <c r="L273" s="3" t="inlineStr">
        <is>
          <t>세종한울</t>
        </is>
      </c>
      <c r="M273" s="3" t="n">
        <v>1</v>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3" t="inlineStr">
        <is>
          <t>금남면 대박리 2차선 도로옆 계획관리</t>
        </is>
      </c>
      <c r="I274" s="5">
        <f>HYPERLINK("https://fin.land.naver.com/articles/2645470099", "매물Link")</f>
        <v/>
      </c>
      <c r="J274" s="5">
        <f>HYPERLINK("https://map.naver.com/p/search/금남면 대박리 71-4", "지도Link")</f>
        <v/>
      </c>
      <c r="K274" s="5">
        <f>HYPERLINK("http://www.eum.go.kr/web/ar/lu/luLandDet.jsp?pnu=3611034034100710004&amp;isNoScr=script&amp;mode=search", "토지이음")</f>
        <v/>
      </c>
      <c r="L274" s="3" t="inlineStr">
        <is>
          <t>강아지풀</t>
        </is>
      </c>
      <c r="M274" s="3" t="n">
        <v>1</v>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3" t="inlineStr">
        <is>
          <t>금남면 대박리 1종일반 나대지 매매, 2차선 접, 신도시 인근</t>
        </is>
      </c>
      <c r="I275" s="5">
        <f>HYPERLINK("https://fin.land.naver.com/articles/2646847697", "매물Link")</f>
        <v/>
      </c>
      <c r="J275" s="5">
        <f>HYPERLINK("https://map.naver.com/p/search/금남면 대박리 71-4", "지도Link")</f>
        <v/>
      </c>
      <c r="K275" s="5">
        <f>HYPERLINK("http://www.eum.go.kr/web/ar/lu/luLandDet.jsp?pnu=3611034034100710004&amp;isNoScr=script&amp;mode=search", "토지이음")</f>
        <v/>
      </c>
      <c r="L275" s="3" t="inlineStr">
        <is>
          <t>스카이</t>
        </is>
      </c>
      <c r="M275" s="3" t="n">
        <v>1</v>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3" t="inlineStr">
        <is>
          <t>대박리 마을 카페 앞 땅 I 넓은 주택가 땅</t>
        </is>
      </c>
      <c r="I276" s="5">
        <f>HYPERLINK("https://fin.land.naver.com/articles/2644581623", "매물Link")</f>
        <v/>
      </c>
      <c r="J276" s="5">
        <f>HYPERLINK("https://map.naver.com/p/search/금남면 대박리 74", "지도Link")</f>
        <v/>
      </c>
      <c r="K276" s="5">
        <f>HYPERLINK("http://www.eum.go.kr/web/ar/lu/luLandDet.jsp?pnu=3611034034100740000&amp;isNoScr=script&amp;mode=search", "토지이음")</f>
        <v/>
      </c>
      <c r="L276" s="3" t="inlineStr">
        <is>
          <t>옥수</t>
        </is>
      </c>
      <c r="M276" s="3" t="n">
        <v>1</v>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3" t="inlineStr">
        <is>
          <t>대박리 마을 마을 회관 옆 I 도로 접한 집 I</t>
        </is>
      </c>
      <c r="I277" s="5">
        <f>HYPERLINK("https://fin.land.naver.com/articles/2644581758", "매물Link")</f>
        <v/>
      </c>
      <c r="J277" s="5">
        <f>HYPERLINK("https://map.naver.com/p/search/금남면 대박리 75-2", "지도Link")</f>
        <v/>
      </c>
      <c r="K277" s="5">
        <f>HYPERLINK("http://www.eum.go.kr/web/ar/lu/luLandDet.jsp?pnu=3611034034100750002&amp;isNoScr=script&amp;mode=search", "토지이음")</f>
        <v/>
      </c>
      <c r="L277" s="3" t="inlineStr">
        <is>
          <t>옥수</t>
        </is>
      </c>
      <c r="M277" s="3" t="n">
        <v>1</v>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3" t="inlineStr">
        <is>
          <t>nan</t>
        </is>
      </c>
      <c r="I278" s="5">
        <f>HYPERLINK("https://fin.land.naver.com/articles/2648814717", "매물Link")</f>
        <v/>
      </c>
      <c r="J278" s="5">
        <f>HYPERLINK("https://map.naver.com/p/search/금남면 대박리 산48", "지도Link")</f>
        <v/>
      </c>
      <c r="K278" s="5">
        <f>HYPERLINK("http://www.eum.go.kr/web/ar/lu/luLandDet.jsp?pnu=3611034034200480000&amp;isNoScr=script&amp;mode=search", "토지이음")</f>
        <v/>
      </c>
      <c r="L278" s="3" t="inlineStr">
        <is>
          <t>한마음</t>
        </is>
      </c>
      <c r="M278" s="3" t="n">
        <v>1</v>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3" t="inlineStr">
        <is>
          <t>금남면 도남리 도로접한 계획관리 토지, 단독주택 및 근생시설, 금강수목원</t>
        </is>
      </c>
      <c r="I279" s="5">
        <f>HYPERLINK("https://fin.land.naver.com/articles/2647204302", "매물Link")</f>
        <v/>
      </c>
      <c r="J279" s="5">
        <f>HYPERLINK("https://map.naver.com/p/search/금남면 도남리 103", "지도Link")</f>
        <v/>
      </c>
      <c r="K279" s="5">
        <f>HYPERLINK("http://www.eum.go.kr/web/ar/lu/luLandDet.jsp?pnu=3611034046101030000&amp;isNoScr=script&amp;mode=search", "토지이음")</f>
        <v/>
      </c>
      <c r="L279" s="3" t="inlineStr">
        <is>
          <t>스카이</t>
        </is>
      </c>
      <c r="M279" s="3" t="n">
        <v>2</v>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3" t="inlineStr">
        <is>
          <t>금남면 도남리 계획관리 토지, 2차선 바로 옆으로 진입, 근생 건축</t>
        </is>
      </c>
      <c r="I280" s="5">
        <f>HYPERLINK("https://fin.land.naver.com/articles/2647204366", "매물Link")</f>
        <v/>
      </c>
      <c r="J280" s="5">
        <f>HYPERLINK("https://map.naver.com/p/search/금남면 도남리 11-2", "지도Link")</f>
        <v/>
      </c>
      <c r="K280" s="5">
        <f>HYPERLINK("http://www.eum.go.kr/web/ar/lu/luLandDet.jsp?pnu=3611034046100110002&amp;isNoScr=script&amp;mode=search", "토지이음")</f>
        <v/>
      </c>
      <c r="L280" s="3" t="inlineStr">
        <is>
          <t>스카이</t>
        </is>
      </c>
      <c r="M280" s="3" t="n">
        <v>2</v>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3" t="inlineStr">
        <is>
          <t>nan</t>
        </is>
      </c>
      <c r="I281" s="5">
        <f>HYPERLINK("https://fin.land.naver.com/articles/2646839372", "매물Link")</f>
        <v/>
      </c>
      <c r="J281" s="5">
        <f>HYPERLINK("https://map.naver.com/p/search/금남면 도남리 114-11", "지도Link")</f>
        <v/>
      </c>
      <c r="K281" s="5">
        <f>HYPERLINK("http://www.eum.go.kr/web/ar/lu/luLandDet.jsp?pnu=3611034046101140011&amp;isNoScr=script&amp;mode=search", "토지이음")</f>
        <v/>
      </c>
      <c r="L281" s="3" t="inlineStr">
        <is>
          <t>세종몽땅</t>
        </is>
      </c>
      <c r="M281" s="3" t="n">
        <v>1</v>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3" t="inlineStr">
        <is>
          <t>금남면 도남리 개발된 토지 및 단독주택, 금강뷰, 자연취락지구</t>
        </is>
      </c>
      <c r="I282" s="5">
        <f>HYPERLINK("https://fin.land.naver.com/articles/2646864745", "매물Link")</f>
        <v/>
      </c>
      <c r="J282" s="5">
        <f>HYPERLINK("https://map.naver.com/p/search/금남면 도남리 116-55", "지도Link")</f>
        <v/>
      </c>
      <c r="K282" s="5">
        <f>HYPERLINK("http://www.eum.go.kr/web/ar/lu/luLandDet.jsp?pnu=3611034046101160055&amp;isNoScr=script&amp;mode=search", "토지이음")</f>
        <v/>
      </c>
      <c r="L282" s="3" t="inlineStr">
        <is>
          <t>스카이</t>
        </is>
      </c>
      <c r="M282" s="3" t="n">
        <v>1</v>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3" t="inlineStr">
        <is>
          <t>금강뷰 건축용지 매매</t>
        </is>
      </c>
      <c r="I283" s="5">
        <f>HYPERLINK("https://fin.land.naver.com/articles/2647110741", "매물Link")</f>
        <v/>
      </c>
      <c r="J283" s="5">
        <f>HYPERLINK("https://map.naver.com/p/search/금남면 도남리 116-86", "지도Link")</f>
        <v/>
      </c>
      <c r="K283" s="5">
        <f>HYPERLINK("http://www.eum.go.kr/web/ar/lu/luLandDet.jsp?pnu=3611034046101160086&amp;isNoScr=script&amp;mode=search", "토지이음")</f>
        <v/>
      </c>
      <c r="L283" s="3" t="inlineStr">
        <is>
          <t>THE행복</t>
        </is>
      </c>
      <c r="M283" s="3" t="n">
        <v>1</v>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3" t="inlineStr">
        <is>
          <t>대자157p  건물22p  근생으로다양하게활용가능</t>
        </is>
      </c>
      <c r="I284" s="5">
        <f>HYPERLINK("https://fin.land.naver.com/articles/2649910115", "매물Link")</f>
        <v/>
      </c>
      <c r="J284" s="5">
        <f>HYPERLINK("https://map.naver.com/p/search/금남면 도남리 119-1", "지도Link")</f>
        <v/>
      </c>
      <c r="K284" s="5">
        <f>HYPERLINK("http://www.eum.go.kr/web/ar/lu/luLandDet.jsp?pnu=3611034046101190001&amp;isNoScr=script&amp;mode=search", "토지이음")</f>
        <v/>
      </c>
      <c r="L284" s="3" t="inlineStr">
        <is>
          <t>동백</t>
        </is>
      </c>
      <c r="M284" s="3" t="n">
        <v>2</v>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3" t="inlineStr">
        <is>
          <t>금남면 도남리 마을 안 계획관리 토지, 사옥 및 창고 추천, 저렴</t>
        </is>
      </c>
      <c r="I285" s="5">
        <f>HYPERLINK("https://fin.land.naver.com/articles/2646868929", "매물Link")</f>
        <v/>
      </c>
      <c r="J285" s="5">
        <f>HYPERLINK("https://map.naver.com/p/search/금남면 도남리 127", "지도Link")</f>
        <v/>
      </c>
      <c r="K285" s="5">
        <f>HYPERLINK("http://www.eum.go.kr/web/ar/lu/luLandDet.jsp?pnu=3611034046101270000&amp;isNoScr=script&amp;mode=search", "토지이음")</f>
        <v/>
      </c>
      <c r="L285" s="3" t="inlineStr">
        <is>
          <t>스카이</t>
        </is>
      </c>
      <c r="M285" s="3" t="n">
        <v>2</v>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3" t="inlineStr">
        <is>
          <t>금강의 여유를 품은 힐링 토지,세종 10분내 진입권,도로인접</t>
        </is>
      </c>
      <c r="I286" s="5">
        <f>HYPERLINK("https://fin.land.naver.com/articles/2649633962", "매물Link")</f>
        <v/>
      </c>
      <c r="J286" s="5">
        <f>HYPERLINK("https://map.naver.com/p/search/금남면 도남리 145", "지도Link")</f>
        <v/>
      </c>
      <c r="K286" s="5">
        <f>HYPERLINK("http://www.eum.go.kr/web/ar/lu/luLandDet.jsp?pnu=3611034046101450000&amp;isNoScr=script&amp;mode=search", "토지이음")</f>
        <v/>
      </c>
      <c r="L286" s="3" t="inlineStr">
        <is>
          <t>가치잇는</t>
        </is>
      </c>
      <c r="M286" s="3" t="n">
        <v>3</v>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3" t="inlineStr">
        <is>
          <t>2차선도로에 바로 접한 넓은 토지</t>
        </is>
      </c>
      <c r="I287" s="5">
        <f>HYPERLINK("https://fin.land.naver.com/articles/2644233722", "매물Link")</f>
        <v/>
      </c>
      <c r="J287" s="5">
        <f>HYPERLINK("https://map.naver.com/p/search/금남면 도남리 145", "지도Link")</f>
        <v/>
      </c>
      <c r="K287" s="5">
        <f>HYPERLINK("http://www.eum.go.kr/web/ar/lu/luLandDet.jsp?pnu=3611034046101450000&amp;isNoScr=script&amp;mode=search", "토지이음")</f>
        <v/>
      </c>
      <c r="L287" s="3" t="inlineStr">
        <is>
          <t>세종제일</t>
        </is>
      </c>
      <c r="M287" s="3" t="n">
        <v>1</v>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3" t="inlineStr">
        <is>
          <t>nan</t>
        </is>
      </c>
      <c r="I288" s="5">
        <f>HYPERLINK("https://fin.land.naver.com/articles/2644608473", "매물Link")</f>
        <v/>
      </c>
      <c r="J288" s="5">
        <f>HYPERLINK("https://map.naver.com/p/search/금남면 도남리 192-13", "지도Link")</f>
        <v/>
      </c>
      <c r="K288" s="5">
        <f>HYPERLINK("http://www.eum.go.kr/web/ar/lu/luLandDet.jsp?pnu=3611034046101920013&amp;isNoScr=script&amp;mode=search", "토지이음")</f>
        <v/>
      </c>
      <c r="L288" s="3" t="inlineStr">
        <is>
          <t>세종몽땅</t>
        </is>
      </c>
      <c r="M288" s="3" t="n">
        <v>1</v>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3" t="inlineStr">
        <is>
          <t>금강뷰, 즉시 신축가능한 부자동네의 전망좋은 고급주택지</t>
        </is>
      </c>
      <c r="I289" s="5">
        <f>HYPERLINK("https://fin.land.naver.com/articles/2645601978", "매물Link")</f>
        <v/>
      </c>
      <c r="J289" s="5">
        <f>HYPERLINK("https://map.naver.com/p/search/금남면 도남리 205-31", "지도Link")</f>
        <v/>
      </c>
      <c r="K289" s="5">
        <f>HYPERLINK("http://www.eum.go.kr/web/ar/lu/luLandDet.jsp?pnu=3611034046102050031&amp;isNoScr=script&amp;mode=search", "토지이음")</f>
        <v/>
      </c>
      <c r="L289" s="3" t="inlineStr">
        <is>
          <t>미스터홈즈강남지사</t>
        </is>
      </c>
      <c r="M289" s="3" t="n">
        <v>1</v>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3" t="inlineStr">
        <is>
          <t>대 포함 3필지 계획관리지역 일괄매매</t>
        </is>
      </c>
      <c r="I290" s="5">
        <f>HYPERLINK("https://fin.land.naver.com/articles/2648741434", "매물Link")</f>
        <v/>
      </c>
      <c r="J290" s="5">
        <f>HYPERLINK("https://map.naver.com/p/search/금남면 도남리 306", "지도Link")</f>
        <v/>
      </c>
      <c r="K290" s="5">
        <f>HYPERLINK("http://www.eum.go.kr/web/ar/lu/luLandDet.jsp?pnu=3611034046103060000&amp;isNoScr=script&amp;mode=search", "토지이음")</f>
        <v/>
      </c>
      <c r="L290" s="3" t="inlineStr">
        <is>
          <t>세종몽땅</t>
        </is>
      </c>
      <c r="M290" s="3" t="n">
        <v>1</v>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3" t="inlineStr">
        <is>
          <t>급매 주변에 카폐,전원주택들이 있고,세종 청사 10분거리,진입도로있음</t>
        </is>
      </c>
      <c r="I291" s="5">
        <f>HYPERLINK("https://fin.land.naver.com/articles/2646377205", "매물Link")</f>
        <v/>
      </c>
      <c r="J291" s="5">
        <f>HYPERLINK("https://map.naver.com/p/search/금남면 도남리 308", "지도Link")</f>
        <v/>
      </c>
      <c r="K291" s="5">
        <f>HYPERLINK("http://www.eum.go.kr/web/ar/lu/luLandDet.jsp?pnu=3611034046103080000&amp;isNoScr=script&amp;mode=search", "토지이음")</f>
        <v/>
      </c>
      <c r="L291" s="3" t="inlineStr">
        <is>
          <t>그린영광</t>
        </is>
      </c>
      <c r="M291" s="3" t="n">
        <v>1</v>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3" t="inlineStr">
        <is>
          <t>금강수목원인근 2차선에 인접한 계획관리토지</t>
        </is>
      </c>
      <c r="I292" s="5">
        <f>HYPERLINK("https://fin.land.naver.com/articles/2645605721", "매물Link")</f>
        <v/>
      </c>
      <c r="J292" s="5">
        <f>HYPERLINK("https://map.naver.com/p/search/금남면 도남리 308", "지도Link")</f>
        <v/>
      </c>
      <c r="K292" s="5">
        <f>HYPERLINK("http://www.eum.go.kr/web/ar/lu/luLandDet.jsp?pnu=3611034046103080000&amp;isNoScr=script&amp;mode=search", "토지이음")</f>
        <v/>
      </c>
      <c r="L292" s="3" t="inlineStr">
        <is>
          <t>미스터홈즈강남지사</t>
        </is>
      </c>
      <c r="M292" s="3" t="n">
        <v>1</v>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3" t="inlineStr">
        <is>
          <t>금남면 2차선변 계획관리 대지, 소형평수, 금강수목원 옆</t>
        </is>
      </c>
      <c r="I293" s="5">
        <f>HYPERLINK("https://fin.land.naver.com/articles/2647284906", "매물Link")</f>
        <v/>
      </c>
      <c r="J293" s="5">
        <f>HYPERLINK("https://map.naver.com/p/search/금남면 도남리 4-12", "지도Link")</f>
        <v/>
      </c>
      <c r="K293" s="5">
        <f>HYPERLINK("http://www.eum.go.kr/web/ar/lu/luLandDet.jsp?pnu=3611034046100040012&amp;isNoScr=script&amp;mode=search", "토지이음")</f>
        <v/>
      </c>
      <c r="L293" s="3" t="inlineStr">
        <is>
          <t>스카이</t>
        </is>
      </c>
      <c r="M293" s="3" t="n">
        <v>1</v>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3" t="inlineStr">
        <is>
          <t>구산림박물관 인근 근생시설부지 매매</t>
        </is>
      </c>
      <c r="I294" s="5">
        <f>HYPERLINK("https://fin.land.naver.com/articles/2648920485", "매물Link")</f>
        <v/>
      </c>
      <c r="J294" s="5">
        <f>HYPERLINK("https://map.naver.com/p/search/금남면 도남리 4-24", "지도Link")</f>
        <v/>
      </c>
      <c r="K294" s="5">
        <f>HYPERLINK("http://www.eum.go.kr/web/ar/lu/luLandDet.jsp?pnu=3611034046100040024&amp;isNoScr=script&amp;mode=search", "토지이음")</f>
        <v/>
      </c>
      <c r="L294" s="3" t="inlineStr">
        <is>
          <t>세종비전행정사</t>
        </is>
      </c>
      <c r="M294" s="3" t="n">
        <v>1</v>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3" t="inlineStr">
        <is>
          <t>구산림박물관 인근 토목공사 완료된 근생시설부지 매매</t>
        </is>
      </c>
      <c r="I295" s="5">
        <f>HYPERLINK("https://fin.land.naver.com/articles/2648920418", "매물Link")</f>
        <v/>
      </c>
      <c r="J295" s="5">
        <f>HYPERLINK("https://map.naver.com/p/search/금남면 도남리 4-25", "지도Link")</f>
        <v/>
      </c>
      <c r="K295" s="5">
        <f>HYPERLINK("http://www.eum.go.kr/web/ar/lu/luLandDet.jsp?pnu=3611034046100040025&amp;isNoScr=script&amp;mode=search", "토지이음")</f>
        <v/>
      </c>
      <c r="L295" s="3" t="inlineStr">
        <is>
          <t>세종비전행정사</t>
        </is>
      </c>
      <c r="M295" s="3" t="n">
        <v>1</v>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3" t="inlineStr">
        <is>
          <t>구 산림박물관 인근 카페 등 근생시설 부지 매매</t>
        </is>
      </c>
      <c r="I296" s="5">
        <f>HYPERLINK("https://fin.land.naver.com/articles/2648920447", "매물Link")</f>
        <v/>
      </c>
      <c r="J296" s="5">
        <f>HYPERLINK("https://map.naver.com/p/search/금남면 도남리 4-26", "지도Link")</f>
        <v/>
      </c>
      <c r="K296" s="5">
        <f>HYPERLINK("http://www.eum.go.kr/web/ar/lu/luLandDet.jsp?pnu=3611034046100040026&amp;isNoScr=script&amp;mode=search", "토지이음")</f>
        <v/>
      </c>
      <c r="L296" s="3" t="inlineStr">
        <is>
          <t>세종비전행정사</t>
        </is>
      </c>
      <c r="M296" s="3" t="n">
        <v>1</v>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3" t="inlineStr">
        <is>
          <t>nan</t>
        </is>
      </c>
      <c r="I297" s="5">
        <f>HYPERLINK("https://fin.land.naver.com/articles/2644181307", "매물Link")</f>
        <v/>
      </c>
      <c r="J297" s="5">
        <f>HYPERLINK("https://map.naver.com/p/search/금남면 도남리 6-3", "지도Link")</f>
        <v/>
      </c>
      <c r="K297" s="5">
        <f>HYPERLINK("http://www.eum.go.kr/web/ar/lu/luLandDet.jsp?pnu=3611034046100060003&amp;isNoScr=script&amp;mode=search", "토지이음")</f>
        <v/>
      </c>
      <c r="L297" s="3" t="inlineStr">
        <is>
          <t>세종</t>
        </is>
      </c>
      <c r="M297" s="3" t="n">
        <v>1</v>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3" t="inlineStr">
        <is>
          <t>금강수목원인접토지.가격조정가능</t>
        </is>
      </c>
      <c r="I298" s="5">
        <f>HYPERLINK("https://fin.land.naver.com/articles/2647299469", "매물Link")</f>
        <v/>
      </c>
      <c r="J298" s="5">
        <f>HYPERLINK("https://map.naver.com/p/search/금남면 도남리 6-4", "지도Link")</f>
        <v/>
      </c>
      <c r="K298" s="5">
        <f>HYPERLINK("http://www.eum.go.kr/web/ar/lu/luLandDet.jsp?pnu=3611034046100060004&amp;isNoScr=script&amp;mode=search", "토지이음")</f>
        <v/>
      </c>
      <c r="L298" s="3" t="inlineStr">
        <is>
          <t>늘봄</t>
        </is>
      </c>
      <c r="M298" s="3" t="n">
        <v>1</v>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3" t="inlineStr">
        <is>
          <t>2차선도로변 토지</t>
        </is>
      </c>
      <c r="I299" s="5">
        <f>HYPERLINK("https://fin.land.naver.com/articles/2647994435", "매물Link")</f>
        <v/>
      </c>
      <c r="J299" s="5">
        <f>HYPERLINK("https://map.naver.com/p/search/금남면 도남리 82-1", "지도Link")</f>
        <v/>
      </c>
      <c r="K299" s="5">
        <f>HYPERLINK("http://www.eum.go.kr/web/ar/lu/luLandDet.jsp?pnu=3611034046100820001&amp;isNoScr=script&amp;mode=search", "토지이음")</f>
        <v/>
      </c>
      <c r="L299" s="3" t="inlineStr">
        <is>
          <t>the다올</t>
        </is>
      </c>
      <c r="M299" s="3" t="n">
        <v>2</v>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3" t="inlineStr">
        <is>
          <t>금남면 도남리 2차선변 보전관리 토지, 금강수목원 인근, 불티교 통함</t>
        </is>
      </c>
      <c r="I300" s="5">
        <f>HYPERLINK("https://fin.land.naver.com/articles/2647204782", "매물Link")</f>
        <v/>
      </c>
      <c r="J300" s="5">
        <f>HYPERLINK("https://map.naver.com/p/search/금남면 도남리 84", "지도Link")</f>
        <v/>
      </c>
      <c r="K300" s="5">
        <f>HYPERLINK("http://www.eum.go.kr/web/ar/lu/luLandDet.jsp?pnu=3611034046100840000&amp;isNoScr=script&amp;mode=search", "토지이음")</f>
        <v/>
      </c>
      <c r="L300" s="3" t="inlineStr">
        <is>
          <t>스카이</t>
        </is>
      </c>
      <c r="M300" s="3" t="n">
        <v>1</v>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3" t="inlineStr">
        <is>
          <t>금남면 도남리 계획관리 토지, 도로접, 농막 및 체류형 쉼터, 투자용</t>
        </is>
      </c>
      <c r="I301" s="5">
        <f>HYPERLINK("https://fin.land.naver.com/articles/2647204238", "매물Link")</f>
        <v/>
      </c>
      <c r="J301" s="5">
        <f>HYPERLINK("https://map.naver.com/p/search/금남면 도남리 96-1", "지도Link")</f>
        <v/>
      </c>
      <c r="K301" s="5">
        <f>HYPERLINK("http://www.eum.go.kr/web/ar/lu/luLandDet.jsp?pnu=3611034046100960001&amp;isNoScr=script&amp;mode=search", "토지이음")</f>
        <v/>
      </c>
      <c r="L301" s="3" t="inlineStr">
        <is>
          <t>스카이</t>
        </is>
      </c>
      <c r="M301" s="3" t="n">
        <v>1</v>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3" t="inlineStr">
        <is>
          <t>대지 건축가능 남동향 급매물</t>
        </is>
      </c>
      <c r="I302" s="5">
        <f>HYPERLINK("https://fin.land.naver.com/articles/2649386053", "매물Link")</f>
        <v/>
      </c>
      <c r="J302" s="5">
        <f>HYPERLINK("https://map.naver.com/p/search/금남면 도남리 99", "지도Link")</f>
        <v/>
      </c>
      <c r="K302" s="5">
        <f>HYPERLINK("http://www.eum.go.kr/web/ar/lu/luLandDet.jsp?pnu=3611034046100990000&amp;isNoScr=script&amp;mode=search", "토지이음")</f>
        <v/>
      </c>
      <c r="L302" s="3" t="inlineStr">
        <is>
          <t>신현대</t>
        </is>
      </c>
      <c r="M302" s="3" t="n">
        <v>1</v>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3" t="inlineStr">
        <is>
          <t>도남리 금강조망 나오는 타운하우스 개발용 토지매매</t>
        </is>
      </c>
      <c r="I303" s="5">
        <f>HYPERLINK("https://fin.land.naver.com/articles/2648545919", "매물Link")</f>
        <v/>
      </c>
      <c r="J303" s="5">
        <f>HYPERLINK("https://map.naver.com/p/search/금남면 도남리 산9-1", "지도Link")</f>
        <v/>
      </c>
      <c r="K303" s="5">
        <f>HYPERLINK("http://www.eum.go.kr/web/ar/lu/luLandDet.jsp?pnu=3611034046200090001&amp;isNoScr=script&amp;mode=search", "토지이음")</f>
        <v/>
      </c>
      <c r="L303" s="3" t="inlineStr">
        <is>
          <t>에이스</t>
        </is>
      </c>
      <c r="M303" s="3" t="n">
        <v>1</v>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3" t="inlineStr">
        <is>
          <t>도로연접한 귀한 가치가 있는 땅</t>
        </is>
      </c>
      <c r="I304" s="5">
        <f>HYPERLINK("https://fin.land.naver.com/articles/2645001006", "매물Link")</f>
        <v/>
      </c>
      <c r="J304" s="5">
        <f>HYPERLINK("https://map.naver.com/p/search/금남면 도암리 101-2", "지도Link")</f>
        <v/>
      </c>
      <c r="K304" s="5">
        <f>HYPERLINK("http://www.eum.go.kr/web/ar/lu/luLandDet.jsp?pnu=3611034039101010002&amp;isNoScr=script&amp;mode=search", "토지이음")</f>
        <v/>
      </c>
      <c r="L304" s="3" t="inlineStr">
        <is>
          <t>금돼지</t>
        </is>
      </c>
      <c r="M304" s="3" t="n">
        <v>1</v>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3" t="inlineStr">
        <is>
          <t>금남면 도암리 토지 전. 생산관리지역</t>
        </is>
      </c>
      <c r="I305" s="5">
        <f>HYPERLINK("https://fin.land.naver.com/articles/2649183578", "매물Link")</f>
        <v/>
      </c>
      <c r="J305" s="5">
        <f>HYPERLINK("https://map.naver.com/p/search/금남면 도암리 226-2", "지도Link")</f>
        <v/>
      </c>
      <c r="K305" s="5">
        <f>HYPERLINK("http://www.eum.go.kr/web/ar/lu/luLandDet.jsp?pnu=3611034039102260002&amp;isNoScr=script&amp;mode=search", "토지이음")</f>
        <v/>
      </c>
      <c r="L305" s="3" t="inlineStr">
        <is>
          <t>새롬삼둥이</t>
        </is>
      </c>
      <c r="M305" s="3" t="n">
        <v>1</v>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3" t="inlineStr">
        <is>
          <t>도암리 마을회관앞 주위 단독주택 소재하는곳</t>
        </is>
      </c>
      <c r="I306" s="5">
        <f>HYPERLINK("https://fin.land.naver.com/articles/2644730174", "매물Link")</f>
        <v/>
      </c>
      <c r="J306" s="5">
        <f>HYPERLINK("https://map.naver.com/p/search/금남면 도암리 245-1", "지도Link")</f>
        <v/>
      </c>
      <c r="K306" s="5">
        <f>HYPERLINK("http://www.eum.go.kr/web/ar/lu/luLandDet.jsp?pnu=3611034039102450001&amp;isNoScr=script&amp;mode=search", "토지이음")</f>
        <v/>
      </c>
      <c r="L306" s="3" t="inlineStr">
        <is>
          <t>원내</t>
        </is>
      </c>
      <c r="M306" s="3" t="n">
        <v>1</v>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3" t="inlineStr">
        <is>
          <t>세종 3생활권 인접 금남면 도암리 성장관리구역 토지</t>
        </is>
      </c>
      <c r="I307" s="5">
        <f>HYPERLINK("https://fin.land.naver.com/articles/2648791490", "매물Link")</f>
        <v/>
      </c>
      <c r="J307" s="5">
        <f>HYPERLINK("https://map.naver.com/p/search/금남면 도암리 245-1", "지도Link")</f>
        <v/>
      </c>
      <c r="K307" s="5">
        <f>HYPERLINK("http://www.eum.go.kr/web/ar/lu/luLandDet.jsp?pnu=3611034039102450001&amp;isNoScr=script&amp;mode=search", "토지이음")</f>
        <v/>
      </c>
      <c r="L307" s="3" t="inlineStr">
        <is>
          <t>미래</t>
        </is>
      </c>
      <c r="M307" s="3" t="n">
        <v>1</v>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3" t="inlineStr">
        <is>
          <t>급매 도암리 최저가 귀한매물</t>
        </is>
      </c>
      <c r="I308" s="5">
        <f>HYPERLINK("https://fin.land.naver.com/articles/2648716387", "매물Link")</f>
        <v/>
      </c>
      <c r="J308" s="5">
        <f>HYPERLINK("https://map.naver.com/p/search/금남면 도암리 245-1", "지도Link")</f>
        <v/>
      </c>
      <c r="K308" s="5">
        <f>HYPERLINK("http://www.eum.go.kr/web/ar/lu/luLandDet.jsp?pnu=3611034039102450001&amp;isNoScr=script&amp;mode=search", "토지이음")</f>
        <v/>
      </c>
      <c r="L308" s="3" t="inlineStr">
        <is>
          <t>세종스타</t>
        </is>
      </c>
      <c r="M308" s="3" t="n">
        <v>1</v>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3" t="inlineStr">
        <is>
          <t>계획관리지역, 세종시 개발의 중심, KTX세종역 예정지 인접</t>
        </is>
      </c>
      <c r="I309" s="5">
        <f>HYPERLINK("https://fin.land.naver.com/articles/2648664519", "매물Link")</f>
        <v/>
      </c>
      <c r="J309" s="5">
        <f>HYPERLINK("https://map.naver.com/p/search/금남면 도암리 275", "지도Link")</f>
        <v/>
      </c>
      <c r="K309" s="5">
        <f>HYPERLINK("http://www.eum.go.kr/web/ar/lu/luLandDet.jsp?pnu=3611034039102750000&amp;isNoScr=script&amp;mode=search", "토지이음")</f>
        <v/>
      </c>
      <c r="L309" s="3" t="inlineStr">
        <is>
          <t>세종</t>
        </is>
      </c>
      <c r="M309" s="3" t="n">
        <v>1</v>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3" t="inlineStr">
        <is>
          <t>조용한 시골에 농막 놓고 주말농장겸 투자용으로 딱인 토지</t>
        </is>
      </c>
      <c r="I310" s="5">
        <f>HYPERLINK("https://fin.land.naver.com/articles/2647392043", "매물Link")</f>
        <v/>
      </c>
      <c r="J310" s="5">
        <f>HYPERLINK("https://map.naver.com/p/search/금남면 도암리 289", "지도Link")</f>
        <v/>
      </c>
      <c r="K310" s="5">
        <f>HYPERLINK("http://www.eum.go.kr/web/ar/lu/luLandDet.jsp?pnu=3611034039102890000&amp;isNoScr=script&amp;mode=search", "토지이음")</f>
        <v/>
      </c>
      <c r="L310" s="3" t="inlineStr">
        <is>
          <t>신와촌</t>
        </is>
      </c>
      <c r="M310" s="3" t="n">
        <v>1</v>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3" t="inlineStr">
        <is>
          <t>KTX세종역과 근접한 야산으로 생산관리지역 성장관리계획구역의 투자용 토지</t>
        </is>
      </c>
      <c r="I311" s="5">
        <f>HYPERLINK("https://fin.land.naver.com/articles/2647012941", "매물Link")</f>
        <v/>
      </c>
      <c r="J311" s="5">
        <f>HYPERLINK("https://map.naver.com/p/search/금남면 도암리 353-4", "지도Link")</f>
        <v/>
      </c>
      <c r="K311" s="5">
        <f>HYPERLINK("http://www.eum.go.kr/web/ar/lu/luLandDet.jsp?pnu=3611034039103530004&amp;isNoScr=script&amp;mode=search", "토지이음")</f>
        <v/>
      </c>
      <c r="L311" s="3" t="inlineStr">
        <is>
          <t>스마일세종</t>
        </is>
      </c>
      <c r="M311" s="3" t="n">
        <v>1</v>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3" t="inlineStr">
        <is>
          <t>nan</t>
        </is>
      </c>
      <c r="I312" s="5">
        <f>HYPERLINK("https://fin.land.naver.com/articles/2645087161", "매물Link")</f>
        <v/>
      </c>
      <c r="J312" s="5">
        <f>HYPERLINK("https://map.naver.com/p/search/금남면 도암리 353-7", "지도Link")</f>
        <v/>
      </c>
      <c r="K312" s="5">
        <f>HYPERLINK("http://www.eum.go.kr/web/ar/lu/luLandDet.jsp?pnu=3611034039103530007&amp;isNoScr=script&amp;mode=search", "토지이음")</f>
        <v/>
      </c>
      <c r="L312" s="3" t="inlineStr">
        <is>
          <t>세종</t>
        </is>
      </c>
      <c r="M312" s="3" t="n">
        <v>1</v>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3" t="inlineStr">
        <is>
          <t>세종시 금남면 도암리 신설 예정 금남면 IC 인근 나지막한 생산관리 임야</t>
        </is>
      </c>
      <c r="I313" s="5">
        <f>HYPERLINK("https://fin.land.naver.com/articles/2645659424", "매물Link")</f>
        <v/>
      </c>
      <c r="J313" s="5">
        <f>HYPERLINK("https://map.naver.com/p/search/금남면 도암리 353-7", "지도Link")</f>
        <v/>
      </c>
      <c r="K313" s="5">
        <f>HYPERLINK("http://www.eum.go.kr/web/ar/lu/luLandDet.jsp?pnu=3611034039103530007&amp;isNoScr=script&amp;mode=search", "토지이음")</f>
        <v/>
      </c>
      <c r="L313" s="3" t="inlineStr">
        <is>
          <t>하이엔드</t>
        </is>
      </c>
      <c r="M313" s="3" t="n">
        <v>1</v>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3" t="inlineStr">
        <is>
          <t>인기있는 도암리 토지 계획관리지역</t>
        </is>
      </c>
      <c r="I314" s="5">
        <f>HYPERLINK("https://fin.land.naver.com/articles/2646140537", "매물Link")</f>
        <v/>
      </c>
      <c r="J314" s="5">
        <f>HYPERLINK("https://map.naver.com/p/search/금남면 도암리 518", "지도Link")</f>
        <v/>
      </c>
      <c r="K314" s="5">
        <f>HYPERLINK("http://www.eum.go.kr/web/ar/lu/luLandDet.jsp?pnu=3611034039105180000&amp;isNoScr=script&amp;mode=search", "토지이음")</f>
        <v/>
      </c>
      <c r="L314" s="3" t="inlineStr">
        <is>
          <t>새롬삼둥이</t>
        </is>
      </c>
      <c r="M314" s="3" t="n">
        <v>1</v>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3" t="inlineStr">
        <is>
          <t>0매우 저렴0, 세종 10분, 대전 10분 거리의 인기 지역 토지</t>
        </is>
      </c>
      <c r="I315" s="5">
        <f>HYPERLINK("https://fin.land.naver.com/articles/2646258248", "매물Link")</f>
        <v/>
      </c>
      <c r="J315" s="5">
        <f>HYPERLINK("https://map.naver.com/p/search/금남면 도암리 561", "지도Link")</f>
        <v/>
      </c>
      <c r="K315" s="5">
        <f>HYPERLINK("http://www.eum.go.kr/web/ar/lu/luLandDet.jsp?pnu=3611034039105610000&amp;isNoScr=script&amp;mode=search", "토지이음")</f>
        <v/>
      </c>
      <c r="L315" s="3" t="inlineStr">
        <is>
          <t>허브</t>
        </is>
      </c>
      <c r="M315" s="3" t="n">
        <v>1</v>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3" t="inlineStr">
        <is>
          <t>도암리 생산관리지역 지목이 전으로 2필지 급매.</t>
        </is>
      </c>
      <c r="I316" s="5">
        <f>HYPERLINK("https://fin.land.naver.com/articles/2645324829", "매물Link")</f>
        <v/>
      </c>
      <c r="J316" s="5">
        <f>HYPERLINK("https://map.naver.com/p/search/금남면 도암리 610-3", "지도Link")</f>
        <v/>
      </c>
      <c r="K316" s="5">
        <f>HYPERLINK("http://www.eum.go.kr/web/ar/lu/luLandDet.jsp?pnu=3611034039106100003&amp;isNoScr=script&amp;mode=search", "토지이음")</f>
        <v/>
      </c>
      <c r="L316" s="3" t="inlineStr">
        <is>
          <t>세종대장</t>
        </is>
      </c>
      <c r="M316" s="3" t="n">
        <v>1</v>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3" t="inlineStr">
        <is>
          <t>nan</t>
        </is>
      </c>
      <c r="I317" s="5">
        <f>HYPERLINK("https://fin.land.naver.com/articles/2644532076", "매물Link")</f>
        <v/>
      </c>
      <c r="J317" s="5">
        <f>HYPERLINK("https://map.naver.com/p/search/금남면 도암리 94", "지도Link")</f>
        <v/>
      </c>
      <c r="K317" s="5">
        <f>HYPERLINK("http://www.eum.go.kr/web/ar/lu/luLandDet.jsp?pnu=3611034039100940000&amp;isNoScr=script&amp;mode=search", "토지이음")</f>
        <v/>
      </c>
      <c r="L317" s="3" t="inlineStr">
        <is>
          <t>오송역그랜드</t>
        </is>
      </c>
      <c r="M317" s="3" t="n">
        <v>1</v>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3" t="inlineStr">
        <is>
          <t>남세종IC 인접, 세종시청 10분권의 평탄한 전원형 농지</t>
        </is>
      </c>
      <c r="I318" s="5">
        <f>HYPERLINK("https://fin.land.naver.com/articles/2648842669", "매물Link")</f>
        <v/>
      </c>
      <c r="J318" s="5">
        <f>HYPERLINK("https://map.naver.com/p/search/금남면 두만리 124-1", "지도Link")</f>
        <v/>
      </c>
      <c r="K318" s="5">
        <f>HYPERLINK("http://www.eum.go.kr/web/ar/lu/luLandDet.jsp?pnu=3611034024101240001&amp;isNoScr=script&amp;mode=search", "토지이음")</f>
        <v/>
      </c>
      <c r="L318" s="3" t="inlineStr">
        <is>
          <t>세종소담황금</t>
        </is>
      </c>
      <c r="M318" s="3" t="n">
        <v>1</v>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3" t="inlineStr">
        <is>
          <t>nan</t>
        </is>
      </c>
      <c r="I319" s="5">
        <f>HYPERLINK("https://fin.land.naver.com/articles/2645663978", "매물Link")</f>
        <v/>
      </c>
      <c r="J319" s="5">
        <f>HYPERLINK("https://map.naver.com/p/search/금남면 두만리 148", "지도Link")</f>
        <v/>
      </c>
      <c r="K319" s="5">
        <f>HYPERLINK("http://www.eum.go.kr/web/ar/lu/luLandDet.jsp?pnu=3611034024101480000&amp;isNoScr=script&amp;mode=search", "토지이음")</f>
        <v/>
      </c>
      <c r="L319" s="3" t="inlineStr">
        <is>
          <t>대웅</t>
        </is>
      </c>
      <c r="M319" s="3" t="n">
        <v>1</v>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3" t="inlineStr">
        <is>
          <t>반석동 세종방향10분거리 토지옆 계곡있어요</t>
        </is>
      </c>
      <c r="I320" s="5">
        <f>HYPERLINK("https://fin.land.naver.com/articles/2648856328", "매물Link")</f>
        <v/>
      </c>
      <c r="J320" s="5">
        <f>HYPERLINK("https://map.naver.com/p/search/금남면 두만리 16", "지도Link")</f>
        <v/>
      </c>
      <c r="K320" s="5">
        <f>HYPERLINK("http://www.eum.go.kr/web/ar/lu/luLandDet.jsp?pnu=3611034024100160000&amp;isNoScr=script&amp;mode=search", "토지이음")</f>
        <v/>
      </c>
      <c r="L320" s="3" t="inlineStr">
        <is>
          <t>반석원무소</t>
        </is>
      </c>
      <c r="M320" s="3" t="n">
        <v>1</v>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3" t="inlineStr">
        <is>
          <t>대전 세종 중간지점 금남면 토지</t>
        </is>
      </c>
      <c r="I321" s="5">
        <f>HYPERLINK("https://fin.land.naver.com/articles/2645346585", "매물Link")</f>
        <v/>
      </c>
      <c r="J321" s="5">
        <f>HYPERLINK("https://map.naver.com/p/search/금남면 두만리 182", "지도Link")</f>
        <v/>
      </c>
      <c r="K321" s="5">
        <f>HYPERLINK("http://www.eum.go.kr/web/ar/lu/luLandDet.jsp?pnu=3611034024101820000&amp;isNoScr=script&amp;mode=search", "토지이음")</f>
        <v/>
      </c>
      <c r="L321" s="3" t="inlineStr">
        <is>
          <t>반석원무소</t>
        </is>
      </c>
      <c r="M321" s="3" t="n">
        <v>1</v>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3" t="inlineStr">
        <is>
          <t>전과 임야로 구성된 토지. 1번국도로 바로 진입되는 위치</t>
        </is>
      </c>
      <c r="I322" s="5">
        <f>HYPERLINK("https://fin.land.naver.com/articles/2645543706", "매물Link")</f>
        <v/>
      </c>
      <c r="J322" s="5">
        <f>HYPERLINK("https://map.naver.com/p/search/금남면 두만리 273-1", "지도Link")</f>
        <v/>
      </c>
      <c r="K322" s="5">
        <f>HYPERLINK("http://www.eum.go.kr/web/ar/lu/luLandDet.jsp?pnu=3611034024102730001&amp;isNoScr=script&amp;mode=search", "토지이음")</f>
        <v/>
      </c>
      <c r="L322" s="3" t="inlineStr">
        <is>
          <t>미스터홈즈강남지사</t>
        </is>
      </c>
      <c r="M322" s="3" t="n">
        <v>1</v>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3" t="inlineStr">
        <is>
          <t>남세종TG와 가까운 토지매매</t>
        </is>
      </c>
      <c r="I323" s="5">
        <f>HYPERLINK("https://fin.land.naver.com/articles/2646585963", "매물Link")</f>
        <v/>
      </c>
      <c r="J323" s="5">
        <f>HYPERLINK("https://map.naver.com/p/search/금남면 두만리 308-4", "지도Link")</f>
        <v/>
      </c>
      <c r="K323" s="5">
        <f>HYPERLINK("http://www.eum.go.kr/web/ar/lu/luLandDet.jsp?pnu=3611034024103080004&amp;isNoScr=script&amp;mode=search", "토지이음")</f>
        <v/>
      </c>
      <c r="L323" s="3" t="inlineStr">
        <is>
          <t>비전</t>
        </is>
      </c>
      <c r="M323" s="3" t="n">
        <v>1</v>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3" t="inlineStr">
        <is>
          <t>세종시내 근접한 창고  및  공장  등  적극 추찬</t>
        </is>
      </c>
      <c r="I324" s="5">
        <f>HYPERLINK("https://fin.land.naver.com/articles/2648853704", "매물Link")</f>
        <v/>
      </c>
      <c r="J324" s="5">
        <f>HYPERLINK("https://map.naver.com/p/search/금남면 두만리 308-6", "지도Link")</f>
        <v/>
      </c>
      <c r="K324" s="5">
        <f>HYPERLINK("http://www.eum.go.kr/web/ar/lu/luLandDet.jsp?pnu=3611034024103080006&amp;isNoScr=script&amp;mode=search", "토지이음")</f>
        <v/>
      </c>
      <c r="L324" s="3" t="inlineStr">
        <is>
          <t>태양</t>
        </is>
      </c>
      <c r="M324" s="3" t="n">
        <v>1</v>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3" t="inlineStr">
        <is>
          <t>급매,협의절충,지목이 대로 1종일반주거지역이며 바로건축가능,주위인프라 굿</t>
        </is>
      </c>
      <c r="I325" s="5">
        <f>HYPERLINK("https://fin.land.naver.com/articles/2648016521", "매물Link")</f>
        <v/>
      </c>
      <c r="J325" s="5">
        <f>HYPERLINK("https://map.naver.com/p/search/금남면 두만리 335-5", "지도Link")</f>
        <v/>
      </c>
      <c r="K325" s="5">
        <f>HYPERLINK("http://www.eum.go.kr/web/ar/lu/luLandDet.jsp?pnu=3611034024103350005&amp;isNoScr=script&amp;mode=search", "토지이음")</f>
        <v/>
      </c>
      <c r="L325" s="3" t="inlineStr">
        <is>
          <t>세종한울</t>
        </is>
      </c>
      <c r="M325" s="3" t="n">
        <v>1</v>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3" t="inlineStr">
        <is>
          <t>대지</t>
        </is>
      </c>
      <c r="I326" s="5">
        <f>HYPERLINK("https://fin.land.naver.com/articles/2647748406", "매물Link")</f>
        <v/>
      </c>
      <c r="J326" s="5">
        <f>HYPERLINK("https://map.naver.com/p/search/금남면 두만리 353-2", "지도Link")</f>
        <v/>
      </c>
      <c r="K326" s="5">
        <f>HYPERLINK("http://www.eum.go.kr/web/ar/lu/luLandDet.jsp?pnu=3611034024103530002&amp;isNoScr=script&amp;mode=search", "토지이음")</f>
        <v/>
      </c>
      <c r="L326" s="3" t="inlineStr">
        <is>
          <t>다산</t>
        </is>
      </c>
      <c r="M326" s="3" t="n">
        <v>1</v>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3" t="inlineStr">
        <is>
          <t>nan</t>
        </is>
      </c>
      <c r="I327" s="5">
        <f>HYPERLINK("https://fin.land.naver.com/articles/2644435652", "매물Link")</f>
        <v/>
      </c>
      <c r="J327" s="5">
        <f>HYPERLINK("https://map.naver.com/p/search/금남면 두만리 373", "지도Link")</f>
        <v/>
      </c>
      <c r="K327" s="5">
        <f>HYPERLINK("http://www.eum.go.kr/web/ar/lu/luLandDet.jsp?pnu=3611034024103730000&amp;isNoScr=script&amp;mode=search", "토지이음")</f>
        <v/>
      </c>
      <c r="L327" s="3" t="inlineStr">
        <is>
          <t>수자인시티</t>
        </is>
      </c>
      <c r="M327" s="3" t="n">
        <v>1</v>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3" t="inlineStr">
        <is>
          <t>세종 금남면 두만리 단독주택 매매 I 넓은 대지 I 제1종일반주거지역</t>
        </is>
      </c>
      <c r="I328" s="5">
        <f>HYPERLINK("https://fin.land.naver.com/articles/2646237381", "매물Link")</f>
        <v/>
      </c>
      <c r="J328" s="5">
        <f>HYPERLINK("https://map.naver.com/p/search/금남면 두만리 373", "지도Link")</f>
        <v/>
      </c>
      <c r="K328" s="5">
        <f>HYPERLINK("http://www.eum.go.kr/web/ar/lu/luLandDet.jsp?pnu=3611034024103730000&amp;isNoScr=script&amp;mode=search", "토지이음")</f>
        <v/>
      </c>
      <c r="L328" s="3" t="inlineStr">
        <is>
          <t>태양</t>
        </is>
      </c>
      <c r="M328" s="3" t="n">
        <v>1</v>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3" t="inlineStr">
        <is>
          <t>세종 금남면 주거지역 토지</t>
        </is>
      </c>
      <c r="I329" s="5">
        <f>HYPERLINK("https://fin.land.naver.com/articles/2649736110", "매물Link")</f>
        <v/>
      </c>
      <c r="J329" s="5">
        <f>HYPERLINK("https://map.naver.com/p/search/금남면 두만리 373", "지도Link")</f>
        <v/>
      </c>
      <c r="K329" s="5">
        <f>HYPERLINK("http://www.eum.go.kr/web/ar/lu/luLandDet.jsp?pnu=3611034024103730000&amp;isNoScr=script&amp;mode=search", "토지이음")</f>
        <v/>
      </c>
      <c r="L329" s="3" t="inlineStr">
        <is>
          <t>세종몽땅</t>
        </is>
      </c>
      <c r="M329" s="3" t="n">
        <v>1</v>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3" t="inlineStr">
        <is>
          <t>nan</t>
        </is>
      </c>
      <c r="I330" s="5">
        <f>HYPERLINK("https://fin.land.naver.com/articles/2649949803", "매물Link")</f>
        <v/>
      </c>
      <c r="J330" s="5">
        <f>HYPERLINK("https://map.naver.com/p/search/금남면 두만리 373", "지도Link")</f>
        <v/>
      </c>
      <c r="K330" s="5">
        <f>HYPERLINK("http://www.eum.go.kr/web/ar/lu/luLandDet.jsp?pnu=3611034024103730000&amp;isNoScr=script&amp;mode=search", "토지이음")</f>
        <v/>
      </c>
      <c r="L330" s="3" t="inlineStr">
        <is>
          <t>다산</t>
        </is>
      </c>
      <c r="M330" s="3" t="n">
        <v>3</v>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3" t="inlineStr">
        <is>
          <t>세종시 금남면 대형토지 상세글 읽어주세요</t>
        </is>
      </c>
      <c r="I331" s="5">
        <f>HYPERLINK("https://fin.land.naver.com/articles/2647813686", "매물Link")</f>
        <v/>
      </c>
      <c r="J331" s="5">
        <f>HYPERLINK("https://map.naver.com/p/search/금남면 두만리 437-6", "지도Link")</f>
        <v/>
      </c>
      <c r="K331" s="5">
        <f>HYPERLINK("http://www.eum.go.kr/web/ar/lu/luLandDet.jsp?pnu=3611034024104370006&amp;isNoScr=script&amp;mode=search", "토지이음")</f>
        <v/>
      </c>
      <c r="L331" s="3" t="inlineStr">
        <is>
          <t>대전신화</t>
        </is>
      </c>
      <c r="M331" s="3" t="n">
        <v>1</v>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3" t="inlineStr">
        <is>
          <t>대로에 접한 답으로 농업 진흥 구역에 속한 투자물건</t>
        </is>
      </c>
      <c r="I332" s="5">
        <f>HYPERLINK("https://fin.land.naver.com/articles/2645691210", "매물Link")</f>
        <v/>
      </c>
      <c r="J332" s="5">
        <f>HYPERLINK("https://map.naver.com/p/search/금남면 두만리 448-8", "지도Link")</f>
        <v/>
      </c>
      <c r="K332" s="5">
        <f>HYPERLINK("http://www.eum.go.kr/web/ar/lu/luLandDet.jsp?pnu=3611034024104480008&amp;isNoScr=script&amp;mode=search", "토지이음")</f>
        <v/>
      </c>
      <c r="L332" s="3" t="inlineStr">
        <is>
          <t>우림</t>
        </is>
      </c>
      <c r="M332" s="3" t="n">
        <v>1</v>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3" t="inlineStr">
        <is>
          <t>급매.세종시 동지역과 가까운 주변시세보다 저렴한 토지</t>
        </is>
      </c>
      <c r="I333" s="5">
        <f>HYPERLINK("https://fin.land.naver.com/articles/2644398911", "매물Link")</f>
        <v/>
      </c>
      <c r="J333" s="5">
        <f>HYPERLINK("https://map.naver.com/p/search/금남면 두만리 484", "지도Link")</f>
        <v/>
      </c>
      <c r="K333" s="5">
        <f>HYPERLINK("http://www.eum.go.kr/web/ar/lu/luLandDet.jsp?pnu=3611034024104840000&amp;isNoScr=script&amp;mode=search", "토지이음")</f>
        <v/>
      </c>
      <c r="L333" s="3" t="inlineStr">
        <is>
          <t>킹</t>
        </is>
      </c>
      <c r="M333" s="3" t="n">
        <v>1</v>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3" t="inlineStr">
        <is>
          <t>답으로 도심과 가까운 토지 가격조정가능</t>
        </is>
      </c>
      <c r="I334" s="5">
        <f>HYPERLINK("https://fin.land.naver.com/articles/2647450366", "매물Link")</f>
        <v/>
      </c>
      <c r="J334" s="5">
        <f>HYPERLINK("https://map.naver.com/p/search/금남면 두만리 484", "지도Link")</f>
        <v/>
      </c>
      <c r="K334" s="5">
        <f>HYPERLINK("http://www.eum.go.kr/web/ar/lu/luLandDet.jsp?pnu=3611034024104840000&amp;isNoScr=script&amp;mode=search", "토지이음")</f>
        <v/>
      </c>
      <c r="L334" s="3" t="inlineStr">
        <is>
          <t>고운동리치세종</t>
        </is>
      </c>
      <c r="M334" s="3" t="n">
        <v>3</v>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3" t="inlineStr">
        <is>
          <t>세종시 남세종 IC인근 진입로 좋은 토지 매매</t>
        </is>
      </c>
      <c r="I335" s="5">
        <f>HYPERLINK("https://fin.land.naver.com/articles/2647374839", "매물Link")</f>
        <v/>
      </c>
      <c r="J335" s="5">
        <f>HYPERLINK("https://map.naver.com/p/search/금남면 두만리 484", "지도Link")</f>
        <v/>
      </c>
      <c r="K335" s="5">
        <f>HYPERLINK("http://www.eum.go.kr/web/ar/lu/luLandDet.jsp?pnu=3611034024104840000&amp;isNoScr=script&amp;mode=search", "토지이음")</f>
        <v/>
      </c>
      <c r="L335" s="3" t="inlineStr">
        <is>
          <t>갤러리</t>
        </is>
      </c>
      <c r="M335" s="3" t="n">
        <v>1</v>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3" t="inlineStr">
        <is>
          <t>포장 도로접합 지하수 설치 개발제한구역  토지거래허가구역</t>
        </is>
      </c>
      <c r="I336" s="5">
        <f>HYPERLINK("https://fin.land.naver.com/articles/2648075868", "매물Link")</f>
        <v/>
      </c>
      <c r="J336" s="5">
        <f>HYPERLINK("https://map.naver.com/p/search/금남면 두만리 551-6", "지도Link")</f>
        <v/>
      </c>
      <c r="K336" s="5">
        <f>HYPERLINK("http://www.eum.go.kr/web/ar/lu/luLandDet.jsp?pnu=3611034024105510006&amp;isNoScr=script&amp;mode=search", "토지이음")</f>
        <v/>
      </c>
      <c r="L336" s="3" t="inlineStr">
        <is>
          <t>예예</t>
        </is>
      </c>
      <c r="M336" s="3" t="n">
        <v>1</v>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3" t="inlineStr">
        <is>
          <t>저렴한토지,농지원부가능</t>
        </is>
      </c>
      <c r="I337" s="5">
        <f>HYPERLINK("https://fin.land.naver.com/articles/2647520065", "매물Link")</f>
        <v/>
      </c>
      <c r="J337" s="5">
        <f>HYPERLINK("https://map.naver.com/p/search/금남면 두만리 81-4", "지도Link")</f>
        <v/>
      </c>
      <c r="K337" s="5">
        <f>HYPERLINK("http://www.eum.go.kr/web/ar/lu/luLandDet.jsp?pnu=3611034024100810004&amp;isNoScr=script&amp;mode=search", "토지이음")</f>
        <v/>
      </c>
      <c r="L337" s="3" t="inlineStr">
        <is>
          <t>두진</t>
        </is>
      </c>
      <c r="M337" s="3" t="n">
        <v>1</v>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3" t="inlineStr">
        <is>
          <t>투자가치 좋은곳 2차선도로 근접 가격조절 가능</t>
        </is>
      </c>
      <c r="I338" s="5">
        <f>HYPERLINK("https://fin.land.naver.com/articles/2644773669", "매물Link")</f>
        <v/>
      </c>
      <c r="J338" s="5">
        <f>HYPERLINK("https://map.naver.com/p/search/금남면 박산리 154-5", "지도Link")</f>
        <v/>
      </c>
      <c r="K338" s="5">
        <f>HYPERLINK("http://www.eum.go.kr/web/ar/lu/luLandDet.jsp?pnu=3611034033101540005&amp;isNoScr=script&amp;mode=search", "토지이음")</f>
        <v/>
      </c>
      <c r="L338" s="3" t="inlineStr">
        <is>
          <t>세종자이명가</t>
        </is>
      </c>
      <c r="M338" s="3" t="n">
        <v>1</v>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3" t="inlineStr">
        <is>
          <t>세종특별자치시 금남면 박산리 자연녹지지역 답</t>
        </is>
      </c>
      <c r="I339" s="5">
        <f>HYPERLINK("https://fin.land.naver.com/articles/2648763801", "매물Link")</f>
        <v/>
      </c>
      <c r="J339" s="5">
        <f>HYPERLINK("https://map.naver.com/p/search/금남면 박산리 154-5", "지도Link")</f>
        <v/>
      </c>
      <c r="K339" s="5">
        <f>HYPERLINK("http://www.eum.go.kr/web/ar/lu/luLandDet.jsp?pnu=3611034033101540005&amp;isNoScr=script&amp;mode=search", "토지이음")</f>
        <v/>
      </c>
      <c r="L339" s="3" t="inlineStr">
        <is>
          <t>하이엔드</t>
        </is>
      </c>
      <c r="M339" s="3" t="n">
        <v>1</v>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3" t="inlineStr">
        <is>
          <t>생명나무,박산리 도로접한 땅모양 예쁜 농지</t>
        </is>
      </c>
      <c r="I340" s="5">
        <f>HYPERLINK("https://fin.land.naver.com/articles/2649359540", "매물Link")</f>
        <v/>
      </c>
      <c r="J340" s="5">
        <f>HYPERLINK("https://map.naver.com/p/search/금남면 박산리 156-4", "지도Link")</f>
        <v/>
      </c>
      <c r="K340" s="5">
        <f>HYPERLINK("http://www.eum.go.kr/web/ar/lu/luLandDet.jsp?pnu=3611034033101560004&amp;isNoScr=script&amp;mode=search", "토지이음")</f>
        <v/>
      </c>
      <c r="L340" s="3" t="inlineStr">
        <is>
          <t>생명나무</t>
        </is>
      </c>
      <c r="M340" s="3" t="n">
        <v>1</v>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3" t="inlineStr">
        <is>
          <t>nan</t>
        </is>
      </c>
      <c r="I341" s="5">
        <f>HYPERLINK("https://fin.land.naver.com/articles/2645361863", "매물Link")</f>
        <v/>
      </c>
      <c r="J341" s="5">
        <f>HYPERLINK("https://map.naver.com/p/search/금남면 박산리 200", "지도Link")</f>
        <v/>
      </c>
      <c r="K341" s="5">
        <f>HYPERLINK("http://www.eum.go.kr/web/ar/lu/luLandDet.jsp?pnu=3611034033102000000&amp;isNoScr=script&amp;mode=search", "토지이음")</f>
        <v/>
      </c>
      <c r="L341" s="3" t="inlineStr">
        <is>
          <t>세종땅전문</t>
        </is>
      </c>
      <c r="M341" s="3" t="n">
        <v>1</v>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3" t="inlineStr">
        <is>
          <t>지대가 높아 커피숍이나 애완카페 등으로 이용하면 좋은 대지입니다</t>
        </is>
      </c>
      <c r="I342" s="5">
        <f>HYPERLINK("https://fin.land.naver.com/articles/2648383819", "매물Link")</f>
        <v/>
      </c>
      <c r="J342" s="5">
        <f>HYPERLINK("https://map.naver.com/p/search/금남면 박산리 219-3", "지도Link")</f>
        <v/>
      </c>
      <c r="K342" s="5">
        <f>HYPERLINK("http://www.eum.go.kr/web/ar/lu/luLandDet.jsp?pnu=3611034033102190003&amp;isNoScr=script&amp;mode=search", "토지이음")</f>
        <v/>
      </c>
      <c r="L342" s="3" t="inlineStr">
        <is>
          <t>스마일세종</t>
        </is>
      </c>
      <c r="M342" s="3" t="n">
        <v>1</v>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3" t="inlineStr">
        <is>
          <t>세종시내에서 가깝고 투자가치 최고</t>
        </is>
      </c>
      <c r="I343" s="5">
        <f>HYPERLINK("https://fin.land.naver.com/articles/2646809488", "매물Link")</f>
        <v/>
      </c>
      <c r="J343" s="5">
        <f>HYPERLINK("https://map.naver.com/p/search/금남면 박산리 251-3", "지도Link")</f>
        <v/>
      </c>
      <c r="K343" s="5">
        <f>HYPERLINK("http://www.eum.go.kr/web/ar/lu/luLandDet.jsp?pnu=3611034033102510003&amp;isNoScr=script&amp;mode=search", "토지이음")</f>
        <v/>
      </c>
      <c r="L343" s="3" t="inlineStr">
        <is>
          <t>둔곡</t>
        </is>
      </c>
      <c r="M343" s="3" t="n">
        <v>1</v>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3" t="inlineStr">
        <is>
          <t>국제과학 비즈니스 벨트 근처 2차선 도로가 토지</t>
        </is>
      </c>
      <c r="I344" s="5">
        <f>HYPERLINK("https://fin.land.naver.com/articles/2648030228", "매물Link")</f>
        <v/>
      </c>
      <c r="J344" s="5">
        <f>HYPERLINK("https://map.naver.com/p/search/금남면 박산리 251-5", "지도Link")</f>
        <v/>
      </c>
      <c r="K344" s="5">
        <f>HYPERLINK("http://www.eum.go.kr/web/ar/lu/luLandDet.jsp?pnu=3611034033102510005&amp;isNoScr=script&amp;mode=search", "토지이음")</f>
        <v/>
      </c>
      <c r="L344" s="3" t="inlineStr">
        <is>
          <t>이레</t>
        </is>
      </c>
      <c r="M344" s="3" t="n">
        <v>1</v>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3" t="inlineStr">
        <is>
          <t>금남면 발산리 마을포장도로에 접한 투자용 토지, 2필지 합해서 매매도가능</t>
        </is>
      </c>
      <c r="I345" s="5">
        <f>HYPERLINK("https://fin.land.naver.com/articles/2645668847", "매물Link")</f>
        <v/>
      </c>
      <c r="J345" s="5">
        <f>HYPERLINK("https://map.naver.com/p/search/금남면 발산리 106", "지도Link")</f>
        <v/>
      </c>
      <c r="K345" s="5">
        <f>HYPERLINK("http://www.eum.go.kr/web/ar/lu/luLandDet.jsp?pnu=3611034022101060000&amp;isNoScr=script&amp;mode=search", "토지이음")</f>
        <v/>
      </c>
      <c r="L345" s="3" t="inlineStr">
        <is>
          <t>스마일세종</t>
        </is>
      </c>
      <c r="M345" s="3" t="n">
        <v>2</v>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3" t="inlineStr">
        <is>
          <t>KTX 세종역 인근 금남면 발산리 마을 포장도로에 접한 투자용 토지입니다</t>
        </is>
      </c>
      <c r="I346" s="5">
        <f>HYPERLINK("https://fin.land.naver.com/articles/2649381117", "매물Link")</f>
        <v/>
      </c>
      <c r="J346" s="5">
        <f>HYPERLINK("https://map.naver.com/p/search/금남면 발산리 106-1", "지도Link")</f>
        <v/>
      </c>
      <c r="K346" s="5">
        <f>HYPERLINK("http://www.eum.go.kr/web/ar/lu/luLandDet.jsp?pnu=3611034022101060001&amp;isNoScr=script&amp;mode=search", "토지이음")</f>
        <v/>
      </c>
      <c r="L346" s="3" t="inlineStr">
        <is>
          <t>스마일세종</t>
        </is>
      </c>
      <c r="M346" s="3" t="n">
        <v>1</v>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3" t="inlineStr">
        <is>
          <t>현 지번 외 6필지로 부지주변 국유지가 붙어있어 넓게 사용가능</t>
        </is>
      </c>
      <c r="I347" s="5">
        <f>HYPERLINK("https://fin.land.naver.com/articles/2649891932", "매물Link")</f>
        <v/>
      </c>
      <c r="J347" s="5">
        <f>HYPERLINK("https://map.naver.com/p/search/금남면 발산리 110-8", "지도Link")</f>
        <v/>
      </c>
      <c r="K347" s="5">
        <f>HYPERLINK("http://www.eum.go.kr/web/ar/lu/luLandDet.jsp?pnu=3611034022101100008&amp;isNoScr=script&amp;mode=search", "토지이음")</f>
        <v/>
      </c>
      <c r="L347" s="3" t="inlineStr">
        <is>
          <t>두진</t>
        </is>
      </c>
      <c r="M347" s="3" t="n">
        <v>1</v>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3" t="inlineStr">
        <is>
          <t>세종시 금남면 발산리 토지</t>
        </is>
      </c>
      <c r="I348" s="5">
        <f>HYPERLINK("https://fin.land.naver.com/articles/2649615897", "매물Link")</f>
        <v/>
      </c>
      <c r="J348" s="5">
        <f>HYPERLINK("https://map.naver.com/p/search/금남면 발산리 154", "지도Link")</f>
        <v/>
      </c>
      <c r="K348" s="5">
        <f>HYPERLINK("http://www.eum.go.kr/web/ar/lu/luLandDet.jsp?pnu=3611034022101540000&amp;isNoScr=script&amp;mode=search", "토지이음")</f>
        <v/>
      </c>
      <c r="L348" s="3" t="inlineStr">
        <is>
          <t>황금도장</t>
        </is>
      </c>
      <c r="M348" s="3" t="n">
        <v>1</v>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3" t="inlineStr">
        <is>
          <t>세종시 금남면 발산리 토지</t>
        </is>
      </c>
      <c r="I349" s="5">
        <f>HYPERLINK("https://fin.land.naver.com/articles/2649632942", "매물Link")</f>
        <v/>
      </c>
      <c r="J349" s="5">
        <f>HYPERLINK("https://map.naver.com/p/search/금남면 발산리 155-4", "지도Link")</f>
        <v/>
      </c>
      <c r="K349" s="5">
        <f>HYPERLINK("http://www.eum.go.kr/web/ar/lu/luLandDet.jsp?pnu=3611034022101550004&amp;isNoScr=script&amp;mode=search", "토지이음")</f>
        <v/>
      </c>
      <c r="L349" s="3" t="inlineStr">
        <is>
          <t>황금도장</t>
        </is>
      </c>
      <c r="M349" s="3" t="n">
        <v>1</v>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3" t="inlineStr">
        <is>
          <t>2차선 도로에 접해 있으며 지대가 높아 조망이 좋은 경사도 완만한 전</t>
        </is>
      </c>
      <c r="I350" s="5">
        <f>HYPERLINK("https://fin.land.naver.com/articles/2645811173", "매물Link")</f>
        <v/>
      </c>
      <c r="J350" s="5">
        <f>HYPERLINK("https://map.naver.com/p/search/금남면 발산리 165-1", "지도Link")</f>
        <v/>
      </c>
      <c r="K350" s="5">
        <f>HYPERLINK("http://www.eum.go.kr/web/ar/lu/luLandDet.jsp?pnu=3611034022101650001&amp;isNoScr=script&amp;mode=search", "토지이음")</f>
        <v/>
      </c>
      <c r="L350" s="3" t="inlineStr">
        <is>
          <t>스마일세종</t>
        </is>
      </c>
      <c r="M350" s="3" t="n">
        <v>1</v>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3" t="inlineStr">
        <is>
          <t>접근성좋은 발산리 토지 도로접</t>
        </is>
      </c>
      <c r="I351" s="5">
        <f>HYPERLINK("https://fin.land.naver.com/articles/2644523186", "매물Link")</f>
        <v/>
      </c>
      <c r="J351" s="5">
        <f>HYPERLINK("https://map.naver.com/p/search/금남면 발산리 261", "지도Link")</f>
        <v/>
      </c>
      <c r="K351" s="5">
        <f>HYPERLINK("http://www.eum.go.kr/web/ar/lu/luLandDet.jsp?pnu=3611034022102610000&amp;isNoScr=script&amp;mode=search", "토지이음")</f>
        <v/>
      </c>
      <c r="L351" s="3" t="inlineStr">
        <is>
          <t>새롬삼둥이</t>
        </is>
      </c>
      <c r="M351" s="3" t="n">
        <v>1</v>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3" t="inlineStr">
        <is>
          <t>1종일반주거지역. 음식점 성업중. 핫플가득한 라인</t>
        </is>
      </c>
      <c r="I352" s="5">
        <f>HYPERLINK("https://fin.land.naver.com/articles/2645370611", "매물Link")</f>
        <v/>
      </c>
      <c r="J352" s="5">
        <f>HYPERLINK("https://map.naver.com/p/search/금남면 발산리 276", "지도Link")</f>
        <v/>
      </c>
      <c r="K352" s="5">
        <f>HYPERLINK("http://www.eum.go.kr/web/ar/lu/luLandDet.jsp?pnu=3611034022102760000&amp;isNoScr=script&amp;mode=search", "토지이음")</f>
        <v/>
      </c>
      <c r="L352" s="3" t="inlineStr">
        <is>
          <t>세종금밭</t>
        </is>
      </c>
      <c r="M352" s="3" t="n">
        <v>1</v>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3" t="inlineStr">
        <is>
          <t>nan</t>
        </is>
      </c>
      <c r="I353" s="5">
        <f>HYPERLINK("https://fin.land.naver.com/articles/2644904444", "매물Link")</f>
        <v/>
      </c>
      <c r="J353" s="5">
        <f>HYPERLINK("https://map.naver.com/p/search/금남면 발산리 316", "지도Link")</f>
        <v/>
      </c>
      <c r="K353" s="5">
        <f>HYPERLINK("http://www.eum.go.kr/web/ar/lu/luLandDet.jsp?pnu=3611034022103160000&amp;isNoScr=script&amp;mode=search", "토지이음")</f>
        <v/>
      </c>
      <c r="L353" s="3" t="inlineStr">
        <is>
          <t>KB</t>
        </is>
      </c>
      <c r="M353" s="3" t="n">
        <v>1</v>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3" t="inlineStr">
        <is>
          <t>세종시  사두면 무조건 돈되는 땅입니다.가격조정 협의</t>
        </is>
      </c>
      <c r="I354" s="5">
        <f>HYPERLINK("https://fin.land.naver.com/articles/2645317598", "매물Link")</f>
        <v/>
      </c>
      <c r="J354" s="5">
        <f>HYPERLINK("https://map.naver.com/p/search/금남면 발산리 417-3", "지도Link")</f>
        <v/>
      </c>
      <c r="K354" s="5">
        <f>HYPERLINK("http://www.eum.go.kr/web/ar/lu/luLandDet.jsp?pnu=3611034022104170003&amp;isNoScr=script&amp;mode=search", "토지이음")</f>
        <v/>
      </c>
      <c r="L354" s="3" t="inlineStr">
        <is>
          <t>유성대박</t>
        </is>
      </c>
      <c r="M354" s="3" t="n">
        <v>1</v>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3" t="inlineStr">
        <is>
          <t>1종 일반주거지역</t>
        </is>
      </c>
      <c r="I355" s="5">
        <f>HYPERLINK("https://fin.land.naver.com/articles/2644215399", "매물Link")</f>
        <v/>
      </c>
      <c r="J355" s="5">
        <f>HYPERLINK("https://map.naver.com/p/search/금남면 발산리 46", "지도Link")</f>
        <v/>
      </c>
      <c r="K355" s="5">
        <f>HYPERLINK("http://www.eum.go.kr/web/ar/lu/luLandDet.jsp?pnu=3611034022100460000&amp;isNoScr=script&amp;mode=search", "토지이음")</f>
        <v/>
      </c>
      <c r="L355" s="3" t="inlineStr">
        <is>
          <t>신안</t>
        </is>
      </c>
      <c r="M355" s="3" t="n">
        <v>1</v>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3" t="inlineStr">
        <is>
          <t>상가건물 신축시 임대수요 커피숍,유치원,사무실등많음,매매가 협의가능.</t>
        </is>
      </c>
      <c r="I356" s="5">
        <f>HYPERLINK("https://fin.land.naver.com/articles/2648545426", "매물Link")</f>
        <v/>
      </c>
      <c r="J356" s="5">
        <f>HYPERLINK("https://map.naver.com/p/search/금남면 발산리 46", "지도Link")</f>
        <v/>
      </c>
      <c r="K356" s="5">
        <f>HYPERLINK("http://www.eum.go.kr/web/ar/lu/luLandDet.jsp?pnu=3611034022100460000&amp;isNoScr=script&amp;mode=search", "토지이음")</f>
        <v/>
      </c>
      <c r="L356" s="3" t="inlineStr">
        <is>
          <t>장터</t>
        </is>
      </c>
      <c r="M356" s="3" t="n">
        <v>1</v>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3" t="inlineStr">
        <is>
          <t>발산리 개발제한구역 내 토지.</t>
        </is>
      </c>
      <c r="I357" s="5">
        <f>HYPERLINK("https://fin.land.naver.com/articles/2648347625", "매물Link")</f>
        <v/>
      </c>
      <c r="J357" s="5">
        <f>HYPERLINK("https://map.naver.com/p/search/금남면 발산리 55", "지도Link")</f>
        <v/>
      </c>
      <c r="K357" s="5">
        <f>HYPERLINK("http://www.eum.go.kr/web/ar/lu/luLandDet.jsp?pnu=3611034022100550000&amp;isNoScr=script&amp;mode=search", "토지이음")</f>
        <v/>
      </c>
      <c r="L357" s="3" t="inlineStr">
        <is>
          <t>미스터홈즈강남지사</t>
        </is>
      </c>
      <c r="M357" s="3" t="n">
        <v>1</v>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3" t="inlineStr">
        <is>
          <t>소형평수 토지투자</t>
        </is>
      </c>
      <c r="I358" s="5">
        <f>HYPERLINK("https://fin.land.naver.com/articles/2648545022", "매물Link")</f>
        <v/>
      </c>
      <c r="J358" s="5">
        <f>HYPERLINK("https://map.naver.com/p/search/금남면 발산리 67", "지도Link")</f>
        <v/>
      </c>
      <c r="K358" s="5">
        <f>HYPERLINK("http://www.eum.go.kr/web/ar/lu/luLandDet.jsp?pnu=3611034022100670000&amp;isNoScr=script&amp;mode=search", "토지이음")</f>
        <v/>
      </c>
      <c r="L358" s="3" t="inlineStr">
        <is>
          <t>세계로</t>
        </is>
      </c>
      <c r="M358" s="3" t="n">
        <v>1</v>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3" t="inlineStr">
        <is>
          <t>도로에 접해 접근성 양호한 토지</t>
        </is>
      </c>
      <c r="I359" s="5">
        <f>HYPERLINK("https://fin.land.naver.com/articles/2649677220", "매물Link")</f>
        <v/>
      </c>
      <c r="J359" s="5">
        <f>HYPERLINK("https://map.naver.com/p/search/금남면 발산리 7-4", "지도Link")</f>
        <v/>
      </c>
      <c r="K359" s="5">
        <f>HYPERLINK("http://www.eum.go.kr/web/ar/lu/luLandDet.jsp?pnu=3611034022100070004&amp;isNoScr=script&amp;mode=search", "토지이음")</f>
        <v/>
      </c>
      <c r="L359" s="3" t="inlineStr">
        <is>
          <t>정보은행</t>
        </is>
      </c>
      <c r="M359" s="3" t="n">
        <v>1</v>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3" t="inlineStr">
        <is>
          <t>총3필지매매,대지와 답,전원주택포함매매</t>
        </is>
      </c>
      <c r="I360" s="5">
        <f>HYPERLINK("https://fin.land.naver.com/articles/2649696367", "매물Link")</f>
        <v/>
      </c>
      <c r="J360" s="5">
        <f>HYPERLINK("https://map.naver.com/p/search/금남면 발산리 88", "지도Link")</f>
        <v/>
      </c>
      <c r="K360" s="5">
        <f>HYPERLINK("http://www.eum.go.kr/web/ar/lu/luLandDet.jsp?pnu=3611034022100880000&amp;isNoScr=script&amp;mode=search", "토지이음")</f>
        <v/>
      </c>
      <c r="L360" s="3" t="inlineStr">
        <is>
          <t>담뜰</t>
        </is>
      </c>
      <c r="M360" s="3" t="n">
        <v>2</v>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3" t="inlineStr">
        <is>
          <t>세종시 금남면 발산리 일대 1종주거지역 대형평수</t>
        </is>
      </c>
      <c r="I361" s="5">
        <f>HYPERLINK("https://fin.land.naver.com/articles/2648853478", "매물Link")</f>
        <v/>
      </c>
      <c r="J361" s="5">
        <f>HYPERLINK("https://map.naver.com/p/search/금남면 발산리 88", "지도Link")</f>
        <v/>
      </c>
      <c r="K361" s="5">
        <f>HYPERLINK("http://www.eum.go.kr/web/ar/lu/luLandDet.jsp?pnu=3611034022100880000&amp;isNoScr=script&amp;mode=search", "토지이음")</f>
        <v/>
      </c>
      <c r="L361" s="3" t="inlineStr">
        <is>
          <t>황소플러스</t>
        </is>
      </c>
      <c r="M361" s="3" t="n">
        <v>1</v>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3" t="inlineStr">
        <is>
          <t>도시1종주거지로 음식점, 사무실, 다가구 등</t>
        </is>
      </c>
      <c r="I362" s="5">
        <f>HYPERLINK("https://fin.land.naver.com/articles/2649292644", "매물Link")</f>
        <v/>
      </c>
      <c r="J362" s="5">
        <f>HYPERLINK("https://map.naver.com/p/search/금남면 발산리 88-1", "지도Link")</f>
        <v/>
      </c>
      <c r="K362" s="5">
        <f>HYPERLINK("http://www.eum.go.kr/web/ar/lu/luLandDet.jsp?pnu=3611034022100880001&amp;isNoScr=script&amp;mode=search", "토지이음")</f>
        <v/>
      </c>
      <c r="L362" s="3" t="inlineStr">
        <is>
          <t>세종나라</t>
        </is>
      </c>
      <c r="M362" s="3" t="n">
        <v>1</v>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3" t="inlineStr">
        <is>
          <t>음식점 카페, 다가구주택 등 건축이 가능한 제1종 일반주거지역의 조경수</t>
        </is>
      </c>
      <c r="I363" s="5">
        <f>HYPERLINK("https://fin.land.naver.com/articles/2646760998", "매물Link")</f>
        <v/>
      </c>
      <c r="J363" s="5">
        <f>HYPERLINK("https://map.naver.com/p/search/금남면 발산리 88-1", "지도Link")</f>
        <v/>
      </c>
      <c r="K363" s="5">
        <f>HYPERLINK("http://www.eum.go.kr/web/ar/lu/luLandDet.jsp?pnu=3611034022100880001&amp;isNoScr=script&amp;mode=search", "토지이음")</f>
        <v/>
      </c>
      <c r="L363" s="3" t="inlineStr">
        <is>
          <t>스마일세종</t>
        </is>
      </c>
      <c r="M363" s="3" t="n">
        <v>1</v>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3" t="inlineStr">
        <is>
          <t>다가구, 음식점, 카페 등 건축이 자유로운 도시지역, 제1종일반주거지역</t>
        </is>
      </c>
      <c r="I364" s="5">
        <f>HYPERLINK("https://fin.land.naver.com/articles/2649569731", "매물Link")</f>
        <v/>
      </c>
      <c r="J364" s="5">
        <f>HYPERLINK("https://map.naver.com/p/search/금남면 발산리 88-2", "지도Link")</f>
        <v/>
      </c>
      <c r="K364" s="5">
        <f>HYPERLINK("http://www.eum.go.kr/web/ar/lu/luLandDet.jsp?pnu=3611034022100880002&amp;isNoScr=script&amp;mode=search", "토지이음")</f>
        <v/>
      </c>
      <c r="L364" s="3" t="inlineStr">
        <is>
          <t>스마일세종</t>
        </is>
      </c>
      <c r="M364" s="3" t="n">
        <v>1</v>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3" t="inlineStr">
        <is>
          <t>대지 및 전</t>
        </is>
      </c>
      <c r="I365" s="5">
        <f>HYPERLINK("https://fin.land.naver.com/articles/2647244777", "매물Link")</f>
        <v/>
      </c>
      <c r="J365" s="5">
        <f>HYPERLINK("https://map.naver.com/p/search/금남면 봉암리 161-4", "지도Link")</f>
        <v/>
      </c>
      <c r="K365" s="5">
        <f>HYPERLINK("http://www.eum.go.kr/web/ar/lu/luLandDet.jsp?pnu=3611034043101610004&amp;isNoScr=script&amp;mode=search", "토지이음")</f>
        <v/>
      </c>
      <c r="L365" s="3" t="inlineStr">
        <is>
          <t>정직한한국</t>
        </is>
      </c>
      <c r="M365" s="3" t="n">
        <v>1</v>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3" t="inlineStr">
        <is>
          <t>대전 세종 중간 입지 접근성 양호</t>
        </is>
      </c>
      <c r="I366" s="5">
        <f>HYPERLINK("https://fin.land.naver.com/articles/2644203030", "매물Link")</f>
        <v/>
      </c>
      <c r="J366" s="5">
        <f>HYPERLINK("https://map.naver.com/p/search/금남면 봉암리 28", "지도Link")</f>
        <v/>
      </c>
      <c r="K366" s="5">
        <f>HYPERLINK("http://www.eum.go.kr/web/ar/lu/luLandDet.jsp?pnu=3611034043100280000&amp;isNoScr=script&amp;mode=search", "토지이음")</f>
        <v/>
      </c>
      <c r="L366" s="3" t="inlineStr">
        <is>
          <t>반석원무소</t>
        </is>
      </c>
      <c r="M366" s="3" t="n">
        <v>1</v>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3" t="inlineStr">
        <is>
          <t>지목대 계획관리 코너 가시성굿 접근성양호 귀한나대지</t>
        </is>
      </c>
      <c r="I367" s="5">
        <f>HYPERLINK("https://fin.land.naver.com/articles/2648459486", "매물Link")</f>
        <v/>
      </c>
      <c r="J367" s="5">
        <f>HYPERLINK("https://map.naver.com/p/search/금남면 부용리 100", "지도Link")</f>
        <v/>
      </c>
      <c r="K367" s="5">
        <f>HYPERLINK("http://www.eum.go.kr/web/ar/lu/luLandDet.jsp?pnu=3611034035101000000&amp;isNoScr=script&amp;mode=search", "토지이음")</f>
        <v/>
      </c>
      <c r="L367" s="3" t="inlineStr">
        <is>
          <t>열린</t>
        </is>
      </c>
      <c r="M367" s="3" t="n">
        <v>1</v>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3" t="inlineStr">
        <is>
          <t>조율최대 계획관리지역 전원주택 카페등 청주 오송 근거리 매매가</t>
        </is>
      </c>
      <c r="I368" s="5">
        <f>HYPERLINK("https://fin.land.naver.com/articles/2645462989", "매물Link")</f>
        <v/>
      </c>
      <c r="J368" s="5">
        <f>HYPERLINK("https://map.naver.com/p/search/금남면 부용리 100", "지도Link")</f>
        <v/>
      </c>
      <c r="K368" s="5">
        <f>HYPERLINK("http://www.eum.go.kr/web/ar/lu/luLandDet.jsp?pnu=3611034035101000000&amp;isNoScr=script&amp;mode=search", "토지이음")</f>
        <v/>
      </c>
      <c r="L368" s="3" t="inlineStr">
        <is>
          <t>홍기표</t>
        </is>
      </c>
      <c r="M368" s="3" t="n">
        <v>1</v>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3" t="inlineStr">
        <is>
          <t>nan</t>
        </is>
      </c>
      <c r="I369" s="5">
        <f>HYPERLINK("https://fin.land.naver.com/articles/2645489518", "매물Link")</f>
        <v/>
      </c>
      <c r="J369" s="5">
        <f>HYPERLINK("https://map.naver.com/p/search/금남면 부용리 267-1", "지도Link")</f>
        <v/>
      </c>
      <c r="K369" s="5">
        <f>HYPERLINK("http://www.eum.go.kr/web/ar/lu/luLandDet.jsp?pnu=3611034035102670001&amp;isNoScr=script&amp;mode=search", "토지이음")</f>
        <v/>
      </c>
      <c r="L369" s="3" t="inlineStr">
        <is>
          <t>안중행복드림</t>
        </is>
      </c>
      <c r="M369" s="3" t="n">
        <v>1</v>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3" t="inlineStr">
        <is>
          <t>4생활권 접근성  최상의 위치, 대지, 계획관리지역, 현재사무실사용중</t>
        </is>
      </c>
      <c r="I370" s="5">
        <f>HYPERLINK("https://fin.land.naver.com/articles/2645861454", "매물Link")</f>
        <v/>
      </c>
      <c r="J370" s="5">
        <f>HYPERLINK("https://map.naver.com/p/search/금남면 부용리 278-3", "지도Link")</f>
        <v/>
      </c>
      <c r="K370" s="5">
        <f>HYPERLINK("http://www.eum.go.kr/web/ar/lu/luLandDet.jsp?pnu=3611034035102780003&amp;isNoScr=script&amp;mode=search", "토지이음")</f>
        <v/>
      </c>
      <c r="L370" s="3" t="inlineStr">
        <is>
          <t>이담</t>
        </is>
      </c>
      <c r="M370" s="3" t="n">
        <v>1</v>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3" t="inlineStr">
        <is>
          <t>공동 캠퍼스 인근 토지. 강변 근처 토지</t>
        </is>
      </c>
      <c r="I371" s="5">
        <f>HYPERLINK("https://fin.land.naver.com/articles/2645326398", "매물Link")</f>
        <v/>
      </c>
      <c r="J371" s="5">
        <f>HYPERLINK("https://map.naver.com/p/search/금남면 부용리 302-3", "지도Link")</f>
        <v/>
      </c>
      <c r="K371" s="5">
        <f>HYPERLINK("http://www.eum.go.kr/web/ar/lu/luLandDet.jsp?pnu=3611034035103020003&amp;isNoScr=script&amp;mode=search", "토지이음")</f>
        <v/>
      </c>
      <c r="L371" s="3" t="inlineStr">
        <is>
          <t>이레</t>
        </is>
      </c>
      <c r="M371" s="3" t="n">
        <v>1</v>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3" t="inlineStr">
        <is>
          <t>저렴한 토지,투자로 추천,4미터 도로접</t>
        </is>
      </c>
      <c r="I372" s="5">
        <f>HYPERLINK("https://fin.land.naver.com/articles/2648921519", "매물Link")</f>
        <v/>
      </c>
      <c r="J372" s="5">
        <f>HYPERLINK("https://map.naver.com/p/search/금남면 부용리 353", "지도Link")</f>
        <v/>
      </c>
      <c r="K372" s="5">
        <f>HYPERLINK("http://www.eum.go.kr/web/ar/lu/luLandDet.jsp?pnu=3611034035103530000&amp;isNoScr=script&amp;mode=search", "토지이음")</f>
        <v/>
      </c>
      <c r="L372" s="3" t="inlineStr">
        <is>
          <t>담뜰</t>
        </is>
      </c>
      <c r="M372" s="3" t="n">
        <v>1</v>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3" t="inlineStr">
        <is>
          <t>4개필지, 도로에 접함</t>
        </is>
      </c>
      <c r="I373" s="5">
        <f>HYPERLINK("https://fin.land.naver.com/articles/2647676436", "매물Link")</f>
        <v/>
      </c>
      <c r="J373" s="5">
        <f>HYPERLINK("https://map.naver.com/p/search/금남면 부용리 422", "지도Link")</f>
        <v/>
      </c>
      <c r="K373" s="5">
        <f>HYPERLINK("http://www.eum.go.kr/web/ar/lu/luLandDet.jsp?pnu=3611034035104220000&amp;isNoScr=script&amp;mode=search", "토지이음")</f>
        <v/>
      </c>
      <c r="L373" s="3" t="inlineStr">
        <is>
          <t>황제</t>
        </is>
      </c>
      <c r="M373" s="3" t="n">
        <v>1</v>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3" t="inlineStr">
        <is>
          <t>대학교부지 초인접한 2차선 도로가 토지</t>
        </is>
      </c>
      <c r="I374" s="5">
        <f>HYPERLINK("https://fin.land.naver.com/articles/2649461503", "매물Link")</f>
        <v/>
      </c>
      <c r="J374" s="5">
        <f>HYPERLINK("https://map.naver.com/p/search/금남면 부용리 427-6", "지도Link")</f>
        <v/>
      </c>
      <c r="K374" s="5">
        <f>HYPERLINK("http://www.eum.go.kr/web/ar/lu/luLandDet.jsp?pnu=3611034035104270006&amp;isNoScr=script&amp;mode=search", "토지이음")</f>
        <v/>
      </c>
      <c r="L374" s="3" t="inlineStr">
        <is>
          <t>이레</t>
        </is>
      </c>
      <c r="M374" s="3" t="n">
        <v>1</v>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3" t="inlineStr">
        <is>
          <t>경치 좋은 토지</t>
        </is>
      </c>
      <c r="I375" s="5">
        <f>HYPERLINK("https://fin.land.naver.com/articles/2649730403", "매물Link")</f>
        <v/>
      </c>
      <c r="J375" s="5">
        <f>HYPERLINK("https://map.naver.com/p/search/금남면 부용리 45", "지도Link")</f>
        <v/>
      </c>
      <c r="K375" s="5">
        <f>HYPERLINK("http://www.eum.go.kr/web/ar/lu/luLandDet.jsp?pnu=3611034035100450000&amp;isNoScr=script&amp;mode=search", "토지이음")</f>
        <v/>
      </c>
      <c r="L375" s="3" t="inlineStr">
        <is>
          <t>세종몽땅</t>
        </is>
      </c>
      <c r="M375" s="3" t="n">
        <v>1</v>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3" t="inlineStr">
        <is>
          <t>Point 수변 카페, 전원주택, 가든 등 신축 가능, 도로접 접근성좋음</t>
        </is>
      </c>
      <c r="I376" s="5">
        <f>HYPERLINK("https://fin.land.naver.com/articles/2647899944", "매물Link")</f>
        <v/>
      </c>
      <c r="J376" s="5">
        <f>HYPERLINK("https://map.naver.com/p/search/금남면 부용리 45", "지도Link")</f>
        <v/>
      </c>
      <c r="K376" s="5">
        <f>HYPERLINK("http://www.eum.go.kr/web/ar/lu/luLandDet.jsp?pnu=3611034035100450000&amp;isNoScr=script&amp;mode=search", "토지이음")</f>
        <v/>
      </c>
      <c r="L376" s="3" t="inlineStr">
        <is>
          <t>도마호반</t>
        </is>
      </c>
      <c r="M376" s="3" t="n">
        <v>3</v>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3" t="inlineStr">
        <is>
          <t>금강 조망 최적의 위치</t>
        </is>
      </c>
      <c r="I377" s="5">
        <f>HYPERLINK("https://fin.land.naver.com/articles/2650136816", "매물Link")</f>
        <v/>
      </c>
      <c r="J377" s="5">
        <f>HYPERLINK("https://map.naver.com/p/search/금남면 부용리 45", "지도Link")</f>
        <v/>
      </c>
      <c r="K377" s="5">
        <f>HYPERLINK("http://www.eum.go.kr/web/ar/lu/luLandDet.jsp?pnu=3611034035100450000&amp;isNoScr=script&amp;mode=search", "토지이음")</f>
        <v/>
      </c>
      <c r="L377" s="3" t="inlineStr">
        <is>
          <t>정민</t>
        </is>
      </c>
      <c r="M377" s="3" t="n">
        <v>2</v>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3" t="inlineStr">
        <is>
          <t>조망좋은 부용리 소형토지매매</t>
        </is>
      </c>
      <c r="I378" s="5">
        <f>HYPERLINK("https://fin.land.naver.com/articles/2648546163", "매물Link")</f>
        <v/>
      </c>
      <c r="J378" s="5">
        <f>HYPERLINK("https://map.naver.com/p/search/금남면 부용리 497-1", "지도Link")</f>
        <v/>
      </c>
      <c r="K378" s="5">
        <f>HYPERLINK("http://www.eum.go.kr/web/ar/lu/luLandDet.jsp?pnu=3611034035104970001&amp;isNoScr=script&amp;mode=search", "토지이음")</f>
        <v/>
      </c>
      <c r="L378" s="3" t="inlineStr">
        <is>
          <t>에이스</t>
        </is>
      </c>
      <c r="M378" s="3" t="n">
        <v>1</v>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3" t="inlineStr">
        <is>
          <t>부용리 마을회관인접,교통좋은 위치,투자추천</t>
        </is>
      </c>
      <c r="I379" s="5">
        <f>HYPERLINK("https://fin.land.naver.com/articles/2645476308", "매물Link")</f>
        <v/>
      </c>
      <c r="J379" s="5">
        <f>HYPERLINK("https://map.naver.com/p/search/금남면 부용리 507-1", "지도Link")</f>
        <v/>
      </c>
      <c r="K379" s="5">
        <f>HYPERLINK("http://www.eum.go.kr/web/ar/lu/luLandDet.jsp?pnu=3611034035105070001&amp;isNoScr=script&amp;mode=search", "토지이음")</f>
        <v/>
      </c>
      <c r="L379" s="3" t="inlineStr">
        <is>
          <t>두진</t>
        </is>
      </c>
      <c r="M379" s="3" t="n">
        <v>1</v>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3" t="inlineStr">
        <is>
          <t>금남면 부용리 계획관리 대지, 4생활권 및 공동캠퍼스 인근, 자연취락지구</t>
        </is>
      </c>
      <c r="I380" s="5">
        <f>HYPERLINK("https://fin.land.naver.com/articles/2647585337", "매물Link")</f>
        <v/>
      </c>
      <c r="J380" s="5">
        <f>HYPERLINK("https://map.naver.com/p/search/금남면 부용리 513", "지도Link")</f>
        <v/>
      </c>
      <c r="K380" s="5">
        <f>HYPERLINK("http://www.eum.go.kr/web/ar/lu/luLandDet.jsp?pnu=3611034035105130000&amp;isNoScr=script&amp;mode=search", "토지이음")</f>
        <v/>
      </c>
      <c r="L380" s="3" t="inlineStr">
        <is>
          <t>스카이</t>
        </is>
      </c>
      <c r="M380" s="3" t="n">
        <v>1</v>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3" t="inlineStr">
        <is>
          <t>연접3필지 일괄매매</t>
        </is>
      </c>
      <c r="I381" s="5">
        <f>HYPERLINK("https://fin.land.naver.com/articles/2650031191", "매물Link")</f>
        <v/>
      </c>
      <c r="J381" s="5">
        <f>HYPERLINK("https://map.naver.com/p/search/금남면 부용리 518-1", "지도Link")</f>
        <v/>
      </c>
      <c r="K381" s="5">
        <f>HYPERLINK("http://www.eum.go.kr/web/ar/lu/luLandDet.jsp?pnu=3611034035105180001&amp;isNoScr=script&amp;mode=search", "토지이음")</f>
        <v/>
      </c>
      <c r="L381" s="3" t="inlineStr">
        <is>
          <t>새뜸마을</t>
        </is>
      </c>
      <c r="M381" s="3" t="n">
        <v>1</v>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3" t="inlineStr">
        <is>
          <t>귀한 입지 미래가 창창 합니다  조건은 열성적으로  협의 해 보시게요</t>
        </is>
      </c>
      <c r="I382" s="5">
        <f>HYPERLINK("https://fin.land.naver.com/articles/2648498928", "매물Link")</f>
        <v/>
      </c>
      <c r="J382" s="5">
        <f>HYPERLINK("https://map.naver.com/p/search/금남면 부용리 524-5", "지도Link")</f>
        <v/>
      </c>
      <c r="K382" s="5">
        <f>HYPERLINK("http://www.eum.go.kr/web/ar/lu/luLandDet.jsp?pnu=3611034035105240005&amp;isNoScr=script&amp;mode=search", "토지이음")</f>
        <v/>
      </c>
      <c r="L382" s="3" t="inlineStr">
        <is>
          <t>세종골드삼성</t>
        </is>
      </c>
      <c r="M382" s="3" t="n">
        <v>1</v>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3" t="inlineStr">
        <is>
          <t>입지좋은 도로변토지매매추천</t>
        </is>
      </c>
      <c r="I383" s="5">
        <f>HYPERLINK("https://fin.land.naver.com/articles/2649194626", "매물Link")</f>
        <v/>
      </c>
      <c r="J383" s="5">
        <f>HYPERLINK("https://map.naver.com/p/search/금남면 부용리 534", "지도Link")</f>
        <v/>
      </c>
      <c r="K383" s="5">
        <f>HYPERLINK("http://www.eum.go.kr/web/ar/lu/luLandDet.jsp?pnu=3611034035105340000&amp;isNoScr=script&amp;mode=search", "토지이음")</f>
        <v/>
      </c>
      <c r="L383" s="3" t="inlineStr">
        <is>
          <t>세종365</t>
        </is>
      </c>
      <c r="M383" s="3" t="n">
        <v>1</v>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3" t="inlineStr">
        <is>
          <t>대학교 인근 계획관리</t>
        </is>
      </c>
      <c r="I384" s="5">
        <f>HYPERLINK("https://fin.land.naver.com/articles/2649461562", "매물Link")</f>
        <v/>
      </c>
      <c r="J384" s="5">
        <f>HYPERLINK("https://map.naver.com/p/search/금남면 부용리 535-1", "지도Link")</f>
        <v/>
      </c>
      <c r="K384" s="5">
        <f>HYPERLINK("http://www.eum.go.kr/web/ar/lu/luLandDet.jsp?pnu=3611034035105350001&amp;isNoScr=script&amp;mode=search", "토지이음")</f>
        <v/>
      </c>
      <c r="L384" s="3" t="inlineStr">
        <is>
          <t>이레</t>
        </is>
      </c>
      <c r="M384" s="3" t="n">
        <v>1</v>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3" t="inlineStr">
        <is>
          <t>세종시 공동캠퍼스 주변 원룸및 전원주택 가능</t>
        </is>
      </c>
      <c r="I385" s="5">
        <f>HYPERLINK("https://fin.land.naver.com/articles/2648239162", "매물Link")</f>
        <v/>
      </c>
      <c r="J385" s="5">
        <f>HYPERLINK("https://map.naver.com/p/search/금남면 부용리 535-1", "지도Link")</f>
        <v/>
      </c>
      <c r="K385" s="5">
        <f>HYPERLINK("http://www.eum.go.kr/web/ar/lu/luLandDet.jsp?pnu=3611034035105350001&amp;isNoScr=script&amp;mode=search", "토지이음")</f>
        <v/>
      </c>
      <c r="L385" s="3" t="inlineStr">
        <is>
          <t>세종나라</t>
        </is>
      </c>
      <c r="M385" s="3" t="n">
        <v>1</v>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3" t="inlineStr">
        <is>
          <t>대학교 부지 인근 계획관리 토지</t>
        </is>
      </c>
      <c r="I386" s="5">
        <f>HYPERLINK("https://fin.land.naver.com/articles/2649462295", "매물Link")</f>
        <v/>
      </c>
      <c r="J386" s="5">
        <f>HYPERLINK("https://map.naver.com/p/search/금남면 부용리 535-10", "지도Link")</f>
        <v/>
      </c>
      <c r="K386" s="5">
        <f>HYPERLINK("http://www.eum.go.kr/web/ar/lu/luLandDet.jsp?pnu=3611034035105350010&amp;isNoScr=script&amp;mode=search", "토지이음")</f>
        <v/>
      </c>
      <c r="L386" s="3" t="inlineStr">
        <is>
          <t>이레</t>
        </is>
      </c>
      <c r="M386" s="3" t="n">
        <v>1</v>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3" t="inlineStr">
        <is>
          <t>nan</t>
        </is>
      </c>
      <c r="I387" s="5">
        <f>HYPERLINK("https://fin.land.naver.com/articles/2649462650", "매물Link")</f>
        <v/>
      </c>
      <c r="J387" s="5">
        <f>HYPERLINK("https://map.naver.com/p/search/금남면 부용리 535-9", "지도Link")</f>
        <v/>
      </c>
      <c r="K387" s="5">
        <f>HYPERLINK("http://www.eum.go.kr/web/ar/lu/luLandDet.jsp?pnu=3611034035105350009&amp;isNoScr=script&amp;mode=search", "토지이음")</f>
        <v/>
      </c>
      <c r="L387" s="3" t="inlineStr">
        <is>
          <t>이레</t>
        </is>
      </c>
      <c r="M387" s="3" t="n">
        <v>1</v>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3" t="inlineStr">
        <is>
          <t>자연녹지 전, 농업진흥구역, 개발제한구역, 토지거래허가구역</t>
        </is>
      </c>
      <c r="I388" s="5">
        <f>HYPERLINK("https://fin.land.naver.com/articles/2645605268", "매물Link")</f>
        <v/>
      </c>
      <c r="J388" s="5">
        <f>HYPERLINK("https://map.naver.com/p/search/금남면 부용리 612-3", "지도Link")</f>
        <v/>
      </c>
      <c r="K388" s="5">
        <f>HYPERLINK("http://www.eum.go.kr/web/ar/lu/luLandDet.jsp?pnu=3611034035106120003&amp;isNoScr=script&amp;mode=search", "토지이음")</f>
        <v/>
      </c>
      <c r="L388" s="3" t="inlineStr">
        <is>
          <t>미스터홈즈강남지사</t>
        </is>
      </c>
      <c r="M388" s="3" t="n">
        <v>1</v>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3" t="inlineStr">
        <is>
          <t>대통령지붐실 5분거리 강변 투자용지</t>
        </is>
      </c>
      <c r="I389" s="5">
        <f>HYPERLINK("https://fin.land.naver.com/articles/2648942256", "매물Link")</f>
        <v/>
      </c>
      <c r="J389" s="5">
        <f>HYPERLINK("https://map.naver.com/p/search/금남면 부용리 81", "지도Link")</f>
        <v/>
      </c>
      <c r="K389" s="5">
        <f>HYPERLINK("http://www.eum.go.kr/web/ar/lu/luLandDet.jsp?pnu=3611034035100810000&amp;isNoScr=script&amp;mode=search", "토지이음")</f>
        <v/>
      </c>
      <c r="L389" s="3" t="inlineStr">
        <is>
          <t>초원</t>
        </is>
      </c>
      <c r="M389" s="3" t="n">
        <v>1</v>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3" t="inlineStr">
        <is>
          <t>세종시 유일한 금강변 주택및 사무실 용도 소형부지 4생활권</t>
        </is>
      </c>
      <c r="I390" s="5">
        <f>HYPERLINK("https://fin.land.naver.com/articles/2646915485", "매물Link")</f>
        <v/>
      </c>
      <c r="J390" s="5">
        <f>HYPERLINK("https://map.naver.com/p/search/금남면 부용리 81", "지도Link")</f>
        <v/>
      </c>
      <c r="K390" s="5">
        <f>HYPERLINK("http://www.eum.go.kr/web/ar/lu/luLandDet.jsp?pnu=3611034035100810000&amp;isNoScr=script&amp;mode=search", "토지이음")</f>
        <v/>
      </c>
      <c r="L390" s="3" t="inlineStr">
        <is>
          <t>큰터</t>
        </is>
      </c>
      <c r="M390" s="3" t="n">
        <v>1</v>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3" t="inlineStr">
        <is>
          <t>세종 금남면 토지, 성장관리계획구역, 금강, 부강역, 세종5생활권</t>
        </is>
      </c>
      <c r="I391" s="5">
        <f>HYPERLINK("https://fin.land.naver.com/articles/2647456978", "매물Link")</f>
        <v/>
      </c>
      <c r="J391" s="5">
        <f>HYPERLINK("https://map.naver.com/p/search/금남면 부용리 83", "지도Link")</f>
        <v/>
      </c>
      <c r="K391" s="5">
        <f>HYPERLINK("http://www.eum.go.kr/web/ar/lu/luLandDet.jsp?pnu=3611034035100830000&amp;isNoScr=script&amp;mode=search", "토지이음")</f>
        <v/>
      </c>
      <c r="L391" s="3" t="inlineStr">
        <is>
          <t>나침반</t>
        </is>
      </c>
      <c r="M391" s="3" t="n">
        <v>1</v>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3" t="inlineStr">
        <is>
          <t>금강면 부강생활 체육공원 마자은편3필지 매매가격조율 가능</t>
        </is>
      </c>
      <c r="I392" s="5">
        <f>HYPERLINK("https://fin.land.naver.com/articles/2645193509", "매물Link")</f>
        <v/>
      </c>
      <c r="J392" s="5">
        <f>HYPERLINK("https://map.naver.com/p/search/금남면 부용리 87-1", "지도Link")</f>
        <v/>
      </c>
      <c r="K392" s="5">
        <f>HYPERLINK("http://www.eum.go.kr/web/ar/lu/luLandDet.jsp?pnu=3611034035100870001&amp;isNoScr=script&amp;mode=search", "토지이음")</f>
        <v/>
      </c>
      <c r="L392" s="3" t="inlineStr">
        <is>
          <t>금백</t>
        </is>
      </c>
      <c r="M392" s="3" t="n">
        <v>1</v>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3" t="inlineStr">
        <is>
          <t>귀한 원주민 토지. 소형평수. 금강벚꽃길을 내집에서 감상하세요</t>
        </is>
      </c>
      <c r="I393" s="5">
        <f>HYPERLINK("https://fin.land.naver.com/articles/2645373863", "매물Link")</f>
        <v/>
      </c>
      <c r="J393" s="5">
        <f>HYPERLINK("https://map.naver.com/p/search/금남면 부용리 88-1", "지도Link")</f>
        <v/>
      </c>
      <c r="K393" s="5">
        <f>HYPERLINK("http://www.eum.go.kr/web/ar/lu/luLandDet.jsp?pnu=3611034035100880001&amp;isNoScr=script&amp;mode=search", "토지이음")</f>
        <v/>
      </c>
      <c r="L393" s="3" t="inlineStr">
        <is>
          <t>세종금밭</t>
        </is>
      </c>
      <c r="M393" s="3" t="n">
        <v>1</v>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3" t="inlineStr">
        <is>
          <t>nan</t>
        </is>
      </c>
      <c r="I394" s="5">
        <f>HYPERLINK("https://fin.land.naver.com/articles/2647427732", "매물Link")</f>
        <v/>
      </c>
      <c r="J394" s="5">
        <f>HYPERLINK("https://map.naver.com/p/search/금남면 부용리 산21-1", "지도Link")</f>
        <v/>
      </c>
      <c r="K394" s="5">
        <f>HYPERLINK("http://www.eum.go.kr/web/ar/lu/luLandDet.jsp?pnu=3611034035200210001&amp;isNoScr=script&amp;mode=search", "토지이음")</f>
        <v/>
      </c>
      <c r="L394" s="3" t="inlineStr">
        <is>
          <t>세종</t>
        </is>
      </c>
      <c r="M394" s="3" t="n">
        <v>1</v>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3" t="inlineStr">
        <is>
          <t>세종시 금남면 부용리 금강변 도로에 접한 임업용 산지 임야</t>
        </is>
      </c>
      <c r="I395" s="5">
        <f>HYPERLINK("https://fin.land.naver.com/articles/2650047633", "매물Link")</f>
        <v/>
      </c>
      <c r="J395" s="5">
        <f>HYPERLINK("https://map.naver.com/p/search/금남면 부용리 산5-5", "지도Link")</f>
        <v/>
      </c>
      <c r="K395" s="5">
        <f>HYPERLINK("http://www.eum.go.kr/web/ar/lu/luLandDet.jsp?pnu=3611034035200050005&amp;isNoScr=script&amp;mode=search", "토지이음")</f>
        <v/>
      </c>
      <c r="L395" s="3" t="inlineStr">
        <is>
          <t>하이엔드</t>
        </is>
      </c>
      <c r="M395" s="3" t="n">
        <v>3</v>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3" t="inlineStr">
        <is>
          <t>도시지역,자연녹지,개발제한구역,진입도로 있슴,전망좋음.조율가,4생활권근교</t>
        </is>
      </c>
      <c r="I396" s="5">
        <f>HYPERLINK("https://fin.land.naver.com/articles/2648211418", "매물Link")</f>
        <v/>
      </c>
      <c r="J396" s="5">
        <f>HYPERLINK("https://map.naver.com/p/search/금남면 부용리 산81-1", "지도Link")</f>
        <v/>
      </c>
      <c r="K396" s="5">
        <f>HYPERLINK("http://www.eum.go.kr/web/ar/lu/luLandDet.jsp?pnu=3611034035200810001&amp;isNoScr=script&amp;mode=search", "토지이음")</f>
        <v/>
      </c>
      <c r="L396" s="3" t="inlineStr">
        <is>
          <t>어반통</t>
        </is>
      </c>
      <c r="M396" s="3" t="n">
        <v>1</v>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3" t="inlineStr">
        <is>
          <t>공동 캠퍼스 인근 임야</t>
        </is>
      </c>
      <c r="I397" s="5">
        <f>HYPERLINK("https://fin.land.naver.com/articles/2649462186", "매물Link")</f>
        <v/>
      </c>
      <c r="J397" s="5">
        <f>HYPERLINK("https://map.naver.com/p/search/금남면 부용리 산81-6", "지도Link")</f>
        <v/>
      </c>
      <c r="K397" s="5">
        <f>HYPERLINK("http://www.eum.go.kr/web/ar/lu/luLandDet.jsp?pnu=3611034035200810006&amp;isNoScr=script&amp;mode=search", "토지이음")</f>
        <v/>
      </c>
      <c r="L397" s="3" t="inlineStr">
        <is>
          <t>이레</t>
        </is>
      </c>
      <c r="M397" s="3" t="n">
        <v>1</v>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3" t="inlineStr">
        <is>
          <t>4차선 도로에 인접하고 동학사와 근접해 있는 조망좋은 전원주택지</t>
        </is>
      </c>
      <c r="I398" s="5">
        <f>HYPERLINK("https://fin.land.naver.com/articles/2645165635", "매물Link")</f>
        <v/>
      </c>
      <c r="J398" s="5">
        <f>HYPERLINK("https://map.naver.com/p/search/금남면 성강리 109-10", "지도Link")</f>
        <v/>
      </c>
      <c r="K398" s="5">
        <f>HYPERLINK("http://www.eum.go.kr/web/ar/lu/luLandDet.jsp?pnu=3611034042101090010&amp;isNoScr=script&amp;mode=search", "토지이음")</f>
        <v/>
      </c>
      <c r="L398" s="3" t="inlineStr">
        <is>
          <t>가람</t>
        </is>
      </c>
      <c r="M398" s="3" t="n">
        <v>1</v>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3" t="inlineStr">
        <is>
          <t>세종시 금남면 성강리 전원주택지 비버리힐스 급매 010 3819 3805</t>
        </is>
      </c>
      <c r="I399" s="5">
        <f>HYPERLINK("https://fin.land.naver.com/articles/2650215939", "매물Link")</f>
        <v/>
      </c>
      <c r="J399" s="5">
        <f>HYPERLINK("https://map.naver.com/p/search/금남면 성강리 109-40", "지도Link")</f>
        <v/>
      </c>
      <c r="K399" s="5">
        <f>HYPERLINK("http://www.eum.go.kr/web/ar/lu/luLandDet.jsp?pnu=3611034042101090040&amp;isNoScr=script&amp;mode=search", "토지이음")</f>
        <v/>
      </c>
      <c r="L399" s="3" t="inlineStr">
        <is>
          <t>국제</t>
        </is>
      </c>
      <c r="M399" s="3" t="n">
        <v>1</v>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3" t="inlineStr">
        <is>
          <t>성강길인근토지 도보5분대단지아파트입주예정</t>
        </is>
      </c>
      <c r="I400" s="5">
        <f>HYPERLINK("https://fin.land.naver.com/articles/2646696256", "매물Link")</f>
        <v/>
      </c>
      <c r="J400" s="5">
        <f>HYPERLINK("https://map.naver.com/p/search/금남면 성강리 119", "지도Link")</f>
        <v/>
      </c>
      <c r="K400" s="5">
        <f>HYPERLINK("http://www.eum.go.kr/web/ar/lu/luLandDet.jsp?pnu=3611034042101190000&amp;isNoScr=script&amp;mode=search", "토지이음")</f>
        <v/>
      </c>
      <c r="L400" s="3" t="inlineStr">
        <is>
          <t>에이스</t>
        </is>
      </c>
      <c r="M400" s="3" t="n">
        <v>1</v>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3" t="inlineStr">
        <is>
          <t>공주시 반포면에서 세종시 가는길 주변 전원주택지 입니다</t>
        </is>
      </c>
      <c r="I401" s="5">
        <f>HYPERLINK("https://fin.land.naver.com/articles/2647471398", "매물Link")</f>
        <v/>
      </c>
      <c r="J401" s="5">
        <f>HYPERLINK("https://map.naver.com/p/search/금남면 성강리 170-9", "지도Link")</f>
        <v/>
      </c>
      <c r="K401" s="5">
        <f>HYPERLINK("http://www.eum.go.kr/web/ar/lu/luLandDet.jsp?pnu=3611034042101700009&amp;isNoScr=script&amp;mode=search", "토지이음")</f>
        <v/>
      </c>
      <c r="L401" s="3" t="inlineStr">
        <is>
          <t>더행복</t>
        </is>
      </c>
      <c r="M401" s="3" t="n">
        <v>1</v>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3" t="inlineStr">
        <is>
          <t>접근성이좋은 도로에접해있는토지남세종IC10분거리근처대단지아파트분양예정</t>
        </is>
      </c>
      <c r="I402" s="5">
        <f>HYPERLINK("https://fin.land.naver.com/articles/2649611970", "매물Link")</f>
        <v/>
      </c>
      <c r="J402" s="5">
        <f>HYPERLINK("https://map.naver.com/p/search/금남면 성강리 234", "지도Link")</f>
        <v/>
      </c>
      <c r="K402" s="5">
        <f>HYPERLINK("http://www.eum.go.kr/web/ar/lu/luLandDet.jsp?pnu=3611034042102340000&amp;isNoScr=script&amp;mode=search", "토지이음")</f>
        <v/>
      </c>
      <c r="L402" s="3" t="inlineStr">
        <is>
          <t>성대리치</t>
        </is>
      </c>
      <c r="M402" s="3" t="n">
        <v>1</v>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3" t="inlineStr">
        <is>
          <t>사진0  이쁘게 잘꾸며진 정원이있는 전원주택 토지 매매</t>
        </is>
      </c>
      <c r="I403" s="5">
        <f>HYPERLINK("https://fin.land.naver.com/articles/2646741248", "매물Link")</f>
        <v/>
      </c>
      <c r="J403" s="5">
        <f>HYPERLINK("https://map.naver.com/p/search/금남면 성강리 240", "지도Link")</f>
        <v/>
      </c>
      <c r="K403" s="5">
        <f>HYPERLINK("http://www.eum.go.kr/web/ar/lu/luLandDet.jsp?pnu=3611034042102400000&amp;isNoScr=script&amp;mode=search", "토지이음")</f>
        <v/>
      </c>
      <c r="L403" s="3" t="inlineStr">
        <is>
          <t>어울림</t>
        </is>
      </c>
      <c r="M403" s="3" t="n">
        <v>1</v>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3" t="inlineStr">
        <is>
          <t>시내권 차량10분거리,도로접,조그만 집 지어 조용한 전원생활,텃밭이용가,</t>
        </is>
      </c>
      <c r="I404" s="5">
        <f>HYPERLINK("https://fin.land.naver.com/articles/2646899859", "매물Link")</f>
        <v/>
      </c>
      <c r="J404" s="5">
        <f>HYPERLINK("https://map.naver.com/p/search/금남면 성강리 306", "지도Link")</f>
        <v/>
      </c>
      <c r="K404" s="5">
        <f>HYPERLINK("http://www.eum.go.kr/web/ar/lu/luLandDet.jsp?pnu=3611034042103060000&amp;isNoScr=script&amp;mode=search", "토지이음")</f>
        <v/>
      </c>
      <c r="L404" s="3" t="inlineStr">
        <is>
          <t>어반통</t>
        </is>
      </c>
      <c r="M404" s="3" t="n">
        <v>1</v>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3" t="inlineStr">
        <is>
          <t>급매.나대지와 전 2필지,도로접,전원주택지로 추천</t>
        </is>
      </c>
      <c r="I405" s="5">
        <f>HYPERLINK("https://fin.land.naver.com/articles/2645457856", "매물Link")</f>
        <v/>
      </c>
      <c r="J405" s="5">
        <f>HYPERLINK("https://map.naver.com/p/search/금남면 성강리 306", "지도Link")</f>
        <v/>
      </c>
      <c r="K405" s="5">
        <f>HYPERLINK("http://www.eum.go.kr/web/ar/lu/luLandDet.jsp?pnu=3611034042103060000&amp;isNoScr=script&amp;mode=search", "토지이음")</f>
        <v/>
      </c>
      <c r="L405" s="3" t="inlineStr">
        <is>
          <t>담뜰</t>
        </is>
      </c>
      <c r="M405" s="3" t="n">
        <v>2</v>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3" t="inlineStr">
        <is>
          <t>세종시 근접한 조용한 주택지</t>
        </is>
      </c>
      <c r="I406" s="5">
        <f>HYPERLINK("https://fin.land.naver.com/articles/2649898529", "매물Link")</f>
        <v/>
      </c>
      <c r="J406" s="5">
        <f>HYPERLINK("https://map.naver.com/p/search/금남면 성강리 306", "지도Link")</f>
        <v/>
      </c>
      <c r="K406" s="5">
        <f>HYPERLINK("http://www.eum.go.kr/web/ar/lu/luLandDet.jsp?pnu=3611034042103060000&amp;isNoScr=script&amp;mode=search", "토지이음")</f>
        <v/>
      </c>
      <c r="L406" s="3" t="inlineStr">
        <is>
          <t>세종나라</t>
        </is>
      </c>
      <c r="M406" s="3" t="n">
        <v>1</v>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3" t="inlineStr">
        <is>
          <t>경관과 조망이 좋은 마을 포장도로에 접한 계획관리지역의 대지와 전 입니다</t>
        </is>
      </c>
      <c r="I407" s="5">
        <f>HYPERLINK("https://fin.land.naver.com/articles/2643949437", "매물Link")</f>
        <v/>
      </c>
      <c r="J407" s="5">
        <f>HYPERLINK("https://map.naver.com/p/search/금남면 성강리 325", "지도Link")</f>
        <v/>
      </c>
      <c r="K407" s="5">
        <f>HYPERLINK("http://www.eum.go.kr/web/ar/lu/luLandDet.jsp?pnu=3611034042103250000&amp;isNoScr=script&amp;mode=search", "토지이음")</f>
        <v/>
      </c>
      <c r="L407" s="3" t="inlineStr">
        <is>
          <t>스마일세종</t>
        </is>
      </c>
      <c r="M407" s="3" t="n">
        <v>1</v>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3" t="inlineStr">
        <is>
          <t>도로 예쁘게 접한 저렴이 토지</t>
        </is>
      </c>
      <c r="I408" s="5">
        <f>HYPERLINK("https://fin.land.naver.com/articles/2646109674", "매물Link")</f>
        <v/>
      </c>
      <c r="J408" s="5">
        <f>HYPERLINK("https://map.naver.com/p/search/금남면 성강리 349", "지도Link")</f>
        <v/>
      </c>
      <c r="K408" s="5">
        <f>HYPERLINK("http://www.eum.go.kr/web/ar/lu/luLandDet.jsp?pnu=3611034042103490000&amp;isNoScr=script&amp;mode=search", "토지이음")</f>
        <v/>
      </c>
      <c r="L408" s="3" t="inlineStr">
        <is>
          <t>THE행복</t>
        </is>
      </c>
      <c r="M408" s="3" t="n">
        <v>1</v>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3" t="inlineStr">
        <is>
          <t>성강리 전원마을 진입도로 변 소하천을 접하고 있는 건축가능 토지</t>
        </is>
      </c>
      <c r="I409" s="5">
        <f>HYPERLINK("https://fin.land.naver.com/articles/2644606994", "매물Link")</f>
        <v/>
      </c>
      <c r="J409" s="5">
        <f>HYPERLINK("https://map.naver.com/p/search/금남면 성강리 418", "지도Link")</f>
        <v/>
      </c>
      <c r="K409" s="5">
        <f>HYPERLINK("http://www.eum.go.kr/web/ar/lu/luLandDet.jsp?pnu=3611034042104180000&amp;isNoScr=script&amp;mode=search", "토지이음")</f>
        <v/>
      </c>
      <c r="L409" s="3" t="inlineStr">
        <is>
          <t>하늘채</t>
        </is>
      </c>
      <c r="M409" s="3" t="n">
        <v>1</v>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3" t="inlineStr">
        <is>
          <t>전원주택에 텃밭가능 조용하며 경치좋은 땅 입니다</t>
        </is>
      </c>
      <c r="I410" s="5">
        <f>HYPERLINK("https://fin.land.naver.com/articles/2645841840", "매물Link")</f>
        <v/>
      </c>
      <c r="J410" s="5">
        <f>HYPERLINK("https://map.naver.com/p/search/금남면 성강리 435", "지도Link")</f>
        <v/>
      </c>
      <c r="K410" s="5">
        <f>HYPERLINK("http://www.eum.go.kr/web/ar/lu/luLandDet.jsp?pnu=3611034042104350000&amp;isNoScr=script&amp;mode=search", "토지이음")</f>
        <v/>
      </c>
      <c r="L410" s="3" t="inlineStr">
        <is>
          <t>대평황금</t>
        </is>
      </c>
      <c r="M410" s="3" t="n">
        <v>1</v>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3" t="inlineStr">
        <is>
          <t>비닐하우스, 조경수식재,  정비잘되어있는 토지입니다.</t>
        </is>
      </c>
      <c r="I411" s="5">
        <f>HYPERLINK("https://fin.land.naver.com/articles/2645364915", "매물Link")</f>
        <v/>
      </c>
      <c r="J411" s="5">
        <f>HYPERLINK("https://map.naver.com/p/search/금남면 성강리 456", "지도Link")</f>
        <v/>
      </c>
      <c r="K411" s="5">
        <f>HYPERLINK("http://www.eum.go.kr/web/ar/lu/luLandDet.jsp?pnu=3611034042104560000&amp;isNoScr=script&amp;mode=search", "토지이음")</f>
        <v/>
      </c>
      <c r="L411" s="3" t="inlineStr">
        <is>
          <t>이담</t>
        </is>
      </c>
      <c r="M411" s="3" t="n">
        <v>1</v>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3" t="inlineStr">
        <is>
          <t>세종시 초인접 성덕리 토지, 건축가능, 개발여지 많은 토지</t>
        </is>
      </c>
      <c r="I412" s="5">
        <f>HYPERLINK("https://fin.land.naver.com/articles/2645605783", "매물Link")</f>
        <v/>
      </c>
      <c r="J412" s="5">
        <f>HYPERLINK("https://map.naver.com/p/search/금남면 성덕리 170", "지도Link")</f>
        <v/>
      </c>
      <c r="K412" s="5">
        <f>HYPERLINK("http://www.eum.go.kr/web/ar/lu/luLandDet.jsp?pnu=3611034040101700000&amp;isNoScr=script&amp;mode=search", "토지이음")</f>
        <v/>
      </c>
      <c r="L412" s="3" t="inlineStr">
        <is>
          <t>미스터홈즈강남지사</t>
        </is>
      </c>
      <c r="M412" s="3" t="n">
        <v>1</v>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3" t="inlineStr">
        <is>
          <t>세종시 금남면 성덕리 토지</t>
        </is>
      </c>
      <c r="I413" s="5">
        <f>HYPERLINK("https://fin.land.naver.com/articles/2648106741", "매물Link")</f>
        <v/>
      </c>
      <c r="J413" s="5">
        <f>HYPERLINK("https://map.naver.com/p/search/금남면 성덕리 171", "지도Link")</f>
        <v/>
      </c>
      <c r="K413" s="5">
        <f>HYPERLINK("http://www.eum.go.kr/web/ar/lu/luLandDet.jsp?pnu=3611034040101710000&amp;isNoScr=script&amp;mode=search", "토지이음")</f>
        <v/>
      </c>
      <c r="L413" s="3" t="inlineStr">
        <is>
          <t>오송이가</t>
        </is>
      </c>
      <c r="M413" s="3" t="n">
        <v>1</v>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3" t="inlineStr">
        <is>
          <t>계획관리지역 대지와답 분할매매가능</t>
        </is>
      </c>
      <c r="I414" s="5">
        <f>HYPERLINK("https://fin.land.naver.com/articles/2644028902", "매물Link")</f>
        <v/>
      </c>
      <c r="J414" s="5">
        <f>HYPERLINK("https://map.naver.com/p/search/금남면 성덕리 195", "지도Link")</f>
        <v/>
      </c>
      <c r="K414" s="5">
        <f>HYPERLINK("http://www.eum.go.kr/web/ar/lu/luLandDet.jsp?pnu=3611034040101950000&amp;isNoScr=script&amp;mode=search", "토지이음")</f>
        <v/>
      </c>
      <c r="L414" s="3" t="inlineStr">
        <is>
          <t>열린</t>
        </is>
      </c>
      <c r="M414" s="3" t="n">
        <v>1</v>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3" t="inlineStr">
        <is>
          <t>삼면이 도로에접한 남향 토지,전과 대지3필지,분할매매가능,차량진입가능,</t>
        </is>
      </c>
      <c r="I415" s="5">
        <f>HYPERLINK("https://fin.land.naver.com/articles/2644112802", "매물Link")</f>
        <v/>
      </c>
      <c r="J415" s="5">
        <f>HYPERLINK("https://map.naver.com/p/search/금남면 성덕리 197", "지도Link")</f>
        <v/>
      </c>
      <c r="K415" s="5">
        <f>HYPERLINK("http://www.eum.go.kr/web/ar/lu/luLandDet.jsp?pnu=3611034040101970000&amp;isNoScr=script&amp;mode=search", "토지이음")</f>
        <v/>
      </c>
      <c r="L415" s="3" t="inlineStr">
        <is>
          <t>담뜰</t>
        </is>
      </c>
      <c r="M415" s="3" t="n">
        <v>1</v>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3" t="inlineStr">
        <is>
          <t>사진.유.도로.농로접.계획관리지역.대전.30분이내.투자.강력추천</t>
        </is>
      </c>
      <c r="I416" s="5">
        <f>HYPERLINK("https://fin.land.naver.com/articles/2644594128", "매물Link")</f>
        <v/>
      </c>
      <c r="J416" s="5">
        <f>HYPERLINK("https://map.naver.com/p/search/금남면 성덕리 197", "지도Link")</f>
        <v/>
      </c>
      <c r="K416" s="5">
        <f>HYPERLINK("http://www.eum.go.kr/web/ar/lu/luLandDet.jsp?pnu=3611034040101970000&amp;isNoScr=script&amp;mode=search", "토지이음")</f>
        <v/>
      </c>
      <c r="L416" s="3" t="inlineStr">
        <is>
          <t>명작</t>
        </is>
      </c>
      <c r="M416" s="3" t="n">
        <v>1</v>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3" t="inlineStr">
        <is>
          <t>nan</t>
        </is>
      </c>
      <c r="I417" s="5">
        <f>HYPERLINK("https://fin.land.naver.com/articles/2645276397", "매물Link")</f>
        <v/>
      </c>
      <c r="J417" s="5">
        <f>HYPERLINK("https://map.naver.com/p/search/금남면 성덕리 200-2", "지도Link")</f>
        <v/>
      </c>
      <c r="K417" s="5">
        <f>HYPERLINK("http://www.eum.go.kr/web/ar/lu/luLandDet.jsp?pnu=3611034040102000002&amp;isNoScr=script&amp;mode=search", "토지이음")</f>
        <v/>
      </c>
      <c r="L417" s="3" t="inlineStr">
        <is>
          <t>부엉이</t>
        </is>
      </c>
      <c r="M417" s="3" t="n">
        <v>1</v>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3" t="inlineStr">
        <is>
          <t>200p대 분할급매매 세종 신도시 접경지 개발호재지 도로접</t>
        </is>
      </c>
      <c r="I418" s="5">
        <f>HYPERLINK("https://fin.land.naver.com/articles/2646384352", "매물Link")</f>
        <v/>
      </c>
      <c r="J418" s="5">
        <f>HYPERLINK("https://map.naver.com/p/search/금남면 성덕리 205", "지도Link")</f>
        <v/>
      </c>
      <c r="K418" s="5">
        <f>HYPERLINK("http://www.eum.go.kr/web/ar/lu/luLandDet.jsp?pnu=3611034040102050000&amp;isNoScr=script&amp;mode=search", "토지이음")</f>
        <v/>
      </c>
      <c r="L418" s="3" t="inlineStr">
        <is>
          <t>세종강남</t>
        </is>
      </c>
      <c r="M418" s="3" t="n">
        <v>1</v>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3" t="inlineStr">
        <is>
          <t>대전 세종 접근성 좋은  세종시청 10분이내 활용도 높은 토지</t>
        </is>
      </c>
      <c r="I419" s="5">
        <f>HYPERLINK("https://fin.land.naver.com/articles/2646143507", "매물Link")</f>
        <v/>
      </c>
      <c r="J419" s="5">
        <f>HYPERLINK("https://map.naver.com/p/search/금남면 성덕리 290-1", "지도Link")</f>
        <v/>
      </c>
      <c r="K419" s="5">
        <f>HYPERLINK("http://www.eum.go.kr/web/ar/lu/luLandDet.jsp?pnu=3611034040102900001&amp;isNoScr=script&amp;mode=search", "토지이음")</f>
        <v/>
      </c>
      <c r="L419" s="3" t="inlineStr">
        <is>
          <t>새롬삼둥이</t>
        </is>
      </c>
      <c r="M419" s="3" t="n">
        <v>1</v>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3" t="inlineStr">
        <is>
          <t>세종시 15분이내 전원주택지로 대전 접근성도 좋습니다</t>
        </is>
      </c>
      <c r="I420" s="5">
        <f>HYPERLINK("https://fin.land.naver.com/articles/2645602568", "매물Link")</f>
        <v/>
      </c>
      <c r="J420" s="5">
        <f>HYPERLINK("https://map.naver.com/p/search/금남면 성덕리 311-26", "지도Link")</f>
        <v/>
      </c>
      <c r="K420" s="5">
        <f>HYPERLINK("http://www.eum.go.kr/web/ar/lu/luLandDet.jsp?pnu=3611034040103110026&amp;isNoScr=script&amp;mode=search", "토지이음")</f>
        <v/>
      </c>
      <c r="L420" s="3" t="inlineStr">
        <is>
          <t>미스터홈즈강남지사</t>
        </is>
      </c>
      <c r="M420" s="3" t="n">
        <v>1</v>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3" t="inlineStr">
        <is>
          <t>세종 대전 접근성 좋은 전원주택지, 남향이며 나란히 2필지 매수도 가능</t>
        </is>
      </c>
      <c r="I421" s="5">
        <f>HYPERLINK("https://fin.land.naver.com/articles/2645602435", "매물Link")</f>
        <v/>
      </c>
      <c r="J421" s="5">
        <f>HYPERLINK("https://map.naver.com/p/search/금남면 성덕리 311-27", "지도Link")</f>
        <v/>
      </c>
      <c r="K421" s="5">
        <f>HYPERLINK("http://www.eum.go.kr/web/ar/lu/luLandDet.jsp?pnu=3611034040103110027&amp;isNoScr=script&amp;mode=search", "토지이음")</f>
        <v/>
      </c>
      <c r="L421" s="3" t="inlineStr">
        <is>
          <t>미스터홈즈강남지사</t>
        </is>
      </c>
      <c r="M421" s="3" t="n">
        <v>1</v>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3" t="inlineStr">
        <is>
          <t>마을 인접해 있는 토지로 투자가치 높습니다</t>
        </is>
      </c>
      <c r="I422" s="5">
        <f>HYPERLINK("https://fin.land.naver.com/articles/2649423823", "매물Link")</f>
        <v/>
      </c>
      <c r="J422" s="5">
        <f>HYPERLINK("https://map.naver.com/p/search/금남면 성덕리 406-1", "지도Link")</f>
        <v/>
      </c>
      <c r="K422" s="5">
        <f>HYPERLINK("http://www.eum.go.kr/web/ar/lu/luLandDet.jsp?pnu=3611034040104060001&amp;isNoScr=script&amp;mode=search", "토지이음")</f>
        <v/>
      </c>
      <c r="L422" s="3" t="inlineStr">
        <is>
          <t>한마루</t>
        </is>
      </c>
      <c r="M422" s="3" t="n">
        <v>1</v>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3" t="inlineStr">
        <is>
          <t>시행개발지 추천. 금강조망 계획관리, 최고입지</t>
        </is>
      </c>
      <c r="I423" s="5">
        <f>HYPERLINK("https://fin.land.naver.com/articles/2645578837", "매물Link")</f>
        <v/>
      </c>
      <c r="J423" s="5">
        <f>HYPERLINK("https://map.naver.com/p/search/금남면 성덕리 456-3", "지도Link")</f>
        <v/>
      </c>
      <c r="K423" s="5">
        <f>HYPERLINK("http://www.eum.go.kr/web/ar/lu/luLandDet.jsp?pnu=3611034040104560003&amp;isNoScr=script&amp;mode=search", "토지이음")</f>
        <v/>
      </c>
      <c r="L423" s="3" t="inlineStr">
        <is>
          <t>미스터홈즈강남지사</t>
        </is>
      </c>
      <c r="M423" s="3" t="n">
        <v>1</v>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3" t="inlineStr">
        <is>
          <t>금남면 성덕리 금강조망뷰 최상전원주택지 투자용 적극추천</t>
        </is>
      </c>
      <c r="I424" s="5">
        <f>HYPERLINK("https://fin.land.naver.com/articles/2647780779", "매물Link")</f>
        <v/>
      </c>
      <c r="J424" s="5">
        <f>HYPERLINK("https://map.naver.com/p/search/금남면 성덕리 465-1", "지도Link")</f>
        <v/>
      </c>
      <c r="K424" s="5">
        <f>HYPERLINK("http://www.eum.go.kr/web/ar/lu/luLandDet.jsp?pnu=3611034040104650001&amp;isNoScr=script&amp;mode=search", "토지이음")</f>
        <v/>
      </c>
      <c r="L424" s="3" t="inlineStr">
        <is>
          <t>고운맘</t>
        </is>
      </c>
      <c r="M424" s="3" t="n">
        <v>1</v>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3" t="inlineStr">
        <is>
          <t>가격협의,멀리 금강이 보이는 단독주택지로 추천</t>
        </is>
      </c>
      <c r="I425" s="5">
        <f>HYPERLINK("https://fin.land.naver.com/articles/2646381773", "매물Link")</f>
        <v/>
      </c>
      <c r="J425" s="5">
        <f>HYPERLINK("https://map.naver.com/p/search/금남면 성덕리 465-5", "지도Link")</f>
        <v/>
      </c>
      <c r="K425" s="5">
        <f>HYPERLINK("http://www.eum.go.kr/web/ar/lu/luLandDet.jsp?pnu=3611034040104650005&amp;isNoScr=script&amp;mode=search", "토지이음")</f>
        <v/>
      </c>
      <c r="L425" s="3" t="inlineStr">
        <is>
          <t>담뜰</t>
        </is>
      </c>
      <c r="M425" s="3" t="n">
        <v>1</v>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3" t="inlineStr">
        <is>
          <t>2차선바로진입 가시성좋음 분할매매가능</t>
        </is>
      </c>
      <c r="I426" s="5">
        <f>HYPERLINK("https://fin.land.naver.com/articles/2647125812", "매물Link")</f>
        <v/>
      </c>
      <c r="J426" s="5">
        <f>HYPERLINK("https://map.naver.com/p/search/금남면 성덕리 54", "지도Link")</f>
        <v/>
      </c>
      <c r="K426" s="5">
        <f>HYPERLINK("http://www.eum.go.kr/web/ar/lu/luLandDet.jsp?pnu=3611034040100540000&amp;isNoScr=script&amp;mode=search", "토지이음")</f>
        <v/>
      </c>
      <c r="L426" s="3" t="inlineStr">
        <is>
          <t>세종스타</t>
        </is>
      </c>
      <c r="M426" s="3" t="n">
        <v>2</v>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3" t="inlineStr">
        <is>
          <t>지분매각 1인지분</t>
        </is>
      </c>
      <c r="I427" s="5">
        <f>HYPERLINK("https://fin.land.naver.com/articles/2648302789", "매물Link")</f>
        <v/>
      </c>
      <c r="J427" s="5">
        <f>HYPERLINK("https://map.naver.com/p/search/금남면 성덕리 87-4", "지도Link")</f>
        <v/>
      </c>
      <c r="K427" s="5">
        <f>HYPERLINK("http://www.eum.go.kr/web/ar/lu/luLandDet.jsp?pnu=3611034040100870004&amp;isNoScr=script&amp;mode=search", "토지이음")</f>
        <v/>
      </c>
      <c r="L427" s="3" t="inlineStr">
        <is>
          <t>일등사무소</t>
        </is>
      </c>
      <c r="M427" s="3" t="n">
        <v>1</v>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3" t="inlineStr">
        <is>
          <t>o급매o투자용으로 적합 시세대비 저렴</t>
        </is>
      </c>
      <c r="I428" s="5">
        <f>HYPERLINK("https://fin.land.naver.com/articles/2649151898", "매물Link")</f>
        <v/>
      </c>
      <c r="J428" s="5">
        <f>HYPERLINK("https://map.naver.com/p/search/금남면 성덕리 99-4", "지도Link")</f>
        <v/>
      </c>
      <c r="K428" s="5">
        <f>HYPERLINK("http://www.eum.go.kr/web/ar/lu/luLandDet.jsp?pnu=3611034040100990004&amp;isNoScr=script&amp;mode=search", "토지이음")</f>
        <v/>
      </c>
      <c r="L428" s="3" t="inlineStr">
        <is>
          <t>가치잇는</t>
        </is>
      </c>
      <c r="M428" s="3" t="n">
        <v>6</v>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3" t="inlineStr">
        <is>
          <t>급.세종시 신촌리 토지</t>
        </is>
      </c>
      <c r="I429" s="5">
        <f>HYPERLINK("https://fin.land.naver.com/articles/2645514406", "매물Link")</f>
        <v/>
      </c>
      <c r="J429" s="5">
        <f>HYPERLINK("https://map.naver.com/p/search/금남면 신촌리 112-10", "지도Link")</f>
        <v/>
      </c>
      <c r="K429" s="5">
        <f>HYPERLINK("http://www.eum.go.kr/web/ar/lu/luLandDet.jsp?pnu=3611034038101120010&amp;isNoScr=script&amp;mode=search", "토지이음")</f>
        <v/>
      </c>
      <c r="L429" s="3" t="inlineStr">
        <is>
          <t>강아지풀</t>
        </is>
      </c>
      <c r="M429" s="3" t="n">
        <v>1</v>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3" t="inlineStr">
        <is>
          <t>금남초 라인 귀한 토지. 세종시 생활권 접근성 우수. 귀한 원주민토지</t>
        </is>
      </c>
      <c r="I430" s="5">
        <f>HYPERLINK("https://fin.land.naver.com/articles/2646457876", "매물Link")</f>
        <v/>
      </c>
      <c r="J430" s="5">
        <f>HYPERLINK("https://map.naver.com/p/search/금남면 신촌리 126-1", "지도Link")</f>
        <v/>
      </c>
      <c r="K430" s="5">
        <f>HYPERLINK("http://www.eum.go.kr/web/ar/lu/luLandDet.jsp?pnu=3611034038101260001&amp;isNoScr=script&amp;mode=search", "토지이음")</f>
        <v/>
      </c>
      <c r="L430" s="3" t="inlineStr">
        <is>
          <t>세종금밭</t>
        </is>
      </c>
      <c r="M430" s="3" t="n">
        <v>2</v>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3" t="inlineStr">
        <is>
          <t>세종시청접근용이 전원주택부지로 적합합니다</t>
        </is>
      </c>
      <c r="I431" s="5">
        <f>HYPERLINK("https://fin.land.naver.com/articles/2647315633", "매물Link")</f>
        <v/>
      </c>
      <c r="J431" s="5">
        <f>HYPERLINK("https://map.naver.com/p/search/금남면 신촌리 25", "지도Link")</f>
        <v/>
      </c>
      <c r="K431" s="5">
        <f>HYPERLINK("http://www.eum.go.kr/web/ar/lu/luLandDet.jsp?pnu=3611034038100250000&amp;isNoScr=script&amp;mode=search", "토지이음")</f>
        <v/>
      </c>
      <c r="L431" s="3" t="inlineStr">
        <is>
          <t>명성</t>
        </is>
      </c>
      <c r="M431" s="3" t="n">
        <v>1</v>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3" t="inlineStr">
        <is>
          <t>3,4생활권 바로 인근 용포리 시장  도보가능한 집터입니다.급매</t>
        </is>
      </c>
      <c r="I432" s="5">
        <f>HYPERLINK("https://fin.land.naver.com/articles/2647836878", "매물Link")</f>
        <v/>
      </c>
      <c r="J432" s="5">
        <f>HYPERLINK("https://map.naver.com/p/search/금남면 신촌리 27", "지도Link")</f>
        <v/>
      </c>
      <c r="K432" s="5">
        <f>HYPERLINK("http://www.eum.go.kr/web/ar/lu/luLandDet.jsp?pnu=3611034038100270000&amp;isNoScr=script&amp;mode=search", "토지이음")</f>
        <v/>
      </c>
      <c r="L432" s="3" t="inlineStr">
        <is>
          <t>대박</t>
        </is>
      </c>
      <c r="M432" s="3" t="n">
        <v>1</v>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3" t="inlineStr">
        <is>
          <t>세종시 3생활권 근접토지도로접함, 협의조정가능</t>
        </is>
      </c>
      <c r="I433" s="5">
        <f>HYPERLINK("https://fin.land.naver.com/articles/2644730042", "매물Link")</f>
        <v/>
      </c>
      <c r="J433" s="5">
        <f>HYPERLINK("https://map.naver.com/p/search/금남면 신촌리 54", "지도Link")</f>
        <v/>
      </c>
      <c r="K433" s="5">
        <f>HYPERLINK("http://www.eum.go.kr/web/ar/lu/luLandDet.jsp?pnu=3611034038100540000&amp;isNoScr=script&amp;mode=search", "토지이음")</f>
        <v/>
      </c>
      <c r="L433" s="3" t="inlineStr">
        <is>
          <t>세종나라</t>
        </is>
      </c>
      <c r="M433" s="3" t="n">
        <v>1</v>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3" t="inlineStr">
        <is>
          <t>nan</t>
        </is>
      </c>
      <c r="I434" s="5">
        <f>HYPERLINK("https://fin.land.naver.com/articles/2644904328", "매물Link")</f>
        <v/>
      </c>
      <c r="J434" s="5">
        <f>HYPERLINK("https://map.naver.com/p/search/금남면 신촌리 84", "지도Link")</f>
        <v/>
      </c>
      <c r="K434" s="5">
        <f>HYPERLINK("http://www.eum.go.kr/web/ar/lu/luLandDet.jsp?pnu=3611034038100840000&amp;isNoScr=script&amp;mode=search", "토지이음")</f>
        <v/>
      </c>
      <c r="L434" s="3" t="inlineStr">
        <is>
          <t>KB</t>
        </is>
      </c>
      <c r="M434" s="3" t="n">
        <v>1</v>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3" t="inlineStr">
        <is>
          <t>세종시 인접 대형 카페. 식당자리</t>
        </is>
      </c>
      <c r="I435" s="5">
        <f>HYPERLINK("https://fin.land.naver.com/articles/2645465200", "매물Link")</f>
        <v/>
      </c>
      <c r="J435" s="5">
        <f>HYPERLINK("https://map.naver.com/p/search/금남면 신촌리 94-1", "지도Link")</f>
        <v/>
      </c>
      <c r="K435" s="5">
        <f>HYPERLINK("http://www.eum.go.kr/web/ar/lu/luLandDet.jsp?pnu=3611034038100940001&amp;isNoScr=script&amp;mode=search", "토지이음")</f>
        <v/>
      </c>
      <c r="L435" s="3" t="inlineStr">
        <is>
          <t>강아지풀</t>
        </is>
      </c>
      <c r="M435" s="3" t="n">
        <v>1</v>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3" t="inlineStr">
        <is>
          <t>현 세종복칼국수 대지 매매</t>
        </is>
      </c>
      <c r="I436" s="5">
        <f>HYPERLINK("https://fin.land.naver.com/articles/2645465392", "매물Link")</f>
        <v/>
      </c>
      <c r="J436" s="5">
        <f>HYPERLINK("https://map.naver.com/p/search/금남면 신촌리 97", "지도Link")</f>
        <v/>
      </c>
      <c r="K436" s="5">
        <f>HYPERLINK("http://www.eum.go.kr/web/ar/lu/luLandDet.jsp?pnu=3611034038100970000&amp;isNoScr=script&amp;mode=search", "토지이음")</f>
        <v/>
      </c>
      <c r="L436" s="3" t="inlineStr">
        <is>
          <t>강아지풀</t>
        </is>
      </c>
      <c r="M436" s="3" t="n">
        <v>1</v>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3" t="inlineStr">
        <is>
          <t>세종시 3생활권 근접 투자물건</t>
        </is>
      </c>
      <c r="I437" s="5">
        <f>HYPERLINK("https://fin.land.naver.com/articles/2645198051", "매물Link")</f>
        <v/>
      </c>
      <c r="J437" s="5">
        <f>HYPERLINK("https://map.naver.com/p/search/금남면 신촌리 산14-4", "지도Link")</f>
        <v/>
      </c>
      <c r="K437" s="5">
        <f>HYPERLINK("http://www.eum.go.kr/web/ar/lu/luLandDet.jsp?pnu=3611034038200140004&amp;isNoScr=script&amp;mode=search", "토지이음")</f>
        <v/>
      </c>
      <c r="L437" s="3" t="inlineStr">
        <is>
          <t>세종나라</t>
        </is>
      </c>
      <c r="M437" s="3" t="n">
        <v>1</v>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3" t="inlineStr">
        <is>
          <t>도로 접한 각지 토지</t>
        </is>
      </c>
      <c r="I438" s="5">
        <f>HYPERLINK("https://fin.land.naver.com/articles/2645299657", "매물Link")</f>
        <v/>
      </c>
      <c r="J438" s="5">
        <f>HYPERLINK("https://map.naver.com/p/search/금남면 영곡리 106-1", "지도Link")</f>
        <v/>
      </c>
      <c r="K438" s="5">
        <f>HYPERLINK("http://www.eum.go.kr/web/ar/lu/luLandDet.jsp?pnu=3611034041101060001&amp;isNoScr=script&amp;mode=search", "토지이음")</f>
        <v/>
      </c>
      <c r="L438" s="3" t="inlineStr">
        <is>
          <t>해들일번지</t>
        </is>
      </c>
      <c r="M438" s="3" t="n">
        <v>1</v>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3" t="inlineStr">
        <is>
          <t>급매  금남면 영곡리 전원주택지, 세종 KTX역과 10여분 거리</t>
        </is>
      </c>
      <c r="I439" s="5">
        <f>HYPERLINK("https://fin.land.naver.com/articles/2648689373", "매물Link")</f>
        <v/>
      </c>
      <c r="J439" s="5">
        <f>HYPERLINK("https://map.naver.com/p/search/금남면 영곡리 106-1", "지도Link")</f>
        <v/>
      </c>
      <c r="K439" s="5">
        <f>HYPERLINK("http://www.eum.go.kr/web/ar/lu/luLandDet.jsp?pnu=3611034041101060001&amp;isNoScr=script&amp;mode=search", "토지이음")</f>
        <v/>
      </c>
      <c r="L439" s="3" t="inlineStr">
        <is>
          <t>스마일세종</t>
        </is>
      </c>
      <c r="M439" s="3" t="n">
        <v>2</v>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3" t="inlineStr">
        <is>
          <t>창고지, 하우스 경작지의 저렴한 매물</t>
        </is>
      </c>
      <c r="I440" s="5">
        <f>HYPERLINK("https://fin.land.naver.com/articles/2644524409", "매물Link")</f>
        <v/>
      </c>
      <c r="J440" s="5">
        <f>HYPERLINK("https://map.naver.com/p/search/금남면 영곡리 115-1", "지도Link")</f>
        <v/>
      </c>
      <c r="K440" s="5">
        <f>HYPERLINK("http://www.eum.go.kr/web/ar/lu/luLandDet.jsp?pnu=3611034041101150001&amp;isNoScr=script&amp;mode=search", "토지이음")</f>
        <v/>
      </c>
      <c r="L440" s="3" t="inlineStr">
        <is>
          <t>용궁</t>
        </is>
      </c>
      <c r="M440" s="3" t="n">
        <v>1</v>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3" t="inlineStr">
        <is>
          <t>도로접,관리지역.</t>
        </is>
      </c>
      <c r="I441" s="5">
        <f>HYPERLINK("https://fin.land.naver.com/articles/2646219689", "매물Link")</f>
        <v/>
      </c>
      <c r="J441" s="5">
        <f>HYPERLINK("https://map.naver.com/p/search/금남면 영곡리 134", "지도Link")</f>
        <v/>
      </c>
      <c r="K441" s="5">
        <f>HYPERLINK("http://www.eum.go.kr/web/ar/lu/luLandDet.jsp?pnu=3611034041101340000&amp;isNoScr=script&amp;mode=search", "토지이음")</f>
        <v/>
      </c>
      <c r="L441" s="3" t="inlineStr">
        <is>
          <t>세미</t>
        </is>
      </c>
      <c r="M441" s="3" t="n">
        <v>1</v>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3" t="inlineStr">
        <is>
          <t>세종 도심 접근성 좋은 음식점 건물 포함 대형 상업부지</t>
        </is>
      </c>
      <c r="I442" s="5">
        <f>HYPERLINK("https://fin.land.naver.com/articles/2648849529", "매물Link")</f>
        <v/>
      </c>
      <c r="J442" s="5">
        <f>HYPERLINK("https://map.naver.com/p/search/금남면 영곡리 14-3", "지도Link")</f>
        <v/>
      </c>
      <c r="K442" s="5">
        <f>HYPERLINK("http://www.eum.go.kr/web/ar/lu/luLandDet.jsp?pnu=3611034041100140003&amp;isNoScr=script&amp;mode=search", "토지이음")</f>
        <v/>
      </c>
      <c r="L442" s="3" t="inlineStr">
        <is>
          <t>세종소담황금</t>
        </is>
      </c>
      <c r="M442" s="3" t="n">
        <v>1</v>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3" t="inlineStr">
        <is>
          <t>2종근생 제조업소추천, 건폐율 50, 용적률 125,도로 폭 4m</t>
        </is>
      </c>
      <c r="I443" s="5">
        <f>HYPERLINK("https://fin.land.naver.com/articles/2648145711", "매물Link")</f>
        <v/>
      </c>
      <c r="J443" s="5">
        <f>HYPERLINK("https://map.naver.com/p/search/금남면 영곡리 220-6", "지도Link")</f>
        <v/>
      </c>
      <c r="K443" s="5">
        <f>HYPERLINK("http://www.eum.go.kr/web/ar/lu/luLandDet.jsp?pnu=3611034041102200006&amp;isNoScr=script&amp;mode=search", "토지이음")</f>
        <v/>
      </c>
      <c r="L443" s="3" t="inlineStr">
        <is>
          <t>태성</t>
        </is>
      </c>
      <c r="M443" s="3" t="n">
        <v>2</v>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3" t="inlineStr">
        <is>
          <t>가격협의가능,2차선도로접,단독주택지.근생용지로 추천,</t>
        </is>
      </c>
      <c r="I444" s="5">
        <f>HYPERLINK("https://fin.land.naver.com/articles/2647510981", "매물Link")</f>
        <v/>
      </c>
      <c r="J444" s="5">
        <f>HYPERLINK("https://map.naver.com/p/search/금남면 영곡리 250-7", "지도Link")</f>
        <v/>
      </c>
      <c r="K444" s="5">
        <f>HYPERLINK("http://www.eum.go.kr/web/ar/lu/luLandDet.jsp?pnu=3611034041102500007&amp;isNoScr=script&amp;mode=search", "토지이음")</f>
        <v/>
      </c>
      <c r="L444" s="3" t="inlineStr">
        <is>
          <t>담뜰</t>
        </is>
      </c>
      <c r="M444" s="3" t="n">
        <v>2</v>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3" t="inlineStr">
        <is>
          <t>금남면 근생건축이 가능한 저렴한 대지및 임야</t>
        </is>
      </c>
      <c r="I445" s="5">
        <f>HYPERLINK("https://fin.land.naver.com/articles/2646293091", "매물Link")</f>
        <v/>
      </c>
      <c r="J445" s="5">
        <f>HYPERLINK("https://map.naver.com/p/search/금남면 영곡리 284", "지도Link")</f>
        <v/>
      </c>
      <c r="K445" s="5">
        <f>HYPERLINK("http://www.eum.go.kr/web/ar/lu/luLandDet.jsp?pnu=3611034041102840000&amp;isNoScr=script&amp;mode=search", "토지이음")</f>
        <v/>
      </c>
      <c r="L445" s="3" t="inlineStr">
        <is>
          <t>황소플러스</t>
        </is>
      </c>
      <c r="M445" s="3" t="n">
        <v>1</v>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3" t="inlineStr">
        <is>
          <t>세종시 저렴한 농지 매매, 가격조절가능.</t>
        </is>
      </c>
      <c r="I446" s="5">
        <f>HYPERLINK("https://fin.land.naver.com/articles/2644909369", "매물Link")</f>
        <v/>
      </c>
      <c r="J446" s="5">
        <f>HYPERLINK("https://map.naver.com/p/search/금남면 영곡리 297", "지도Link")</f>
        <v/>
      </c>
      <c r="K446" s="5">
        <f>HYPERLINK("http://www.eum.go.kr/web/ar/lu/luLandDet.jsp?pnu=3611034041102970000&amp;isNoScr=script&amp;mode=search", "토지이음")</f>
        <v/>
      </c>
      <c r="L446" s="3" t="inlineStr">
        <is>
          <t>세종다올</t>
        </is>
      </c>
      <c r="M446" s="3" t="n">
        <v>1</v>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3" t="inlineStr">
        <is>
          <t>도심인접 가치높은 답</t>
        </is>
      </c>
      <c r="I447" s="5">
        <f>HYPERLINK("https://fin.land.naver.com/articles/2650155713", "매물Link")</f>
        <v/>
      </c>
      <c r="J447" s="5">
        <f>HYPERLINK("https://map.naver.com/p/search/금남면 영곡리 313", "지도Link")</f>
        <v/>
      </c>
      <c r="K447" s="5">
        <f>HYPERLINK("http://www.eum.go.kr/web/ar/lu/luLandDet.jsp?pnu=3611034041103130000&amp;isNoScr=script&amp;mode=search", "토지이음")</f>
        <v/>
      </c>
      <c r="L447" s="3" t="inlineStr">
        <is>
          <t>황소플러스</t>
        </is>
      </c>
      <c r="M447" s="3" t="n">
        <v>2</v>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3" t="inlineStr">
        <is>
          <t>도심인접 저렴한 주택용지</t>
        </is>
      </c>
      <c r="I448" s="5">
        <f>HYPERLINK("https://fin.land.naver.com/articles/2647420030", "매물Link")</f>
        <v/>
      </c>
      <c r="J448" s="5">
        <f>HYPERLINK("https://map.naver.com/p/search/금남면 영곡리 388-2", "지도Link")</f>
        <v/>
      </c>
      <c r="K448" s="5">
        <f>HYPERLINK("http://www.eum.go.kr/web/ar/lu/luLandDet.jsp?pnu=3611034041103880002&amp;isNoScr=script&amp;mode=search", "토지이음")</f>
        <v/>
      </c>
      <c r="L448" s="3" t="inlineStr">
        <is>
          <t>황소플러스</t>
        </is>
      </c>
      <c r="M448" s="3" t="n">
        <v>1</v>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3" t="inlineStr">
        <is>
          <t>지목 대,컨테이너2대 있음</t>
        </is>
      </c>
      <c r="I449" s="5">
        <f>HYPERLINK("https://fin.land.naver.com/articles/2649967155", "매물Link")</f>
        <v/>
      </c>
      <c r="J449" s="5">
        <f>HYPERLINK("https://map.naver.com/p/search/금남면 영곡리 388-2", "지도Link")</f>
        <v/>
      </c>
      <c r="K449" s="5">
        <f>HYPERLINK("http://www.eum.go.kr/web/ar/lu/luLandDet.jsp?pnu=3611034041103880002&amp;isNoScr=script&amp;mode=search", "토지이음")</f>
        <v/>
      </c>
      <c r="L449" s="3" t="inlineStr">
        <is>
          <t>다산</t>
        </is>
      </c>
      <c r="M449" s="3" t="n">
        <v>1</v>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3" t="inlineStr">
        <is>
          <t>수도, 전기 시설 되어 있음, 작은 가설건축물</t>
        </is>
      </c>
      <c r="I450" s="5">
        <f>HYPERLINK("https://fin.land.naver.com/articles/2646205584", "매물Link")</f>
        <v/>
      </c>
      <c r="J450" s="5">
        <f>HYPERLINK("https://map.naver.com/p/search/금남면 영곡리 388-2", "지도Link")</f>
        <v/>
      </c>
      <c r="K450" s="5">
        <f>HYPERLINK("http://www.eum.go.kr/web/ar/lu/luLandDet.jsp?pnu=3611034041103880002&amp;isNoScr=script&amp;mode=search", "토지이음")</f>
        <v/>
      </c>
      <c r="L450" s="3" t="inlineStr">
        <is>
          <t>해들일번지</t>
        </is>
      </c>
      <c r="M450" s="3" t="n">
        <v>1</v>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3" t="inlineStr">
        <is>
          <t>미래 투자 가지 가성비 좋음</t>
        </is>
      </c>
      <c r="I451" s="5">
        <f>HYPERLINK("https://fin.land.naver.com/articles/2646376115", "매물Link")</f>
        <v/>
      </c>
      <c r="J451" s="5">
        <f>HYPERLINK("https://map.naver.com/p/search/금남면 영곡리 404-1", "지도Link")</f>
        <v/>
      </c>
      <c r="K451" s="5">
        <f>HYPERLINK("http://www.eum.go.kr/web/ar/lu/luLandDet.jsp?pnu=3611034041104040001&amp;isNoScr=script&amp;mode=search", "토지이음")</f>
        <v/>
      </c>
      <c r="L451" s="3" t="inlineStr">
        <is>
          <t>광교테라스힐</t>
        </is>
      </c>
      <c r="M451" s="3" t="n">
        <v>1</v>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3" t="inlineStr">
        <is>
          <t>영곡리 소형상가건물 있는 임야매매</t>
        </is>
      </c>
      <c r="I452" s="5">
        <f>HYPERLINK("https://fin.land.naver.com/articles/2648546388", "매물Link")</f>
        <v/>
      </c>
      <c r="J452" s="5">
        <f>HYPERLINK("https://map.naver.com/p/search/금남면 영곡리 560-3", "지도Link")</f>
        <v/>
      </c>
      <c r="K452" s="5">
        <f>HYPERLINK("http://www.eum.go.kr/web/ar/lu/luLandDet.jsp?pnu=3611034041105600003&amp;isNoScr=script&amp;mode=search", "토지이음")</f>
        <v/>
      </c>
      <c r="L452" s="3" t="inlineStr">
        <is>
          <t>에이스</t>
        </is>
      </c>
      <c r="M452" s="3" t="n">
        <v>1</v>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3" t="inlineStr">
        <is>
          <t>영곡리 자연취락지구 대지</t>
        </is>
      </c>
      <c r="I453" s="5">
        <f>HYPERLINK("https://fin.land.naver.com/articles/2648843457", "매물Link")</f>
        <v/>
      </c>
      <c r="J453" s="5">
        <f>HYPERLINK("https://map.naver.com/p/search/금남면 영곡리 578", "지도Link")</f>
        <v/>
      </c>
      <c r="K453" s="5">
        <f>HYPERLINK("http://www.eum.go.kr/web/ar/lu/luLandDet.jsp?pnu=3611034041105780000&amp;isNoScr=script&amp;mode=search", "토지이음")</f>
        <v/>
      </c>
      <c r="L453" s="3" t="inlineStr">
        <is>
          <t>세종천지</t>
        </is>
      </c>
      <c r="M453" s="3" t="n">
        <v>1</v>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3" t="inlineStr">
        <is>
          <t>급매,바로 옆 추가포함,집터</t>
        </is>
      </c>
      <c r="I454" s="5">
        <f>HYPERLINK("https://fin.land.naver.com/articles/2649966250", "매물Link")</f>
        <v/>
      </c>
      <c r="J454" s="5">
        <f>HYPERLINK("https://map.naver.com/p/search/금남면 영곡리 587", "지도Link")</f>
        <v/>
      </c>
      <c r="K454" s="5">
        <f>HYPERLINK("http://www.eum.go.kr/web/ar/lu/luLandDet.jsp?pnu=3611034041105870000&amp;isNoScr=script&amp;mode=search", "토지이음")</f>
        <v/>
      </c>
      <c r="L454" s="3" t="inlineStr">
        <is>
          <t>다산</t>
        </is>
      </c>
      <c r="M454" s="3" t="n">
        <v>1</v>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3" t="inlineStr">
        <is>
          <t>행복도시 초근접,2종근린생활시설 신축건물1동 있는 매물</t>
        </is>
      </c>
      <c r="I455" s="5">
        <f>HYPERLINK("https://fin.land.naver.com/articles/2647764426", "매물Link")</f>
        <v/>
      </c>
      <c r="J455" s="5">
        <f>HYPERLINK("https://map.naver.com/p/search/금남면 영곡리 83-9", "지도Link")</f>
        <v/>
      </c>
      <c r="K455" s="5">
        <f>HYPERLINK("http://www.eum.go.kr/web/ar/lu/luLandDet.jsp?pnu=3611034041100830009&amp;isNoScr=script&amp;mode=search", "토지이음")</f>
        <v/>
      </c>
      <c r="L455" s="3" t="inlineStr">
        <is>
          <t>지호주식회사</t>
        </is>
      </c>
      <c r="M455" s="3" t="n">
        <v>1</v>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3" t="inlineStr">
        <is>
          <t>매매가 조율가능</t>
        </is>
      </c>
      <c r="I456" s="5">
        <f>HYPERLINK("https://fin.land.naver.com/articles/2647426125", "매물Link")</f>
        <v/>
      </c>
      <c r="J456" s="5">
        <f>HYPERLINK("https://map.naver.com/p/search/금남면 영곡리 산10-5", "지도Link")</f>
        <v/>
      </c>
      <c r="K456" s="5">
        <f>HYPERLINK("http://www.eum.go.kr/web/ar/lu/luLandDet.jsp?pnu=3611034041200100005&amp;isNoScr=script&amp;mode=search", "토지이음")</f>
        <v/>
      </c>
      <c r="L456" s="3" t="inlineStr">
        <is>
          <t>해들마루</t>
        </is>
      </c>
      <c r="M456" s="3" t="n">
        <v>1</v>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3" t="inlineStr">
        <is>
          <t>nan</t>
        </is>
      </c>
      <c r="I457" s="5">
        <f>HYPERLINK("https://fin.land.naver.com/articles/2647840597", "매물Link")</f>
        <v/>
      </c>
      <c r="J457" s="5">
        <f>HYPERLINK("https://map.naver.com/p/search/금남면 영대리 180-12", "지도Link")</f>
        <v/>
      </c>
      <c r="K457" s="5">
        <f>HYPERLINK("http://www.eum.go.kr/web/ar/lu/luLandDet.jsp?pnu=3611034031101800012&amp;isNoScr=script&amp;mode=search", "토지이음")</f>
        <v/>
      </c>
      <c r="L457" s="3" t="inlineStr">
        <is>
          <t>대박</t>
        </is>
      </c>
      <c r="M457" s="3" t="n">
        <v>1</v>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3" t="inlineStr">
        <is>
          <t>2차선 연결된 땅 급매입니다.</t>
        </is>
      </c>
      <c r="I458" s="5">
        <f>HYPERLINK("https://fin.land.naver.com/articles/2647840215", "매물Link")</f>
        <v/>
      </c>
      <c r="J458" s="5">
        <f>HYPERLINK("https://map.naver.com/p/search/금남면 영대리 188", "지도Link")</f>
        <v/>
      </c>
      <c r="K458" s="5">
        <f>HYPERLINK("http://www.eum.go.kr/web/ar/lu/luLandDet.jsp?pnu=3611034031101880000&amp;isNoScr=script&amp;mode=search", "토지이음")</f>
        <v/>
      </c>
      <c r="L458" s="3" t="inlineStr">
        <is>
          <t>대박</t>
        </is>
      </c>
      <c r="M458" s="3" t="n">
        <v>2</v>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3" t="inlineStr">
        <is>
          <t>영대리 전원생활이나 창고로 사용하기 좋은 땅</t>
        </is>
      </c>
      <c r="I459" s="5">
        <f>HYPERLINK("https://fin.land.naver.com/articles/2644581833", "매물Link")</f>
        <v/>
      </c>
      <c r="J459" s="5">
        <f>HYPERLINK("https://map.naver.com/p/search/금남면 영대리 247", "지도Link")</f>
        <v/>
      </c>
      <c r="K459" s="5">
        <f>HYPERLINK("http://www.eum.go.kr/web/ar/lu/luLandDet.jsp?pnu=3611034031102470000&amp;isNoScr=script&amp;mode=search", "토지이음")</f>
        <v/>
      </c>
      <c r="L459" s="3" t="inlineStr">
        <is>
          <t>옥수</t>
        </is>
      </c>
      <c r="M459" s="3" t="n">
        <v>1</v>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3" t="inlineStr">
        <is>
          <t>1종 주거지역에 접한 토지, 소로3류에 접함</t>
        </is>
      </c>
      <c r="I460" s="5">
        <f>HYPERLINK("https://fin.land.naver.com/articles/2644082120", "매물Link")</f>
        <v/>
      </c>
      <c r="J460" s="5">
        <f>HYPERLINK("https://map.naver.com/p/search/금남면 영대리 296", "지도Link")</f>
        <v/>
      </c>
      <c r="K460" s="5">
        <f>HYPERLINK("http://www.eum.go.kr/web/ar/lu/luLandDet.jsp?pnu=3611034031102960000&amp;isNoScr=script&amp;mode=search", "토지이음")</f>
        <v/>
      </c>
      <c r="L460" s="3" t="inlineStr">
        <is>
          <t>세종어울림</t>
        </is>
      </c>
      <c r="M460" s="3" t="n">
        <v>1</v>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3" t="inlineStr">
        <is>
          <t>금남면 영대리에 있는 개발제한구역의 토지로서 향후 지가상승이 기대되는 곳</t>
        </is>
      </c>
      <c r="I461" s="5">
        <f>HYPERLINK("https://fin.land.naver.com/articles/2647701162", "매물Link")</f>
        <v/>
      </c>
      <c r="J461" s="5">
        <f>HYPERLINK("https://map.naver.com/p/search/금남면 영대리 315", "지도Link")</f>
        <v/>
      </c>
      <c r="K461" s="5">
        <f>HYPERLINK("http://www.eum.go.kr/web/ar/lu/luLandDet.jsp?pnu=3611034031103150000&amp;isNoScr=script&amp;mode=search", "토지이음")</f>
        <v/>
      </c>
      <c r="L461" s="3" t="inlineStr">
        <is>
          <t>스마일세종</t>
        </is>
      </c>
      <c r="M461" s="3" t="n">
        <v>1</v>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3" t="inlineStr">
        <is>
          <t>O더끌림O 개발 호재 인근 토지 매매, 투자 가치 높은 매물</t>
        </is>
      </c>
      <c r="I462" s="5">
        <f>HYPERLINK("https://fin.land.naver.com/articles/2648074530", "매물Link")</f>
        <v/>
      </c>
      <c r="J462" s="5">
        <f>HYPERLINK("https://map.naver.com/p/search/금남면 영대리 368", "지도Link")</f>
        <v/>
      </c>
      <c r="K462" s="5">
        <f>HYPERLINK("http://www.eum.go.kr/web/ar/lu/luLandDet.jsp?pnu=3611034031103680000&amp;isNoScr=script&amp;mode=search", "토지이음")</f>
        <v/>
      </c>
      <c r="L462" s="3" t="inlineStr">
        <is>
          <t>더끌림</t>
        </is>
      </c>
      <c r="M462" s="3" t="n">
        <v>1</v>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3" t="inlineStr">
        <is>
          <t>세종시 도시지역 내 취락지구 토지 매매.가격조정 협의</t>
        </is>
      </c>
      <c r="I463" s="5">
        <f>HYPERLINK("https://fin.land.naver.com/articles/2645317225", "매물Link")</f>
        <v/>
      </c>
      <c r="J463" s="5">
        <f>HYPERLINK("https://map.naver.com/p/search/금남면 영대리 373", "지도Link")</f>
        <v/>
      </c>
      <c r="K463" s="5">
        <f>HYPERLINK("http://www.eum.go.kr/web/ar/lu/luLandDet.jsp?pnu=3611034031103730000&amp;isNoScr=script&amp;mode=search", "토지이음")</f>
        <v/>
      </c>
      <c r="L463" s="3" t="inlineStr">
        <is>
          <t>유성대박</t>
        </is>
      </c>
      <c r="M463" s="3" t="n">
        <v>1</v>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3" t="inlineStr">
        <is>
          <t>세종시 사놓으면 돈 되는 땅. 맹지아님,가격조정 협의</t>
        </is>
      </c>
      <c r="I464" s="5">
        <f>HYPERLINK("https://fin.land.naver.com/articles/2645318008", "매물Link")</f>
        <v/>
      </c>
      <c r="J464" s="5">
        <f>HYPERLINK("https://map.naver.com/p/search/금남면 영대리 406", "지도Link")</f>
        <v/>
      </c>
      <c r="K464" s="5">
        <f>HYPERLINK("http://www.eum.go.kr/web/ar/lu/luLandDet.jsp?pnu=3611034031104060000&amp;isNoScr=script&amp;mode=search", "토지이음")</f>
        <v/>
      </c>
      <c r="L464" s="3" t="inlineStr">
        <is>
          <t>유성대박</t>
        </is>
      </c>
      <c r="M464" s="3" t="n">
        <v>1</v>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3" t="inlineStr">
        <is>
          <t>OK  자연녹지, 개발제한구역. 현황도로있음</t>
        </is>
      </c>
      <c r="I465" s="5">
        <f>HYPERLINK("https://fin.land.naver.com/articles/2645602237", "매물Link")</f>
        <v/>
      </c>
      <c r="J465" s="5">
        <f>HYPERLINK("https://map.naver.com/p/search/금남면 영대리 436", "지도Link")</f>
        <v/>
      </c>
      <c r="K465" s="5">
        <f>HYPERLINK("http://www.eum.go.kr/web/ar/lu/luLandDet.jsp?pnu=3611034031104360000&amp;isNoScr=script&amp;mode=search", "토지이음")</f>
        <v/>
      </c>
      <c r="L465" s="3" t="inlineStr">
        <is>
          <t>OK</t>
        </is>
      </c>
      <c r="M465" s="3" t="n">
        <v>1</v>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3" t="inlineStr">
        <is>
          <t>세계로 대토추천급매 도로접 집단취락지구 전입니다.</t>
        </is>
      </c>
      <c r="I466" s="5">
        <f>HYPERLINK("https://fin.land.naver.com/articles/2648123554", "매물Link")</f>
        <v/>
      </c>
      <c r="J466" s="5">
        <f>HYPERLINK("https://map.naver.com/p/search/금남면 영대리 456-6", "지도Link")</f>
        <v/>
      </c>
      <c r="K466" s="5">
        <f>HYPERLINK("http://www.eum.go.kr/web/ar/lu/luLandDet.jsp?pnu=3611034031104560006&amp;isNoScr=script&amp;mode=search", "토지이음")</f>
        <v/>
      </c>
      <c r="L466" s="3" t="inlineStr">
        <is>
          <t>세계로</t>
        </is>
      </c>
      <c r="M466" s="3" t="n">
        <v>1</v>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3" t="inlineStr">
        <is>
          <t>땅모양 예쁘고 2면도로 접한토지,대토나투자용으로 추천</t>
        </is>
      </c>
      <c r="I467" s="5">
        <f>HYPERLINK("https://fin.land.naver.com/articles/2645753258", "매물Link")</f>
        <v/>
      </c>
      <c r="J467" s="5">
        <f>HYPERLINK("https://map.naver.com/p/search/금남면 영대리 508", "지도Link")</f>
        <v/>
      </c>
      <c r="K467" s="5">
        <f>HYPERLINK("http://www.eum.go.kr/web/ar/lu/luLandDet.jsp?pnu=3611034031105080000&amp;isNoScr=script&amp;mode=search", "토지이음")</f>
        <v/>
      </c>
      <c r="L467" s="3" t="inlineStr">
        <is>
          <t>타이밍</t>
        </is>
      </c>
      <c r="M467" s="3" t="n">
        <v>1</v>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3" t="inlineStr">
        <is>
          <t>nan</t>
        </is>
      </c>
      <c r="I468" s="5">
        <f>HYPERLINK("https://fin.land.naver.com/articles/2645317292", "매물Link")</f>
        <v/>
      </c>
      <c r="J468" s="5">
        <f>HYPERLINK("https://map.naver.com/p/search/금남면 영대리 529", "지도Link")</f>
        <v/>
      </c>
      <c r="K468" s="5">
        <f>HYPERLINK("http://www.eum.go.kr/web/ar/lu/luLandDet.jsp?pnu=3611034031105290000&amp;isNoScr=script&amp;mode=search", "토지이음")</f>
        <v/>
      </c>
      <c r="L468" s="3" t="inlineStr">
        <is>
          <t>유성대박</t>
        </is>
      </c>
      <c r="M468" s="3" t="n">
        <v>1</v>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3" t="inlineStr">
        <is>
          <t>3생활권초입 미래가치 좋은 접근성 및 관리 용이</t>
        </is>
      </c>
      <c r="I469" s="5">
        <f>HYPERLINK("https://fin.land.naver.com/articles/2644081557", "매물Link")</f>
        <v/>
      </c>
      <c r="J469" s="5">
        <f>HYPERLINK("https://map.naver.com/p/search/금남면 영대리 61-3", "지도Link")</f>
        <v/>
      </c>
      <c r="K469" s="5">
        <f>HYPERLINK("http://www.eum.go.kr/web/ar/lu/luLandDet.jsp?pnu=3611034031100610003&amp;isNoScr=script&amp;mode=search", "토지이음")</f>
        <v/>
      </c>
      <c r="L469" s="3" t="inlineStr">
        <is>
          <t>세종어울림</t>
        </is>
      </c>
      <c r="M469" s="3" t="n">
        <v>1</v>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3" t="inlineStr">
        <is>
          <t>도로여건 좋은 탁 트인 답</t>
        </is>
      </c>
      <c r="I470" s="5">
        <f>HYPERLINK("https://fin.land.naver.com/articles/2647849505", "매물Link")</f>
        <v/>
      </c>
      <c r="J470" s="5">
        <f>HYPERLINK("https://map.naver.com/p/search/금남면 영대리 61-4", "지도Link")</f>
        <v/>
      </c>
      <c r="K470" s="5">
        <f>HYPERLINK("http://www.eum.go.kr/web/ar/lu/luLandDet.jsp?pnu=3611034031100610004&amp;isNoScr=script&amp;mode=search", "토지이음")</f>
        <v/>
      </c>
      <c r="L470" s="3" t="inlineStr">
        <is>
          <t>대박</t>
        </is>
      </c>
      <c r="M470" s="3" t="n">
        <v>1</v>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3" t="inlineStr">
        <is>
          <t>영대리 자연취락지구 개발제한구역의 경사도 완만하고 아늑한 투자용 토지</t>
        </is>
      </c>
      <c r="I471" s="5">
        <f>HYPERLINK("https://fin.land.naver.com/articles/2647743985", "매물Link")</f>
        <v/>
      </c>
      <c r="J471" s="5">
        <f>HYPERLINK("https://map.naver.com/p/search/금남면 영대리 619", "지도Link")</f>
        <v/>
      </c>
      <c r="K471" s="5">
        <f>HYPERLINK("http://www.eum.go.kr/web/ar/lu/luLandDet.jsp?pnu=3611034031106190000&amp;isNoScr=script&amp;mode=search", "토지이음")</f>
        <v/>
      </c>
      <c r="L471" s="3" t="inlineStr">
        <is>
          <t>스마일세종</t>
        </is>
      </c>
      <c r="M471" s="3" t="n">
        <v>1</v>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3" t="inlineStr">
        <is>
          <t>3생활권초입위치, 미래가치 좋은 곳, 접근성 및관리용이</t>
        </is>
      </c>
      <c r="I472" s="5">
        <f>HYPERLINK("https://fin.land.naver.com/articles/2644080157", "매물Link")</f>
        <v/>
      </c>
      <c r="J472" s="5">
        <f>HYPERLINK("https://map.naver.com/p/search/금남면 영대리 62-3", "지도Link")</f>
        <v/>
      </c>
      <c r="K472" s="5">
        <f>HYPERLINK("http://www.eum.go.kr/web/ar/lu/luLandDet.jsp?pnu=3611034031100620003&amp;isNoScr=script&amp;mode=search", "토지이음")</f>
        <v/>
      </c>
      <c r="L472" s="3" t="inlineStr">
        <is>
          <t>세종어울림</t>
        </is>
      </c>
      <c r="M472" s="3" t="n">
        <v>1</v>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3" t="inlineStr">
        <is>
          <t>영대리 도시지역 자연취락지구의 주변시세보다 저렴한 대지입니다</t>
        </is>
      </c>
      <c r="I473" s="5">
        <f>HYPERLINK("https://fin.land.naver.com/articles/2647280278", "매물Link")</f>
        <v/>
      </c>
      <c r="J473" s="5">
        <f>HYPERLINK("https://map.naver.com/p/search/금남면 영대리 620", "지도Link")</f>
        <v/>
      </c>
      <c r="K473" s="5">
        <f>HYPERLINK("http://www.eum.go.kr/web/ar/lu/luLandDet.jsp?pnu=3611034031106200000&amp;isNoScr=script&amp;mode=search", "토지이음")</f>
        <v/>
      </c>
      <c r="L473" s="3" t="inlineStr">
        <is>
          <t>스마일세종</t>
        </is>
      </c>
      <c r="M473" s="3" t="n">
        <v>1</v>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3" t="inlineStr">
        <is>
          <t>주말농장 귀농 또는 투자 가능한 저렴한 토지</t>
        </is>
      </c>
      <c r="I474" s="5">
        <f>HYPERLINK("https://fin.land.naver.com/articles/2648545145", "매물Link")</f>
        <v/>
      </c>
      <c r="J474" s="5">
        <f>HYPERLINK("https://map.naver.com/p/search/금남면 영대리 643", "지도Link")</f>
        <v/>
      </c>
      <c r="K474" s="5">
        <f>HYPERLINK("http://www.eum.go.kr/web/ar/lu/luLandDet.jsp?pnu=3611034031106430000&amp;isNoScr=script&amp;mode=search", "토지이음")</f>
        <v/>
      </c>
      <c r="L474" s="3" t="inlineStr">
        <is>
          <t>뉴엘리트탑</t>
        </is>
      </c>
      <c r="M474" s="3" t="n">
        <v>1</v>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3" t="inlineStr">
        <is>
          <t>마을 앞 해 잘드는 답입니다.</t>
        </is>
      </c>
      <c r="I475" s="5">
        <f>HYPERLINK("https://fin.land.naver.com/articles/2647843732", "매물Link")</f>
        <v/>
      </c>
      <c r="J475" s="5">
        <f>HYPERLINK("https://map.naver.com/p/search/금남면 영대리 73-8", "지도Link")</f>
        <v/>
      </c>
      <c r="K475" s="5">
        <f>HYPERLINK("http://www.eum.go.kr/web/ar/lu/luLandDet.jsp?pnu=3611034031100730008&amp;isNoScr=script&amp;mode=search", "토지이음")</f>
        <v/>
      </c>
      <c r="L475" s="3" t="inlineStr">
        <is>
          <t>대박</t>
        </is>
      </c>
      <c r="M475" s="3" t="n">
        <v>1</v>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3" t="inlineStr">
        <is>
          <t>소액으로 세종에서 가까운 위치에 투자</t>
        </is>
      </c>
      <c r="I476" s="5">
        <f>HYPERLINK("https://fin.land.naver.com/articles/2646476661", "매물Link")</f>
        <v/>
      </c>
      <c r="J476" s="5">
        <f>HYPERLINK("https://map.naver.com/p/search/금남면 영대리 735-1", "지도Link")</f>
        <v/>
      </c>
      <c r="K476" s="5">
        <f>HYPERLINK("http://www.eum.go.kr/web/ar/lu/luLandDet.jsp?pnu=3611034031107350001&amp;isNoScr=script&amp;mode=search", "토지이음")</f>
        <v/>
      </c>
      <c r="L476" s="3" t="inlineStr">
        <is>
          <t>세종대평</t>
        </is>
      </c>
      <c r="M476" s="3" t="n">
        <v>1</v>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3" t="inlineStr">
        <is>
          <t>금남면 용대리 토지매매</t>
        </is>
      </c>
      <c r="I477" s="5">
        <f>HYPERLINK("https://fin.land.naver.com/articles/2645067823", "매물Link")</f>
        <v/>
      </c>
      <c r="J477" s="5">
        <f>HYPERLINK("https://map.naver.com/p/search/금남면 영대리 762", "지도Link")</f>
        <v/>
      </c>
      <c r="K477" s="5">
        <f>HYPERLINK("http://www.eum.go.kr/web/ar/lu/luLandDet.jsp?pnu=3611034031107620000&amp;isNoScr=script&amp;mode=search", "토지이음")</f>
        <v/>
      </c>
      <c r="L477" s="3" t="inlineStr">
        <is>
          <t>세종중흥S클래스</t>
        </is>
      </c>
      <c r="M477" s="3" t="n">
        <v>1</v>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3" t="inlineStr">
        <is>
          <t>금남면 영대리 토지매매</t>
        </is>
      </c>
      <c r="I478" s="5">
        <f>HYPERLINK("https://fin.land.naver.com/articles/2645067733", "매물Link")</f>
        <v/>
      </c>
      <c r="J478" s="5">
        <f>HYPERLINK("https://map.naver.com/p/search/금남면 영대리 763", "지도Link")</f>
        <v/>
      </c>
      <c r="K478" s="5">
        <f>HYPERLINK("http://www.eum.go.kr/web/ar/lu/luLandDet.jsp?pnu=3611034031107630000&amp;isNoScr=script&amp;mode=search", "토지이음")</f>
        <v/>
      </c>
      <c r="L478" s="3" t="inlineStr">
        <is>
          <t>세종중흥S클래스</t>
        </is>
      </c>
      <c r="M478" s="3" t="n">
        <v>1</v>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3" t="inlineStr">
        <is>
          <t>세종시 귀한 얕은 임야, 사두면 돈 되는 땅,가격조정 협의</t>
        </is>
      </c>
      <c r="I479" s="5">
        <f>HYPERLINK("https://fin.land.naver.com/articles/2645317876", "매물Link")</f>
        <v/>
      </c>
      <c r="J479" s="5">
        <f>HYPERLINK("https://map.naver.com/p/search/금남면 영대리 산 48", "지도Link")</f>
        <v/>
      </c>
      <c r="K479" s="5">
        <f>HYPERLINK("http://www.eum.go.kr/web/ar/lu/luLandDet.jsp?pnu=3611034031200480000&amp;isNoScr=script&amp;mode=search", "토지이음")</f>
        <v/>
      </c>
      <c r="L479" s="3" t="inlineStr">
        <is>
          <t>유성대박</t>
        </is>
      </c>
      <c r="M479" s="3" t="n">
        <v>1</v>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3" t="inlineStr">
        <is>
          <t>세종시행복도시원내 인접 세종시청 차량7분 미래가치 충분한 투자처로 최고</t>
        </is>
      </c>
      <c r="I480" s="5">
        <f>HYPERLINK("https://fin.land.naver.com/articles/2648545315", "매물Link")</f>
        <v/>
      </c>
      <c r="J480" s="5">
        <f>HYPERLINK("https://map.naver.com/p/search/금남면 영대리 산120", "지도Link")</f>
        <v/>
      </c>
      <c r="K480" s="5">
        <f>HYPERLINK("http://www.eum.go.kr/web/ar/lu/luLandDet.jsp?pnu=3611034031201200000&amp;isNoScr=script&amp;mode=search", "토지이음")</f>
        <v/>
      </c>
      <c r="L480" s="3" t="inlineStr">
        <is>
          <t>뉴엘리트탑</t>
        </is>
      </c>
      <c r="M480" s="3" t="n">
        <v>1</v>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3" t="inlineStr">
        <is>
          <t>도로에 접한 저렴한 임야,농장 하실분 적극추천</t>
        </is>
      </c>
      <c r="I481" s="5">
        <f>HYPERLINK("https://fin.land.naver.com/articles/2647846937", "매물Link")</f>
        <v/>
      </c>
      <c r="J481" s="5">
        <f>HYPERLINK("https://map.naver.com/p/search/금남면 영대리 산15", "지도Link")</f>
        <v/>
      </c>
      <c r="K481" s="5">
        <f>HYPERLINK("http://www.eum.go.kr/web/ar/lu/luLandDet.jsp?pnu=3611034031200150000&amp;isNoScr=script&amp;mode=search", "토지이음")</f>
        <v/>
      </c>
      <c r="L481" s="3" t="inlineStr">
        <is>
          <t>보람뜰</t>
        </is>
      </c>
      <c r="M481" s="3" t="n">
        <v>1</v>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3" t="inlineStr">
        <is>
          <t>nan</t>
        </is>
      </c>
      <c r="I482" s="5">
        <f>HYPERLINK("https://fin.land.naver.com/articles/2646222378", "매물Link")</f>
        <v/>
      </c>
      <c r="J482" s="5">
        <f>HYPERLINK("https://map.naver.com/p/search/금남면 영대리 산72-2", "지도Link")</f>
        <v/>
      </c>
      <c r="K482" s="5">
        <f>HYPERLINK("http://www.eum.go.kr/web/ar/lu/luLandDet.jsp?pnu=3611034031200720002&amp;isNoScr=script&amp;mode=search", "토지이음")</f>
        <v/>
      </c>
      <c r="L482" s="3" t="inlineStr">
        <is>
          <t>다온</t>
        </is>
      </c>
      <c r="M482" s="3" t="n">
        <v>1</v>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3" t="inlineStr">
        <is>
          <t>임야1필지와 전3필지로 구성된 개발제한구역내 토지,투자가치좋아요</t>
        </is>
      </c>
      <c r="I483" s="5">
        <f>HYPERLINK("https://fin.land.naver.com/articles/2648422799", "매물Link")</f>
        <v/>
      </c>
      <c r="J483" s="5">
        <f>HYPERLINK("https://map.naver.com/p/search/금남면 영대리 산94-10", "지도Link")</f>
        <v/>
      </c>
      <c r="K483" s="5">
        <f>HYPERLINK("http://www.eum.go.kr/web/ar/lu/luLandDet.jsp?pnu=3611034031200940010&amp;isNoScr=script&amp;mode=search", "토지이음")</f>
        <v/>
      </c>
      <c r="L483" s="3" t="inlineStr">
        <is>
          <t>부자마을</t>
        </is>
      </c>
      <c r="M483" s="3" t="n">
        <v>1</v>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3" t="inlineStr">
        <is>
          <t>임야,전으로 구성된 총2필지,둔곡지구 인근,지적도상맹지이나 도로개설가능</t>
        </is>
      </c>
      <c r="I484" s="5">
        <f>HYPERLINK("https://fin.land.naver.com/articles/2644461160", "매물Link")</f>
        <v/>
      </c>
      <c r="J484" s="5">
        <f>HYPERLINK("https://map.naver.com/p/search/금남면 영대리 산94-2", "지도Link")</f>
        <v/>
      </c>
      <c r="K484" s="5">
        <f>HYPERLINK("http://www.eum.go.kr/web/ar/lu/luLandDet.jsp?pnu=3611034031200940002&amp;isNoScr=script&amp;mode=search", "토지이음")</f>
        <v/>
      </c>
      <c r="L484" s="3" t="inlineStr">
        <is>
          <t>부자마을</t>
        </is>
      </c>
      <c r="M484" s="3" t="n">
        <v>1</v>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3" t="inlineStr">
        <is>
          <t>3생활권 인근  금싸라기 땅.</t>
        </is>
      </c>
      <c r="I485" s="5">
        <f>HYPERLINK("https://fin.land.naver.com/articles/2646927353", "매물Link")</f>
        <v/>
      </c>
      <c r="J485" s="5">
        <f>HYPERLINK("https://map.naver.com/p/search/금남면 영치리 181", "지도Link")</f>
        <v/>
      </c>
      <c r="K485" s="5">
        <f>HYPERLINK("http://www.eum.go.kr/web/ar/lu/luLandDet.jsp?pnu=3611034028101810000&amp;isNoScr=script&amp;mode=search", "토지이음")</f>
        <v/>
      </c>
      <c r="L485" s="3" t="inlineStr">
        <is>
          <t>강남뜰</t>
        </is>
      </c>
      <c r="M485" s="3" t="n">
        <v>1</v>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3" t="inlineStr">
        <is>
          <t>아늑한 주말농장 만드실 분</t>
        </is>
      </c>
      <c r="I486" s="5">
        <f>HYPERLINK("https://fin.land.naver.com/articles/2644606837", "매물Link")</f>
        <v/>
      </c>
      <c r="J486" s="5">
        <f>HYPERLINK("https://map.naver.com/p/search/금남면 영치리 214", "지도Link")</f>
        <v/>
      </c>
      <c r="K486" s="5">
        <f>HYPERLINK("http://www.eum.go.kr/web/ar/lu/luLandDet.jsp?pnu=3611034028102140000&amp;isNoScr=script&amp;mode=search", "토지이음")</f>
        <v/>
      </c>
      <c r="L486" s="3" t="inlineStr">
        <is>
          <t>하늘채</t>
        </is>
      </c>
      <c r="M486" s="3" t="n">
        <v>1</v>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3" t="inlineStr">
        <is>
          <t>중,장기 단순 투자 매물</t>
        </is>
      </c>
      <c r="I487" s="5">
        <f>HYPERLINK("https://fin.land.naver.com/articles/2646466467", "매물Link")</f>
        <v/>
      </c>
      <c r="J487" s="5">
        <f>HYPERLINK("https://map.naver.com/p/search/금남면 영치리 225", "지도Link")</f>
        <v/>
      </c>
      <c r="K487" s="5">
        <f>HYPERLINK("http://www.eum.go.kr/web/ar/lu/luLandDet.jsp?pnu=3611034028102250000&amp;isNoScr=script&amp;mode=search", "토지이음")</f>
        <v/>
      </c>
      <c r="L487" s="3" t="inlineStr">
        <is>
          <t>극동</t>
        </is>
      </c>
      <c r="M487" s="3" t="n">
        <v>1</v>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3" t="inlineStr">
        <is>
          <t>세종도심지 인근에 위치 도로접 신규영농자격 필요한분 최적지</t>
        </is>
      </c>
      <c r="I488" s="5">
        <f>HYPERLINK("https://fin.land.naver.com/articles/2647445663", "매물Link")</f>
        <v/>
      </c>
      <c r="J488" s="5">
        <f>HYPERLINK("https://map.naver.com/p/search/금남면 영치리 23", "지도Link")</f>
        <v/>
      </c>
      <c r="K488" s="5">
        <f>HYPERLINK("http://www.eum.go.kr/web/ar/lu/luLandDet.jsp?pnu=3611034028100230000&amp;isNoScr=script&amp;mode=search", "토지이음")</f>
        <v/>
      </c>
      <c r="L488" s="3" t="inlineStr">
        <is>
          <t>킹</t>
        </is>
      </c>
      <c r="M488" s="3" t="n">
        <v>1</v>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3" t="inlineStr">
        <is>
          <t>nan</t>
        </is>
      </c>
      <c r="I489" s="5">
        <f>HYPERLINK("https://fin.land.naver.com/articles/2647503070", "매물Link")</f>
        <v/>
      </c>
      <c r="J489" s="5">
        <f>HYPERLINK("https://map.naver.com/p/search/금남면 영치리 273", "지도Link")</f>
        <v/>
      </c>
      <c r="K489" s="5">
        <f>HYPERLINK("http://www.eum.go.kr/web/ar/lu/luLandDet.jsp?pnu=3611034028102730000&amp;isNoScr=script&amp;mode=search", "토지이음")</f>
        <v/>
      </c>
      <c r="L489" s="3" t="inlineStr">
        <is>
          <t>다온</t>
        </is>
      </c>
      <c r="M489" s="3" t="n">
        <v>1</v>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3" t="inlineStr">
        <is>
          <t>세종도심남세종IC 접근 우수, 포장도로 접한 장기보유형 자연녹지 농지</t>
        </is>
      </c>
      <c r="I490" s="5">
        <f>HYPERLINK("https://fin.land.naver.com/articles/2644839077", "매물Link")</f>
        <v/>
      </c>
      <c r="J490" s="5">
        <f>HYPERLINK("https://map.naver.com/p/search/금남면 영치리 294-2", "지도Link")</f>
        <v/>
      </c>
      <c r="K490" s="5">
        <f>HYPERLINK("http://www.eum.go.kr/web/ar/lu/luLandDet.jsp?pnu=3611034028102940002&amp;isNoScr=script&amp;mode=search", "토지이음")</f>
        <v/>
      </c>
      <c r="L490" s="3" t="inlineStr">
        <is>
          <t>세종소담황금</t>
        </is>
      </c>
      <c r="M490" s="3" t="n">
        <v>1</v>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3" t="inlineStr">
        <is>
          <t>2차선포장도로접.세종신도시및대전인근.주말농장적합.장기적투자.농지연금활용</t>
        </is>
      </c>
      <c r="I491" s="5">
        <f>HYPERLINK("https://fin.land.naver.com/articles/2644565655", "매물Link")</f>
        <v/>
      </c>
      <c r="J491" s="5">
        <f>HYPERLINK("https://map.naver.com/p/search/금남면 영치리 301", "지도Link")</f>
        <v/>
      </c>
      <c r="K491" s="5">
        <f>HYPERLINK("http://www.eum.go.kr/web/ar/lu/luLandDet.jsp?pnu=3611034028103010000&amp;isNoScr=script&amp;mode=search", "토지이음")</f>
        <v/>
      </c>
      <c r="L491" s="3" t="inlineStr">
        <is>
          <t>돈방석</t>
        </is>
      </c>
      <c r="M491" s="3" t="n">
        <v>1</v>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3" t="inlineStr">
        <is>
          <t>확 낮춘 가격의 저렴한  투자용 농지</t>
        </is>
      </c>
      <c r="I492" s="5">
        <f>HYPERLINK("https://fin.land.naver.com/articles/2645468908", "매물Link")</f>
        <v/>
      </c>
      <c r="J492" s="5">
        <f>HYPERLINK("https://map.naver.com/p/search/금남면 영치리 306-1", "지도Link")</f>
        <v/>
      </c>
      <c r="K492" s="5">
        <f>HYPERLINK("http://www.eum.go.kr/web/ar/lu/luLandDet.jsp?pnu=3611034028103060001&amp;isNoScr=script&amp;mode=search", "토지이음")</f>
        <v/>
      </c>
      <c r="L492" s="3" t="inlineStr">
        <is>
          <t>우림</t>
        </is>
      </c>
      <c r="M492" s="3" t="n">
        <v>1</v>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3" t="inlineStr">
        <is>
          <t>도시지역 토지</t>
        </is>
      </c>
      <c r="I493" s="5">
        <f>HYPERLINK("https://fin.land.naver.com/articles/2648634527", "매물Link")</f>
        <v/>
      </c>
      <c r="J493" s="5">
        <f>HYPERLINK("https://map.naver.com/p/search/금남면 영치리 74", "지도Link")</f>
        <v/>
      </c>
      <c r="K493" s="5">
        <f>HYPERLINK("http://www.eum.go.kr/web/ar/lu/luLandDet.jsp?pnu=3611034028100740000&amp;isNoScr=script&amp;mode=search", "토지이음")</f>
        <v/>
      </c>
      <c r="L493" s="3" t="inlineStr">
        <is>
          <t>일등사무소</t>
        </is>
      </c>
      <c r="M493" s="3" t="n">
        <v>1</v>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3" t="inlineStr">
        <is>
          <t>2차선도로에 접한 정사각형 모양의 도시지역 자연녹지지역의 개발제한구역토지</t>
        </is>
      </c>
      <c r="I494" s="5">
        <f>HYPERLINK("https://fin.land.naver.com/articles/2647245867", "매물Link")</f>
        <v/>
      </c>
      <c r="J494" s="5">
        <f>HYPERLINK("https://map.naver.com/p/search/금남면 영치리 8", "지도Link")</f>
        <v/>
      </c>
      <c r="K494" s="5">
        <f>HYPERLINK("http://www.eum.go.kr/web/ar/lu/luLandDet.jsp?pnu=3611034028100080000&amp;isNoScr=script&amp;mode=search", "토지이음")</f>
        <v/>
      </c>
      <c r="L494" s="3" t="inlineStr">
        <is>
          <t>스마일세종</t>
        </is>
      </c>
      <c r="M494" s="3" t="n">
        <v>1</v>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3" t="inlineStr">
        <is>
          <t>네모반듯하고 햇볕 잘드는 전원주택지</t>
        </is>
      </c>
      <c r="I495" s="5">
        <f>HYPERLINK("https://fin.land.naver.com/articles/2646340235", "매물Link")</f>
        <v/>
      </c>
      <c r="J495" s="5">
        <f>HYPERLINK("https://map.naver.com/p/search/금남면 용담리 111-7", "지도Link")</f>
        <v/>
      </c>
      <c r="K495" s="5">
        <f>HYPERLINK("http://www.eum.go.kr/web/ar/lu/luLandDet.jsp?pnu=3611034025101110007&amp;isNoScr=script&amp;mode=search", "토지이음")</f>
        <v/>
      </c>
      <c r="L495" s="3" t="inlineStr">
        <is>
          <t>창고의여왕</t>
        </is>
      </c>
      <c r="M495" s="3" t="n">
        <v>1</v>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3" t="inlineStr">
        <is>
          <t>nan</t>
        </is>
      </c>
      <c r="I496" s="5">
        <f>HYPERLINK("https://fin.land.naver.com/articles/2648714631", "매물Link")</f>
        <v/>
      </c>
      <c r="J496" s="5">
        <f>HYPERLINK("https://map.naver.com/p/search/금남면 용담리 111-7", "지도Link")</f>
        <v/>
      </c>
      <c r="K496" s="5">
        <f>HYPERLINK("http://www.eum.go.kr/web/ar/lu/luLandDet.jsp?pnu=3611034025101110007&amp;isNoScr=script&amp;mode=search", "토지이음")</f>
        <v/>
      </c>
      <c r="L496" s="3" t="inlineStr">
        <is>
          <t>내동굿모닝</t>
        </is>
      </c>
      <c r="M496" s="3" t="n">
        <v>1</v>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3" t="inlineStr">
        <is>
          <t>2차선 도로에 접해 있어 주말농장 및 투자가치 좋은 토지</t>
        </is>
      </c>
      <c r="I497" s="5">
        <f>HYPERLINK("https://fin.land.naver.com/articles/2646776889", "매물Link")</f>
        <v/>
      </c>
      <c r="J497" s="5">
        <f>HYPERLINK("https://map.naver.com/p/search/금남면 용담리 157-1", "지도Link")</f>
        <v/>
      </c>
      <c r="K497" s="5">
        <f>HYPERLINK("http://www.eum.go.kr/web/ar/lu/luLandDet.jsp?pnu=3611034025101570001&amp;isNoScr=script&amp;mode=search", "토지이음")</f>
        <v/>
      </c>
      <c r="L497" s="3" t="inlineStr">
        <is>
          <t>금화랜드</t>
        </is>
      </c>
      <c r="M497" s="3" t="n">
        <v>1</v>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3" t="inlineStr">
        <is>
          <t>소액투자 가능,향후 활용 개발 여지 기대,조율가능</t>
        </is>
      </c>
      <c r="I498" s="5">
        <f>HYPERLINK("https://fin.land.naver.com/articles/2647511735", "매물Link")</f>
        <v/>
      </c>
      <c r="J498" s="5">
        <f>HYPERLINK("https://map.naver.com/p/search/금남면 용담리 246-2", "지도Link")</f>
        <v/>
      </c>
      <c r="K498" s="5">
        <f>HYPERLINK("http://www.eum.go.kr/web/ar/lu/luLandDet.jsp?pnu=3611034025102460002&amp;isNoScr=script&amp;mode=search", "토지이음")</f>
        <v/>
      </c>
      <c r="L498" s="3" t="inlineStr">
        <is>
          <t>가치잇는</t>
        </is>
      </c>
      <c r="M498" s="3" t="n">
        <v>1</v>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3" t="inlineStr">
        <is>
          <t>도로 접한 투자가치 좋은 토지</t>
        </is>
      </c>
      <c r="I499" s="5">
        <f>HYPERLINK("https://fin.land.naver.com/articles/2649659712", "매물Link")</f>
        <v/>
      </c>
      <c r="J499" s="5">
        <f>HYPERLINK("https://map.naver.com/p/search/금남면 용담리 247", "지도Link")</f>
        <v/>
      </c>
      <c r="K499" s="5">
        <f>HYPERLINK("http://www.eum.go.kr/web/ar/lu/luLandDet.jsp?pnu=3611034025102470000&amp;isNoScr=script&amp;mode=search", "토지이음")</f>
        <v/>
      </c>
      <c r="L499" s="3" t="inlineStr">
        <is>
          <t>메트로무소</t>
        </is>
      </c>
      <c r="M499" s="3" t="n">
        <v>1</v>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3" t="inlineStr">
        <is>
          <t>용담리 길따라 위치한 정중앙 주택. 넓은마당 단독주택 편안한삶 추천</t>
        </is>
      </c>
      <c r="I500" s="5">
        <f>HYPERLINK("https://fin.land.naver.com/articles/2644500816", "매물Link")</f>
        <v/>
      </c>
      <c r="J500" s="5">
        <f>HYPERLINK("https://map.naver.com/p/search/금남면 용담리 249-2", "지도Link")</f>
        <v/>
      </c>
      <c r="K500" s="5">
        <f>HYPERLINK("http://www.eum.go.kr/web/ar/lu/luLandDet.jsp?pnu=3611034025102490002&amp;isNoScr=script&amp;mode=search", "토지이음")</f>
        <v/>
      </c>
      <c r="L500" s="3" t="inlineStr">
        <is>
          <t>땅집사</t>
        </is>
      </c>
      <c r="M500" s="3" t="n">
        <v>1</v>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3" t="inlineStr">
        <is>
          <t>농가주택이 방3,화2,농기곕보관소,등이 있는  물건,답도 매매</t>
        </is>
      </c>
      <c r="I501" s="5">
        <f>HYPERLINK("https://fin.land.naver.com/articles/2648297332", "매물Link")</f>
        <v/>
      </c>
      <c r="J501" s="5">
        <f>HYPERLINK("https://map.naver.com/p/search/금남면 용담리 249-2", "지도Link")</f>
        <v/>
      </c>
      <c r="K501" s="5">
        <f>HYPERLINK("http://www.eum.go.kr/web/ar/lu/luLandDet.jsp?pnu=3611034025102490002&amp;isNoScr=script&amp;mode=search", "토지이음")</f>
        <v/>
      </c>
      <c r="L501" s="3" t="inlineStr">
        <is>
          <t>우림</t>
        </is>
      </c>
      <c r="M501" s="3" t="n">
        <v>1</v>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3" t="inlineStr">
        <is>
          <t>조율가능,도로와 접해 활용도 좋은토지,세종 대전 더블생활권</t>
        </is>
      </c>
      <c r="I502" s="5">
        <f>HYPERLINK("https://fin.land.naver.com/articles/2647971630", "매물Link")</f>
        <v/>
      </c>
      <c r="J502" s="5">
        <f>HYPERLINK("https://map.naver.com/p/search/금남면 용담리 259-1", "지도Link")</f>
        <v/>
      </c>
      <c r="K502" s="5">
        <f>HYPERLINK("http://www.eum.go.kr/web/ar/lu/luLandDet.jsp?pnu=3611034025102590001&amp;isNoScr=script&amp;mode=search", "토지이음")</f>
        <v/>
      </c>
      <c r="L502" s="3" t="inlineStr">
        <is>
          <t>가치잇는</t>
        </is>
      </c>
      <c r="M502" s="3" t="n">
        <v>1</v>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3" t="inlineStr">
        <is>
          <t>안산 산업단지 수혜로 가격상승 투자 강추</t>
        </is>
      </c>
      <c r="I503" s="5">
        <f>HYPERLINK("https://fin.land.naver.com/articles/2648746074", "매물Link")</f>
        <v/>
      </c>
      <c r="J503" s="5">
        <f>HYPERLINK("https://map.naver.com/p/search/금남면 용담리 270", "지도Link")</f>
        <v/>
      </c>
      <c r="K503" s="5">
        <f>HYPERLINK("http://www.eum.go.kr/web/ar/lu/luLandDet.jsp?pnu=3611034025102700000&amp;isNoScr=script&amp;mode=search", "토지이음")</f>
        <v/>
      </c>
      <c r="L503" s="3" t="inlineStr">
        <is>
          <t>신호반2블럭</t>
        </is>
      </c>
      <c r="M503" s="3" t="n">
        <v>9</v>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3" t="inlineStr">
        <is>
          <t>대전에서 차로15분거리 접근성뛰어남 주말농장이용가능</t>
        </is>
      </c>
      <c r="I504" s="5">
        <f>HYPERLINK("https://fin.land.naver.com/articles/2647743230", "매물Link")</f>
        <v/>
      </c>
      <c r="J504" s="5">
        <f>HYPERLINK("https://map.naver.com/p/search/금남면 용담리 270", "지도Link")</f>
        <v/>
      </c>
      <c r="K504" s="5">
        <f>HYPERLINK("http://www.eum.go.kr/web/ar/lu/luLandDet.jsp?pnu=3611034025102700000&amp;isNoScr=script&amp;mode=search", "토지이음")</f>
        <v/>
      </c>
      <c r="L504" s="3" t="inlineStr">
        <is>
          <t>트리풀행복</t>
        </is>
      </c>
      <c r="M504" s="3" t="n">
        <v>1</v>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3" t="inlineStr">
        <is>
          <t>마을 인접 현황 진입 가능한 금남면 영농형 농지</t>
        </is>
      </c>
      <c r="I505" s="5">
        <f>HYPERLINK("https://fin.land.naver.com/articles/2648837960", "매물Link")</f>
        <v/>
      </c>
      <c r="J505" s="5">
        <f>HYPERLINK("https://map.naver.com/p/search/금남면 용담리 270", "지도Link")</f>
        <v/>
      </c>
      <c r="K505" s="5">
        <f>HYPERLINK("http://www.eum.go.kr/web/ar/lu/luLandDet.jsp?pnu=3611034025102700000&amp;isNoScr=script&amp;mode=search", "토지이음")</f>
        <v/>
      </c>
      <c r="L505" s="3" t="inlineStr">
        <is>
          <t>세종소담황금</t>
        </is>
      </c>
      <c r="M505" s="3" t="n">
        <v>1</v>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3" t="inlineStr">
        <is>
          <t>용담리. 지가 상승 지역으로 투자 강추</t>
        </is>
      </c>
      <c r="I506" s="5">
        <f>HYPERLINK("https://fin.land.naver.com/articles/2646747688", "매물Link")</f>
        <v/>
      </c>
      <c r="J506" s="5">
        <f>HYPERLINK("https://map.naver.com/p/search/금남면 용담리 56-1", "지도Link")</f>
        <v/>
      </c>
      <c r="K506" s="5">
        <f>HYPERLINK("http://www.eum.go.kr/web/ar/lu/luLandDet.jsp?pnu=3611034025100560001&amp;isNoScr=script&amp;mode=search", "토지이음")</f>
        <v/>
      </c>
      <c r="L506" s="3" t="inlineStr">
        <is>
          <t>내동굿모닝</t>
        </is>
      </c>
      <c r="M506" s="3" t="n">
        <v>1</v>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3" t="inlineStr">
        <is>
          <t>금남면 용담리 토지매매(창고1동 포함)</t>
        </is>
      </c>
      <c r="I507" s="5">
        <f>HYPERLINK("https://fin.land.naver.com/articles/2648407805", "매물Link")</f>
        <v/>
      </c>
      <c r="J507" s="5">
        <f>HYPERLINK("https://map.naver.com/p/search/금남면 용담리 57", "지도Link")</f>
        <v/>
      </c>
      <c r="K507" s="5">
        <f>HYPERLINK("http://www.eum.go.kr/web/ar/lu/luLandDet.jsp?pnu=3611034025100570000&amp;isNoScr=script&amp;mode=search", "토지이음")</f>
        <v/>
      </c>
      <c r="L507" s="3" t="inlineStr">
        <is>
          <t>비전</t>
        </is>
      </c>
      <c r="M507" s="3" t="n">
        <v>1</v>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3" t="inlineStr">
        <is>
          <t>대토용토지 추천</t>
        </is>
      </c>
      <c r="I508" s="5">
        <f>HYPERLINK("https://fin.land.naver.com/articles/2649121071", "매물Link")</f>
        <v/>
      </c>
      <c r="J508" s="5">
        <f>HYPERLINK("https://map.naver.com/p/search/금남면 용담리 76-1", "지도Link")</f>
        <v/>
      </c>
      <c r="K508" s="5">
        <f>HYPERLINK("http://www.eum.go.kr/web/ar/lu/luLandDet.jsp?pnu=3611034025100760001&amp;isNoScr=script&amp;mode=search", "토지이음")</f>
        <v/>
      </c>
      <c r="L508" s="3" t="inlineStr">
        <is>
          <t>창고의여왕</t>
        </is>
      </c>
      <c r="M508" s="3" t="n">
        <v>1</v>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3" t="inlineStr">
        <is>
          <t>금남근린공원 인접 제1종주거 대지 기존주택 활용 검토</t>
        </is>
      </c>
      <c r="I509" s="5">
        <f>HYPERLINK("https://fin.land.naver.com/articles/2649753333", "매물Link")</f>
        <v/>
      </c>
      <c r="J509" s="5">
        <f>HYPERLINK("https://map.naver.com/p/search/금남면 용포리 125-1", "지도Link")</f>
        <v/>
      </c>
      <c r="K509" s="5">
        <f>HYPERLINK("http://www.eum.go.kr/web/ar/lu/luLandDet.jsp?pnu=3611034021101250001&amp;isNoScr=script&amp;mode=search", "토지이음")</f>
        <v/>
      </c>
      <c r="L509" s="3" t="inlineStr">
        <is>
          <t>세종소담황금</t>
        </is>
      </c>
      <c r="M509" s="3" t="n">
        <v>1</v>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3" t="inlineStr">
        <is>
          <t>금남면 중심생활권 가까운 실경작 토지, 차량접근세종 생활권 연계 우수</t>
        </is>
      </c>
      <c r="I510" s="5">
        <f>HYPERLINK("https://fin.land.naver.com/articles/2644764335", "매물Link")</f>
        <v/>
      </c>
      <c r="J510" s="5">
        <f>HYPERLINK("https://map.naver.com/p/search/금남면 용포리 14", "지도Link")</f>
        <v/>
      </c>
      <c r="K510" s="5">
        <f>HYPERLINK("http://www.eum.go.kr/web/ar/lu/luLandDet.jsp?pnu=3611034021100140000&amp;isNoScr=script&amp;mode=search", "토지이음")</f>
        <v/>
      </c>
      <c r="L510" s="3" t="inlineStr">
        <is>
          <t>세종소담황금</t>
        </is>
      </c>
      <c r="M510" s="3" t="n">
        <v>1</v>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3" t="inlineStr">
        <is>
          <t>금남면 소재지 에 있는 2종일반주거지역 매물</t>
        </is>
      </c>
      <c r="I511" s="5">
        <f>HYPERLINK("https://fin.land.naver.com/articles/2647765598", "매물Link")</f>
        <v/>
      </c>
      <c r="J511" s="5">
        <f>HYPERLINK("https://map.naver.com/p/search/금남면 용포리 147-4", "지도Link")</f>
        <v/>
      </c>
      <c r="K511" s="5">
        <f>HYPERLINK("http://www.eum.go.kr/web/ar/lu/luLandDet.jsp?pnu=3611034021101470004&amp;isNoScr=script&amp;mode=search", "토지이음")</f>
        <v/>
      </c>
      <c r="L511" s="3" t="inlineStr">
        <is>
          <t>지호주식회사</t>
        </is>
      </c>
      <c r="M511" s="3" t="n">
        <v>1</v>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3" t="inlineStr">
        <is>
          <t>누구나 탐내는 코너각지 세종의 요지를 선점하세요</t>
        </is>
      </c>
      <c r="I512" s="5">
        <f>HYPERLINK("https://fin.land.naver.com/articles/2644177829", "매물Link")</f>
        <v/>
      </c>
      <c r="J512" s="5">
        <f>HYPERLINK("https://map.naver.com/p/search/금남면 용포리 149-4", "지도Link")</f>
        <v/>
      </c>
      <c r="K512" s="5">
        <f>HYPERLINK("http://www.eum.go.kr/web/ar/lu/luLandDet.jsp?pnu=3611034021101490004&amp;isNoScr=script&amp;mode=search", "토지이음")</f>
        <v/>
      </c>
      <c r="L512" s="3" t="inlineStr">
        <is>
          <t>삼복</t>
        </is>
      </c>
      <c r="M512" s="3" t="n">
        <v>1</v>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3" t="inlineStr">
        <is>
          <t>금남면 용포리 지목 대 소형토지</t>
        </is>
      </c>
      <c r="I513" s="5">
        <f>HYPERLINK("https://fin.land.naver.com/articles/2645007224", "매물Link")</f>
        <v/>
      </c>
      <c r="J513" s="5">
        <f>HYPERLINK("https://map.naver.com/p/search/금남면 용포리 167-8", "지도Link")</f>
        <v/>
      </c>
      <c r="K513" s="5">
        <f>HYPERLINK("http://www.eum.go.kr/web/ar/lu/luLandDet.jsp?pnu=3611034021101670008&amp;isNoScr=script&amp;mode=search", "토지이음")</f>
        <v/>
      </c>
      <c r="L513" s="3" t="inlineStr">
        <is>
          <t>88</t>
        </is>
      </c>
      <c r="M513" s="3" t="n">
        <v>1</v>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3" t="inlineStr">
        <is>
          <t>급매,2차선도로에 붙은 대지,단독주택지 추천</t>
        </is>
      </c>
      <c r="I514" s="5">
        <f>HYPERLINK("https://fin.land.naver.com/articles/2645976599", "매물Link")</f>
        <v/>
      </c>
      <c r="J514" s="5">
        <f>HYPERLINK("https://map.naver.com/p/search/금남면 용포리 169", "지도Link")</f>
        <v/>
      </c>
      <c r="K514" s="5">
        <f>HYPERLINK("http://www.eum.go.kr/web/ar/lu/luLandDet.jsp?pnu=3611034021101690000&amp;isNoScr=script&amp;mode=search", "토지이음")</f>
        <v/>
      </c>
      <c r="L514" s="3" t="inlineStr">
        <is>
          <t>두진</t>
        </is>
      </c>
      <c r="M514" s="3" t="n">
        <v>1</v>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3" t="inlineStr">
        <is>
          <t>세종시 금남면 용포리에 위치한 단독주택 또는 공동주택 건축 적합지 245</t>
        </is>
      </c>
      <c r="I515" s="5">
        <f>HYPERLINK("https://fin.land.naver.com/articles/2645285677", "매물Link")</f>
        <v/>
      </c>
      <c r="J515" s="5">
        <f>HYPERLINK("https://map.naver.com/p/search/금남면 용포리 185-3", "지도Link")</f>
        <v/>
      </c>
      <c r="K515" s="5">
        <f>HYPERLINK("http://www.eum.go.kr/web/ar/lu/luLandDet.jsp?pnu=3611034021101850003&amp;isNoScr=script&amp;mode=search", "토지이음")</f>
        <v/>
      </c>
      <c r="L515" s="3" t="inlineStr">
        <is>
          <t>주식회사 고창</t>
        </is>
      </c>
      <c r="M515" s="3" t="n">
        <v>1</v>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3" t="inlineStr">
        <is>
          <t>일반상업지역으로 건폐율,용적률 증가로 건물 지을수 있음</t>
        </is>
      </c>
      <c r="I516" s="5">
        <f>HYPERLINK("https://fin.land.naver.com/articles/2645042850", "매물Link")</f>
        <v/>
      </c>
      <c r="J516" s="5">
        <f>HYPERLINK("https://map.naver.com/p/search/금남면 용포리 193-9", "지도Link")</f>
        <v/>
      </c>
      <c r="K516" s="5">
        <f>HYPERLINK("http://www.eum.go.kr/web/ar/lu/luLandDet.jsp?pnu=3611034021101930009&amp;isNoScr=script&amp;mode=search", "토지이음")</f>
        <v/>
      </c>
      <c r="L516" s="3" t="inlineStr">
        <is>
          <t>담뜰</t>
        </is>
      </c>
      <c r="M516" s="3" t="n">
        <v>1</v>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3" t="inlineStr">
        <is>
          <t>상가임대, 회전교차로, 투자</t>
        </is>
      </c>
      <c r="I517" s="5">
        <f>HYPERLINK("https://fin.land.naver.com/articles/2644880725", "매물Link")</f>
        <v/>
      </c>
      <c r="J517" s="5">
        <f>HYPERLINK("https://map.naver.com/p/search/금남면 용포리 205-10", "지도Link")</f>
        <v/>
      </c>
      <c r="K517" s="5">
        <f>HYPERLINK("http://www.eum.go.kr/web/ar/lu/luLandDet.jsp?pnu=3611034021102050010&amp;isNoScr=script&amp;mode=search", "토지이음")</f>
        <v/>
      </c>
      <c r="L517" s="3" t="inlineStr">
        <is>
          <t>한뜰금빛</t>
        </is>
      </c>
      <c r="M517" s="3" t="n">
        <v>1</v>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3" t="inlineStr">
        <is>
          <t>강력추천, 개발호재, 대형부지</t>
        </is>
      </c>
      <c r="I518" s="5">
        <f>HYPERLINK("https://fin.land.naver.com/articles/2645481603", "매물Link")</f>
        <v/>
      </c>
      <c r="J518" s="5">
        <f>HYPERLINK("https://map.naver.com/p/search/금남면 용포리 205-38", "지도Link")</f>
        <v/>
      </c>
      <c r="K518" s="5">
        <f>HYPERLINK("http://www.eum.go.kr/web/ar/lu/luLandDet.jsp?pnu=3611034021102050038&amp;isNoScr=script&amp;mode=search", "토지이음")</f>
        <v/>
      </c>
      <c r="L518" s="3" t="inlineStr">
        <is>
          <t>한뜰금빛</t>
        </is>
      </c>
      <c r="M518" s="3" t="n">
        <v>1</v>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3" t="inlineStr">
        <is>
          <t>행정도시옆에 위치하고 있으며 향후 투자가치가 높음</t>
        </is>
      </c>
      <c r="I519" s="5">
        <f>HYPERLINK("https://fin.land.naver.com/articles/2649116890", "매물Link")</f>
        <v/>
      </c>
      <c r="J519" s="5">
        <f>HYPERLINK("https://map.naver.com/p/search/금남면 용포리 237-46", "지도Link")</f>
        <v/>
      </c>
      <c r="K519" s="5">
        <f>HYPERLINK("http://www.eum.go.kr/web/ar/lu/luLandDet.jsp?pnu=3611034021102370046&amp;isNoScr=script&amp;mode=search", "토지이음")</f>
        <v/>
      </c>
      <c r="L519" s="3" t="inlineStr">
        <is>
          <t>창고의여왕</t>
        </is>
      </c>
      <c r="M519" s="3" t="n">
        <v>1</v>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3" t="inlineStr">
        <is>
          <t>세종특별자치시 금남면 용포리 가동길 제2종일반주거 660㎡급매</t>
        </is>
      </c>
      <c r="I520" s="5">
        <f>HYPERLINK("https://fin.land.naver.com/articles/2649342986", "매물Link")</f>
        <v/>
      </c>
      <c r="J520" s="5">
        <f>HYPERLINK("https://map.naver.com/p/search/금남면 용포리 310-3", "지도Link")</f>
        <v/>
      </c>
      <c r="K520" s="5">
        <f>HYPERLINK("http://www.eum.go.kr/web/ar/lu/luLandDet.jsp?pnu=3611034021103100003&amp;isNoScr=script&amp;mode=search", "토지이음")</f>
        <v/>
      </c>
      <c r="L520" s="3" t="inlineStr">
        <is>
          <t>세종</t>
        </is>
      </c>
      <c r="M520" s="3" t="n">
        <v>1</v>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3" t="inlineStr">
        <is>
          <t>나대지 투자 다가구주택용지</t>
        </is>
      </c>
      <c r="I521" s="5">
        <f>HYPERLINK("https://fin.land.naver.com/articles/2644879858", "매물Link")</f>
        <v/>
      </c>
      <c r="J521" s="5">
        <f>HYPERLINK("https://map.naver.com/p/search/금남면 용포리 72", "지도Link")</f>
        <v/>
      </c>
      <c r="K521" s="5">
        <f>HYPERLINK("http://www.eum.go.kr/web/ar/lu/luLandDet.jsp?pnu=3611034021100720000&amp;isNoScr=script&amp;mode=search", "토지이음")</f>
        <v/>
      </c>
      <c r="L521" s="3" t="inlineStr">
        <is>
          <t>세계로</t>
        </is>
      </c>
      <c r="M521" s="3" t="n">
        <v>1</v>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3" t="inlineStr">
        <is>
          <t>급매. 세종시 ktx역 인근 투자용</t>
        </is>
      </c>
      <c r="I522" s="5">
        <f>HYPERLINK("https://fin.land.naver.com/articles/2645464954", "매물Link")</f>
        <v/>
      </c>
      <c r="J522" s="5">
        <f>HYPERLINK("https://map.naver.com/p/search/금남면 용포리 75-1", "지도Link")</f>
        <v/>
      </c>
      <c r="K522" s="5">
        <f>HYPERLINK("http://www.eum.go.kr/web/ar/lu/luLandDet.jsp?pnu=3611034021100750001&amp;isNoScr=script&amp;mode=search", "토지이음")</f>
        <v/>
      </c>
      <c r="L522" s="3" t="inlineStr">
        <is>
          <t>강아지풀</t>
        </is>
      </c>
      <c r="M522" s="3" t="n">
        <v>1</v>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3" t="inlineStr">
        <is>
          <t>2차선 도로 접한 현황 토지(농지) 그린벨트지역 보기 좋은 토지</t>
        </is>
      </c>
      <c r="I523" s="5">
        <f>HYPERLINK("https://fin.land.naver.com/articles/2644414498", "매물Link")</f>
        <v/>
      </c>
      <c r="J523" s="5">
        <f>HYPERLINK("https://map.naver.com/p/search/금남면 용포리 8-2", "지도Link")</f>
        <v/>
      </c>
      <c r="K523" s="5">
        <f>HYPERLINK("http://www.eum.go.kr/web/ar/lu/luLandDet.jsp?pnu=3611034021100080002&amp;isNoScr=script&amp;mode=search", "토지이음")</f>
        <v/>
      </c>
      <c r="L523" s="3" t="inlineStr">
        <is>
          <t>로데오상가</t>
        </is>
      </c>
      <c r="M523" s="3" t="n">
        <v>1</v>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3" t="inlineStr">
        <is>
          <t>2차선 도로접한 완만한 경사지의 물건</t>
        </is>
      </c>
      <c r="I524" s="5">
        <f>HYPERLINK("https://fin.land.naver.com/articles/2649292640", "매물Link")</f>
        <v/>
      </c>
      <c r="J524" s="5">
        <f>HYPERLINK("https://map.naver.com/p/search/금남면 용포리 8-2", "지도Link")</f>
        <v/>
      </c>
      <c r="K524" s="5">
        <f>HYPERLINK("http://www.eum.go.kr/web/ar/lu/luLandDet.jsp?pnu=3611034021100080002&amp;isNoScr=script&amp;mode=search", "토지이음")</f>
        <v/>
      </c>
      <c r="L524" s="3" t="inlineStr">
        <is>
          <t>세종나라</t>
        </is>
      </c>
      <c r="M524" s="3" t="n">
        <v>4</v>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3" t="inlineStr">
        <is>
          <t>용포리 건축가능 최고의 위치 나대지</t>
        </is>
      </c>
      <c r="I525" s="5">
        <f>HYPERLINK("https://fin.land.naver.com/articles/2648791483", "매물Link")</f>
        <v/>
      </c>
      <c r="J525" s="5">
        <f>HYPERLINK("https://map.naver.com/p/search/금남면 용포리 86-1", "지도Link")</f>
        <v/>
      </c>
      <c r="K525" s="5">
        <f>HYPERLINK("http://www.eum.go.kr/web/ar/lu/luLandDet.jsp?pnu=3611034021100860001&amp;isNoScr=script&amp;mode=search", "토지이음")</f>
        <v/>
      </c>
      <c r="L525" s="3" t="inlineStr">
        <is>
          <t>세계로</t>
        </is>
      </c>
      <c r="M525" s="3" t="n">
        <v>1</v>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3" t="inlineStr">
        <is>
          <t>현재컨테이너 근생용으로 허가사용하고있음,근생용지,다가구용지로 추천</t>
        </is>
      </c>
      <c r="I526" s="5">
        <f>HYPERLINK("https://fin.land.naver.com/articles/2645497565", "매물Link")</f>
        <v/>
      </c>
      <c r="J526" s="5">
        <f>HYPERLINK("https://map.naver.com/p/search/금남면 용포리 90-16", "지도Link")</f>
        <v/>
      </c>
      <c r="K526" s="5">
        <f>HYPERLINK("http://www.eum.go.kr/web/ar/lu/luLandDet.jsp?pnu=3611034021100900016&amp;isNoScr=script&amp;mode=search", "토지이음")</f>
        <v/>
      </c>
      <c r="L526" s="3" t="inlineStr">
        <is>
          <t>담뜰</t>
        </is>
      </c>
      <c r="M526" s="3" t="n">
        <v>1</v>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3" t="inlineStr">
        <is>
          <t>용포리 저렴한 2종근생</t>
        </is>
      </c>
      <c r="I527" s="5">
        <f>HYPERLINK("https://fin.land.naver.com/articles/2644901528", "매물Link")</f>
        <v/>
      </c>
      <c r="J527" s="5">
        <f>HYPERLINK("https://map.naver.com/p/search/금남면 용포리 90-17", "지도Link")</f>
        <v/>
      </c>
      <c r="K527" s="5">
        <f>HYPERLINK("http://www.eum.go.kr/web/ar/lu/luLandDet.jsp?pnu=3611034021100900017&amp;isNoScr=script&amp;mode=search", "토지이음")</f>
        <v/>
      </c>
      <c r="L527" s="3" t="inlineStr">
        <is>
          <t>THE행복</t>
        </is>
      </c>
      <c r="M527" s="3" t="n">
        <v>1</v>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3" t="inlineStr">
        <is>
          <t>nan</t>
        </is>
      </c>
      <c r="I528" s="5">
        <f>HYPERLINK("https://fin.land.naver.com/articles/2644418128", "매물Link")</f>
        <v/>
      </c>
      <c r="J528" s="5">
        <f>HYPERLINK("https://map.naver.com/p/search/금남면 용포리 산12", "지도Link")</f>
        <v/>
      </c>
      <c r="K528" s="5">
        <f>HYPERLINK("http://www.eum.go.kr/web/ar/lu/luLandDet.jsp?pnu=3611034021200120000&amp;isNoScr=script&amp;mode=search", "토지이음")</f>
        <v/>
      </c>
      <c r="L528" s="3" t="inlineStr">
        <is>
          <t>바른</t>
        </is>
      </c>
      <c r="M528" s="3" t="n">
        <v>1</v>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3" t="inlineStr">
        <is>
          <t>급매물 저렴한 계획관리 2차선 창고부지 매매</t>
        </is>
      </c>
      <c r="I529" s="5">
        <f>HYPERLINK("https://fin.land.naver.com/articles/2649042079", "매물Link")</f>
        <v/>
      </c>
      <c r="J529" s="5">
        <f>HYPERLINK("https://map.naver.com/p/search/금남면 원봉리 109-3", "지도Link")</f>
        <v/>
      </c>
      <c r="K529" s="5">
        <f>HYPERLINK("http://www.eum.go.kr/web/ar/lu/luLandDet.jsp?pnu=3611034045101090003&amp;isNoScr=script&amp;mode=search", "토지이음")</f>
        <v/>
      </c>
      <c r="L529" s="3" t="inlineStr">
        <is>
          <t>THE행복</t>
        </is>
      </c>
      <c r="M529" s="3" t="n">
        <v>1</v>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3" t="inlineStr">
        <is>
          <t>계획관리 성장관리구역</t>
        </is>
      </c>
      <c r="I530" s="5">
        <f>HYPERLINK("https://fin.land.naver.com/articles/2648121560", "매물Link")</f>
        <v/>
      </c>
      <c r="J530" s="5">
        <f>HYPERLINK("https://map.naver.com/p/search/금남면 원봉리 111", "지도Link")</f>
        <v/>
      </c>
      <c r="K530" s="5">
        <f>HYPERLINK("http://www.eum.go.kr/web/ar/lu/luLandDet.jsp?pnu=3611034045101110000&amp;isNoScr=script&amp;mode=search", "토지이음")</f>
        <v/>
      </c>
      <c r="L530" s="3" t="inlineStr">
        <is>
          <t>중촌역푸르지오</t>
        </is>
      </c>
      <c r="M530" s="3" t="n">
        <v>2</v>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3" t="inlineStr">
        <is>
          <t>Point 구거 접하고 있고 생산관리지역으로 투자 및 활용도 높음</t>
        </is>
      </c>
      <c r="I531" s="5">
        <f>HYPERLINK("https://fin.land.naver.com/articles/2646677082", "매물Link")</f>
        <v/>
      </c>
      <c r="J531" s="5">
        <f>HYPERLINK("https://map.naver.com/p/search/금남면 원봉리 145", "지도Link")</f>
        <v/>
      </c>
      <c r="K531" s="5">
        <f>HYPERLINK("http://www.eum.go.kr/web/ar/lu/luLandDet.jsp?pnu=3611034045101450000&amp;isNoScr=script&amp;mode=search", "토지이음")</f>
        <v/>
      </c>
      <c r="L531" s="3" t="inlineStr">
        <is>
          <t>도마호반</t>
        </is>
      </c>
      <c r="M531" s="3" t="n">
        <v>1</v>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3" t="inlineStr">
        <is>
          <t>금남면 원봉리 전 1,540㎡ 생산관리지역, 성장관리계획구역</t>
        </is>
      </c>
      <c r="I532" s="5">
        <f>HYPERLINK("https://fin.land.naver.com/articles/2650000309", "매물Link")</f>
        <v/>
      </c>
      <c r="J532" s="5">
        <f>HYPERLINK("https://map.naver.com/p/search/금남면 원봉리 23", "지도Link")</f>
        <v/>
      </c>
      <c r="K532" s="5">
        <f>HYPERLINK("http://www.eum.go.kr/web/ar/lu/luLandDet.jsp?pnu=3611034045100230000&amp;isNoScr=script&amp;mode=search", "토지이음")</f>
        <v/>
      </c>
      <c r="L532" s="3" t="inlineStr">
        <is>
          <t>리베라아이누리</t>
        </is>
      </c>
      <c r="M532" s="3" t="n">
        <v>1</v>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3" t="inlineStr">
        <is>
          <t>공시지가수준으로 매매합니다</t>
        </is>
      </c>
      <c r="I533" s="5">
        <f>HYPERLINK("https://fin.land.naver.com/articles/2648550275", "매물Link")</f>
        <v/>
      </c>
      <c r="J533" s="5">
        <f>HYPERLINK("https://map.naver.com/p/search/금남면 원봉리 284-1", "지도Link")</f>
        <v/>
      </c>
      <c r="K533" s="5">
        <f>HYPERLINK("http://www.eum.go.kr/web/ar/lu/luLandDet.jsp?pnu=3611034045102840001&amp;isNoScr=script&amp;mode=search", "토지이음")</f>
        <v/>
      </c>
      <c r="L533" s="3" t="inlineStr">
        <is>
          <t>세종리츠</t>
        </is>
      </c>
      <c r="M533" s="3" t="n">
        <v>1</v>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3" t="inlineStr">
        <is>
          <t>금남면 원봉리 계획관리지역 전원주택지</t>
        </is>
      </c>
      <c r="I534" s="5">
        <f>HYPERLINK("https://fin.land.naver.com/articles/2648639349", "매물Link")</f>
        <v/>
      </c>
      <c r="J534" s="5">
        <f>HYPERLINK("https://map.naver.com/p/search/금남면 원봉리 297-3", "지도Link")</f>
        <v/>
      </c>
      <c r="K534" s="5">
        <f>HYPERLINK("http://www.eum.go.kr/web/ar/lu/luLandDet.jsp?pnu=3611034045102970003&amp;isNoScr=script&amp;mode=search", "토지이음")</f>
        <v/>
      </c>
      <c r="L534" s="3" t="inlineStr">
        <is>
          <t>세종천지</t>
        </is>
      </c>
      <c r="M534" s="3" t="n">
        <v>1</v>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3" t="inlineStr">
        <is>
          <t>주택은 고쳐서 다시 지으면 좋음. 행복도시 15분거리</t>
        </is>
      </c>
      <c r="I535" s="5">
        <f>HYPERLINK("https://fin.land.naver.com/articles/2644607038", "매물Link")</f>
        <v/>
      </c>
      <c r="J535" s="5">
        <f>HYPERLINK("https://map.naver.com/p/search/금남면 원봉리 297-5", "지도Link")</f>
        <v/>
      </c>
      <c r="K535" s="5">
        <f>HYPERLINK("http://www.eum.go.kr/web/ar/lu/luLandDet.jsp?pnu=3611034045102970005&amp;isNoScr=script&amp;mode=search", "토지이음")</f>
        <v/>
      </c>
      <c r="L535" s="3" t="inlineStr">
        <is>
          <t>미스터홈즈강남지사</t>
        </is>
      </c>
      <c r="M535" s="3" t="n">
        <v>1</v>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3" t="inlineStr">
        <is>
          <t>nan</t>
        </is>
      </c>
      <c r="I536" s="5">
        <f>HYPERLINK("https://fin.land.naver.com/articles/2648850623", "매물Link")</f>
        <v/>
      </c>
      <c r="J536" s="5">
        <f>HYPERLINK("https://map.naver.com/p/search/금남면 원봉리 297-6", "지도Link")</f>
        <v/>
      </c>
      <c r="K536" s="5">
        <f>HYPERLINK("http://www.eum.go.kr/web/ar/lu/luLandDet.jsp?pnu=3611034045102970006&amp;isNoScr=script&amp;mode=search", "토지이음")</f>
        <v/>
      </c>
      <c r="L536" s="3" t="inlineStr">
        <is>
          <t>세종소담황금</t>
        </is>
      </c>
      <c r="M536" s="3" t="n">
        <v>1</v>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3" t="inlineStr">
        <is>
          <t>분할매매 가능, 신도시 접근성 탁월, 향후 투자가치 상승, 전, 임야</t>
        </is>
      </c>
      <c r="I537" s="5">
        <f>HYPERLINK("https://fin.land.naver.com/articles/2646075572", "매물Link")</f>
        <v/>
      </c>
      <c r="J537" s="5">
        <f>HYPERLINK("https://map.naver.com/p/search/금남면 원봉리 297-8", "지도Link")</f>
        <v/>
      </c>
      <c r="K537" s="5">
        <f>HYPERLINK("http://www.eum.go.kr/web/ar/lu/luLandDet.jsp?pnu=3611034045102970008&amp;isNoScr=script&amp;mode=search", "토지이음")</f>
        <v/>
      </c>
      <c r="L537" s="3" t="inlineStr">
        <is>
          <t>세종</t>
        </is>
      </c>
      <c r="M537" s="3" t="n">
        <v>1</v>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3" t="inlineStr">
        <is>
          <t>전원주택부지 매매</t>
        </is>
      </c>
      <c r="I538" s="5">
        <f>HYPERLINK("https://fin.land.naver.com/articles/2648839794", "매물Link")</f>
        <v/>
      </c>
      <c r="J538" s="5">
        <f>HYPERLINK("https://map.naver.com/p/search/금남면 원봉리 341-13", "지도Link")</f>
        <v/>
      </c>
      <c r="K538" s="5">
        <f>HYPERLINK("http://www.eum.go.kr/web/ar/lu/luLandDet.jsp?pnu=3611034045103410013&amp;isNoScr=script&amp;mode=search", "토지이음")</f>
        <v/>
      </c>
      <c r="L538" s="3" t="inlineStr">
        <is>
          <t>마니</t>
        </is>
      </c>
      <c r="M538" s="3" t="n">
        <v>1</v>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3" t="inlineStr">
        <is>
          <t>세종 금남면 원봉리 계획관리지역 토지</t>
        </is>
      </c>
      <c r="I539" s="5">
        <f>HYPERLINK("https://fin.land.naver.com/articles/2649739767", "매물Link")</f>
        <v/>
      </c>
      <c r="J539" s="5">
        <f>HYPERLINK("https://map.naver.com/p/search/금남면 원봉리 388-1", "지도Link")</f>
        <v/>
      </c>
      <c r="K539" s="5">
        <f>HYPERLINK("http://www.eum.go.kr/web/ar/lu/luLandDet.jsp?pnu=3611034045103880001&amp;isNoScr=script&amp;mode=search", "토지이음")</f>
        <v/>
      </c>
      <c r="L539" s="3" t="inlineStr">
        <is>
          <t>세종몽땅</t>
        </is>
      </c>
      <c r="M539" s="3" t="n">
        <v>1</v>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3" t="inlineStr">
        <is>
          <t>계획관리지역의 주변 환경 좋은 전으로 이용중인 투자용 토지입니다</t>
        </is>
      </c>
      <c r="I540" s="5">
        <f>HYPERLINK("https://fin.land.naver.com/articles/2646331334", "매물Link")</f>
        <v/>
      </c>
      <c r="J540" s="5">
        <f>HYPERLINK("https://map.naver.com/p/search/금남면 원봉리 400-1", "지도Link")</f>
        <v/>
      </c>
      <c r="K540" s="5">
        <f>HYPERLINK("http://www.eum.go.kr/web/ar/lu/luLandDet.jsp?pnu=3611034045104000001&amp;isNoScr=script&amp;mode=search", "토지이음")</f>
        <v/>
      </c>
      <c r="L540" s="3" t="inlineStr">
        <is>
          <t>스마일세종</t>
        </is>
      </c>
      <c r="M540" s="3" t="n">
        <v>1</v>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3" t="inlineStr">
        <is>
          <t>세종시내권 접근 양호 포장도로 접한 전원주택 검토형 토지</t>
        </is>
      </c>
      <c r="I541" s="5">
        <f>HYPERLINK("https://fin.land.naver.com/articles/2649750299", "매물Link")</f>
        <v/>
      </c>
      <c r="J541" s="5">
        <f>HYPERLINK("https://map.naver.com/p/search/금남면 원봉리 402-3", "지도Link")</f>
        <v/>
      </c>
      <c r="K541" s="5">
        <f>HYPERLINK("http://www.eum.go.kr/web/ar/lu/luLandDet.jsp?pnu=3611034045104020003&amp;isNoScr=script&amp;mode=search", "토지이음")</f>
        <v/>
      </c>
      <c r="L541" s="3" t="inlineStr">
        <is>
          <t>세종소담황금</t>
        </is>
      </c>
      <c r="M541" s="3" t="n">
        <v>1</v>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3" t="inlineStr">
        <is>
          <t>급매, 사진O, 원봉리 위치 좋은 농지입니다.</t>
        </is>
      </c>
      <c r="I542" s="5">
        <f>HYPERLINK("https://fin.land.naver.com/articles/2645256248", "매물Link")</f>
        <v/>
      </c>
      <c r="J542" s="5">
        <f>HYPERLINK("https://map.naver.com/p/search/금남면 원봉리 437-3", "지도Link")</f>
        <v/>
      </c>
      <c r="K542" s="5">
        <f>HYPERLINK("http://www.eum.go.kr/web/ar/lu/luLandDet.jsp?pnu=3611034045104370003&amp;isNoScr=script&amp;mode=search", "토지이음")</f>
        <v/>
      </c>
      <c r="L542" s="3" t="inlineStr">
        <is>
          <t>허브</t>
        </is>
      </c>
      <c r="M542" s="3" t="n">
        <v>1</v>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3" t="inlineStr">
        <is>
          <t>조용하고 뷰 좋은 계획관리지역의 요양원 시설 적지 토지 매매</t>
        </is>
      </c>
      <c r="I543" s="5">
        <f>HYPERLINK("https://fin.land.naver.com/articles/2648921233", "매물Link")</f>
        <v/>
      </c>
      <c r="J543" s="5">
        <f>HYPERLINK("https://map.naver.com/p/search/금남면 원봉리 443-1", "지도Link")</f>
        <v/>
      </c>
      <c r="K543" s="5">
        <f>HYPERLINK("http://www.eum.go.kr/web/ar/lu/luLandDet.jsp?pnu=3611034045104430001&amp;isNoScr=script&amp;mode=search", "토지이음")</f>
        <v/>
      </c>
      <c r="L543" s="3" t="inlineStr">
        <is>
          <t>세종비전행정사</t>
        </is>
      </c>
      <c r="M543" s="3" t="n">
        <v>1</v>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3" t="inlineStr">
        <is>
          <t>금남면 원봉리 계획관리 토지, 도로접, 근생시설 및 창고 등</t>
        </is>
      </c>
      <c r="I544" s="5">
        <f>HYPERLINK("https://fin.land.naver.com/articles/2647307828", "매물Link")</f>
        <v/>
      </c>
      <c r="J544" s="5">
        <f>HYPERLINK("https://map.naver.com/p/search/금남면 원봉리 476-1", "지도Link")</f>
        <v/>
      </c>
      <c r="K544" s="5">
        <f>HYPERLINK("http://www.eum.go.kr/web/ar/lu/luLandDet.jsp?pnu=3611034045104760001&amp;isNoScr=script&amp;mode=search", "토지이음")</f>
        <v/>
      </c>
      <c r="L544" s="3" t="inlineStr">
        <is>
          <t>스카이</t>
        </is>
      </c>
      <c r="M544" s="3" t="n">
        <v>1</v>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3" t="inlineStr">
        <is>
          <t>계획관리지역으로 주택가 옆의 평평한 토지임</t>
        </is>
      </c>
      <c r="I545" s="5">
        <f>HYPERLINK("https://fin.land.naver.com/articles/2644982717", "매물Link")</f>
        <v/>
      </c>
      <c r="J545" s="5">
        <f>HYPERLINK("https://map.naver.com/p/search/금남면 원봉리 476-1", "지도Link")</f>
        <v/>
      </c>
      <c r="K545" s="5">
        <f>HYPERLINK("http://www.eum.go.kr/web/ar/lu/luLandDet.jsp?pnu=3611034045104760001&amp;isNoScr=script&amp;mode=search", "토지이음")</f>
        <v/>
      </c>
      <c r="L545" s="3" t="inlineStr">
        <is>
          <t>세종시해냄</t>
        </is>
      </c>
      <c r="M545" s="3" t="n">
        <v>1</v>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3" t="inlineStr">
        <is>
          <t>성장관리구역,</t>
        </is>
      </c>
      <c r="I546" s="5">
        <f>HYPERLINK("https://fin.land.naver.com/articles/2647826192", "매물Link")</f>
        <v/>
      </c>
      <c r="J546" s="5">
        <f>HYPERLINK("https://map.naver.com/p/search/금남면 원봉리 510-3", "지도Link")</f>
        <v/>
      </c>
      <c r="K546" s="5">
        <f>HYPERLINK("http://www.eum.go.kr/web/ar/lu/luLandDet.jsp?pnu=3611034045105100003&amp;isNoScr=script&amp;mode=search", "토지이음")</f>
        <v/>
      </c>
      <c r="L546" s="3" t="inlineStr">
        <is>
          <t>역전</t>
        </is>
      </c>
      <c r="M546" s="3" t="n">
        <v>1</v>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3" t="inlineStr">
        <is>
          <t>금강이보이는 전원주택지</t>
        </is>
      </c>
      <c r="I547" s="5">
        <f>HYPERLINK("https://fin.land.naver.com/articles/2645629510", "매물Link")</f>
        <v/>
      </c>
      <c r="J547" s="5">
        <f>HYPERLINK("https://map.naver.com/p/search/금남면 원봉리 548-55", "지도Link")</f>
        <v/>
      </c>
      <c r="K547" s="5">
        <f>HYPERLINK("http://www.eum.go.kr/web/ar/lu/luLandDet.jsp?pnu=3611034045105480055&amp;isNoScr=script&amp;mode=search", "토지이음")</f>
        <v/>
      </c>
      <c r="L547" s="3" t="inlineStr">
        <is>
          <t>세종천지</t>
        </is>
      </c>
      <c r="M547" s="3" t="n">
        <v>1</v>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3" t="inlineStr">
        <is>
          <t>금남면 원봉리 금강이보이는 전원주택지</t>
        </is>
      </c>
      <c r="I548" s="5">
        <f>HYPERLINK("https://fin.land.naver.com/articles/2647685646", "매물Link")</f>
        <v/>
      </c>
      <c r="J548" s="5">
        <f>HYPERLINK("https://map.naver.com/p/search/금남면 원봉리 575-56", "지도Link")</f>
        <v/>
      </c>
      <c r="K548" s="5">
        <f>HYPERLINK("http://www.eum.go.kr/web/ar/lu/luLandDet.jsp?pnu=3611034045105750056&amp;isNoScr=script&amp;mode=search", "토지이음")</f>
        <v/>
      </c>
      <c r="L548" s="3" t="inlineStr">
        <is>
          <t>세종천지</t>
        </is>
      </c>
      <c r="M548" s="3" t="n">
        <v>1</v>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3" t="inlineStr">
        <is>
          <t>세종시와 근접하고 금강수목원 인접지</t>
        </is>
      </c>
      <c r="I549" s="5">
        <f>HYPERLINK("https://fin.land.naver.com/articles/2647301481", "매물Link")</f>
        <v/>
      </c>
      <c r="J549" s="5">
        <f>HYPERLINK("https://map.naver.com/p/search/금남면 원봉리 578-22", "지도Link")</f>
        <v/>
      </c>
      <c r="K549" s="5">
        <f>HYPERLINK("http://www.eum.go.kr/web/ar/lu/luLandDet.jsp?pnu=3611034045105780022&amp;isNoScr=script&amp;mode=search", "토지이음")</f>
        <v/>
      </c>
      <c r="L549" s="3" t="inlineStr">
        <is>
          <t>늘봄</t>
        </is>
      </c>
      <c r="M549" s="3" t="n">
        <v>1</v>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3" t="inlineStr">
        <is>
          <t>세종,대전 접근성좋은 계획관리 대지</t>
        </is>
      </c>
      <c r="I550" s="5">
        <f>HYPERLINK("https://fin.land.naver.com/articles/2646794641", "매물Link")</f>
        <v/>
      </c>
      <c r="J550" s="5">
        <f>HYPERLINK("https://map.naver.com/p/search/금남면 원봉리 578-22", "지도Link")</f>
        <v/>
      </c>
      <c r="K550" s="5">
        <f>HYPERLINK("http://www.eum.go.kr/web/ar/lu/luLandDet.jsp?pnu=3611034045105780022&amp;isNoScr=script&amp;mode=search", "토지이음")</f>
        <v/>
      </c>
      <c r="L550" s="3" t="inlineStr">
        <is>
          <t>가치잇는</t>
        </is>
      </c>
      <c r="M550" s="3" t="n">
        <v>2</v>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3" t="inlineStr">
        <is>
          <t>전원주택지로 적극 추천함</t>
        </is>
      </c>
      <c r="I551" s="5">
        <f>HYPERLINK("https://fin.land.naver.com/articles/2648263036", "매물Link")</f>
        <v/>
      </c>
      <c r="J551" s="5">
        <f>HYPERLINK("https://map.naver.com/p/search/금남면 원봉리 578-38", "지도Link")</f>
        <v/>
      </c>
      <c r="K551" s="5">
        <f>HYPERLINK("http://www.eum.go.kr/web/ar/lu/luLandDet.jsp?pnu=3611034045105780038&amp;isNoScr=script&amp;mode=search", "토지이음")</f>
        <v/>
      </c>
      <c r="L551" s="3" t="inlineStr">
        <is>
          <t>세종대평</t>
        </is>
      </c>
      <c r="M551" s="3" t="n">
        <v>1</v>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3" t="inlineStr">
        <is>
          <t>진입도로 돼있고요 전원주택지  세종시청 15분 거리입니다</t>
        </is>
      </c>
      <c r="I552" s="5">
        <f>HYPERLINK("https://fin.land.naver.com/articles/2648082427", "매물Link")</f>
        <v/>
      </c>
      <c r="J552" s="5">
        <f>HYPERLINK("https://map.naver.com/p/search/금남면 원봉리 578-40", "지도Link")</f>
        <v/>
      </c>
      <c r="K552" s="5">
        <f>HYPERLINK("http://www.eum.go.kr/web/ar/lu/luLandDet.jsp?pnu=3611034045105780040&amp;isNoScr=script&amp;mode=search", "토지이음")</f>
        <v/>
      </c>
      <c r="L552" s="3" t="inlineStr">
        <is>
          <t>세종시삼성래미안</t>
        </is>
      </c>
      <c r="M552" s="3" t="n">
        <v>1</v>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3" t="inlineStr">
        <is>
          <t>금강조망권,전원생활 또는 투자에 적합한 입지</t>
        </is>
      </c>
      <c r="I553" s="5">
        <f>HYPERLINK("https://fin.land.naver.com/articles/2645457537", "매물Link")</f>
        <v/>
      </c>
      <c r="J553" s="5">
        <f>HYPERLINK("https://map.naver.com/p/search/금남면 원봉리 578-40", "지도Link")</f>
        <v/>
      </c>
      <c r="K553" s="5">
        <f>HYPERLINK("http://www.eum.go.kr/web/ar/lu/luLandDet.jsp?pnu=3611034045105780040&amp;isNoScr=script&amp;mode=search", "토지이음")</f>
        <v/>
      </c>
      <c r="L553" s="3" t="inlineStr">
        <is>
          <t>가치잇는</t>
        </is>
      </c>
      <c r="M553" s="3" t="n">
        <v>1</v>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3" t="inlineStr">
        <is>
          <t>금남면 원봉리 대로접한 답</t>
        </is>
      </c>
      <c r="I554" s="5">
        <f>HYPERLINK("https://fin.land.naver.com/articles/2648100905", "매물Link")</f>
        <v/>
      </c>
      <c r="J554" s="5">
        <f>HYPERLINK("https://map.naver.com/p/search/금남면 원봉리 585-2", "지도Link")</f>
        <v/>
      </c>
      <c r="K554" s="5">
        <f>HYPERLINK("http://www.eum.go.kr/web/ar/lu/luLandDet.jsp?pnu=3611034045105850002&amp;isNoScr=script&amp;mode=search", "토지이음")</f>
        <v/>
      </c>
      <c r="L554" s="3" t="inlineStr">
        <is>
          <t>황소플러스</t>
        </is>
      </c>
      <c r="M554" s="3" t="n">
        <v>1</v>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3" t="inlineStr">
        <is>
          <t>2차선 농업보호구역 필지별매매가능</t>
        </is>
      </c>
      <c r="I555" s="5">
        <f>HYPERLINK("https://fin.land.naver.com/articles/2644279408", "매물Link")</f>
        <v/>
      </c>
      <c r="J555" s="5">
        <f>HYPERLINK("https://map.naver.com/p/search/금남면 원봉리 585-2", "지도Link")</f>
        <v/>
      </c>
      <c r="K555" s="5">
        <f>HYPERLINK("http://www.eum.go.kr/web/ar/lu/luLandDet.jsp?pnu=3611034045105850002&amp;isNoScr=script&amp;mode=search", "토지이음")</f>
        <v/>
      </c>
      <c r="L555" s="3" t="inlineStr">
        <is>
          <t>THE행복</t>
        </is>
      </c>
      <c r="M555" s="3" t="n">
        <v>1</v>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3" t="inlineStr">
        <is>
          <t>금남면 금강주변 선호도 높은 고급주택택지</t>
        </is>
      </c>
      <c r="I556" s="5">
        <f>HYPERLINK("https://fin.land.naver.com/articles/2648101366", "매물Link")</f>
        <v/>
      </c>
      <c r="J556" s="5">
        <f>HYPERLINK("https://map.naver.com/p/search/금남면 원봉리 591-18", "지도Link")</f>
        <v/>
      </c>
      <c r="K556" s="5">
        <f>HYPERLINK("http://www.eum.go.kr/web/ar/lu/luLandDet.jsp?pnu=3611034045105910018&amp;isNoScr=script&amp;mode=search", "토지이음")</f>
        <v/>
      </c>
      <c r="L556" s="3" t="inlineStr">
        <is>
          <t>황소플러스</t>
        </is>
      </c>
      <c r="M556" s="3" t="n">
        <v>1</v>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3" t="inlineStr">
        <is>
          <t>금강변주변에위치한 남향의최상의 전원주택지 제2종근린도가능</t>
        </is>
      </c>
      <c r="I557" s="5">
        <f>HYPERLINK("https://fin.land.naver.com/articles/2645161863", "매물Link")</f>
        <v/>
      </c>
      <c r="J557" s="5">
        <f>HYPERLINK("https://map.naver.com/p/search/금남면 원봉리 591-18", "지도Link")</f>
        <v/>
      </c>
      <c r="K557" s="5">
        <f>HYPERLINK("http://www.eum.go.kr/web/ar/lu/luLandDet.jsp?pnu=3611034045105910018&amp;isNoScr=script&amp;mode=search", "토지이음")</f>
        <v/>
      </c>
      <c r="L557" s="3" t="inlineStr">
        <is>
          <t>7단지예미지 사무소</t>
        </is>
      </c>
      <c r="M557" s="3" t="n">
        <v>2</v>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3" t="inlineStr">
        <is>
          <t>주변 시도유지 활용가능한 토지. 주말농장추천</t>
        </is>
      </c>
      <c r="I558" s="5">
        <f>HYPERLINK("https://fin.land.naver.com/articles/2645606177", "매물Link")</f>
        <v/>
      </c>
      <c r="J558" s="5">
        <f>HYPERLINK("https://map.naver.com/p/search/금남면 원봉리 591-33", "지도Link")</f>
        <v/>
      </c>
      <c r="K558" s="5">
        <f>HYPERLINK("http://www.eum.go.kr/web/ar/lu/luLandDet.jsp?pnu=3611034045105910033&amp;isNoScr=script&amp;mode=search", "토지이음")</f>
        <v/>
      </c>
      <c r="L558" s="3" t="inlineStr">
        <is>
          <t>미스터홈즈강남지사</t>
        </is>
      </c>
      <c r="M558" s="3" t="n">
        <v>2</v>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3" t="inlineStr">
        <is>
          <t>nan</t>
        </is>
      </c>
      <c r="I559" s="5">
        <f>HYPERLINK("https://fin.land.naver.com/articles/2650194284", "매물Link")</f>
        <v/>
      </c>
      <c r="J559" s="5">
        <f>HYPERLINK("https://map.naver.com/p/search/금남면 원봉리 592-15", "지도Link")</f>
        <v/>
      </c>
      <c r="K559" s="5">
        <f>HYPERLINK("http://www.eum.go.kr/web/ar/lu/luLandDet.jsp?pnu=3611034045105920015&amp;isNoScr=script&amp;mode=search", "토지이음")</f>
        <v/>
      </c>
      <c r="L559" s="3" t="inlineStr">
        <is>
          <t>-</t>
        </is>
      </c>
      <c r="M559" s="3" t="n">
        <v>1</v>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3" t="inlineStr">
        <is>
          <t>집짓기 좋은토지 매매</t>
        </is>
      </c>
      <c r="I560" s="5">
        <f>HYPERLINK("https://fin.land.naver.com/articles/2649704560", "매물Link")</f>
        <v/>
      </c>
      <c r="J560" s="5">
        <f>HYPERLINK("https://map.naver.com/p/search/금남면 원봉리 81-2", "지도Link")</f>
        <v/>
      </c>
      <c r="K560" s="5">
        <f>HYPERLINK("http://www.eum.go.kr/web/ar/lu/luLandDet.jsp?pnu=3611034045100810002&amp;isNoScr=script&amp;mode=search", "토지이음")</f>
        <v/>
      </c>
      <c r="L560" s="3" t="inlineStr">
        <is>
          <t>THE행복</t>
        </is>
      </c>
      <c r="M560" s="3" t="n">
        <v>1</v>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3" t="inlineStr">
        <is>
          <t>살기좋은 세종 금남면 전원주택지</t>
        </is>
      </c>
      <c r="I561" s="5">
        <f>HYPERLINK("https://fin.land.naver.com/articles/2646687128", "매물Link")</f>
        <v/>
      </c>
      <c r="J561" s="5">
        <f>HYPERLINK("https://map.naver.com/p/search/금남면 원봉리 81-2", "지도Link")</f>
        <v/>
      </c>
      <c r="K561" s="5">
        <f>HYPERLINK("http://www.eum.go.kr/web/ar/lu/luLandDet.jsp?pnu=3611034045100810002&amp;isNoScr=script&amp;mode=search", "토지이음")</f>
        <v/>
      </c>
      <c r="L561" s="3" t="inlineStr">
        <is>
          <t>황소플러스</t>
        </is>
      </c>
      <c r="M561" s="3" t="n">
        <v>1</v>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3" t="inlineStr">
        <is>
          <t>세종시 원봉리 언덕위 좋은임야</t>
        </is>
      </c>
      <c r="I562" s="5">
        <f>HYPERLINK("https://fin.land.naver.com/articles/2650197681", "매물Link")</f>
        <v/>
      </c>
      <c r="J562" s="5">
        <f>HYPERLINK("https://map.naver.com/p/search/금남면 원봉리 산 17-12", "지도Link")</f>
        <v/>
      </c>
      <c r="K562" s="5">
        <f>HYPERLINK("http://www.eum.go.kr/web/ar/lu/luLandDet.jsp?pnu=3611034045200170012&amp;isNoScr=script&amp;mode=search", "토지이음")</f>
        <v/>
      </c>
      <c r="L562" s="3" t="inlineStr">
        <is>
          <t>-</t>
        </is>
      </c>
      <c r="M562" s="3" t="n">
        <v>1</v>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3" t="inlineStr">
        <is>
          <t>급매,임야,평당 50만원대</t>
        </is>
      </c>
      <c r="I563" s="5">
        <f>HYPERLINK("https://fin.land.naver.com/articles/2648702731", "매물Link")</f>
        <v/>
      </c>
      <c r="J563" s="5">
        <f>HYPERLINK("https://map.naver.com/p/search/금남면 원봉리 산10-21", "지도Link")</f>
        <v/>
      </c>
      <c r="K563" s="5">
        <f>HYPERLINK("http://www.eum.go.kr/web/ar/lu/luLandDet.jsp?pnu=3611034045200100021&amp;isNoScr=script&amp;mode=search", "토지이음")</f>
        <v/>
      </c>
      <c r="L563" s="3" t="inlineStr">
        <is>
          <t>다산</t>
        </is>
      </c>
      <c r="M563" s="3" t="n">
        <v>2</v>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3" t="inlineStr">
        <is>
          <t>급매 원봉리 2차선에 접한 밭으로 이용중인 임야로서, 분할매매도 가능</t>
        </is>
      </c>
      <c r="I564" s="5">
        <f>HYPERLINK("https://fin.land.naver.com/articles/2648689012", "매물Link")</f>
        <v/>
      </c>
      <c r="J564" s="5">
        <f>HYPERLINK("https://map.naver.com/p/search/금남면 원봉리 산44-3", "지도Link")</f>
        <v/>
      </c>
      <c r="K564" s="5">
        <f>HYPERLINK("http://www.eum.go.kr/web/ar/lu/luLandDet.jsp?pnu=3611034045200440003&amp;isNoScr=script&amp;mode=search", "토지이음")</f>
        <v/>
      </c>
      <c r="L564" s="3" t="inlineStr">
        <is>
          <t>스마일세종</t>
        </is>
      </c>
      <c r="M564" s="3" t="n">
        <v>2</v>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3" t="inlineStr">
        <is>
          <t>전원주택 인접토지</t>
        </is>
      </c>
      <c r="I565" s="5">
        <f>HYPERLINK("https://fin.land.naver.com/articles/2645629823", "매물Link")</f>
        <v/>
      </c>
      <c r="J565" s="5">
        <f>HYPERLINK("https://map.naver.com/p/search/금남면 원봉리 산45-7", "지도Link")</f>
        <v/>
      </c>
      <c r="K565" s="5">
        <f>HYPERLINK("http://www.eum.go.kr/web/ar/lu/luLandDet.jsp?pnu=3611034045200450007&amp;isNoScr=script&amp;mode=search", "토지이음")</f>
        <v/>
      </c>
      <c r="L565" s="3" t="inlineStr">
        <is>
          <t>중촌역푸르지오</t>
        </is>
      </c>
      <c r="M565" s="3" t="n">
        <v>1</v>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3" t="inlineStr">
        <is>
          <t>추천. 소담동 인근 절대농지</t>
        </is>
      </c>
      <c r="I566" s="5">
        <f>HYPERLINK("https://fin.land.naver.com/articles/2645464726", "매물Link")</f>
        <v/>
      </c>
      <c r="J566" s="5">
        <f>HYPERLINK("https://map.naver.com/p/search/금남면 장재리 185-4", "지도Link")</f>
        <v/>
      </c>
      <c r="K566" s="5">
        <f>HYPERLINK("http://www.eum.go.kr/web/ar/lu/luLandDet.jsp?pnu=3611034036101850004&amp;isNoScr=script&amp;mode=search", "토지이음")</f>
        <v/>
      </c>
      <c r="L566" s="3" t="inlineStr">
        <is>
          <t>강아지풀</t>
        </is>
      </c>
      <c r="M566" s="3" t="n">
        <v>1</v>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3" t="inlineStr">
        <is>
          <t>세종시 3생활권 인접한 자연녹지 토지, 시세대비 저렴, 도로접</t>
        </is>
      </c>
      <c r="I567" s="5">
        <f>HYPERLINK("https://fin.land.naver.com/articles/2647624084", "매물Link")</f>
        <v/>
      </c>
      <c r="J567" s="5">
        <f>HYPERLINK("https://map.naver.com/p/search/금남면 장재리 280", "지도Link")</f>
        <v/>
      </c>
      <c r="K567" s="5">
        <f>HYPERLINK("http://www.eum.go.kr/web/ar/lu/luLandDet.jsp?pnu=3611034036102800000&amp;isNoScr=script&amp;mode=search", "토지이음")</f>
        <v/>
      </c>
      <c r="L567" s="3" t="inlineStr">
        <is>
          <t>스카이</t>
        </is>
      </c>
      <c r="M567" s="3" t="n">
        <v>1</v>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3" t="inlineStr">
        <is>
          <t>세종시 금남면 장재리 국제과학비즈니스벨트 인근 개발제한구역 농지</t>
        </is>
      </c>
      <c r="I568" s="5">
        <f>HYPERLINK("https://fin.land.naver.com/articles/2650048798", "매물Link")</f>
        <v/>
      </c>
      <c r="J568" s="5">
        <f>HYPERLINK("https://map.naver.com/p/search/금남면 장재리 288", "지도Link")</f>
        <v/>
      </c>
      <c r="K568" s="5">
        <f>HYPERLINK("http://www.eum.go.kr/web/ar/lu/luLandDet.jsp?pnu=3611034036102880000&amp;isNoScr=script&amp;mode=search", "토지이음")</f>
        <v/>
      </c>
      <c r="L568" s="3" t="inlineStr">
        <is>
          <t>하이엔드</t>
        </is>
      </c>
      <c r="M568" s="3" t="n">
        <v>2</v>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3" t="inlineStr">
        <is>
          <t>추천,세종 신도시 위치한 귀한 토지,투자가치 높음. 관정설치,조율가능</t>
        </is>
      </c>
      <c r="I569" s="5">
        <f>HYPERLINK("https://fin.land.naver.com/articles/2649677040", "매물Link")</f>
        <v/>
      </c>
      <c r="J569" s="5">
        <f>HYPERLINK("https://map.naver.com/p/search/금남면 장재리 305", "지도Link")</f>
        <v/>
      </c>
      <c r="K569" s="5">
        <f>HYPERLINK("http://www.eum.go.kr/web/ar/lu/luLandDet.jsp?pnu=3611034036103050000&amp;isNoScr=script&amp;mode=search", "토지이음")</f>
        <v/>
      </c>
      <c r="L569" s="3" t="inlineStr">
        <is>
          <t>생생</t>
        </is>
      </c>
      <c r="M569" s="3" t="n">
        <v>2</v>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3" t="inlineStr">
        <is>
          <t>세종시 국제과학비즈니스벨트 예정지 인근 자연취락지구 주말농장용 소형 토지</t>
        </is>
      </c>
      <c r="I570" s="5">
        <f>HYPERLINK("https://fin.land.naver.com/articles/2645656403", "매물Link")</f>
        <v/>
      </c>
      <c r="J570" s="5">
        <f>HYPERLINK("https://map.naver.com/p/search/금남면 장재리 343", "지도Link")</f>
        <v/>
      </c>
      <c r="K570" s="5">
        <f>HYPERLINK("http://www.eum.go.kr/web/ar/lu/luLandDet.jsp?pnu=3611034036103430000&amp;isNoScr=script&amp;mode=search", "토지이음")</f>
        <v/>
      </c>
      <c r="L570" s="3" t="inlineStr">
        <is>
          <t>하이엔드</t>
        </is>
      </c>
      <c r="M570" s="3" t="n">
        <v>1</v>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3" t="inlineStr">
        <is>
          <t>도시지역, 위치좋은 토지  강추매매, 현2종근생 일반음식점등 운영중</t>
        </is>
      </c>
      <c r="I571" s="5">
        <f>HYPERLINK("https://fin.land.naver.com/articles/2646232204", "매물Link")</f>
        <v/>
      </c>
      <c r="J571" s="5">
        <f>HYPERLINK("https://map.naver.com/p/search/금남면 장재리 350-2", "지도Link")</f>
        <v/>
      </c>
      <c r="K571" s="5">
        <f>HYPERLINK("http://www.eum.go.kr/web/ar/lu/luLandDet.jsp?pnu=3611034036103500002&amp;isNoScr=script&amp;mode=search", "토지이음")</f>
        <v/>
      </c>
      <c r="L571" s="3" t="inlineStr">
        <is>
          <t>Home</t>
        </is>
      </c>
      <c r="M571" s="3" t="n">
        <v>1</v>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3" t="inlineStr">
        <is>
          <t>nan</t>
        </is>
      </c>
      <c r="I572" s="5">
        <f>HYPERLINK("https://fin.land.naver.com/articles/2650047457", "매물Link")</f>
        <v/>
      </c>
      <c r="J572" s="5">
        <f>HYPERLINK("https://map.naver.com/p/search/금남면 장재리 354", "지도Link")</f>
        <v/>
      </c>
      <c r="K572" s="5">
        <f>HYPERLINK("http://www.eum.go.kr/web/ar/lu/luLandDet.jsp?pnu=3611034036103540000&amp;isNoScr=script&amp;mode=search", "토지이음")</f>
        <v/>
      </c>
      <c r="L572" s="3" t="inlineStr">
        <is>
          <t>하이엔드</t>
        </is>
      </c>
      <c r="M572" s="3" t="n">
        <v>2</v>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3" t="inlineStr">
        <is>
          <t>급. 금남면 건축가능 토지</t>
        </is>
      </c>
      <c r="I573" s="5">
        <f>HYPERLINK("https://fin.land.naver.com/articles/2645465673", "매물Link")</f>
        <v/>
      </c>
      <c r="J573" s="5">
        <f>HYPERLINK("https://map.naver.com/p/search/금남면 장재리 373", "지도Link")</f>
        <v/>
      </c>
      <c r="K573" s="5">
        <f>HYPERLINK("http://www.eum.go.kr/web/ar/lu/luLandDet.jsp?pnu=3611034036103730000&amp;isNoScr=script&amp;mode=search", "토지이음")</f>
        <v/>
      </c>
      <c r="L573" s="3" t="inlineStr">
        <is>
          <t>강아지풀</t>
        </is>
      </c>
      <c r="M573" s="3" t="n">
        <v>1</v>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3" t="inlineStr">
        <is>
          <t>nan</t>
        </is>
      </c>
      <c r="I574" s="5">
        <f>HYPERLINK("https://fin.land.naver.com/articles/2645360924", "매물Link")</f>
        <v/>
      </c>
      <c r="J574" s="5">
        <f>HYPERLINK("https://map.naver.com/p/search/금남면 장재리 373", "지도Link")</f>
        <v/>
      </c>
      <c r="K574" s="5">
        <f>HYPERLINK("http://www.eum.go.kr/web/ar/lu/luLandDet.jsp?pnu=3611034036103730000&amp;isNoScr=script&amp;mode=search", "토지이음")</f>
        <v/>
      </c>
      <c r="L574" s="3" t="inlineStr">
        <is>
          <t>세종땅전문</t>
        </is>
      </c>
      <c r="M574" s="3" t="n">
        <v>1</v>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3" t="inlineStr">
        <is>
          <t>가격조정가.도로접.세종명성교회뒷편.개발제한구역.자연녹지,장기투자용도</t>
        </is>
      </c>
      <c r="I575" s="5">
        <f>HYPERLINK("https://fin.land.naver.com/articles/2647229563", "매물Link")</f>
        <v/>
      </c>
      <c r="J575" s="5">
        <f>HYPERLINK("https://map.naver.com/p/search/금남면 장재리 95-2", "지도Link")</f>
        <v/>
      </c>
      <c r="K575" s="5">
        <f>HYPERLINK("http://www.eum.go.kr/web/ar/lu/luLandDet.jsp?pnu=3611034036100950002&amp;isNoScr=script&amp;mode=search", "토지이음")</f>
        <v/>
      </c>
      <c r="L575" s="3" t="inlineStr">
        <is>
          <t>돈방석</t>
        </is>
      </c>
      <c r="M575" s="3" t="n">
        <v>1</v>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3" t="inlineStr">
        <is>
          <t>포장도로 접한 모양 좋은 토지. 하우스 컨테이너 등 시설 포함</t>
        </is>
      </c>
      <c r="I576" s="5">
        <f>HYPERLINK("https://fin.land.naver.com/articles/2649784579", "매물Link")</f>
        <v/>
      </c>
      <c r="J576" s="5">
        <f>HYPERLINK("https://map.naver.com/p/search/금남면 축산리 127-2", "지도Link")</f>
        <v/>
      </c>
      <c r="K576" s="5">
        <f>HYPERLINK("http://www.eum.go.kr/web/ar/lu/luLandDet.jsp?pnu=3611034026101270002&amp;isNoScr=script&amp;mode=search", "토지이음")</f>
        <v/>
      </c>
      <c r="L576" s="3" t="inlineStr">
        <is>
          <t>허브</t>
        </is>
      </c>
      <c r="M576" s="3" t="n">
        <v>1</v>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3" t="inlineStr">
        <is>
          <t>대지이며 전도 있고 전통찻집및 토속음식점으로 적격함.</t>
        </is>
      </c>
      <c r="I577" s="5">
        <f>HYPERLINK("https://fin.land.naver.com/articles/2648554761", "매물Link")</f>
        <v/>
      </c>
      <c r="J577" s="5">
        <f>HYPERLINK("https://map.naver.com/p/search/금남면 축산리 186", "지도Link")</f>
        <v/>
      </c>
      <c r="K577" s="5">
        <f>HYPERLINK("http://www.eum.go.kr/web/ar/lu/luLandDet.jsp?pnu=3611034026101860000&amp;isNoScr=script&amp;mode=search", "토지이음")</f>
        <v/>
      </c>
      <c r="L577" s="3" t="inlineStr">
        <is>
          <t>세종리츠</t>
        </is>
      </c>
      <c r="M577" s="3" t="n">
        <v>1</v>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3" t="inlineStr">
        <is>
          <t>녹지지역 내 취락지구 입니다. 세종시 완전 저렴한 대지입니다.급매</t>
        </is>
      </c>
      <c r="I578" s="5">
        <f>HYPERLINK("https://fin.land.naver.com/articles/2647838344", "매물Link")</f>
        <v/>
      </c>
      <c r="J578" s="5">
        <f>HYPERLINK("https://map.naver.com/p/search/금남면 축산리 188", "지도Link")</f>
        <v/>
      </c>
      <c r="K578" s="5">
        <f>HYPERLINK("http://www.eum.go.kr/web/ar/lu/luLandDet.jsp?pnu=3611034026101880000&amp;isNoScr=script&amp;mode=search", "토지이음")</f>
        <v/>
      </c>
      <c r="L578" s="3" t="inlineStr">
        <is>
          <t>대박</t>
        </is>
      </c>
      <c r="M578" s="3" t="n">
        <v>1</v>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3" t="inlineStr">
        <is>
          <t>세종도심 가까운 시원한 전망 토지</t>
        </is>
      </c>
      <c r="I579" s="5">
        <f>HYPERLINK("https://fin.land.naver.com/articles/2644609345", "매물Link")</f>
        <v/>
      </c>
      <c r="J579" s="5">
        <f>HYPERLINK("https://map.naver.com/p/search/금남면 축산리 239", "지도Link")</f>
        <v/>
      </c>
      <c r="K579" s="5">
        <f>HYPERLINK("http://www.eum.go.kr/web/ar/lu/luLandDet.jsp?pnu=3611034026102390000&amp;isNoScr=script&amp;mode=search", "토지이음")</f>
        <v/>
      </c>
      <c r="L579" s="3" t="inlineStr">
        <is>
          <t>하늘채</t>
        </is>
      </c>
      <c r="M579" s="3" t="n">
        <v>1</v>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3" t="inlineStr">
        <is>
          <t>세종시 도심과 가까운 농막 농장용 토지</t>
        </is>
      </c>
      <c r="I580" s="5">
        <f>HYPERLINK("https://fin.land.naver.com/articles/2644609475", "매물Link")</f>
        <v/>
      </c>
      <c r="J580" s="5">
        <f>HYPERLINK("https://map.naver.com/p/search/금남면 축산리 487", "지도Link")</f>
        <v/>
      </c>
      <c r="K580" s="5">
        <f>HYPERLINK("http://www.eum.go.kr/web/ar/lu/luLandDet.jsp?pnu=3611034026104870000&amp;isNoScr=script&amp;mode=search", "토지이음")</f>
        <v/>
      </c>
      <c r="L580" s="3" t="inlineStr">
        <is>
          <t>하늘채</t>
        </is>
      </c>
      <c r="M580" s="3" t="n">
        <v>1</v>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3" t="inlineStr">
        <is>
          <t>세종,대전 접근성좋은 토지</t>
        </is>
      </c>
      <c r="I581" s="5">
        <f>HYPERLINK("https://fin.land.naver.com/articles/2647278728", "매물Link")</f>
        <v/>
      </c>
      <c r="J581" s="5">
        <f>HYPERLINK("https://map.naver.com/p/search/금남면 축산리 538-1", "지도Link")</f>
        <v/>
      </c>
      <c r="K581" s="5">
        <f>HYPERLINK("http://www.eum.go.kr/web/ar/lu/luLandDet.jsp?pnu=3611034026105380001&amp;isNoScr=script&amp;mode=search", "토지이음")</f>
        <v/>
      </c>
      <c r="L581" s="3" t="inlineStr">
        <is>
          <t>가치잇는</t>
        </is>
      </c>
      <c r="M581" s="3" t="n">
        <v>1</v>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3" t="inlineStr">
        <is>
          <t>카페 바베큐식당  토지 및 건물 매매 건</t>
        </is>
      </c>
      <c r="I582" s="5">
        <f>HYPERLINK("https://fin.land.naver.com/articles/2648669700", "매물Link")</f>
        <v/>
      </c>
      <c r="J582" s="5">
        <f>HYPERLINK("https://map.naver.com/p/search/금남면 축산리 566-9", "지도Link")</f>
        <v/>
      </c>
      <c r="K582" s="5">
        <f>HYPERLINK("http://www.eum.go.kr/web/ar/lu/luLandDet.jsp?pnu=3611034026105660009&amp;isNoScr=script&amp;mode=search", "토지이음")</f>
        <v/>
      </c>
      <c r="L582" s="3" t="inlineStr">
        <is>
          <t>봉담내리지구찐</t>
        </is>
      </c>
      <c r="M582" s="3" t="n">
        <v>1</v>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3" t="inlineStr">
        <is>
          <t>마을입구 마을회관 앞 광장에 접함, 전원주택 등 추천</t>
        </is>
      </c>
      <c r="I583" s="5">
        <f>HYPERLINK("https://fin.land.naver.com/articles/2644482167", "매물Link")</f>
        <v/>
      </c>
      <c r="J583" s="5">
        <f>HYPERLINK("https://map.naver.com/p/search/금남면 축산리 86-4", "지도Link")</f>
        <v/>
      </c>
      <c r="K583" s="5">
        <f>HYPERLINK("http://www.eum.go.kr/web/ar/lu/luLandDet.jsp?pnu=3611034026100860004&amp;isNoScr=script&amp;mode=search", "토지이음")</f>
        <v/>
      </c>
      <c r="L583" s="3" t="inlineStr">
        <is>
          <t>세종나라</t>
        </is>
      </c>
      <c r="M583" s="3" t="n">
        <v>1</v>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3" t="inlineStr">
        <is>
          <t>세종의 숨은 노른자 호탄리 건축 가능 대지</t>
        </is>
      </c>
      <c r="I584" s="5">
        <f>HYPERLINK("https://fin.land.naver.com/articles/2646718259", "매물Link")</f>
        <v/>
      </c>
      <c r="J584" s="5">
        <f>HYPERLINK("https://map.naver.com/p/search/금남면 호탄리 122", "지도Link")</f>
        <v/>
      </c>
      <c r="K584" s="5">
        <f>HYPERLINK("http://www.eum.go.kr/web/ar/lu/luLandDet.jsp?pnu=3611034037101220000&amp;isNoScr=script&amp;mode=search", "토지이음")</f>
        <v/>
      </c>
      <c r="L584" s="3" t="inlineStr">
        <is>
          <t>삼복</t>
        </is>
      </c>
      <c r="M584" s="3" t="n">
        <v>1</v>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3" t="inlineStr">
        <is>
          <t>금남면 호탄리 도로 옆 바로 접해있는 1종일반주거 토지, 3생활권 인근</t>
        </is>
      </c>
      <c r="I585" s="5">
        <f>HYPERLINK("https://fin.land.naver.com/articles/2647628728", "매물Link")</f>
        <v/>
      </c>
      <c r="J585" s="5">
        <f>HYPERLINK("https://map.naver.com/p/search/금남면 호탄리 135", "지도Link")</f>
        <v/>
      </c>
      <c r="K585" s="5">
        <f>HYPERLINK("http://www.eum.go.kr/web/ar/lu/luLandDet.jsp?pnu=3611034037101350000&amp;isNoScr=script&amp;mode=search", "토지이음")</f>
        <v/>
      </c>
      <c r="L585" s="3" t="inlineStr">
        <is>
          <t>스카이</t>
        </is>
      </c>
      <c r="M585" s="3" t="n">
        <v>2</v>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3" t="inlineStr">
        <is>
          <t>추천. 호탄리 좋은 땅</t>
        </is>
      </c>
      <c r="I586" s="5">
        <f>HYPERLINK("https://fin.land.naver.com/articles/2645464813", "매물Link")</f>
        <v/>
      </c>
      <c r="J586" s="5">
        <f>HYPERLINK("https://map.naver.com/p/search/금남면 호탄리 152-7", "지도Link")</f>
        <v/>
      </c>
      <c r="K586" s="5">
        <f>HYPERLINK("http://www.eum.go.kr/web/ar/lu/luLandDet.jsp?pnu=3611034037101520007&amp;isNoScr=script&amp;mode=search", "토지이음")</f>
        <v/>
      </c>
      <c r="L586" s="3" t="inlineStr">
        <is>
          <t>강아지풀</t>
        </is>
      </c>
      <c r="M586" s="3" t="n">
        <v>3</v>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3" t="inlineStr">
        <is>
          <t>세종 남부권 접근 좋은 도로접 주거지역 소형토지</t>
        </is>
      </c>
      <c r="I587" s="5">
        <f>HYPERLINK("https://fin.land.naver.com/articles/2648408766", "매물Link")</f>
        <v/>
      </c>
      <c r="J587" s="5">
        <f>HYPERLINK("https://map.naver.com/p/search/금남면 호탄리 152-8", "지도Link")</f>
        <v/>
      </c>
      <c r="K587" s="5">
        <f>HYPERLINK("http://www.eum.go.kr/web/ar/lu/luLandDet.jsp?pnu=3611034037101520008&amp;isNoScr=script&amp;mode=search", "토지이음")</f>
        <v/>
      </c>
      <c r="L587" s="3" t="inlineStr">
        <is>
          <t>세종소담황금</t>
        </is>
      </c>
      <c r="M587" s="3" t="n">
        <v>1</v>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3" t="inlineStr">
        <is>
          <t>세종시 인근 상권이 형성되기 시작하는 곳에 위치</t>
        </is>
      </c>
      <c r="I588" s="5">
        <f>HYPERLINK("https://fin.land.naver.com/articles/2646204899", "매물Link")</f>
        <v/>
      </c>
      <c r="J588" s="5">
        <f>HYPERLINK("https://map.naver.com/p/search/금남면 호탄리 170", "지도Link")</f>
        <v/>
      </c>
      <c r="K588" s="5">
        <f>HYPERLINK("http://www.eum.go.kr/web/ar/lu/luLandDet.jsp?pnu=3611034037101700000&amp;isNoScr=script&amp;mode=search", "토지이음")</f>
        <v/>
      </c>
      <c r="L588" s="3" t="inlineStr">
        <is>
          <t>해들일번지</t>
        </is>
      </c>
      <c r="M588" s="3" t="n">
        <v>1</v>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3" t="inlineStr">
        <is>
          <t>금남면 호탄리 농지 매매</t>
        </is>
      </c>
      <c r="I589" s="5">
        <f>HYPERLINK("https://fin.land.naver.com/articles/2648407990", "매물Link")</f>
        <v/>
      </c>
      <c r="J589" s="5">
        <f>HYPERLINK("https://map.naver.com/p/search/금남면 호탄리 208", "지도Link")</f>
        <v/>
      </c>
      <c r="K589" s="5">
        <f>HYPERLINK("http://www.eum.go.kr/web/ar/lu/luLandDet.jsp?pnu=3611034037102080000&amp;isNoScr=script&amp;mode=search", "토지이음")</f>
        <v/>
      </c>
      <c r="L589" s="3" t="inlineStr">
        <is>
          <t>비전</t>
        </is>
      </c>
      <c r="M589" s="3" t="n">
        <v>1</v>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3" t="inlineStr">
        <is>
          <t>세종 도심과 가까운 위치</t>
        </is>
      </c>
      <c r="I590" s="5">
        <f>HYPERLINK("https://fin.land.naver.com/articles/2646476521", "매물Link")</f>
        <v/>
      </c>
      <c r="J590" s="5">
        <f>HYPERLINK("https://map.naver.com/p/search/금남면 호탄리 217", "지도Link")</f>
        <v/>
      </c>
      <c r="K590" s="5">
        <f>HYPERLINK("http://www.eum.go.kr/web/ar/lu/luLandDet.jsp?pnu=3611034037102170000&amp;isNoScr=script&amp;mode=search", "토지이음")</f>
        <v/>
      </c>
      <c r="L590" s="3" t="inlineStr">
        <is>
          <t>세종대평</t>
        </is>
      </c>
      <c r="M590" s="3" t="n">
        <v>1</v>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3" t="inlineStr">
        <is>
          <t>호탄리 마을 인근에 시멘트 포장도로 잘 접함</t>
        </is>
      </c>
      <c r="I591" s="5">
        <f>HYPERLINK("https://fin.land.naver.com/articles/2649643275", "매물Link")</f>
        <v/>
      </c>
      <c r="J591" s="5">
        <f>HYPERLINK("https://map.naver.com/p/search/금남면 호탄리 217", "지도Link")</f>
        <v/>
      </c>
      <c r="K591" s="5">
        <f>HYPERLINK("http://www.eum.go.kr/web/ar/lu/luLandDet.jsp?pnu=3611034037102170000&amp;isNoScr=script&amp;mode=search", "토지이음")</f>
        <v/>
      </c>
      <c r="L591" s="3" t="inlineStr">
        <is>
          <t>신안</t>
        </is>
      </c>
      <c r="M591" s="3" t="n">
        <v>1</v>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3" t="inlineStr">
        <is>
          <t>세종시 3생활권과 근접거리에 있어 향후 지가상승이 기대되는 급매입니다</t>
        </is>
      </c>
      <c r="I592" s="5">
        <f>HYPERLINK("https://fin.land.naver.com/articles/2646320075", "매물Link")</f>
        <v/>
      </c>
      <c r="J592" s="5">
        <f>HYPERLINK("https://map.naver.com/p/search/금남면 호탄리 229-2", "지도Link")</f>
        <v/>
      </c>
      <c r="K592" s="5">
        <f>HYPERLINK("http://www.eum.go.kr/web/ar/lu/luLandDet.jsp?pnu=3611034037102290002&amp;isNoScr=script&amp;mode=search", "토지이음")</f>
        <v/>
      </c>
      <c r="L592" s="3" t="inlineStr">
        <is>
          <t>스마일세종</t>
        </is>
      </c>
      <c r="M592" s="3" t="n">
        <v>1</v>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3" t="inlineStr">
        <is>
          <t>보람동 도보 10분이내 접근 가능한 농지. 투자 유망. 그린벨트.</t>
        </is>
      </c>
      <c r="I593" s="5">
        <f>HYPERLINK("https://fin.land.naver.com/articles/2644426814", "매물Link")</f>
        <v/>
      </c>
      <c r="J593" s="5">
        <f>HYPERLINK("https://map.naver.com/p/search/금남면 호탄리 87", "지도Link")</f>
        <v/>
      </c>
      <c r="K593" s="5">
        <f>HYPERLINK("http://www.eum.go.kr/web/ar/lu/luLandDet.jsp?pnu=3611034037100870000&amp;isNoScr=script&amp;mode=search", "토지이음")</f>
        <v/>
      </c>
      <c r="L593" s="3" t="inlineStr">
        <is>
          <t>세종소담114</t>
        </is>
      </c>
      <c r="M593" s="3" t="n">
        <v>1</v>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3" t="inlineStr">
        <is>
          <t>호탄리 제1종일반주거지역의 대지와 전 주변시세보다 저렴하게 급매합니다.</t>
        </is>
      </c>
      <c r="I594" s="5">
        <f>HYPERLINK("https://fin.land.naver.com/articles/2645651590", "매물Link")</f>
        <v/>
      </c>
      <c r="J594" s="5">
        <f>HYPERLINK("https://map.naver.com/p/search/금남면 호탄리 91-2", "지도Link")</f>
        <v/>
      </c>
      <c r="K594" s="5">
        <f>HYPERLINK("http://www.eum.go.kr/web/ar/lu/luLandDet.jsp?pnu=3611034037100910002&amp;isNoScr=script&amp;mode=search", "토지이음")</f>
        <v/>
      </c>
      <c r="L594" s="3" t="inlineStr">
        <is>
          <t>스마일세종</t>
        </is>
      </c>
      <c r="M594" s="3" t="n">
        <v>1</v>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3" t="inlineStr">
        <is>
          <t>급매,협의절충,자연녹지,금남농협 벼 건조장 맞은편, 입지,주위인프라 굿</t>
        </is>
      </c>
      <c r="I595" s="5">
        <f>HYPERLINK("https://fin.land.naver.com/articles/2649122204", "매물Link")</f>
        <v/>
      </c>
      <c r="J595" s="5">
        <f>HYPERLINK("https://map.naver.com/p/search/금남면 황용리 11", "지도Link")</f>
        <v/>
      </c>
      <c r="K595" s="5">
        <f>HYPERLINK("http://www.eum.go.kr/web/ar/lu/luLandDet.jsp?pnu=3611034030100110000&amp;isNoScr=script&amp;mode=search", "토지이음")</f>
        <v/>
      </c>
      <c r="L595" s="3" t="inlineStr">
        <is>
          <t>세종한울</t>
        </is>
      </c>
      <c r="M595" s="3" t="n">
        <v>1</v>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3" t="inlineStr">
        <is>
          <t>급매 세종 대전 접근성좋은 황용리 도로접한 답2필지</t>
        </is>
      </c>
      <c r="I596" s="5">
        <f>HYPERLINK("https://fin.land.naver.com/articles/2649169338", "매물Link")</f>
        <v/>
      </c>
      <c r="J596" s="5">
        <f>HYPERLINK("https://map.naver.com/p/search/금남면 황용리 110-1", "지도Link")</f>
        <v/>
      </c>
      <c r="K596" s="5">
        <f>HYPERLINK("http://www.eum.go.kr/web/ar/lu/luLandDet.jsp?pnu=3611034030101100001&amp;isNoScr=script&amp;mode=search", "토지이음")</f>
        <v/>
      </c>
      <c r="L596" s="3" t="inlineStr">
        <is>
          <t>새롬삼둥이</t>
        </is>
      </c>
      <c r="M596" s="3" t="n">
        <v>1</v>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3" t="inlineStr">
        <is>
          <t>nan</t>
        </is>
      </c>
      <c r="I597" s="5">
        <f>HYPERLINK("https://fin.land.naver.com/articles/2647531146", "매물Link")</f>
        <v/>
      </c>
      <c r="J597" s="5">
        <f>HYPERLINK("https://map.naver.com/p/search/금남면 황용리 115-2", "지도Link")</f>
        <v/>
      </c>
      <c r="K597" s="5">
        <f>HYPERLINK("http://www.eum.go.kr/web/ar/lu/luLandDet.jsp?pnu=3611034030101150002&amp;isNoScr=script&amp;mode=search", "토지이음")</f>
        <v/>
      </c>
      <c r="L597" s="3" t="inlineStr">
        <is>
          <t>다온</t>
        </is>
      </c>
      <c r="M597" s="3" t="n">
        <v>1</v>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3" t="inlineStr">
        <is>
          <t>nan</t>
        </is>
      </c>
      <c r="I598" s="5">
        <f>HYPERLINK("https://fin.land.naver.com/articles/2647158251", "매물Link")</f>
        <v/>
      </c>
      <c r="J598" s="5">
        <f>HYPERLINK("https://map.naver.com/p/search/금남면 황용리 120-2", "지도Link")</f>
        <v/>
      </c>
      <c r="K598" s="5">
        <f>HYPERLINK("http://www.eum.go.kr/web/ar/lu/luLandDet.jsp?pnu=3611034030101200002&amp;isNoScr=script&amp;mode=search", "토지이음")</f>
        <v/>
      </c>
      <c r="L598" s="3" t="inlineStr">
        <is>
          <t>다온</t>
        </is>
      </c>
      <c r="M598" s="3" t="n">
        <v>2</v>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3" t="inlineStr">
        <is>
          <t>세종시 4생활권 인근 토지 매매</t>
        </is>
      </c>
      <c r="I599" s="5">
        <f>HYPERLINK("https://fin.land.naver.com/articles/2645317264", "매물Link")</f>
        <v/>
      </c>
      <c r="J599" s="5">
        <f>HYPERLINK("https://map.naver.com/p/search/금남면 황용리 166", "지도Link")</f>
        <v/>
      </c>
      <c r="K599" s="5">
        <f>HYPERLINK("http://www.eum.go.kr/web/ar/lu/luLandDet.jsp?pnu=3611034030101660000&amp;isNoScr=script&amp;mode=search", "토지이음")</f>
        <v/>
      </c>
      <c r="L599" s="3" t="inlineStr">
        <is>
          <t>유성대박</t>
        </is>
      </c>
      <c r="M599" s="3" t="n">
        <v>1</v>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3" t="inlineStr">
        <is>
          <t>도시근접 도로접한 토지 자연녹지지역 도시지역</t>
        </is>
      </c>
      <c r="I600" s="5">
        <f>HYPERLINK("https://fin.land.naver.com/articles/2646141180", "매물Link")</f>
        <v/>
      </c>
      <c r="J600" s="5">
        <f>HYPERLINK("https://map.naver.com/p/search/금남면 황용리 172", "지도Link")</f>
        <v/>
      </c>
      <c r="K600" s="5">
        <f>HYPERLINK("http://www.eum.go.kr/web/ar/lu/luLandDet.jsp?pnu=3611034030101720000&amp;isNoScr=script&amp;mode=search", "토지이음")</f>
        <v/>
      </c>
      <c r="L600" s="3" t="inlineStr">
        <is>
          <t>새롬삼둥이</t>
        </is>
      </c>
      <c r="M600" s="3" t="n">
        <v>1</v>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3" t="inlineStr">
        <is>
          <t>장기보유 가치 있는 자연녹지 토지</t>
        </is>
      </c>
      <c r="I601" s="5">
        <f>HYPERLINK("https://fin.land.naver.com/articles/2649738658", "매물Link")</f>
        <v/>
      </c>
      <c r="J601" s="5">
        <f>HYPERLINK("https://map.naver.com/p/search/금남면 황용리 185", "지도Link")</f>
        <v/>
      </c>
      <c r="K601" s="5">
        <f>HYPERLINK("http://www.eum.go.kr/web/ar/lu/luLandDet.jsp?pnu=3611034030101850000&amp;isNoScr=script&amp;mode=search", "토지이음")</f>
        <v/>
      </c>
      <c r="L601" s="3" t="inlineStr">
        <is>
          <t>세종몽땅</t>
        </is>
      </c>
      <c r="M601" s="3" t="n">
        <v>1</v>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3" t="inlineStr">
        <is>
          <t>세종 인접 농지,답 여섯개필지</t>
        </is>
      </c>
      <c r="I602" s="5">
        <f>HYPERLINK("https://fin.land.naver.com/articles/2648735877", "매물Link")</f>
        <v/>
      </c>
      <c r="J602" s="5">
        <f>HYPERLINK("https://map.naver.com/p/search/금남면 황용리 204", "지도Link")</f>
        <v/>
      </c>
      <c r="K602" s="5">
        <f>HYPERLINK("http://www.eum.go.kr/web/ar/lu/luLandDet.jsp?pnu=3611034030102040000&amp;isNoScr=script&amp;mode=search", "토지이음")</f>
        <v/>
      </c>
      <c r="L602" s="3" t="inlineStr">
        <is>
          <t>다산</t>
        </is>
      </c>
      <c r="M602" s="3" t="n">
        <v>1</v>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3" t="inlineStr">
        <is>
          <t>마을인근밭.6미터도로접.신도시지근거리지역.장기적투자관점.토지거래허가구역</t>
        </is>
      </c>
      <c r="I603" s="5">
        <f>HYPERLINK("https://fin.land.naver.com/articles/2649220963", "매물Link")</f>
        <v/>
      </c>
      <c r="J603" s="5">
        <f>HYPERLINK("https://map.naver.com/p/search/금남면 황용리 251-1", "지도Link")</f>
        <v/>
      </c>
      <c r="K603" s="5">
        <f>HYPERLINK("http://www.eum.go.kr/web/ar/lu/luLandDet.jsp?pnu=3611034030102510001&amp;isNoScr=script&amp;mode=search", "토지이음")</f>
        <v/>
      </c>
      <c r="L603" s="3" t="inlineStr">
        <is>
          <t>돈방석</t>
        </is>
      </c>
      <c r="M603" s="3" t="n">
        <v>3</v>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3" t="inlineStr">
        <is>
          <t>도시지역,자연녹지,버섯하우스포함일괄매매</t>
        </is>
      </c>
      <c r="I604" s="5">
        <f>HYPERLINK("https://fin.land.naver.com/articles/2649526886", "매물Link")</f>
        <v/>
      </c>
      <c r="J604" s="5">
        <f>HYPERLINK("https://map.naver.com/p/search/금남면 황용리 251-1", "지도Link")</f>
        <v/>
      </c>
      <c r="K604" s="5">
        <f>HYPERLINK("http://www.eum.go.kr/web/ar/lu/luLandDet.jsp?pnu=3611034030102510001&amp;isNoScr=script&amp;mode=search", "토지이음")</f>
        <v/>
      </c>
      <c r="L604" s="3" t="inlineStr">
        <is>
          <t>힐스테이트행복</t>
        </is>
      </c>
      <c r="M604" s="3" t="n">
        <v>1</v>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3" t="inlineStr">
        <is>
          <t>급매 자연녹지지역 마을인접토지</t>
        </is>
      </c>
      <c r="I605" s="5">
        <f>HYPERLINK("https://fin.land.naver.com/articles/2645720219", "매물Link")</f>
        <v/>
      </c>
      <c r="J605" s="5">
        <f>HYPERLINK("https://map.naver.com/p/search/금남면 황용리 252-1", "지도Link")</f>
        <v/>
      </c>
      <c r="K605" s="5">
        <f>HYPERLINK("http://www.eum.go.kr/web/ar/lu/luLandDet.jsp?pnu=3611034030102520001&amp;isNoScr=script&amp;mode=search", "토지이음")</f>
        <v/>
      </c>
      <c r="L605" s="3" t="inlineStr">
        <is>
          <t>레몬</t>
        </is>
      </c>
      <c r="M605" s="3" t="n">
        <v>1</v>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3" t="inlineStr">
        <is>
          <t>nan</t>
        </is>
      </c>
      <c r="I606" s="5">
        <f>HYPERLINK("https://fin.land.naver.com/articles/2648769318", "매물Link")</f>
        <v/>
      </c>
      <c r="J606" s="5">
        <f>HYPERLINK("https://map.naver.com/p/search/금남면 황용리 253-2", "지도Link")</f>
        <v/>
      </c>
      <c r="K606" s="5">
        <f>HYPERLINK("http://www.eum.go.kr/web/ar/lu/luLandDet.jsp?pnu=3611034030102530002&amp;isNoScr=script&amp;mode=search", "토지이음")</f>
        <v/>
      </c>
      <c r="L606" s="3" t="inlineStr">
        <is>
          <t>이서방</t>
        </is>
      </c>
      <c r="M606" s="3" t="n">
        <v>1</v>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3" t="inlineStr">
        <is>
          <t>사진첨부 세종시 금남면 황용리 당미서복마을 전원주택지 매매</t>
        </is>
      </c>
      <c r="I607" s="5">
        <f>HYPERLINK("https://fin.land.naver.com/articles/2646492820", "매물Link")</f>
        <v/>
      </c>
      <c r="J607" s="5">
        <f>HYPERLINK("https://map.naver.com/p/search/금남면 황용리 254-4", "지도Link")</f>
        <v/>
      </c>
      <c r="K607" s="5">
        <f>HYPERLINK("http://www.eum.go.kr/web/ar/lu/luLandDet.jsp?pnu=3611034030102540004&amp;isNoScr=script&amp;mode=search", "토지이음")</f>
        <v/>
      </c>
      <c r="L607" s="3" t="inlineStr">
        <is>
          <t>셀리</t>
        </is>
      </c>
      <c r="M607" s="3" t="n">
        <v>1</v>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3" t="inlineStr">
        <is>
          <t>조율가능 분할가능 주말농장 농막 물탱크 잔디마당</t>
        </is>
      </c>
      <c r="I608" s="5">
        <f>HYPERLINK("https://fin.land.naver.com/articles/2648716256", "매물Link")</f>
        <v/>
      </c>
      <c r="J608" s="5">
        <f>HYPERLINK("https://map.naver.com/p/search/금남면 황용리 268", "지도Link")</f>
        <v/>
      </c>
      <c r="K608" s="5">
        <f>HYPERLINK("http://www.eum.go.kr/web/ar/lu/luLandDet.jsp?pnu=3611034030102680000&amp;isNoScr=script&amp;mode=search", "토지이음")</f>
        <v/>
      </c>
      <c r="L608" s="3" t="inlineStr">
        <is>
          <t>세종스타</t>
        </is>
      </c>
      <c r="M608" s="3" t="n">
        <v>1</v>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3" t="inlineStr">
        <is>
          <t>대지전환 후, 전원주택가</t>
        </is>
      </c>
      <c r="I609" s="5">
        <f>HYPERLINK("https://fin.land.naver.com/articles/2649561477", "매물Link")</f>
        <v/>
      </c>
      <c r="J609" s="5">
        <f>HYPERLINK("https://map.naver.com/p/search/금남면 황용리 284", "지도Link")</f>
        <v/>
      </c>
      <c r="K609" s="5">
        <f>HYPERLINK("http://www.eum.go.kr/web/ar/lu/luLandDet.jsp?pnu=3611034030102840000&amp;isNoScr=script&amp;mode=search", "토지이음")</f>
        <v/>
      </c>
      <c r="L609" s="3" t="inlineStr">
        <is>
          <t>원효</t>
        </is>
      </c>
      <c r="M609" s="3" t="n">
        <v>1</v>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3" t="inlineStr">
        <is>
          <t>현 지목은 답 되어있으며 도시접근성및 세종인근 지역으로 투지가치가도 있음</t>
        </is>
      </c>
      <c r="I610" s="5">
        <f>HYPERLINK("https://fin.land.naver.com/articles/2647576690", "매물Link")</f>
        <v/>
      </c>
      <c r="J610" s="5">
        <f>HYPERLINK("https://map.naver.com/p/search/금남면 황용리 338", "지도Link")</f>
        <v/>
      </c>
      <c r="K610" s="5">
        <f>HYPERLINK("http://www.eum.go.kr/web/ar/lu/luLandDet.jsp?pnu=3611034030103380000&amp;isNoScr=script&amp;mode=search", "토지이음")</f>
        <v/>
      </c>
      <c r="L610" s="3" t="inlineStr">
        <is>
          <t>은어송하늘채무소</t>
        </is>
      </c>
      <c r="M610" s="3" t="n">
        <v>1</v>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3" t="inlineStr">
        <is>
          <t>세종시청 약 10분, 구즉세종로 인접 및 차량진입 가능한 도시근교 농지</t>
        </is>
      </c>
      <c r="I611" s="5">
        <f>HYPERLINK("https://fin.land.naver.com/articles/2648832642", "매물Link")</f>
        <v/>
      </c>
      <c r="J611" s="5">
        <f>HYPERLINK("https://map.naver.com/p/search/금남면 황용리 364", "지도Link")</f>
        <v/>
      </c>
      <c r="K611" s="5">
        <f>HYPERLINK("http://www.eum.go.kr/web/ar/lu/luLandDet.jsp?pnu=3611034030103640000&amp;isNoScr=script&amp;mode=search", "토지이음")</f>
        <v/>
      </c>
      <c r="L611" s="3" t="inlineStr">
        <is>
          <t>세종소담황금</t>
        </is>
      </c>
      <c r="M611" s="3" t="n">
        <v>1</v>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3" t="inlineStr">
        <is>
          <t>주말농장,</t>
        </is>
      </c>
      <c r="I612" s="5">
        <f>HYPERLINK("https://fin.land.naver.com/articles/2644061622", "매물Link")</f>
        <v/>
      </c>
      <c r="J612" s="5">
        <f>HYPERLINK("https://map.naver.com/p/search/금남면 황용리 402-16", "지도Link")</f>
        <v/>
      </c>
      <c r="K612" s="5">
        <f>HYPERLINK("http://www.eum.go.kr/web/ar/lu/luLandDet.jsp?pnu=3611034030104020016&amp;isNoScr=script&amp;mode=search", "토지이음")</f>
        <v/>
      </c>
      <c r="L612" s="3" t="inlineStr">
        <is>
          <t>원효</t>
        </is>
      </c>
      <c r="M612" s="3" t="n">
        <v>1</v>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3" t="inlineStr">
        <is>
          <t>명성공인, 전용220, 금남면 황용리 답 추천 매물</t>
        </is>
      </c>
      <c r="I613" s="5">
        <f>HYPERLINK("https://fin.land.naver.com/articles/2648045218", "매물Link")</f>
        <v/>
      </c>
      <c r="J613" s="5">
        <f>HYPERLINK("https://map.naver.com/p/search/금남면 황용리 403-10", "지도Link")</f>
        <v/>
      </c>
      <c r="K613" s="5">
        <f>HYPERLINK("http://www.eum.go.kr/web/ar/lu/luLandDet.jsp?pnu=3611034030104030010&amp;isNoScr=script&amp;mode=search", "토지이음")</f>
        <v/>
      </c>
      <c r="L613" s="3" t="inlineStr">
        <is>
          <t>명성</t>
        </is>
      </c>
      <c r="M613" s="3" t="n">
        <v>1</v>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3" t="inlineStr">
        <is>
          <t>급매,</t>
        </is>
      </c>
      <c r="I614" s="5">
        <f>HYPERLINK("https://fin.land.naver.com/articles/2649207914", "매물Link")</f>
        <v/>
      </c>
      <c r="J614" s="5">
        <f>HYPERLINK("https://map.naver.com/p/search/금남면 황용리 404-13", "지도Link")</f>
        <v/>
      </c>
      <c r="K614" s="5">
        <f>HYPERLINK("http://www.eum.go.kr/web/ar/lu/luLandDet.jsp?pnu=3611034030104040013&amp;isNoScr=script&amp;mode=search", "토지이음")</f>
        <v/>
      </c>
      <c r="L614" s="3" t="inlineStr">
        <is>
          <t>원효</t>
        </is>
      </c>
      <c r="M614" s="3" t="n">
        <v>1</v>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3" t="inlineStr">
        <is>
          <t>답.자연녹지.행복도시인접지역.</t>
        </is>
      </c>
      <c r="I615" s="5">
        <f>HYPERLINK("https://fin.land.naver.com/articles/2648919540", "매물Link")</f>
        <v/>
      </c>
      <c r="J615" s="5">
        <f>HYPERLINK("https://map.naver.com/p/search/금남면 황용리 414-6", "지도Link")</f>
        <v/>
      </c>
      <c r="K615" s="5">
        <f>HYPERLINK("http://www.eum.go.kr/web/ar/lu/luLandDet.jsp?pnu=3611034030104140006&amp;isNoScr=script&amp;mode=search", "토지이음")</f>
        <v/>
      </c>
      <c r="L615" s="3" t="inlineStr">
        <is>
          <t>소담베스트</t>
        </is>
      </c>
      <c r="M615" s="3" t="n">
        <v>1</v>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3" t="inlineStr">
        <is>
          <t>nan</t>
        </is>
      </c>
      <c r="I616" s="5">
        <f>HYPERLINK("https://fin.land.naver.com/articles/2645371826", "매물Link")</f>
        <v/>
      </c>
      <c r="J616" s="5">
        <f>HYPERLINK("https://map.naver.com/p/search/금남면 황용리 414-9", "지도Link")</f>
        <v/>
      </c>
      <c r="K616" s="5">
        <f>HYPERLINK("http://www.eum.go.kr/web/ar/lu/luLandDet.jsp?pnu=3611034030104140009&amp;isNoScr=script&amp;mode=search", "토지이음")</f>
        <v/>
      </c>
      <c r="L616" s="3" t="inlineStr">
        <is>
          <t>현대엠코</t>
        </is>
      </c>
      <c r="M616" s="3" t="n">
        <v>1</v>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3" t="inlineStr">
        <is>
          <t>nan</t>
        </is>
      </c>
      <c r="I617" s="5">
        <f>HYPERLINK("https://fin.land.naver.com/articles/2646824034", "매물Link")</f>
        <v/>
      </c>
      <c r="J617" s="5">
        <f>HYPERLINK("https://map.naver.com/p/search/금남면 황용리 416-1", "지도Link")</f>
        <v/>
      </c>
      <c r="K617" s="5">
        <f>HYPERLINK("http://www.eum.go.kr/web/ar/lu/luLandDet.jsp?pnu=3611034030104160001&amp;isNoScr=script&amp;mode=search", "토지이음")</f>
        <v/>
      </c>
      <c r="L617" s="3" t="inlineStr">
        <is>
          <t>세종대평</t>
        </is>
      </c>
      <c r="M617" s="3" t="n">
        <v>1</v>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3" t="inlineStr">
        <is>
          <t>세종 신도심 가까운 평탄한 농지, 도로배수 양호한 장기보유형 토지</t>
        </is>
      </c>
      <c r="I618" s="5">
        <f>HYPERLINK("https://fin.land.naver.com/articles/2648833123", "매물Link")</f>
        <v/>
      </c>
      <c r="J618" s="5">
        <f>HYPERLINK("https://map.naver.com/p/search/금남면 황용리 418-18", "지도Link")</f>
        <v/>
      </c>
      <c r="K618" s="5">
        <f>HYPERLINK("http://www.eum.go.kr/web/ar/lu/luLandDet.jsp?pnu=3611034030104180018&amp;isNoScr=script&amp;mode=search", "토지이음")</f>
        <v/>
      </c>
      <c r="L618" s="3" t="inlineStr">
        <is>
          <t>세종소담황금</t>
        </is>
      </c>
      <c r="M618" s="3" t="n">
        <v>1</v>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3" t="inlineStr">
        <is>
          <t>OK  계획관리. 성장관리계획구역. 대로변 인접. 접근성 좋음</t>
        </is>
      </c>
      <c r="I619" s="5">
        <f>HYPERLINK("https://fin.land.naver.com/articles/2647858905", "매물Link")</f>
        <v/>
      </c>
      <c r="J619" s="5">
        <f>HYPERLINK("https://map.naver.com/p/search/금남면 황용리 435-6", "지도Link")</f>
        <v/>
      </c>
      <c r="K619" s="5">
        <f>HYPERLINK("http://www.eum.go.kr/web/ar/lu/luLandDet.jsp?pnu=3611034030104350006&amp;isNoScr=script&amp;mode=search", "토지이음")</f>
        <v/>
      </c>
      <c r="L619" s="3" t="inlineStr">
        <is>
          <t>OK</t>
        </is>
      </c>
      <c r="M619" s="3" t="n">
        <v>1</v>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3" t="inlineStr">
        <is>
          <t>nan</t>
        </is>
      </c>
      <c r="I620" s="5">
        <f>HYPERLINK("https://fin.land.naver.com/articles/2647216340", "매물Link")</f>
        <v/>
      </c>
      <c r="J620" s="5">
        <f>HYPERLINK("https://map.naver.com/p/search/금남면 황용리 438-1", "지도Link")</f>
        <v/>
      </c>
      <c r="K620" s="5">
        <f>HYPERLINK("http://www.eum.go.kr/web/ar/lu/luLandDet.jsp?pnu=3611034030104380001&amp;isNoScr=script&amp;mode=search", "토지이음")</f>
        <v/>
      </c>
      <c r="L620" s="3" t="inlineStr">
        <is>
          <t>장수</t>
        </is>
      </c>
      <c r="M620" s="3" t="n">
        <v>2</v>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3" t="inlineStr">
        <is>
          <t>세종과 과학밸트 약10분내위치, 도로접, 다양업종가능해요</t>
        </is>
      </c>
      <c r="I621" s="5">
        <f>HYPERLINK("https://fin.land.naver.com/articles/2644385493", "매물Link")</f>
        <v/>
      </c>
      <c r="J621" s="5">
        <f>HYPERLINK("https://map.naver.com/p/search/금남면 황용리 438-2", "지도Link")</f>
        <v/>
      </c>
      <c r="K621" s="5">
        <f>HYPERLINK("http://www.eum.go.kr/web/ar/lu/luLandDet.jsp?pnu=3611034030104380002&amp;isNoScr=script&amp;mode=search", "토지이음")</f>
        <v/>
      </c>
      <c r="L621" s="3" t="inlineStr">
        <is>
          <t>큰길</t>
        </is>
      </c>
      <c r="M621" s="3" t="n">
        <v>1</v>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3" t="inlineStr">
        <is>
          <t>세종과 과학밸트 약10분내거리, 다양한용도 가능해요</t>
        </is>
      </c>
      <c r="I622" s="5">
        <f>HYPERLINK("https://fin.land.naver.com/articles/2644528726", "매물Link")</f>
        <v/>
      </c>
      <c r="J622" s="5">
        <f>HYPERLINK("https://map.naver.com/p/search/금남면 황용리 438-5", "지도Link")</f>
        <v/>
      </c>
      <c r="K622" s="5">
        <f>HYPERLINK("http://www.eum.go.kr/web/ar/lu/luLandDet.jsp?pnu=3611034030104380005&amp;isNoScr=script&amp;mode=search", "토지이음")</f>
        <v/>
      </c>
      <c r="L622" s="3" t="inlineStr">
        <is>
          <t>큰길</t>
        </is>
      </c>
      <c r="M622" s="3" t="n">
        <v>1</v>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3" t="inlineStr">
        <is>
          <t>농지, 좋은 위치</t>
        </is>
      </c>
      <c r="I623" s="5">
        <f>HYPERLINK("https://fin.land.naver.com/articles/2644598890", "매물Link")</f>
        <v/>
      </c>
      <c r="J623" s="5">
        <f>HYPERLINK("https://map.naver.com/p/search/금남면 황용리 439-1", "지도Link")</f>
        <v/>
      </c>
      <c r="K623" s="5">
        <f>HYPERLINK("http://www.eum.go.kr/web/ar/lu/luLandDet.jsp?pnu=3611034030104390001&amp;isNoScr=script&amp;mode=search", "토지이음")</f>
        <v/>
      </c>
      <c r="L623" s="3" t="inlineStr">
        <is>
          <t>세종몽땅</t>
        </is>
      </c>
      <c r="M623" s="3" t="n">
        <v>1</v>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3" t="inlineStr">
        <is>
          <t>행복도시 인접, 생산관리지역 도로접한 토지</t>
        </is>
      </c>
      <c r="I624" s="5">
        <f>HYPERLINK("https://fin.land.naver.com/articles/2645276691", "매물Link")</f>
        <v/>
      </c>
      <c r="J624" s="5">
        <f>HYPERLINK("https://map.naver.com/p/search/금남면 황용리 445", "지도Link")</f>
        <v/>
      </c>
      <c r="K624" s="5">
        <f>HYPERLINK("http://www.eum.go.kr/web/ar/lu/luLandDet.jsp?pnu=3611034030104450000&amp;isNoScr=script&amp;mode=search", "토지이음")</f>
        <v/>
      </c>
      <c r="L624" s="3" t="inlineStr">
        <is>
          <t>부엉이</t>
        </is>
      </c>
      <c r="M624" s="3" t="n">
        <v>1</v>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3" t="inlineStr">
        <is>
          <t>보기드문 황용리 계획관리,생산관리 땅입니다.</t>
        </is>
      </c>
      <c r="I625" s="5">
        <f>HYPERLINK("https://fin.land.naver.com/articles/2647844100", "매물Link")</f>
        <v/>
      </c>
      <c r="J625" s="5">
        <f>HYPERLINK("https://map.naver.com/p/search/금남면 황용리 451", "지도Link")</f>
        <v/>
      </c>
      <c r="K625" s="5">
        <f>HYPERLINK("http://www.eum.go.kr/web/ar/lu/luLandDet.jsp?pnu=3611034030104510000&amp;isNoScr=script&amp;mode=search", "토지이음")</f>
        <v/>
      </c>
      <c r="L625" s="3" t="inlineStr">
        <is>
          <t>대박</t>
        </is>
      </c>
      <c r="M625" s="3" t="n">
        <v>1</v>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3" t="inlineStr">
        <is>
          <t>상업지역 코너 각지 땅으로 가격 협의가능</t>
        </is>
      </c>
      <c r="I626" s="5">
        <f>HYPERLINK("https://fin.land.naver.com/articles/2645811395", "매물Link")</f>
        <v/>
      </c>
      <c r="J626" s="5">
        <f>HYPERLINK("https://map.naver.com/p/search/나성동 783", "지도Link")</f>
        <v/>
      </c>
      <c r="K626" s="5">
        <f>HYPERLINK("http://www.eum.go.kr/web/ar/lu/luLandDet.jsp?pnu=3611010700107830000&amp;isNoScr=script&amp;mode=search", "토지이음")</f>
        <v/>
      </c>
      <c r="L626" s="3" t="inlineStr">
        <is>
          <t>IPARK멘토</t>
        </is>
      </c>
      <c r="M626" s="3" t="n">
        <v>1</v>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3" t="inlineStr">
        <is>
          <t>도로인접한 매물  자연 녹지지역이라 어떤 용도로든 가능</t>
        </is>
      </c>
      <c r="I627" s="5">
        <f>HYPERLINK("https://fin.land.naver.com/articles/2648208314", "매물Link")</f>
        <v/>
      </c>
      <c r="J627" s="5">
        <f>HYPERLINK("https://map.naver.com/p/search/나성동 829", "지도Link")</f>
        <v/>
      </c>
      <c r="K627" s="5">
        <f>HYPERLINK("http://www.eum.go.kr/web/ar/lu/luLandDet.jsp?pnu=3611010700108290000&amp;isNoScr=script&amp;mode=search", "토지이음")</f>
        <v/>
      </c>
      <c r="L627" s="3" t="inlineStr">
        <is>
          <t>굿모닝</t>
        </is>
      </c>
      <c r="M627" s="3" t="n">
        <v>1</v>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3" t="inlineStr">
        <is>
          <t>도로 좋고 주변 환경이 공장이나 근생용지로 최적입니다</t>
        </is>
      </c>
      <c r="I628" s="5">
        <f>HYPERLINK("https://fin.land.naver.com/articles/2645313491", "매물Link")</f>
        <v/>
      </c>
      <c r="J628" s="5">
        <f>HYPERLINK("https://map.naver.com/p/search/나성동 829", "지도Link")</f>
        <v/>
      </c>
      <c r="K628" s="5">
        <f>HYPERLINK("http://www.eum.go.kr/web/ar/lu/luLandDet.jsp?pnu=3611010700108290000&amp;isNoScr=script&amp;mode=search", "토지이음")</f>
        <v/>
      </c>
      <c r="L628" s="3" t="inlineStr">
        <is>
          <t>사랑</t>
        </is>
      </c>
      <c r="M628" s="3" t="n">
        <v>1</v>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3" t="inlineStr">
        <is>
          <t>서청주ic에서 가까운곳</t>
        </is>
      </c>
      <c r="I629" s="5">
        <f>HYPERLINK("https://fin.land.naver.com/articles/2646982377", "매물Link")</f>
        <v/>
      </c>
      <c r="J629" s="5">
        <f>HYPERLINK("https://map.naver.com/p/search/나성동 829", "지도Link")</f>
        <v/>
      </c>
      <c r="K629" s="5">
        <f>HYPERLINK("http://www.eum.go.kr/web/ar/lu/luLandDet.jsp?pnu=3611010700108290000&amp;isNoScr=script&amp;mode=search", "토지이음")</f>
        <v/>
      </c>
      <c r="L629" s="3" t="inlineStr">
        <is>
          <t>채움</t>
        </is>
      </c>
      <c r="M629" s="3" t="n">
        <v>1</v>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3" t="inlineStr">
        <is>
          <t>nan</t>
        </is>
      </c>
      <c r="I630" s="5">
        <f>HYPERLINK("https://fin.land.naver.com/articles/2647465082", "매물Link")</f>
        <v/>
      </c>
      <c r="J630" s="5">
        <f>HYPERLINK("https://map.naver.com/p/search/나성동 829", "지도Link")</f>
        <v/>
      </c>
      <c r="K630" s="5">
        <f>HYPERLINK("http://www.eum.go.kr/web/ar/lu/luLandDet.jsp?pnu=3611010700108290000&amp;isNoScr=script&amp;mode=search", "토지이음")</f>
        <v/>
      </c>
      <c r="L630" s="3" t="inlineStr">
        <is>
          <t>좋은터</t>
        </is>
      </c>
      <c r="M630" s="3" t="n">
        <v>1</v>
      </c>
    </row>
    <row r="631">
      <c r="A631" s="3" t="inlineStr">
        <is>
          <t>나성동 829</t>
        </is>
      </c>
      <c r="B631" s="3" t="inlineStr">
        <is>
          <t>중심상업지역</t>
        </is>
      </c>
      <c r="C631" s="3" t="inlineStr">
        <is>
          <t>대</t>
        </is>
      </c>
      <c r="D631" s="3" t="inlineStr">
        <is>
          <t>대</t>
        </is>
      </c>
      <c r="E631" s="3" t="inlineStr">
        <is>
          <t>매매</t>
        </is>
      </c>
      <c r="F631" s="4" t="n">
        <v>22000</v>
      </c>
      <c r="G631" s="4" t="n">
        <v>696</v>
      </c>
      <c r="H631" s="3" t="inlineStr">
        <is>
          <t>신성동 것대마을 자연취락지구</t>
        </is>
      </c>
      <c r="I631" s="5">
        <f>HYPERLINK("https://fin.land.naver.com/articles/2646187295", "매물Link")</f>
        <v/>
      </c>
      <c r="J631" s="5">
        <f>HYPERLINK("https://map.naver.com/p/search/나성동 829", "지도Link")</f>
        <v/>
      </c>
      <c r="K631" s="5">
        <f>HYPERLINK("http://www.eum.go.kr/web/ar/lu/luLandDet.jsp?pnu=3611010700108290000&amp;isNoScr=script&amp;mode=search", "토지이음")</f>
        <v/>
      </c>
      <c r="L631" s="3" t="inlineStr">
        <is>
          <t>사랑</t>
        </is>
      </c>
      <c r="M631" s="3" t="n">
        <v>1</v>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3" t="inlineStr">
        <is>
          <t>대지약500㎡ 전약500㎡</t>
        </is>
      </c>
      <c r="I632" s="5">
        <f>HYPERLINK("https://fin.land.naver.com/articles/2648298592", "매물Link")</f>
        <v/>
      </c>
      <c r="J632" s="5">
        <f>HYPERLINK("https://map.naver.com/p/search/나성동 829", "지도Link")</f>
        <v/>
      </c>
      <c r="K632" s="5">
        <f>HYPERLINK("http://www.eum.go.kr/web/ar/lu/luLandDet.jsp?pnu=3611010700108290000&amp;isNoScr=script&amp;mode=search", "토지이음")</f>
        <v/>
      </c>
      <c r="L632" s="3" t="inlineStr">
        <is>
          <t>지웰대림</t>
        </is>
      </c>
      <c r="M632" s="3" t="n">
        <v>1</v>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3" t="inlineStr">
        <is>
          <t>2차선포장도로 접한 토지로 대형차 차고지,공장,창고등 추천</t>
        </is>
      </c>
      <c r="I633" s="5">
        <f>HYPERLINK("https://fin.land.naver.com/articles/2646140684", "매물Link")</f>
        <v/>
      </c>
      <c r="J633" s="5">
        <f>HYPERLINK("https://map.naver.com/p/search/나성동 829", "지도Link")</f>
        <v/>
      </c>
      <c r="K633" s="5">
        <f>HYPERLINK("http://www.eum.go.kr/web/ar/lu/luLandDet.jsp?pnu=3611010700108290000&amp;isNoScr=script&amp;mode=search", "토지이음")</f>
        <v/>
      </c>
      <c r="L633" s="3" t="inlineStr">
        <is>
          <t>고은</t>
        </is>
      </c>
      <c r="M633" s="3" t="n">
        <v>1</v>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3" t="inlineStr">
        <is>
          <t>공장용지,저렴</t>
        </is>
      </c>
      <c r="I634" s="5">
        <f>HYPERLINK("https://fin.land.naver.com/articles/2646406400", "매물Link")</f>
        <v/>
      </c>
      <c r="J634" s="5">
        <f>HYPERLINK("https://map.naver.com/p/search/나성동 829", "지도Link")</f>
        <v/>
      </c>
      <c r="K634" s="5">
        <f>HYPERLINK("http://www.eum.go.kr/web/ar/lu/luLandDet.jsp?pnu=3611010700108290000&amp;isNoScr=script&amp;mode=search", "토지이음")</f>
        <v/>
      </c>
      <c r="L634" s="3" t="inlineStr">
        <is>
          <t>명동</t>
        </is>
      </c>
      <c r="M634" s="3" t="n">
        <v>1</v>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3" t="inlineStr">
        <is>
          <t>청주역 북측에 소재하는 농지임</t>
        </is>
      </c>
      <c r="I635" s="5">
        <f>HYPERLINK("https://fin.land.naver.com/articles/2646979717", "매물Link")</f>
        <v/>
      </c>
      <c r="J635" s="5">
        <f>HYPERLINK("https://map.naver.com/p/search/나성동 829", "지도Link")</f>
        <v/>
      </c>
      <c r="K635" s="5">
        <f>HYPERLINK("http://www.eum.go.kr/web/ar/lu/luLandDet.jsp?pnu=3611010700108290000&amp;isNoScr=script&amp;mode=search", "토지이음")</f>
        <v/>
      </c>
      <c r="L635" s="3" t="inlineStr">
        <is>
          <t>교차로</t>
        </is>
      </c>
      <c r="M635" s="3" t="n">
        <v>1</v>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3" t="inlineStr">
        <is>
          <t>nan</t>
        </is>
      </c>
      <c r="I636" s="5">
        <f>HYPERLINK("https://fin.land.naver.com/articles/2647119058", "매물Link")</f>
        <v/>
      </c>
      <c r="J636" s="5">
        <f>HYPERLINK("https://map.naver.com/p/search/나성동 829", "지도Link")</f>
        <v/>
      </c>
      <c r="K636" s="5">
        <f>HYPERLINK("http://www.eum.go.kr/web/ar/lu/luLandDet.jsp?pnu=3611010700108290000&amp;isNoScr=script&amp;mode=search", "토지이음")</f>
        <v/>
      </c>
      <c r="L636" s="3" t="inlineStr">
        <is>
          <t>삼성사무소</t>
        </is>
      </c>
      <c r="M636" s="3" t="n">
        <v>1</v>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3" t="inlineStr">
        <is>
          <t>현재 답으로 사용중</t>
        </is>
      </c>
      <c r="I637" s="5">
        <f>HYPERLINK("https://fin.land.naver.com/articles/2644292367", "매물Link")</f>
        <v/>
      </c>
      <c r="J637" s="5">
        <f>HYPERLINK("https://map.naver.com/p/search/나성동 829", "지도Link")</f>
        <v/>
      </c>
      <c r="K637" s="5">
        <f>HYPERLINK("http://www.eum.go.kr/web/ar/lu/luLandDet.jsp?pnu=3611010700108290000&amp;isNoScr=script&amp;mode=search", "토지이음")</f>
        <v/>
      </c>
      <c r="L637" s="3" t="inlineStr">
        <is>
          <t>늘푸른</t>
        </is>
      </c>
      <c r="M637" s="3" t="n">
        <v>1</v>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3" t="inlineStr">
        <is>
          <t>서청주I.C 4분거리. 제2종근생제조 허가가능. 소형공장추천</t>
        </is>
      </c>
      <c r="I638" s="5">
        <f>HYPERLINK("https://fin.land.naver.com/articles/2644808264", "매물Link")</f>
        <v/>
      </c>
      <c r="J638" s="5">
        <f>HYPERLINK("https://map.naver.com/p/search/나성동 829", "지도Link")</f>
        <v/>
      </c>
      <c r="K638" s="5">
        <f>HYPERLINK("http://www.eum.go.kr/web/ar/lu/luLandDet.jsp?pnu=3611010700108290000&amp;isNoScr=script&amp;mode=search", "토지이음")</f>
        <v/>
      </c>
      <c r="L638" s="3" t="inlineStr">
        <is>
          <t>플러스자이합동</t>
        </is>
      </c>
      <c r="M638" s="3" t="n">
        <v>1</v>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3" t="inlineStr">
        <is>
          <t>자연녹지 매매</t>
        </is>
      </c>
      <c r="I639" s="5">
        <f>HYPERLINK("https://fin.land.naver.com/articles/2649459398", "매물Link")</f>
        <v/>
      </c>
      <c r="J639" s="5">
        <f>HYPERLINK("https://map.naver.com/p/search/나성동 829", "지도Link")</f>
        <v/>
      </c>
      <c r="K639" s="5">
        <f>HYPERLINK("http://www.eum.go.kr/web/ar/lu/luLandDet.jsp?pnu=3611010700108290000&amp;isNoScr=script&amp;mode=search", "토지이음")</f>
        <v/>
      </c>
      <c r="L639" s="3" t="inlineStr">
        <is>
          <t>청주합동</t>
        </is>
      </c>
      <c r="M639" s="3" t="n">
        <v>1</v>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3" t="inlineStr">
        <is>
          <t>nan</t>
        </is>
      </c>
      <c r="I640" s="5">
        <f>HYPERLINK("https://fin.land.naver.com/articles/2647785041", "매물Link")</f>
        <v/>
      </c>
      <c r="J640" s="5">
        <f>HYPERLINK("https://map.naver.com/p/search/나성동 829", "지도Link")</f>
        <v/>
      </c>
      <c r="K640" s="5">
        <f>HYPERLINK("http://www.eum.go.kr/web/ar/lu/luLandDet.jsp?pnu=3611010700108290000&amp;isNoScr=script&amp;mode=search", "토지이음")</f>
        <v/>
      </c>
      <c r="L640" s="3" t="inlineStr">
        <is>
          <t>성안길</t>
        </is>
      </c>
      <c r="M640" s="3" t="n">
        <v>1</v>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3" t="inlineStr">
        <is>
          <t>동막동 토지 매매</t>
        </is>
      </c>
      <c r="I641" s="5">
        <f>HYPERLINK("https://fin.land.naver.com/articles/2647317151", "매물Link")</f>
        <v/>
      </c>
      <c r="J641" s="5">
        <f>HYPERLINK("https://map.naver.com/p/search/나성동 829", "지도Link")</f>
        <v/>
      </c>
      <c r="K641" s="5">
        <f>HYPERLINK("http://www.eum.go.kr/web/ar/lu/luLandDet.jsp?pnu=3611010700108290000&amp;isNoScr=script&amp;mode=search", "토지이음")</f>
        <v/>
      </c>
      <c r="L641" s="3" t="inlineStr">
        <is>
          <t>사거리</t>
        </is>
      </c>
      <c r="M641" s="3" t="n">
        <v>1</v>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3" t="inlineStr">
        <is>
          <t>동막동 토지 매매</t>
        </is>
      </c>
      <c r="I642" s="5">
        <f>HYPERLINK("https://fin.land.naver.com/articles/2648220807", "매물Link")</f>
        <v/>
      </c>
      <c r="J642" s="5">
        <f>HYPERLINK("https://map.naver.com/p/search/나성동 829", "지도Link")</f>
        <v/>
      </c>
      <c r="K642" s="5">
        <f>HYPERLINK("http://www.eum.go.kr/web/ar/lu/luLandDet.jsp?pnu=3611010700108290000&amp;isNoScr=script&amp;mode=search", "토지이음")</f>
        <v/>
      </c>
      <c r="L642" s="3" t="inlineStr">
        <is>
          <t>사거리</t>
        </is>
      </c>
      <c r="M642" s="3" t="n">
        <v>1</v>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3" t="inlineStr">
        <is>
          <t>지목은 답이지만 현재는 전으로 사용하고 있는 토지입니다</t>
        </is>
      </c>
      <c r="I643" s="5">
        <f>HYPERLINK("https://fin.land.naver.com/articles/2649304148", "매물Link")</f>
        <v/>
      </c>
      <c r="J643" s="5">
        <f>HYPERLINK("https://map.naver.com/p/search/나성동 829", "지도Link")</f>
        <v/>
      </c>
      <c r="K643" s="5">
        <f>HYPERLINK("http://www.eum.go.kr/web/ar/lu/luLandDet.jsp?pnu=3611010700108290000&amp;isNoScr=script&amp;mode=search", "토지이음")</f>
        <v/>
      </c>
      <c r="L643" s="3" t="inlineStr">
        <is>
          <t>대창</t>
        </is>
      </c>
      <c r="M643" s="3" t="n">
        <v>1</v>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3" t="inlineStr">
        <is>
          <t>투자용 토지 매매</t>
        </is>
      </c>
      <c r="I644" s="5">
        <f>HYPERLINK("https://fin.land.naver.com/articles/2649593826", "매물Link")</f>
        <v/>
      </c>
      <c r="J644" s="5">
        <f>HYPERLINK("https://map.naver.com/p/search/나성동 829", "지도Link")</f>
        <v/>
      </c>
      <c r="K644" s="5">
        <f>HYPERLINK("http://www.eum.go.kr/web/ar/lu/luLandDet.jsp?pnu=3611010700108290000&amp;isNoScr=script&amp;mode=search", "토지이음")</f>
        <v/>
      </c>
      <c r="L644" s="3" t="inlineStr">
        <is>
          <t>사거리</t>
        </is>
      </c>
      <c r="M644" s="3" t="n">
        <v>1</v>
      </c>
    </row>
    <row r="645">
      <c r="A645" s="3" t="inlineStr">
        <is>
          <t>나성동 829</t>
        </is>
      </c>
      <c r="B645" s="3" t="inlineStr">
        <is>
          <t>중심상업지역</t>
        </is>
      </c>
      <c r="C645" s="3" t="inlineStr">
        <is>
          <t>대</t>
        </is>
      </c>
      <c r="D645" s="3" t="inlineStr">
        <is>
          <t>답</t>
        </is>
      </c>
      <c r="E645" s="3" t="inlineStr">
        <is>
          <t>매매</t>
        </is>
      </c>
      <c r="F645" s="4" t="n">
        <v>18000</v>
      </c>
      <c r="G645" s="4" t="n">
        <v>671</v>
      </c>
      <c r="H645" s="3" t="inlineStr">
        <is>
          <t>자연취락지구  도로접</t>
        </is>
      </c>
      <c r="I645" s="5">
        <f>HYPERLINK("https://fin.land.naver.com/articles/2645270599", "매물Link")</f>
        <v/>
      </c>
      <c r="J645" s="5">
        <f>HYPERLINK("https://map.naver.com/p/search/나성동 829", "지도Link")</f>
        <v/>
      </c>
      <c r="K645" s="5">
        <f>HYPERLINK("http://www.eum.go.kr/web/ar/lu/luLandDet.jsp?pnu=3611010700108290000&amp;isNoScr=script&amp;mode=search", "토지이음")</f>
        <v/>
      </c>
      <c r="L645" s="3" t="inlineStr">
        <is>
          <t>청담</t>
        </is>
      </c>
      <c r="M645" s="3" t="n">
        <v>1</v>
      </c>
    </row>
    <row r="646">
      <c r="A646" s="3" t="inlineStr">
        <is>
          <t>나성동 829</t>
        </is>
      </c>
      <c r="B646" s="3" t="inlineStr">
        <is>
          <t>중심상업지역</t>
        </is>
      </c>
      <c r="C646" s="3" t="inlineStr">
        <is>
          <t>대</t>
        </is>
      </c>
      <c r="D646" s="3" t="inlineStr">
        <is>
          <t>전</t>
        </is>
      </c>
      <c r="E646" s="3" t="inlineStr">
        <is>
          <t>매매</t>
        </is>
      </c>
      <c r="F646" s="4" t="n">
        <v>30800</v>
      </c>
      <c r="G646" s="4" t="n">
        <v>846</v>
      </c>
      <c r="H646" s="3" t="inlineStr">
        <is>
          <t>2필지함께매매 컨테이너농막 전기완료 토목공사완료</t>
        </is>
      </c>
      <c r="I646" s="5">
        <f>HYPERLINK("https://fin.land.naver.com/articles/2645352883", "매물Link")</f>
        <v/>
      </c>
      <c r="J646" s="5">
        <f>HYPERLINK("https://map.naver.com/p/search/나성동 829", "지도Link")</f>
        <v/>
      </c>
      <c r="K646" s="5">
        <f>HYPERLINK("http://www.eum.go.kr/web/ar/lu/luLandDet.jsp?pnu=3611010700108290000&amp;isNoScr=script&amp;mode=search", "토지이음")</f>
        <v/>
      </c>
      <c r="L646" s="3" t="inlineStr">
        <is>
          <t>다안채</t>
        </is>
      </c>
      <c r="M646" s="3" t="n">
        <v>1</v>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3" t="inlineStr">
        <is>
          <t>nan</t>
        </is>
      </c>
      <c r="I647" s="5">
        <f>HYPERLINK("https://fin.land.naver.com/articles/2647310268", "매물Link")</f>
        <v/>
      </c>
      <c r="J647" s="5">
        <f>HYPERLINK("https://map.naver.com/p/search/나성동 829", "지도Link")</f>
        <v/>
      </c>
      <c r="K647" s="5">
        <f>HYPERLINK("http://www.eum.go.kr/web/ar/lu/luLandDet.jsp?pnu=3611010700108290000&amp;isNoScr=script&amp;mode=search", "토지이음")</f>
        <v/>
      </c>
      <c r="L647" s="3" t="inlineStr">
        <is>
          <t>황금</t>
        </is>
      </c>
      <c r="M647" s="3" t="n">
        <v>1</v>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3" t="inlineStr">
        <is>
          <t>자연취락지역</t>
        </is>
      </c>
      <c r="I648" s="5">
        <f>HYPERLINK("https://fin.land.naver.com/articles/2647416417", "매물Link")</f>
        <v/>
      </c>
      <c r="J648" s="5">
        <f>HYPERLINK("https://map.naver.com/p/search/나성동 829", "지도Link")</f>
        <v/>
      </c>
      <c r="K648" s="5">
        <f>HYPERLINK("http://www.eum.go.kr/web/ar/lu/luLandDet.jsp?pnu=3611010700108290000&amp;isNoScr=script&amp;mode=search", "토지이음")</f>
        <v/>
      </c>
      <c r="L648" s="3" t="inlineStr">
        <is>
          <t>새온누리</t>
        </is>
      </c>
      <c r="M648" s="3" t="n">
        <v>1</v>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3" t="inlineStr">
        <is>
          <t>동막동 토지 매매</t>
        </is>
      </c>
      <c r="I649" s="5">
        <f>HYPERLINK("https://fin.land.naver.com/articles/2645094337", "매물Link")</f>
        <v/>
      </c>
      <c r="J649" s="5">
        <f>HYPERLINK("https://map.naver.com/p/search/나성동 829", "지도Link")</f>
        <v/>
      </c>
      <c r="K649" s="5">
        <f>HYPERLINK("http://www.eum.go.kr/web/ar/lu/luLandDet.jsp?pnu=3611010700108290000&amp;isNoScr=script&amp;mode=search", "토지이음")</f>
        <v/>
      </c>
      <c r="L649" s="3" t="inlineStr">
        <is>
          <t>사거리</t>
        </is>
      </c>
      <c r="M649" s="3" t="n">
        <v>1</v>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3" t="inlineStr">
        <is>
          <t>현암동 답 매매</t>
        </is>
      </c>
      <c r="I650" s="5">
        <f>HYPERLINK("https://fin.land.naver.com/articles/2646788031", "매물Link")</f>
        <v/>
      </c>
      <c r="J650" s="5">
        <f>HYPERLINK("https://map.naver.com/p/search/나성동 829", "지도Link")</f>
        <v/>
      </c>
      <c r="K650" s="5">
        <f>HYPERLINK("http://www.eum.go.kr/web/ar/lu/luLandDet.jsp?pnu=3611010700108290000&amp;isNoScr=script&amp;mode=search", "토지이음")</f>
        <v/>
      </c>
      <c r="L650" s="3" t="inlineStr">
        <is>
          <t>보배</t>
        </is>
      </c>
      <c r="M650" s="3" t="n">
        <v>1</v>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3" t="inlineStr">
        <is>
          <t>현암동 토지 매매</t>
        </is>
      </c>
      <c r="I651" s="5">
        <f>HYPERLINK("https://fin.land.naver.com/articles/2647338936", "매물Link")</f>
        <v/>
      </c>
      <c r="J651" s="5">
        <f>HYPERLINK("https://map.naver.com/p/search/나성동 829", "지도Link")</f>
        <v/>
      </c>
      <c r="K651" s="5">
        <f>HYPERLINK("http://www.eum.go.kr/web/ar/lu/luLandDet.jsp?pnu=3611010700108290000&amp;isNoScr=script&amp;mode=search", "토지이음")</f>
        <v/>
      </c>
      <c r="L651" s="3" t="inlineStr">
        <is>
          <t>사거리</t>
        </is>
      </c>
      <c r="M651" s="3" t="n">
        <v>1</v>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3" t="inlineStr">
        <is>
          <t>현암동 작은 토지 매매</t>
        </is>
      </c>
      <c r="I652" s="5">
        <f>HYPERLINK("https://fin.land.naver.com/articles/2649592116", "매물Link")</f>
        <v/>
      </c>
      <c r="J652" s="5">
        <f>HYPERLINK("https://map.naver.com/p/search/나성동 829", "지도Link")</f>
        <v/>
      </c>
      <c r="K652" s="5">
        <f>HYPERLINK("http://www.eum.go.kr/web/ar/lu/luLandDet.jsp?pnu=3611010700108290000&amp;isNoScr=script&amp;mode=search", "토지이음")</f>
        <v/>
      </c>
      <c r="L652" s="3" t="inlineStr">
        <is>
          <t>사거리</t>
        </is>
      </c>
      <c r="M652" s="3" t="n">
        <v>1</v>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3" t="inlineStr">
        <is>
          <t>현암동 주택 지을 토지 매매</t>
        </is>
      </c>
      <c r="I653" s="5">
        <f>HYPERLINK("https://fin.land.naver.com/articles/2649595256", "매물Link")</f>
        <v/>
      </c>
      <c r="J653" s="5">
        <f>HYPERLINK("https://map.naver.com/p/search/나성동 829", "지도Link")</f>
        <v/>
      </c>
      <c r="K653" s="5">
        <f>HYPERLINK("http://www.eum.go.kr/web/ar/lu/luLandDet.jsp?pnu=3611010700108290000&amp;isNoScr=script&amp;mode=search", "토지이음")</f>
        <v/>
      </c>
      <c r="L653" s="3" t="inlineStr">
        <is>
          <t>사거리</t>
        </is>
      </c>
      <c r="M653" s="3" t="n">
        <v>1</v>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3" t="inlineStr">
        <is>
          <t>nan</t>
        </is>
      </c>
      <c r="I654" s="5">
        <f>HYPERLINK("https://fin.land.naver.com/articles/2649774972", "매물Link")</f>
        <v/>
      </c>
      <c r="J654" s="5">
        <f>HYPERLINK("https://map.naver.com/p/search/나성동 829", "지도Link")</f>
        <v/>
      </c>
      <c r="K654" s="5">
        <f>HYPERLINK("http://www.eum.go.kr/web/ar/lu/luLandDet.jsp?pnu=3611010700108290000&amp;isNoScr=script&amp;mode=search", "토지이음")</f>
        <v/>
      </c>
      <c r="L654" s="3" t="inlineStr">
        <is>
          <t>길</t>
        </is>
      </c>
      <c r="M654" s="3" t="n">
        <v>1</v>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3" t="inlineStr">
        <is>
          <t>nan</t>
        </is>
      </c>
      <c r="I655" s="5">
        <f>HYPERLINK("https://fin.land.naver.com/articles/2649775363", "매물Link")</f>
        <v/>
      </c>
      <c r="J655" s="5">
        <f>HYPERLINK("https://map.naver.com/p/search/나성동 829", "지도Link")</f>
        <v/>
      </c>
      <c r="K655" s="5">
        <f>HYPERLINK("http://www.eum.go.kr/web/ar/lu/luLandDet.jsp?pnu=3611010700108290000&amp;isNoScr=script&amp;mode=search", "토지이음")</f>
        <v/>
      </c>
      <c r="L655" s="3" t="inlineStr">
        <is>
          <t>길</t>
        </is>
      </c>
      <c r="M655" s="3" t="n">
        <v>1</v>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3" t="inlineStr">
        <is>
          <t>청주I,C와 서청주I,C와 근접 해 있어요 채광좋음 탁트인전망</t>
        </is>
      </c>
      <c r="I656" s="5">
        <f>HYPERLINK("https://fin.land.naver.com/articles/2643992150", "매물Link")</f>
        <v/>
      </c>
      <c r="J656" s="5">
        <f>HYPERLINK("https://map.naver.com/p/search/나성동 829", "지도Link")</f>
        <v/>
      </c>
      <c r="K656" s="5">
        <f>HYPERLINK("http://www.eum.go.kr/web/ar/lu/luLandDet.jsp?pnu=3611010700108290000&amp;isNoScr=script&amp;mode=search", "토지이음")</f>
        <v/>
      </c>
      <c r="L656" s="3" t="inlineStr">
        <is>
          <t>비타민</t>
        </is>
      </c>
      <c r="M656" s="3" t="n">
        <v>1</v>
      </c>
    </row>
    <row r="657">
      <c r="A657" s="3" t="inlineStr">
        <is>
          <t>나성동 829</t>
        </is>
      </c>
      <c r="B657" s="3" t="inlineStr">
        <is>
          <t>중심상업지역</t>
        </is>
      </c>
      <c r="C657" s="3" t="inlineStr">
        <is>
          <t>대</t>
        </is>
      </c>
      <c r="D657" s="3" t="inlineStr">
        <is>
          <t>답</t>
        </is>
      </c>
      <c r="E657" s="3" t="inlineStr">
        <is>
          <t>매매</t>
        </is>
      </c>
      <c r="F657" s="4" t="n">
        <v>53100</v>
      </c>
      <c r="G657" s="4" t="n">
        <v>952</v>
      </c>
      <c r="H657" s="3" t="inlineStr">
        <is>
          <t>신전동 토지</t>
        </is>
      </c>
      <c r="I657" s="5">
        <f>HYPERLINK("https://fin.land.naver.com/articles/2646457871", "매물Link")</f>
        <v/>
      </c>
      <c r="J657" s="5">
        <f>HYPERLINK("https://map.naver.com/p/search/나성동 829", "지도Link")</f>
        <v/>
      </c>
      <c r="K657" s="5">
        <f>HYPERLINK("http://www.eum.go.kr/web/ar/lu/luLandDet.jsp?pnu=3611010700108290000&amp;isNoScr=script&amp;mode=search", "토지이음")</f>
        <v/>
      </c>
      <c r="L657" s="3" t="inlineStr">
        <is>
          <t>어반에스테이트</t>
        </is>
      </c>
      <c r="M657" s="3" t="n">
        <v>1</v>
      </c>
    </row>
    <row r="658">
      <c r="A658" s="3" t="inlineStr">
        <is>
          <t>나성동 829</t>
        </is>
      </c>
      <c r="B658" s="3" t="inlineStr">
        <is>
          <t>중심상업지역</t>
        </is>
      </c>
      <c r="C658" s="3" t="inlineStr">
        <is>
          <t>대</t>
        </is>
      </c>
      <c r="D658" s="3" t="inlineStr">
        <is>
          <t>대</t>
        </is>
      </c>
      <c r="E658" s="3" t="inlineStr">
        <is>
          <t>매매</t>
        </is>
      </c>
      <c r="F658" s="4" t="n">
        <v>37000</v>
      </c>
      <c r="G658" s="4" t="n">
        <v>747</v>
      </c>
      <c r="H658" s="3" t="inlineStr">
        <is>
          <t>신전동 150년된 고택있음 텃밭 마당</t>
        </is>
      </c>
      <c r="I658" s="5">
        <f>HYPERLINK("https://fin.land.naver.com/articles/2646795631", "매물Link")</f>
        <v/>
      </c>
      <c r="J658" s="5">
        <f>HYPERLINK("https://map.naver.com/p/search/나성동 829", "지도Link")</f>
        <v/>
      </c>
      <c r="K658" s="5">
        <f>HYPERLINK("http://www.eum.go.kr/web/ar/lu/luLandDet.jsp?pnu=3611010700108290000&amp;isNoScr=script&amp;mode=search", "토지이음")</f>
        <v/>
      </c>
      <c r="L658" s="3" t="inlineStr">
        <is>
          <t>보배</t>
        </is>
      </c>
      <c r="M658" s="3" t="n">
        <v>1</v>
      </c>
    </row>
    <row r="659">
      <c r="A659" s="3" t="inlineStr">
        <is>
          <t>나성동 829</t>
        </is>
      </c>
      <c r="B659" s="3" t="inlineStr">
        <is>
          <t>중심상업지역</t>
        </is>
      </c>
      <c r="C659" s="3" t="inlineStr">
        <is>
          <t>대</t>
        </is>
      </c>
      <c r="D659" s="3" t="inlineStr">
        <is>
          <t>대</t>
        </is>
      </c>
      <c r="E659" s="3" t="inlineStr">
        <is>
          <t>매매</t>
        </is>
      </c>
      <c r="F659" s="4" t="n">
        <v>5500</v>
      </c>
      <c r="G659" s="4" t="n">
        <v>241</v>
      </c>
      <c r="H659" s="3" t="inlineStr">
        <is>
          <t>현암동 주택지 매매</t>
        </is>
      </c>
      <c r="I659" s="5">
        <f>HYPERLINK("https://fin.land.naver.com/articles/2647140059", "매물Link")</f>
        <v/>
      </c>
      <c r="J659" s="5">
        <f>HYPERLINK("https://map.naver.com/p/search/나성동 829", "지도Link")</f>
        <v/>
      </c>
      <c r="K659" s="5">
        <f>HYPERLINK("http://www.eum.go.kr/web/ar/lu/luLandDet.jsp?pnu=3611010700108290000&amp;isNoScr=script&amp;mode=search", "토지이음")</f>
        <v/>
      </c>
      <c r="L659" s="3" t="inlineStr">
        <is>
          <t>사거리</t>
        </is>
      </c>
      <c r="M659" s="3" t="n">
        <v>1</v>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3" t="inlineStr">
        <is>
          <t>nan</t>
        </is>
      </c>
      <c r="I660" s="5">
        <f>HYPERLINK("https://fin.land.naver.com/articles/2647759231", "매물Link")</f>
        <v/>
      </c>
      <c r="J660" s="5">
        <f>HYPERLINK("https://map.naver.com/p/search/나성동 829", "지도Link")</f>
        <v/>
      </c>
      <c r="K660" s="5">
        <f>HYPERLINK("http://www.eum.go.kr/web/ar/lu/luLandDet.jsp?pnu=3611010700108290000&amp;isNoScr=script&amp;mode=search", "토지이음")</f>
        <v/>
      </c>
      <c r="L660" s="3" t="inlineStr">
        <is>
          <t>청주합동</t>
        </is>
      </c>
      <c r="M660" s="3" t="n">
        <v>1</v>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3" t="inlineStr">
        <is>
          <t>동막동 하이테크벨리 인근. 창고.대토.투자추천</t>
        </is>
      </c>
      <c r="I661" s="5">
        <f>HYPERLINK("https://fin.land.naver.com/articles/2644808500", "매물Link")</f>
        <v/>
      </c>
      <c r="J661" s="5">
        <f>HYPERLINK("https://map.naver.com/p/search/나성동 829", "지도Link")</f>
        <v/>
      </c>
      <c r="K661" s="5">
        <f>HYPERLINK("http://www.eum.go.kr/web/ar/lu/luLandDet.jsp?pnu=3611010700108290000&amp;isNoScr=script&amp;mode=search", "토지이음")</f>
        <v/>
      </c>
      <c r="L661" s="3" t="inlineStr">
        <is>
          <t>플러스자이합동</t>
        </is>
      </c>
      <c r="M661" s="3" t="n">
        <v>1</v>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3" t="inlineStr">
        <is>
          <t>nan</t>
        </is>
      </c>
      <c r="I662" s="5">
        <f>HYPERLINK("https://fin.land.naver.com/articles/2645495894", "매물Link")</f>
        <v/>
      </c>
      <c r="J662" s="5">
        <f>HYPERLINK("https://map.naver.com/p/search/나성동 829", "지도Link")</f>
        <v/>
      </c>
      <c r="K662" s="5">
        <f>HYPERLINK("http://www.eum.go.kr/web/ar/lu/luLandDet.jsp?pnu=3611010700108290000&amp;isNoScr=script&amp;mode=search", "토지이음")</f>
        <v/>
      </c>
      <c r="L662" s="3" t="inlineStr">
        <is>
          <t>규담무소</t>
        </is>
      </c>
      <c r="M662" s="3" t="n">
        <v>1</v>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3" t="inlineStr">
        <is>
          <t>지동동 대로변 토지 최적의 투자처</t>
        </is>
      </c>
      <c r="I663" s="5">
        <f>HYPERLINK("https://fin.land.naver.com/articles/2646745039", "매물Link")</f>
        <v/>
      </c>
      <c r="J663" s="5">
        <f>HYPERLINK("https://map.naver.com/p/search/나성동 829", "지도Link")</f>
        <v/>
      </c>
      <c r="K663" s="5">
        <f>HYPERLINK("http://www.eum.go.kr/web/ar/lu/luLandDet.jsp?pnu=3611010700108290000&amp;isNoScr=script&amp;mode=search", "토지이음")</f>
        <v/>
      </c>
      <c r="L663" s="3" t="inlineStr">
        <is>
          <t>공장365</t>
        </is>
      </c>
      <c r="M663" s="3" t="n">
        <v>1</v>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3" t="inlineStr">
        <is>
          <t>민원없는 공장 밀집지역, 제2종근생제조업 가능, 공장추천</t>
        </is>
      </c>
      <c r="I664" s="5">
        <f>HYPERLINK("https://fin.land.naver.com/articles/2648194731", "매물Link")</f>
        <v/>
      </c>
      <c r="J664" s="5">
        <f>HYPERLINK("https://map.naver.com/p/search/나성동 829", "지도Link")</f>
        <v/>
      </c>
      <c r="K664" s="5">
        <f>HYPERLINK("http://www.eum.go.kr/web/ar/lu/luLandDet.jsp?pnu=3611010700108290000&amp;isNoScr=script&amp;mode=search", "토지이음")</f>
        <v/>
      </c>
      <c r="L664" s="3" t="inlineStr">
        <is>
          <t>플러스자이합동</t>
        </is>
      </c>
      <c r="M664" s="3" t="n">
        <v>1</v>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3" t="inlineStr">
        <is>
          <t>구거에 붙어있는 귀한지역에 땅모양까지 이쁜땅</t>
        </is>
      </c>
      <c r="I665" s="5">
        <f>HYPERLINK("https://fin.land.naver.com/articles/2647755426", "매물Link")</f>
        <v/>
      </c>
      <c r="J665" s="5">
        <f>HYPERLINK("https://map.naver.com/p/search/나성동 829", "지도Link")</f>
        <v/>
      </c>
      <c r="K665" s="5">
        <f>HYPERLINK("http://www.eum.go.kr/web/ar/lu/luLandDet.jsp?pnu=3611010700108290000&amp;isNoScr=script&amp;mode=search", "토지이음")</f>
        <v/>
      </c>
      <c r="L665" s="3" t="inlineStr">
        <is>
          <t>굿모닝  사무소</t>
        </is>
      </c>
      <c r="M665" s="3" t="n">
        <v>1</v>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3" t="inlineStr">
        <is>
          <t>nan</t>
        </is>
      </c>
      <c r="I666" s="5">
        <f>HYPERLINK("https://fin.land.naver.com/articles/2648229066", "매물Link")</f>
        <v/>
      </c>
      <c r="J666" s="5">
        <f>HYPERLINK("https://map.naver.com/p/search/나성동 829", "지도Link")</f>
        <v/>
      </c>
      <c r="K666" s="5">
        <f>HYPERLINK("http://www.eum.go.kr/web/ar/lu/luLandDet.jsp?pnu=3611010700108290000&amp;isNoScr=script&amp;mode=search", "토지이음")</f>
        <v/>
      </c>
      <c r="L666" s="3" t="inlineStr">
        <is>
          <t>좋은터</t>
        </is>
      </c>
      <c r="M666" s="3" t="n">
        <v>1</v>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3" t="inlineStr">
        <is>
          <t>수의동위치좋은곳으로도로코너지임</t>
        </is>
      </c>
      <c r="I667" s="5">
        <f>HYPERLINK("https://fin.land.naver.com/articles/2649584202", "매물Link")</f>
        <v/>
      </c>
      <c r="J667" s="5">
        <f>HYPERLINK("https://map.naver.com/p/search/나성동 829", "지도Link")</f>
        <v/>
      </c>
      <c r="K667" s="5">
        <f>HYPERLINK("http://www.eum.go.kr/web/ar/lu/luLandDet.jsp?pnu=3611010700108290000&amp;isNoScr=script&amp;mode=search", "토지이음")</f>
        <v/>
      </c>
      <c r="L667" s="3" t="inlineStr">
        <is>
          <t>모범</t>
        </is>
      </c>
      <c r="M667" s="3" t="n">
        <v>1</v>
      </c>
    </row>
    <row r="668">
      <c r="A668" s="3" t="inlineStr">
        <is>
          <t>나성동 829</t>
        </is>
      </c>
      <c r="B668" s="3" t="inlineStr">
        <is>
          <t>중심상업지역</t>
        </is>
      </c>
      <c r="C668" s="3" t="inlineStr">
        <is>
          <t>대</t>
        </is>
      </c>
      <c r="D668" s="3" t="inlineStr">
        <is>
          <t>전</t>
        </is>
      </c>
      <c r="E668" s="3" t="inlineStr">
        <is>
          <t>매매</t>
        </is>
      </c>
      <c r="F668" s="4" t="n">
        <v>30700</v>
      </c>
      <c r="G668" s="4" t="n">
        <v>847</v>
      </c>
      <c r="H668" s="3" t="inlineStr">
        <is>
          <t>수의동 소형 토지 매매</t>
        </is>
      </c>
      <c r="I668" s="5">
        <f>HYPERLINK("https://fin.land.naver.com/articles/2645098430", "매물Link")</f>
        <v/>
      </c>
      <c r="J668" s="5">
        <f>HYPERLINK("https://map.naver.com/p/search/나성동 829", "지도Link")</f>
        <v/>
      </c>
      <c r="K668" s="5">
        <f>HYPERLINK("http://www.eum.go.kr/web/ar/lu/luLandDet.jsp?pnu=3611010700108290000&amp;isNoScr=script&amp;mode=search", "토지이음")</f>
        <v/>
      </c>
      <c r="L668" s="3" t="inlineStr">
        <is>
          <t>사거리</t>
        </is>
      </c>
      <c r="M668" s="3" t="n">
        <v>1</v>
      </c>
    </row>
    <row r="669">
      <c r="A669" s="3" t="inlineStr">
        <is>
          <t>나성동 829</t>
        </is>
      </c>
      <c r="B669" s="3" t="inlineStr">
        <is>
          <t>중심상업지역</t>
        </is>
      </c>
      <c r="C669" s="3" t="inlineStr">
        <is>
          <t>대</t>
        </is>
      </c>
      <c r="D669" s="3" t="inlineStr">
        <is>
          <t>대</t>
        </is>
      </c>
      <c r="E669" s="3" t="inlineStr">
        <is>
          <t>매매</t>
        </is>
      </c>
      <c r="F669" s="4" t="n">
        <v>25000</v>
      </c>
      <c r="G669" s="4" t="n">
        <v>447</v>
      </c>
      <c r="H669" s="3" t="inlineStr">
        <is>
          <t>단독주택 부지, 도로에 접하고 있어 진입로 문제 없음, 살기 좋음</t>
        </is>
      </c>
      <c r="I669" s="5">
        <f>HYPERLINK("https://fin.land.naver.com/articles/2645318302", "매물Link")</f>
        <v/>
      </c>
      <c r="J669" s="5">
        <f>HYPERLINK("https://map.naver.com/p/search/나성동 829", "지도Link")</f>
        <v/>
      </c>
      <c r="K669" s="5">
        <f>HYPERLINK("http://www.eum.go.kr/web/ar/lu/luLandDet.jsp?pnu=3611010700108290000&amp;isNoScr=script&amp;mode=search", "토지이음")</f>
        <v/>
      </c>
      <c r="L669" s="3" t="inlineStr">
        <is>
          <t>제이</t>
        </is>
      </c>
      <c r="M669" s="3" t="n">
        <v>1</v>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3" t="inlineStr">
        <is>
          <t>수의동 토지</t>
        </is>
      </c>
      <c r="I670" s="5">
        <f>HYPERLINK("https://fin.land.naver.com/articles/2646458563", "매물Link")</f>
        <v/>
      </c>
      <c r="J670" s="5">
        <f>HYPERLINK("https://map.naver.com/p/search/나성동 829", "지도Link")</f>
        <v/>
      </c>
      <c r="K670" s="5">
        <f>HYPERLINK("http://www.eum.go.kr/web/ar/lu/luLandDet.jsp?pnu=3611010700108290000&amp;isNoScr=script&amp;mode=search", "토지이음")</f>
        <v/>
      </c>
      <c r="L670" s="3" t="inlineStr">
        <is>
          <t>어반에스테이트</t>
        </is>
      </c>
      <c r="M670" s="3" t="n">
        <v>1</v>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3" t="inlineStr">
        <is>
          <t>수의동 농지 매매. 관심 있으신분 연락주세요.</t>
        </is>
      </c>
      <c r="I671" s="5">
        <f>HYPERLINK("https://fin.land.naver.com/articles/2649564649", "매물Link")</f>
        <v/>
      </c>
      <c r="J671" s="5">
        <f>HYPERLINK("https://map.naver.com/p/search/나성동 829", "지도Link")</f>
        <v/>
      </c>
      <c r="K671" s="5">
        <f>HYPERLINK("http://www.eum.go.kr/web/ar/lu/luLandDet.jsp?pnu=3611010700108290000&amp;isNoScr=script&amp;mode=search", "토지이음")</f>
        <v/>
      </c>
      <c r="L671" s="3" t="inlineStr">
        <is>
          <t>현대</t>
        </is>
      </c>
      <c r="M671" s="3" t="n">
        <v>1</v>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3" t="inlineStr">
        <is>
          <t>청주하이테크벨리산업단지 인근 투자로 좋아요</t>
        </is>
      </c>
      <c r="I672" s="5">
        <f>HYPERLINK("https://fin.land.naver.com/articles/2645228986", "매물Link")</f>
        <v/>
      </c>
      <c r="J672" s="5">
        <f>HYPERLINK("https://map.naver.com/p/search/나성동 829", "지도Link")</f>
        <v/>
      </c>
      <c r="K672" s="5">
        <f>HYPERLINK("http://www.eum.go.kr/web/ar/lu/luLandDet.jsp?pnu=3611010700108290000&amp;isNoScr=script&amp;mode=search", "토지이음")</f>
        <v/>
      </c>
      <c r="L672" s="3" t="inlineStr">
        <is>
          <t>태평</t>
        </is>
      </c>
      <c r="M672" s="3" t="n">
        <v>1</v>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3" t="inlineStr">
        <is>
          <t>nan</t>
        </is>
      </c>
      <c r="I673" s="5">
        <f>HYPERLINK("https://fin.land.naver.com/articles/2644216202", "매물Link")</f>
        <v/>
      </c>
      <c r="J673" s="5">
        <f>HYPERLINK("https://map.naver.com/p/search/나성동 829", "지도Link")</f>
        <v/>
      </c>
      <c r="K673" s="5">
        <f>HYPERLINK("http://www.eum.go.kr/web/ar/lu/luLandDet.jsp?pnu=3611010700108290000&amp;isNoScr=script&amp;mode=search", "토지이음")</f>
        <v/>
      </c>
      <c r="L673" s="3" t="inlineStr">
        <is>
          <t>금탑</t>
        </is>
      </c>
      <c r="M673" s="3" t="n">
        <v>1</v>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3" t="inlineStr">
        <is>
          <t>오송평야지에 위치한 토지임</t>
        </is>
      </c>
      <c r="I674" s="5">
        <f>HYPERLINK("https://fin.land.naver.com/articles/2644985924", "매물Link")</f>
        <v/>
      </c>
      <c r="J674" s="5">
        <f>HYPERLINK("https://map.naver.com/p/search/나성동 829", "지도Link")</f>
        <v/>
      </c>
      <c r="K674" s="5">
        <f>HYPERLINK("http://www.eum.go.kr/web/ar/lu/luLandDet.jsp?pnu=3611010700108290000&amp;isNoScr=script&amp;mode=search", "토지이음")</f>
        <v/>
      </c>
      <c r="L674" s="3" t="inlineStr">
        <is>
          <t>교차로</t>
        </is>
      </c>
      <c r="M674" s="3" t="n">
        <v>1</v>
      </c>
    </row>
    <row r="675">
      <c r="A675" s="3" t="inlineStr">
        <is>
          <t>나성동 829</t>
        </is>
      </c>
      <c r="B675" s="3" t="inlineStr">
        <is>
          <t>중심상업지역</t>
        </is>
      </c>
      <c r="C675" s="3" t="inlineStr">
        <is>
          <t>대</t>
        </is>
      </c>
      <c r="D675" s="3" t="inlineStr">
        <is>
          <t>대</t>
        </is>
      </c>
      <c r="E675" s="3" t="inlineStr">
        <is>
          <t>매매</t>
        </is>
      </c>
      <c r="F675" s="4" t="n">
        <v>27000</v>
      </c>
      <c r="G675" s="4" t="n">
        <v>245</v>
      </c>
      <c r="H675" s="3" t="inlineStr">
        <is>
          <t>좋은위치에 있어요. 단독주택건축원하시는분</t>
        </is>
      </c>
      <c r="I675" s="5">
        <f>HYPERLINK("https://fin.land.naver.com/articles/2645803899", "매물Link")</f>
        <v/>
      </c>
      <c r="J675" s="5">
        <f>HYPERLINK("https://map.naver.com/p/search/나성동 829", "지도Link")</f>
        <v/>
      </c>
      <c r="K675" s="5">
        <f>HYPERLINK("http://www.eum.go.kr/web/ar/lu/luLandDet.jsp?pnu=3611010700108290000&amp;isNoScr=script&amp;mode=search", "토지이음")</f>
        <v/>
      </c>
      <c r="L675" s="3" t="inlineStr">
        <is>
          <t>모아</t>
        </is>
      </c>
      <c r="M675" s="3" t="n">
        <v>1</v>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3" t="inlineStr">
        <is>
          <t>도심에 가까운 농지입니다</t>
        </is>
      </c>
      <c r="I676" s="5">
        <f>HYPERLINK("https://fin.land.naver.com/articles/2645971312", "매물Link")</f>
        <v/>
      </c>
      <c r="J676" s="5">
        <f>HYPERLINK("https://map.naver.com/p/search/나성동 829", "지도Link")</f>
        <v/>
      </c>
      <c r="K676" s="5">
        <f>HYPERLINK("http://www.eum.go.kr/web/ar/lu/luLandDet.jsp?pnu=3611010700108290000&amp;isNoScr=script&amp;mode=search", "토지이음")</f>
        <v/>
      </c>
      <c r="L676" s="3" t="inlineStr">
        <is>
          <t>오송2단지창조</t>
        </is>
      </c>
      <c r="M676" s="3" t="n">
        <v>1</v>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3" t="inlineStr">
        <is>
          <t>계획관리지역 , 주거개발진흥지구강외오송지구 , 성장관리계획구역</t>
        </is>
      </c>
      <c r="I677" s="5">
        <f>HYPERLINK("https://fin.land.naver.com/articles/2646140378", "매물Link")</f>
        <v/>
      </c>
      <c r="J677" s="5">
        <f>HYPERLINK("https://map.naver.com/p/search/나성동 829", "지도Link")</f>
        <v/>
      </c>
      <c r="K677" s="5">
        <f>HYPERLINK("http://www.eum.go.kr/web/ar/lu/luLandDet.jsp?pnu=3611010700108290000&amp;isNoScr=script&amp;mode=search", "토지이음")</f>
        <v/>
      </c>
      <c r="L677" s="3" t="inlineStr">
        <is>
          <t>오송퍼스트영웅</t>
        </is>
      </c>
      <c r="M677" s="3" t="n">
        <v>1</v>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3" t="inlineStr">
        <is>
          <t>오송 호계리 2차선 접 토지입니다</t>
        </is>
      </c>
      <c r="I678" s="5">
        <f>HYPERLINK("https://fin.land.naver.com/articles/2646563281", "매물Link")</f>
        <v/>
      </c>
      <c r="J678" s="5">
        <f>HYPERLINK("https://map.naver.com/p/search/나성동 829", "지도Link")</f>
        <v/>
      </c>
      <c r="K678" s="5">
        <f>HYPERLINK("http://www.eum.go.kr/web/ar/lu/luLandDet.jsp?pnu=3611010700108290000&amp;isNoScr=script&amp;mode=search", "토지이음")</f>
        <v/>
      </c>
      <c r="L678" s="3" t="inlineStr">
        <is>
          <t>원봉힐데스하임</t>
        </is>
      </c>
      <c r="M678" s="3" t="n">
        <v>1</v>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3" t="inlineStr">
        <is>
          <t>대로변 광고효과 좋음</t>
        </is>
      </c>
      <c r="I679" s="5">
        <f>HYPERLINK("https://fin.land.naver.com/articles/2647331310", "매물Link")</f>
        <v/>
      </c>
      <c r="J679" s="5">
        <f>HYPERLINK("https://map.naver.com/p/search/나성동 829", "지도Link")</f>
        <v/>
      </c>
      <c r="K679" s="5">
        <f>HYPERLINK("http://www.eum.go.kr/web/ar/lu/luLandDet.jsp?pnu=3611010700108290000&amp;isNoScr=script&amp;mode=search", "토지이음")</f>
        <v/>
      </c>
      <c r="L679" s="3" t="inlineStr">
        <is>
          <t>노블</t>
        </is>
      </c>
      <c r="M679" s="3" t="n">
        <v>1</v>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3" t="inlineStr">
        <is>
          <t>오송화장품단지 인근이며 전원주택조성된곳</t>
        </is>
      </c>
      <c r="I680" s="5">
        <f>HYPERLINK("https://fin.land.naver.com/articles/2648090058", "매물Link")</f>
        <v/>
      </c>
      <c r="J680" s="5">
        <f>HYPERLINK("https://map.naver.com/p/search/나성동 829", "지도Link")</f>
        <v/>
      </c>
      <c r="K680" s="5">
        <f>HYPERLINK("http://www.eum.go.kr/web/ar/lu/luLandDet.jsp?pnu=3611010700108290000&amp;isNoScr=script&amp;mode=search", "토지이음")</f>
        <v/>
      </c>
      <c r="L680" s="3" t="inlineStr">
        <is>
          <t>더원</t>
        </is>
      </c>
      <c r="M680" s="3" t="n">
        <v>1</v>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3" t="inlineStr">
        <is>
          <t>2차선도로접함  오송국가산업단지 개발됨 가격조율가능</t>
        </is>
      </c>
      <c r="I681" s="5">
        <f>HYPERLINK("https://fin.land.naver.com/articles/2644960297", "매물Link")</f>
        <v/>
      </c>
      <c r="J681" s="5">
        <f>HYPERLINK("https://map.naver.com/p/search/나성동 829", "지도Link")</f>
        <v/>
      </c>
      <c r="K681" s="5">
        <f>HYPERLINK("http://www.eum.go.kr/web/ar/lu/luLandDet.jsp?pnu=3611010700108290000&amp;isNoScr=script&amp;mode=search", "토지이음")</f>
        <v/>
      </c>
      <c r="L681" s="3" t="inlineStr">
        <is>
          <t>지웰시티합동</t>
        </is>
      </c>
      <c r="M681" s="3" t="n">
        <v>1</v>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3" t="inlineStr">
        <is>
          <t>오송2산단 아파트 11,000세대 및 주택밀집지역 일반상업지역 주차장부지</t>
        </is>
      </c>
      <c r="I682" s="5">
        <f>HYPERLINK("https://fin.land.naver.com/articles/2649677149", "매물Link")</f>
        <v/>
      </c>
      <c r="J682" s="5">
        <f>HYPERLINK("https://map.naver.com/p/search/나성동 829", "지도Link")</f>
        <v/>
      </c>
      <c r="K682" s="5">
        <f>HYPERLINK("http://www.eum.go.kr/web/ar/lu/luLandDet.jsp?pnu=3611010700108290000&amp;isNoScr=script&amp;mode=search", "토지이음")</f>
        <v/>
      </c>
      <c r="L682" s="3" t="inlineStr">
        <is>
          <t>더원</t>
        </is>
      </c>
      <c r="M682" s="3" t="n">
        <v>1</v>
      </c>
    </row>
    <row r="683">
      <c r="A683" s="3" t="inlineStr">
        <is>
          <t>나성동 829</t>
        </is>
      </c>
      <c r="B683" s="3" t="inlineStr">
        <is>
          <t>중심상업지역</t>
        </is>
      </c>
      <c r="C683" s="3" t="inlineStr">
        <is>
          <t>대</t>
        </is>
      </c>
      <c r="D683" s="3" t="inlineStr">
        <is>
          <t>대</t>
        </is>
      </c>
      <c r="E683" s="3" t="inlineStr">
        <is>
          <t>매매</t>
        </is>
      </c>
      <c r="F683" s="4" t="n">
        <v>75000</v>
      </c>
      <c r="G683" s="4" t="n">
        <v>552</v>
      </c>
      <c r="H683" s="3" t="inlineStr">
        <is>
          <t>오송 역세권 인근 장기 투자가치 우수한 토지</t>
        </is>
      </c>
      <c r="I683" s="5">
        <f>HYPERLINK("https://fin.land.naver.com/articles/2649662885", "매물Link")</f>
        <v/>
      </c>
      <c r="J683" s="5">
        <f>HYPERLINK("https://map.naver.com/p/search/나성동 829", "지도Link")</f>
        <v/>
      </c>
      <c r="K683" s="5">
        <f>HYPERLINK("http://www.eum.go.kr/web/ar/lu/luLandDet.jsp?pnu=3611010700108290000&amp;isNoScr=script&amp;mode=search", "토지이음")</f>
        <v/>
      </c>
      <c r="L683" s="3" t="inlineStr">
        <is>
          <t>더원</t>
        </is>
      </c>
      <c r="M683" s="3" t="n">
        <v>1</v>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3" t="inlineStr">
        <is>
          <t>투자용 추천</t>
        </is>
      </c>
      <c r="I684" s="5">
        <f>HYPERLINK("https://fin.land.naver.com/articles/2647889863", "매물Link")</f>
        <v/>
      </c>
      <c r="J684" s="5">
        <f>HYPERLINK("https://map.naver.com/p/search/나성동 829", "지도Link")</f>
        <v/>
      </c>
      <c r="K684" s="5">
        <f>HYPERLINK("http://www.eum.go.kr/web/ar/lu/luLandDet.jsp?pnu=3611010700108290000&amp;isNoScr=script&amp;mode=search", "토지이음")</f>
        <v/>
      </c>
      <c r="L684" s="3" t="inlineStr">
        <is>
          <t>부성</t>
        </is>
      </c>
      <c r="M684" s="3" t="n">
        <v>1</v>
      </c>
    </row>
    <row r="685">
      <c r="A685" s="3" t="inlineStr">
        <is>
          <t>나성동 829</t>
        </is>
      </c>
      <c r="B685" s="3" t="inlineStr">
        <is>
          <t>중심상업지역</t>
        </is>
      </c>
      <c r="C685" s="3" t="inlineStr">
        <is>
          <t>대</t>
        </is>
      </c>
      <c r="D685" s="3" t="inlineStr">
        <is>
          <t>대</t>
        </is>
      </c>
      <c r="E685" s="3" t="inlineStr">
        <is>
          <t>매매</t>
        </is>
      </c>
      <c r="F685" s="4" t="n">
        <v>18000</v>
      </c>
      <c r="G685" s="4" t="n">
        <v>351</v>
      </c>
      <c r="H685" s="3" t="inlineStr">
        <is>
          <t>예쁜 주택 짖고 사세요</t>
        </is>
      </c>
      <c r="I685" s="5">
        <f>HYPERLINK("https://fin.land.naver.com/articles/2648663291", "매물Link")</f>
        <v/>
      </c>
      <c r="J685" s="5">
        <f>HYPERLINK("https://map.naver.com/p/search/나성동 829", "지도Link")</f>
        <v/>
      </c>
      <c r="K685" s="5">
        <f>HYPERLINK("http://www.eum.go.kr/web/ar/lu/luLandDet.jsp?pnu=3611010700108290000&amp;isNoScr=script&amp;mode=search", "토지이음")</f>
        <v/>
      </c>
      <c r="L685" s="3" t="inlineStr">
        <is>
          <t>새봄</t>
        </is>
      </c>
      <c r="M685" s="3" t="n">
        <v>1</v>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3" t="inlineStr">
        <is>
          <t>오송읍 역세권 일반상업지 토지, 오송역 배후지역, 오송생명 산업단지</t>
        </is>
      </c>
      <c r="I686" s="5">
        <f>HYPERLINK("https://fin.land.naver.com/articles/2648395193", "매물Link")</f>
        <v/>
      </c>
      <c r="J686" s="5">
        <f>HYPERLINK("https://map.naver.com/p/search/나성동 829", "지도Link")</f>
        <v/>
      </c>
      <c r="K686" s="5">
        <f>HYPERLINK("http://www.eum.go.kr/web/ar/lu/luLandDet.jsp?pnu=3611010700108290000&amp;isNoScr=script&amp;mode=search", "토지이음")</f>
        <v/>
      </c>
      <c r="L686" s="3" t="inlineStr">
        <is>
          <t>스카이</t>
        </is>
      </c>
      <c r="M686" s="3" t="n">
        <v>1</v>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3" t="inlineStr">
        <is>
          <t>이쁜 토지 모양 안정적인 투자처 찾는 분께 추천 드립니다.</t>
        </is>
      </c>
      <c r="I687" s="5">
        <f>HYPERLINK("https://fin.land.naver.com/articles/2644750402", "매물Link")</f>
        <v/>
      </c>
      <c r="J687" s="5">
        <f>HYPERLINK("https://map.naver.com/p/search/나성동 829", "지도Link")</f>
        <v/>
      </c>
      <c r="K687" s="5">
        <f>HYPERLINK("http://www.eum.go.kr/web/ar/lu/luLandDet.jsp?pnu=3611010700108290000&amp;isNoScr=script&amp;mode=search", "토지이음")</f>
        <v/>
      </c>
      <c r="L687" s="3" t="inlineStr">
        <is>
          <t>오송퍼스트영웅</t>
        </is>
      </c>
      <c r="M687" s="3" t="n">
        <v>1</v>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3" t="inlineStr">
        <is>
          <t>보전 관리 지역 지목 전</t>
        </is>
      </c>
      <c r="I688" s="5">
        <f>HYPERLINK("https://fin.land.naver.com/articles/2644730725", "매물Link")</f>
        <v/>
      </c>
      <c r="J688" s="5">
        <f>HYPERLINK("https://map.naver.com/p/search/나성동 829", "지도Link")</f>
        <v/>
      </c>
      <c r="K688" s="5">
        <f>HYPERLINK("http://www.eum.go.kr/web/ar/lu/luLandDet.jsp?pnu=3611010700108290000&amp;isNoScr=script&amp;mode=search", "토지이음")</f>
        <v/>
      </c>
      <c r="L688" s="3" t="inlineStr">
        <is>
          <t>오송퍼스트영웅</t>
        </is>
      </c>
      <c r="M688" s="3" t="n">
        <v>1</v>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3" t="inlineStr">
        <is>
          <t>금액조율가능</t>
        </is>
      </c>
      <c r="I689" s="5">
        <f>HYPERLINK("https://fin.land.naver.com/articles/2648043178", "매물Link")</f>
        <v/>
      </c>
      <c r="J689" s="5">
        <f>HYPERLINK("https://map.naver.com/p/search/나성동 829", "지도Link")</f>
        <v/>
      </c>
      <c r="K689" s="5">
        <f>HYPERLINK("http://www.eum.go.kr/web/ar/lu/luLandDet.jsp?pnu=3611010700108290000&amp;isNoScr=script&amp;mode=search", "토지이음")</f>
        <v/>
      </c>
      <c r="L689" s="3" t="inlineStr">
        <is>
          <t>미소</t>
        </is>
      </c>
      <c r="M689" s="3" t="n">
        <v>2</v>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3" t="inlineStr">
        <is>
          <t>하이테크밸리 산업단지 인근 청주도심 접근성 좋음</t>
        </is>
      </c>
      <c r="I690" s="5">
        <f>HYPERLINK("https://fin.land.naver.com/articles/2649038832", "매물Link")</f>
        <v/>
      </c>
      <c r="J690" s="5">
        <f>HYPERLINK("https://map.naver.com/p/search/나성동 829", "지도Link")</f>
        <v/>
      </c>
      <c r="K690" s="5">
        <f>HYPERLINK("http://www.eum.go.kr/web/ar/lu/luLandDet.jsp?pnu=3611010700108290000&amp;isNoScr=script&amp;mode=search", "토지이음")</f>
        <v/>
      </c>
      <c r="L690" s="3" t="inlineStr">
        <is>
          <t>더원</t>
        </is>
      </c>
      <c r="M690" s="3" t="n">
        <v>1</v>
      </c>
    </row>
    <row r="691">
      <c r="A691" s="3" t="inlineStr">
        <is>
          <t>나성동 829</t>
        </is>
      </c>
      <c r="B691" s="3" t="inlineStr">
        <is>
          <t>중심상업지역</t>
        </is>
      </c>
      <c r="C691" s="3" t="inlineStr">
        <is>
          <t>대</t>
        </is>
      </c>
      <c r="D691" s="3" t="inlineStr">
        <is>
          <t>대</t>
        </is>
      </c>
      <c r="E691" s="3" t="inlineStr">
        <is>
          <t>매매</t>
        </is>
      </c>
      <c r="F691" s="4" t="n">
        <v>27000</v>
      </c>
      <c r="G691" s="4" t="n">
        <v>678</v>
      </c>
      <c r="H691" s="3" t="inlineStr">
        <is>
          <t>대지 계획관리 소액투자적합 대토 추천</t>
        </is>
      </c>
      <c r="I691" s="5">
        <f>HYPERLINK("https://fin.land.naver.com/articles/2649583774", "매물Link")</f>
        <v/>
      </c>
      <c r="J691" s="5">
        <f>HYPERLINK("https://map.naver.com/p/search/나성동 829", "지도Link")</f>
        <v/>
      </c>
      <c r="K691" s="5">
        <f>HYPERLINK("http://www.eum.go.kr/web/ar/lu/luLandDet.jsp?pnu=3611010700108290000&amp;isNoScr=script&amp;mode=search", "토지이음")</f>
        <v/>
      </c>
      <c r="L691" s="3" t="inlineStr">
        <is>
          <t>수풀림</t>
        </is>
      </c>
      <c r="M691" s="3" t="n">
        <v>1</v>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3" t="inlineStr">
        <is>
          <t>오송역세권과 대형아파트단지및 국가산단 사이로 둘러싸인 오송의 최상 지역</t>
        </is>
      </c>
      <c r="I692" s="5">
        <f>HYPERLINK("https://fin.land.naver.com/articles/2644937034", "매물Link")</f>
        <v/>
      </c>
      <c r="J692" s="5">
        <f>HYPERLINK("https://map.naver.com/p/search/나성동 829", "지도Link")</f>
        <v/>
      </c>
      <c r="K692" s="5">
        <f>HYPERLINK("http://www.eum.go.kr/web/ar/lu/luLandDet.jsp?pnu=3611010700108290000&amp;isNoScr=script&amp;mode=search", "토지이음")</f>
        <v/>
      </c>
      <c r="L692" s="3" t="inlineStr">
        <is>
          <t>온누리</t>
        </is>
      </c>
      <c r="M692" s="3" t="n">
        <v>1</v>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3" t="inlineStr">
        <is>
          <t>2차선 접한 농지,코너각지,공장,창고,주택등 활용도 다양</t>
        </is>
      </c>
      <c r="I693" s="5">
        <f>HYPERLINK("https://fin.land.naver.com/articles/2646173829", "매물Link")</f>
        <v/>
      </c>
      <c r="J693" s="5">
        <f>HYPERLINK("https://map.naver.com/p/search/나성동 829", "지도Link")</f>
        <v/>
      </c>
      <c r="K693" s="5">
        <f>HYPERLINK("http://www.eum.go.kr/web/ar/lu/luLandDet.jsp?pnu=3611010700108290000&amp;isNoScr=script&amp;mode=search", "토지이음")</f>
        <v/>
      </c>
      <c r="L693" s="3" t="inlineStr">
        <is>
          <t>신안무소</t>
        </is>
      </c>
      <c r="M693" s="3" t="n">
        <v>1</v>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3" t="inlineStr">
        <is>
          <t>OK. 오송읍 임야 매매</t>
        </is>
      </c>
      <c r="I694" s="5">
        <f>HYPERLINK("https://fin.land.naver.com/articles/2646582197", "매물Link")</f>
        <v/>
      </c>
      <c r="J694" s="5">
        <f>HYPERLINK("https://map.naver.com/p/search/나성동 829", "지도Link")</f>
        <v/>
      </c>
      <c r="K694" s="5">
        <f>HYPERLINK("http://www.eum.go.kr/web/ar/lu/luLandDet.jsp?pnu=3611010700108290000&amp;isNoScr=script&amp;mode=search", "토지이음")</f>
        <v/>
      </c>
      <c r="L694" s="3" t="inlineStr">
        <is>
          <t>OK</t>
        </is>
      </c>
      <c r="M694" s="3" t="n">
        <v>1</v>
      </c>
    </row>
    <row r="695">
      <c r="A695" s="3" t="inlineStr">
        <is>
          <t>나성동 829</t>
        </is>
      </c>
      <c r="B695" s="3" t="inlineStr">
        <is>
          <t>중심상업지역</t>
        </is>
      </c>
      <c r="C695" s="3" t="inlineStr">
        <is>
          <t>대</t>
        </is>
      </c>
      <c r="D695" s="3" t="inlineStr">
        <is>
          <t>대</t>
        </is>
      </c>
      <c r="E695" s="3" t="inlineStr">
        <is>
          <t>매매</t>
        </is>
      </c>
      <c r="F695" s="4" t="n">
        <v>66000</v>
      </c>
      <c r="G695" s="4" t="n">
        <v>877</v>
      </c>
      <c r="H695" s="3" t="inlineStr">
        <is>
          <t>과학단지 근교 소현 찻집, 카페, 주택건립지로 추천.</t>
        </is>
      </c>
      <c r="I695" s="5">
        <f>HYPERLINK("https://fin.land.naver.com/articles/2646744316", "매물Link")</f>
        <v/>
      </c>
      <c r="J695" s="5">
        <f>HYPERLINK("https://map.naver.com/p/search/나성동 829", "지도Link")</f>
        <v/>
      </c>
      <c r="K695" s="5">
        <f>HYPERLINK("http://www.eum.go.kr/web/ar/lu/luLandDet.jsp?pnu=3611010700108290000&amp;isNoScr=script&amp;mode=search", "토지이음")</f>
        <v/>
      </c>
      <c r="L695" s="3" t="inlineStr">
        <is>
          <t>오송k랜드</t>
        </is>
      </c>
      <c r="M695" s="3" t="n">
        <v>1</v>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3" t="inlineStr">
        <is>
          <t>현재 임야상태임.  투자용으로 최적임.</t>
        </is>
      </c>
      <c r="I696" s="5">
        <f>HYPERLINK("https://fin.land.naver.com/articles/2646980173", "매물Link")</f>
        <v/>
      </c>
      <c r="J696" s="5">
        <f>HYPERLINK("https://map.naver.com/p/search/나성동 829", "지도Link")</f>
        <v/>
      </c>
      <c r="K696" s="5">
        <f>HYPERLINK("http://www.eum.go.kr/web/ar/lu/luLandDet.jsp?pnu=3611010700108290000&amp;isNoScr=script&amp;mode=search", "토지이음")</f>
        <v/>
      </c>
      <c r="L696" s="3" t="inlineStr">
        <is>
          <t>교차로</t>
        </is>
      </c>
      <c r="M696" s="3" t="n">
        <v>1</v>
      </c>
    </row>
    <row r="697">
      <c r="A697" s="3" t="inlineStr">
        <is>
          <t>나성동 829</t>
        </is>
      </c>
      <c r="B697" s="3" t="inlineStr">
        <is>
          <t>중심상업지역</t>
        </is>
      </c>
      <c r="C697" s="3" t="inlineStr">
        <is>
          <t>대</t>
        </is>
      </c>
      <c r="D697" s="3" t="inlineStr">
        <is>
          <t>전</t>
        </is>
      </c>
      <c r="E697" s="3" t="inlineStr">
        <is>
          <t>매매</t>
        </is>
      </c>
      <c r="F697" s="4" t="n">
        <v>33000</v>
      </c>
      <c r="G697" s="4" t="n">
        <v>992</v>
      </c>
      <c r="H697" s="3" t="inlineStr">
        <is>
          <t>오송2산단 도시지역과 인근거리에 위치하는 전원주택 부지로 추천</t>
        </is>
      </c>
      <c r="I697" s="5">
        <f>HYPERLINK("https://fin.land.naver.com/articles/2647186944", "매물Link")</f>
        <v/>
      </c>
      <c r="J697" s="5">
        <f>HYPERLINK("https://map.naver.com/p/search/나성동 829", "지도Link")</f>
        <v/>
      </c>
      <c r="K697" s="5">
        <f>HYPERLINK("http://www.eum.go.kr/web/ar/lu/luLandDet.jsp?pnu=3611010700108290000&amp;isNoScr=script&amp;mode=search", "토지이음")</f>
        <v/>
      </c>
      <c r="L697" s="3" t="inlineStr">
        <is>
          <t>오송랜드</t>
        </is>
      </c>
      <c r="M697" s="3" t="n">
        <v>1</v>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3" t="inlineStr">
        <is>
          <t>오송산업단지옆 땅으로 투자가치 최상</t>
        </is>
      </c>
      <c r="I698" s="5">
        <f>HYPERLINK("https://fin.land.naver.com/articles/2647722774", "매물Link")</f>
        <v/>
      </c>
      <c r="J698" s="5">
        <f>HYPERLINK("https://map.naver.com/p/search/나성동 829", "지도Link")</f>
        <v/>
      </c>
      <c r="K698" s="5">
        <f>HYPERLINK("http://www.eum.go.kr/web/ar/lu/luLandDet.jsp?pnu=3611010700108290000&amp;isNoScr=script&amp;mode=search", "토지이음")</f>
        <v/>
      </c>
      <c r="L698" s="3" t="inlineStr">
        <is>
          <t>토지</t>
        </is>
      </c>
      <c r="M698" s="3" t="n">
        <v>1</v>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3" t="inlineStr">
        <is>
          <t>쌍청리 농업용 및 투자용토지</t>
        </is>
      </c>
      <c r="I699" s="5">
        <f>HYPERLINK("https://fin.land.naver.com/articles/2648038216", "매물Link")</f>
        <v/>
      </c>
      <c r="J699" s="5">
        <f>HYPERLINK("https://map.naver.com/p/search/나성동 829", "지도Link")</f>
        <v/>
      </c>
      <c r="K699" s="5">
        <f>HYPERLINK("http://www.eum.go.kr/web/ar/lu/luLandDet.jsp?pnu=3611010700108290000&amp;isNoScr=script&amp;mode=search", "토지이음")</f>
        <v/>
      </c>
      <c r="L699" s="3" t="inlineStr">
        <is>
          <t>굿리치합동사무소</t>
        </is>
      </c>
      <c r="M699" s="3" t="n">
        <v>1</v>
      </c>
    </row>
    <row r="700">
      <c r="A700" s="3" t="inlineStr">
        <is>
          <t>나성동 829</t>
        </is>
      </c>
      <c r="B700" s="3" t="inlineStr">
        <is>
          <t>중심상업지역</t>
        </is>
      </c>
      <c r="C700" s="3" t="inlineStr">
        <is>
          <t>대</t>
        </is>
      </c>
      <c r="D700" s="3" t="inlineStr">
        <is>
          <t>대</t>
        </is>
      </c>
      <c r="E700" s="3" t="inlineStr">
        <is>
          <t>매매</t>
        </is>
      </c>
      <c r="F700" s="4" t="n">
        <v>27000</v>
      </c>
      <c r="G700" s="4" t="n">
        <v>245</v>
      </c>
      <c r="H700" s="3" t="inlineStr">
        <is>
          <t>다가구주택(원투룸) 건축 토지</t>
        </is>
      </c>
      <c r="I700" s="5">
        <f>HYPERLINK("https://fin.land.naver.com/articles/2648290252", "매물Link")</f>
        <v/>
      </c>
      <c r="J700" s="5">
        <f>HYPERLINK("https://map.naver.com/p/search/나성동 829", "지도Link")</f>
        <v/>
      </c>
      <c r="K700" s="5">
        <f>HYPERLINK("http://www.eum.go.kr/web/ar/lu/luLandDet.jsp?pnu=3611010700108290000&amp;isNoScr=script&amp;mode=search", "토지이음")</f>
        <v/>
      </c>
      <c r="L700" s="3" t="inlineStr">
        <is>
          <t>연주영</t>
        </is>
      </c>
      <c r="M700" s="3" t="n">
        <v>1</v>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3" t="inlineStr">
        <is>
          <t>세종로와 오송생명로 로 연결된 교통중심지 4차선에 연결된 8m도로에 접함</t>
        </is>
      </c>
      <c r="I701" s="5">
        <f>HYPERLINK("https://fin.land.naver.com/articles/2648321911", "매물Link")</f>
        <v/>
      </c>
      <c r="J701" s="5">
        <f>HYPERLINK("https://map.naver.com/p/search/나성동 829", "지도Link")</f>
        <v/>
      </c>
      <c r="K701" s="5">
        <f>HYPERLINK("http://www.eum.go.kr/web/ar/lu/luLandDet.jsp?pnu=3611010700108290000&amp;isNoScr=script&amp;mode=search", "토지이음")</f>
        <v/>
      </c>
      <c r="L701" s="3" t="inlineStr">
        <is>
          <t>온누리</t>
        </is>
      </c>
      <c r="M701" s="3" t="n">
        <v>1</v>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3" t="inlineStr">
        <is>
          <t>4m 도로 접, 3산단 수용지 인접 개발호재, 성토 완료, 마을 인근지</t>
        </is>
      </c>
      <c r="I702" s="5">
        <f>HYPERLINK("https://fin.land.naver.com/articles/2648620491", "매물Link")</f>
        <v/>
      </c>
      <c r="J702" s="5">
        <f>HYPERLINK("https://map.naver.com/p/search/나성동 829", "지도Link")</f>
        <v/>
      </c>
      <c r="K702" s="5">
        <f>HYPERLINK("http://www.eum.go.kr/web/ar/lu/luLandDet.jsp?pnu=3611010700108290000&amp;isNoScr=script&amp;mode=search", "토지이음")</f>
        <v/>
      </c>
      <c r="L702" s="3" t="inlineStr">
        <is>
          <t>오송3산단  사무소</t>
        </is>
      </c>
      <c r="M702" s="3" t="n">
        <v>1</v>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3" t="inlineStr">
        <is>
          <t>nan</t>
        </is>
      </c>
      <c r="I703" s="5">
        <f>HYPERLINK("https://fin.land.naver.com/articles/2648991095", "매물Link")</f>
        <v/>
      </c>
      <c r="J703" s="5">
        <f>HYPERLINK("https://map.naver.com/p/search/나성동 829", "지도Link")</f>
        <v/>
      </c>
      <c r="K703" s="5">
        <f>HYPERLINK("http://www.eum.go.kr/web/ar/lu/luLandDet.jsp?pnu=3611010700108290000&amp;isNoScr=script&amp;mode=search", "토지이음")</f>
        <v/>
      </c>
      <c r="L703" s="3" t="inlineStr">
        <is>
          <t>오송랜드</t>
        </is>
      </c>
      <c r="M703" s="3" t="n">
        <v>1</v>
      </c>
    </row>
    <row r="704">
      <c r="A704" s="3" t="inlineStr">
        <is>
          <t>나성동 829</t>
        </is>
      </c>
      <c r="B704" s="3" t="inlineStr">
        <is>
          <t>중심상업지역</t>
        </is>
      </c>
      <c r="C704" s="3" t="inlineStr">
        <is>
          <t>대</t>
        </is>
      </c>
      <c r="D704" s="3" t="inlineStr">
        <is>
          <t>전</t>
        </is>
      </c>
      <c r="E704" s="3" t="inlineStr">
        <is>
          <t>매매</t>
        </is>
      </c>
      <c r="F704" s="4" t="n">
        <v>23000</v>
      </c>
      <c r="G704" s="4" t="n">
        <v>602</v>
      </c>
      <c r="H704" s="3" t="inlineStr">
        <is>
          <t>주말농장,주말쉼터, 전원주택부지로 추천</t>
        </is>
      </c>
      <c r="I704" s="5">
        <f>HYPERLINK("https://fin.land.naver.com/articles/2644429369", "매물Link")</f>
        <v/>
      </c>
      <c r="J704" s="5">
        <f>HYPERLINK("https://map.naver.com/p/search/나성동 829", "지도Link")</f>
        <v/>
      </c>
      <c r="K704" s="5">
        <f>HYPERLINK("http://www.eum.go.kr/web/ar/lu/luLandDet.jsp?pnu=3611010700108290000&amp;isNoScr=script&amp;mode=search", "토지이음")</f>
        <v/>
      </c>
      <c r="L704" s="3" t="inlineStr">
        <is>
          <t>신안무소</t>
        </is>
      </c>
      <c r="M704" s="3" t="n">
        <v>1</v>
      </c>
    </row>
    <row r="705">
      <c r="A705" s="3" t="inlineStr">
        <is>
          <t>나성동 829</t>
        </is>
      </c>
      <c r="B705" s="3" t="inlineStr">
        <is>
          <t>중심상업지역</t>
        </is>
      </c>
      <c r="C705" s="3" t="inlineStr">
        <is>
          <t>대</t>
        </is>
      </c>
      <c r="D705" s="3" t="inlineStr">
        <is>
          <t>대</t>
        </is>
      </c>
      <c r="E705" s="3" t="inlineStr">
        <is>
          <t>매매</t>
        </is>
      </c>
      <c r="F705" s="4" t="n">
        <v>30000</v>
      </c>
      <c r="G705" s="4" t="n">
        <v>694</v>
      </c>
      <c r="H705" s="3" t="inlineStr">
        <is>
          <t>nan</t>
        </is>
      </c>
      <c r="I705" s="5">
        <f>HYPERLINK("https://fin.land.naver.com/articles/2649671150", "매물Link")</f>
        <v/>
      </c>
      <c r="J705" s="5">
        <f>HYPERLINK("https://map.naver.com/p/search/나성동 829", "지도Link")</f>
        <v/>
      </c>
      <c r="K705" s="5">
        <f>HYPERLINK("http://www.eum.go.kr/web/ar/lu/luLandDet.jsp?pnu=3611010700108290000&amp;isNoScr=script&amp;mode=search", "토지이음")</f>
        <v/>
      </c>
      <c r="L705" s="3" t="inlineStr">
        <is>
          <t>대소</t>
        </is>
      </c>
      <c r="M705" s="3" t="n">
        <v>1</v>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3" t="inlineStr">
        <is>
          <t>신촌동 하우스 5개동</t>
        </is>
      </c>
      <c r="I706" s="5">
        <f>HYPERLINK("https://fin.land.naver.com/articles/2646287407", "매물Link")</f>
        <v/>
      </c>
      <c r="J706" s="5">
        <f>HYPERLINK("https://map.naver.com/p/search/나성동 829", "지도Link")</f>
        <v/>
      </c>
      <c r="K706" s="5">
        <f>HYPERLINK("http://www.eum.go.kr/web/ar/lu/luLandDet.jsp?pnu=3611010700108290000&amp;isNoScr=script&amp;mode=search", "토지이음")</f>
        <v/>
      </c>
      <c r="L706" s="3" t="inlineStr">
        <is>
          <t>수풀림</t>
        </is>
      </c>
      <c r="M706" s="3" t="n">
        <v>1</v>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3" t="inlineStr">
        <is>
          <t>원평동 토지</t>
        </is>
      </c>
      <c r="I707" s="5">
        <f>HYPERLINK("https://fin.land.naver.com/articles/2646448356", "매물Link")</f>
        <v/>
      </c>
      <c r="J707" s="5">
        <f>HYPERLINK("https://map.naver.com/p/search/나성동 829", "지도Link")</f>
        <v/>
      </c>
      <c r="K707" s="5">
        <f>HYPERLINK("http://www.eum.go.kr/web/ar/lu/luLandDet.jsp?pnu=3611010700108290000&amp;isNoScr=script&amp;mode=search", "토지이음")</f>
        <v/>
      </c>
      <c r="L707" s="3" t="inlineStr">
        <is>
          <t>어반에스테이트</t>
        </is>
      </c>
      <c r="M707" s="3" t="n">
        <v>1</v>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3" t="inlineStr">
        <is>
          <t>청주시 상신동 토지매매 5.75억</t>
        </is>
      </c>
      <c r="I708" s="5">
        <f>HYPERLINK("https://fin.land.naver.com/articles/2650137976", "매물Link")</f>
        <v/>
      </c>
      <c r="J708" s="5">
        <f>HYPERLINK("https://map.naver.com/p/search/나성동 829", "지도Link")</f>
        <v/>
      </c>
      <c r="K708" s="5">
        <f>HYPERLINK("http://www.eum.go.kr/web/ar/lu/luLandDet.jsp?pnu=3611010700108290000&amp;isNoScr=script&amp;mode=search", "토지이음")</f>
        <v/>
      </c>
      <c r="L708" s="3" t="inlineStr">
        <is>
          <t>땅야박영수사무소</t>
        </is>
      </c>
      <c r="M708" s="3" t="n">
        <v>1</v>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3" t="inlineStr">
        <is>
          <t>신전동 토지 매매</t>
        </is>
      </c>
      <c r="I709" s="5">
        <f>HYPERLINK("https://fin.land.naver.com/articles/2647132557", "매물Link")</f>
        <v/>
      </c>
      <c r="J709" s="5">
        <f>HYPERLINK("https://map.naver.com/p/search/나성동 829", "지도Link")</f>
        <v/>
      </c>
      <c r="K709" s="5">
        <f>HYPERLINK("http://www.eum.go.kr/web/ar/lu/luLandDet.jsp?pnu=3611010700108290000&amp;isNoScr=script&amp;mode=search", "토지이음")</f>
        <v/>
      </c>
      <c r="L709" s="3" t="inlineStr">
        <is>
          <t>사거리</t>
        </is>
      </c>
      <c r="M709" s="3" t="n">
        <v>1</v>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3" t="inlineStr">
        <is>
          <t>청주테크노폴리스,sk하이닉스인근 농지로 향후 지가상승 기대</t>
        </is>
      </c>
      <c r="I710" s="5">
        <f>HYPERLINK("https://fin.land.naver.com/articles/2644881741", "매물Link")</f>
        <v/>
      </c>
      <c r="J710" s="5">
        <f>HYPERLINK("https://map.naver.com/p/search/나성동 829", "지도Link")</f>
        <v/>
      </c>
      <c r="K710" s="5">
        <f>HYPERLINK("http://www.eum.go.kr/web/ar/lu/luLandDet.jsp?pnu=3611010700108290000&amp;isNoScr=script&amp;mode=search", "토지이음")</f>
        <v/>
      </c>
      <c r="L710" s="3" t="inlineStr">
        <is>
          <t>문광</t>
        </is>
      </c>
      <c r="M710" s="3" t="n">
        <v>1</v>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3" t="inlineStr">
        <is>
          <t>청주하이닉스신설공장 바로인접 최적투자지</t>
        </is>
      </c>
      <c r="I711" s="5">
        <f>HYPERLINK("https://fin.land.naver.com/articles/2646744289", "매물Link")</f>
        <v/>
      </c>
      <c r="J711" s="5">
        <f>HYPERLINK("https://map.naver.com/p/search/나성동 829", "지도Link")</f>
        <v/>
      </c>
      <c r="K711" s="5">
        <f>HYPERLINK("http://www.eum.go.kr/web/ar/lu/luLandDet.jsp?pnu=3611010700108290000&amp;isNoScr=script&amp;mode=search", "토지이음")</f>
        <v/>
      </c>
      <c r="L711" s="3" t="inlineStr">
        <is>
          <t>공장365</t>
        </is>
      </c>
      <c r="M711" s="3" t="n">
        <v>1</v>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3" t="inlineStr">
        <is>
          <t>청주 3순환로변 테크노폴리스 인근 생산녹지 농지매매</t>
        </is>
      </c>
      <c r="I712" s="5">
        <f>HYPERLINK("https://fin.land.naver.com/articles/2648640238", "매물Link")</f>
        <v/>
      </c>
      <c r="J712" s="5">
        <f>HYPERLINK("https://map.naver.com/p/search/나성동 829", "지도Link")</f>
        <v/>
      </c>
      <c r="K712" s="5">
        <f>HYPERLINK("http://www.eum.go.kr/web/ar/lu/luLandDet.jsp?pnu=3611010700108290000&amp;isNoScr=script&amp;mode=search", "토지이음")</f>
        <v/>
      </c>
      <c r="L712" s="3" t="inlineStr">
        <is>
          <t>두꺼비</t>
        </is>
      </c>
      <c r="M712" s="3" t="n">
        <v>1</v>
      </c>
    </row>
    <row r="713">
      <c r="A713" s="3" t="inlineStr">
        <is>
          <t>나성동 829</t>
        </is>
      </c>
      <c r="B713" s="3" t="inlineStr">
        <is>
          <t>중심상업지역</t>
        </is>
      </c>
      <c r="C713" s="3" t="inlineStr">
        <is>
          <t>대</t>
        </is>
      </c>
      <c r="D713" s="3" t="inlineStr">
        <is>
          <t>대</t>
        </is>
      </c>
      <c r="E713" s="3" t="inlineStr">
        <is>
          <t>매매</t>
        </is>
      </c>
      <c r="F713" s="4" t="n">
        <v>47000</v>
      </c>
      <c r="G713" s="4" t="n">
        <v>259</v>
      </c>
      <c r="H713" s="3" t="inlineStr">
        <is>
          <t>문암동 토지</t>
        </is>
      </c>
      <c r="I713" s="5">
        <f>HYPERLINK("https://fin.land.naver.com/articles/2646456744", "매물Link")</f>
        <v/>
      </c>
      <c r="J713" s="5">
        <f>HYPERLINK("https://map.naver.com/p/search/나성동 829", "지도Link")</f>
        <v/>
      </c>
      <c r="K713" s="5">
        <f>HYPERLINK("http://www.eum.go.kr/web/ar/lu/luLandDet.jsp?pnu=3611010700108290000&amp;isNoScr=script&amp;mode=search", "토지이음")</f>
        <v/>
      </c>
      <c r="L713" s="3" t="inlineStr">
        <is>
          <t>어반에스테이트</t>
        </is>
      </c>
      <c r="M713" s="3" t="n">
        <v>1</v>
      </c>
    </row>
    <row r="714">
      <c r="A714" s="3" t="inlineStr">
        <is>
          <t>나성동 829</t>
        </is>
      </c>
      <c r="B714" s="3" t="inlineStr">
        <is>
          <t>중심상업지역</t>
        </is>
      </c>
      <c r="C714" s="3" t="inlineStr">
        <is>
          <t>대</t>
        </is>
      </c>
      <c r="D714" s="3" t="inlineStr">
        <is>
          <t>답</t>
        </is>
      </c>
      <c r="E714" s="3" t="inlineStr">
        <is>
          <t>매매</t>
        </is>
      </c>
      <c r="F714" s="4" t="n">
        <v>25000</v>
      </c>
      <c r="G714" s="4" t="n">
        <v>739</v>
      </c>
      <c r="H714" s="3" t="inlineStr">
        <is>
          <t>nan</t>
        </is>
      </c>
      <c r="I714" s="5">
        <f>HYPERLINK("https://fin.land.naver.com/articles/2645970199", "매물Link")</f>
        <v/>
      </c>
      <c r="J714" s="5">
        <f>HYPERLINK("https://map.naver.com/p/search/나성동 829", "지도Link")</f>
        <v/>
      </c>
      <c r="K714" s="5">
        <f>HYPERLINK("http://www.eum.go.kr/web/ar/lu/luLandDet.jsp?pnu=3611010700108290000&amp;isNoScr=script&amp;mode=search", "토지이음")</f>
        <v/>
      </c>
      <c r="L714" s="3" t="inlineStr">
        <is>
          <t>대학</t>
        </is>
      </c>
      <c r="M714" s="3" t="n">
        <v>1</v>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3" t="inlineStr">
        <is>
          <t>경지정리 된 답 생산녹지</t>
        </is>
      </c>
      <c r="I715" s="5">
        <f>HYPERLINK("https://fin.land.naver.com/articles/2647935302", "매물Link")</f>
        <v/>
      </c>
      <c r="J715" s="5">
        <f>HYPERLINK("https://map.naver.com/p/search/나성동 829", "지도Link")</f>
        <v/>
      </c>
      <c r="K715" s="5">
        <f>HYPERLINK("http://www.eum.go.kr/web/ar/lu/luLandDet.jsp?pnu=3611010700108290000&amp;isNoScr=script&amp;mode=search", "토지이음")</f>
        <v/>
      </c>
      <c r="L715" s="3" t="inlineStr">
        <is>
          <t>용암탑</t>
        </is>
      </c>
      <c r="M715" s="3" t="n">
        <v>1</v>
      </c>
    </row>
    <row r="716">
      <c r="A716" s="3" t="inlineStr">
        <is>
          <t>나성동 829</t>
        </is>
      </c>
      <c r="B716" s="3" t="inlineStr">
        <is>
          <t>중심상업지역</t>
        </is>
      </c>
      <c r="C716" s="3" t="inlineStr">
        <is>
          <t>대</t>
        </is>
      </c>
      <c r="D716" s="3" t="inlineStr">
        <is>
          <t>대</t>
        </is>
      </c>
      <c r="E716" s="3" t="inlineStr">
        <is>
          <t>매매</t>
        </is>
      </c>
      <c r="F716" s="4" t="n">
        <v>85000</v>
      </c>
      <c r="G716" s="4" t="n">
        <v>988</v>
      </c>
      <c r="H716" s="3" t="inlineStr">
        <is>
          <t>현재 회사창고로 이용중이며 전면 넒은 주차장</t>
        </is>
      </c>
      <c r="I716" s="5">
        <f>HYPERLINK("https://fin.land.naver.com/articles/2649728000", "매물Link")</f>
        <v/>
      </c>
      <c r="J716" s="5">
        <f>HYPERLINK("https://map.naver.com/p/search/나성동 829", "지도Link")</f>
        <v/>
      </c>
      <c r="K716" s="5">
        <f>HYPERLINK("http://www.eum.go.kr/web/ar/lu/luLandDet.jsp?pnu=3611010700108290000&amp;isNoScr=script&amp;mode=search", "토지이음")</f>
        <v/>
      </c>
      <c r="L716" s="3" t="inlineStr">
        <is>
          <t>옥산제일사무소</t>
        </is>
      </c>
      <c r="M716" s="3" t="n">
        <v>1</v>
      </c>
    </row>
    <row r="717">
      <c r="A717" s="3" t="inlineStr">
        <is>
          <t>나성동 829</t>
        </is>
      </c>
      <c r="B717" s="3" t="inlineStr">
        <is>
          <t>중심상업지역</t>
        </is>
      </c>
      <c r="C717" s="3" t="inlineStr">
        <is>
          <t>대</t>
        </is>
      </c>
      <c r="D717" s="3" t="inlineStr">
        <is>
          <t>답</t>
        </is>
      </c>
      <c r="E717" s="3" t="inlineStr">
        <is>
          <t>매매</t>
        </is>
      </c>
      <c r="F717" s="4" t="n">
        <v>22900</v>
      </c>
      <c r="G717" s="4" t="n">
        <v>522</v>
      </c>
      <c r="H717" s="3" t="inlineStr">
        <is>
          <t>미호천 인근 사통팔달 위치좋은 토지</t>
        </is>
      </c>
      <c r="I717" s="5">
        <f>HYPERLINK("https://fin.land.naver.com/articles/2649796848", "매물Link")</f>
        <v/>
      </c>
      <c r="J717" s="5">
        <f>HYPERLINK("https://map.naver.com/p/search/나성동 829", "지도Link")</f>
        <v/>
      </c>
      <c r="K717" s="5">
        <f>HYPERLINK("http://www.eum.go.kr/web/ar/lu/luLandDet.jsp?pnu=3611010700108290000&amp;isNoScr=script&amp;mode=search", "토지이음")</f>
        <v/>
      </c>
      <c r="L717" s="3" t="inlineStr">
        <is>
          <t>바로</t>
        </is>
      </c>
      <c r="M717" s="3" t="n">
        <v>1</v>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3" t="inlineStr">
        <is>
          <t>옥산 농수산물 도매 시장 접근성 좋은 위치의 토지</t>
        </is>
      </c>
      <c r="I718" s="5">
        <f>HYPERLINK("https://fin.land.naver.com/articles/2648268987", "매물Link")</f>
        <v/>
      </c>
      <c r="J718" s="5">
        <f>HYPERLINK("https://map.naver.com/p/search/나성동 829", "지도Link")</f>
        <v/>
      </c>
      <c r="K718" s="5">
        <f>HYPERLINK("http://www.eum.go.kr/web/ar/lu/luLandDet.jsp?pnu=3611010700108290000&amp;isNoScr=script&amp;mode=search", "토지이음")</f>
        <v/>
      </c>
      <c r="L718" s="3" t="inlineStr">
        <is>
          <t>더원</t>
        </is>
      </c>
      <c r="M718" s="3" t="n">
        <v>1</v>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3" t="inlineStr">
        <is>
          <t>청주시 흥덕구 신대동 4M도로접 자연녹지 급매</t>
        </is>
      </c>
      <c r="I719" s="5">
        <f>HYPERLINK("https://fin.land.naver.com/articles/2646083833", "매물Link")</f>
        <v/>
      </c>
      <c r="J719" s="5">
        <f>HYPERLINK("https://map.naver.com/p/search/나성동 829", "지도Link")</f>
        <v/>
      </c>
      <c r="K719" s="5">
        <f>HYPERLINK("http://www.eum.go.kr/web/ar/lu/luLandDet.jsp?pnu=3611010700108290000&amp;isNoScr=script&amp;mode=search", "토지이음")</f>
        <v/>
      </c>
      <c r="L719" s="3" t="inlineStr">
        <is>
          <t>땅야박영수사무소</t>
        </is>
      </c>
      <c r="M719" s="3" t="n">
        <v>1</v>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3" t="inlineStr">
        <is>
          <t>nan</t>
        </is>
      </c>
      <c r="I720" s="5">
        <f>HYPERLINK("https://fin.land.naver.com/articles/2647419476", "매물Link")</f>
        <v/>
      </c>
      <c r="J720" s="5">
        <f>HYPERLINK("https://map.naver.com/p/search/나성동 829", "지도Link")</f>
        <v/>
      </c>
      <c r="K720" s="5">
        <f>HYPERLINK("http://www.eum.go.kr/web/ar/lu/luLandDet.jsp?pnu=3611010700108290000&amp;isNoScr=script&amp;mode=search", "토지이음")</f>
        <v/>
      </c>
      <c r="L720" s="3" t="inlineStr">
        <is>
          <t>케이투(k2)</t>
        </is>
      </c>
      <c r="M720" s="3" t="n">
        <v>1</v>
      </c>
    </row>
    <row r="721">
      <c r="A721" s="3" t="inlineStr">
        <is>
          <t>나성동 829</t>
        </is>
      </c>
      <c r="B721" s="3" t="inlineStr">
        <is>
          <t>중심상업지역</t>
        </is>
      </c>
      <c r="C721" s="3" t="inlineStr">
        <is>
          <t>대</t>
        </is>
      </c>
      <c r="D721" s="3" t="inlineStr">
        <is>
          <t>대</t>
        </is>
      </c>
      <c r="E721" s="3" t="inlineStr">
        <is>
          <t>매매</t>
        </is>
      </c>
      <c r="F721" s="4" t="n">
        <v>45000</v>
      </c>
      <c r="G721" s="4" t="n">
        <v>265</v>
      </c>
      <c r="H721" s="3" t="inlineStr">
        <is>
          <t>nan</t>
        </is>
      </c>
      <c r="I721" s="5">
        <f>HYPERLINK("https://fin.land.naver.com/articles/2646167703", "매물Link")</f>
        <v/>
      </c>
      <c r="J721" s="5">
        <f>HYPERLINK("https://map.naver.com/p/search/나성동 829", "지도Link")</f>
        <v/>
      </c>
      <c r="K721" s="5">
        <f>HYPERLINK("http://www.eum.go.kr/web/ar/lu/luLandDet.jsp?pnu=3611010700108290000&amp;isNoScr=script&amp;mode=search", "토지이음")</f>
        <v/>
      </c>
      <c r="L721" s="3" t="inlineStr">
        <is>
          <t>대소</t>
        </is>
      </c>
      <c r="M721" s="3" t="n">
        <v>1</v>
      </c>
    </row>
    <row r="722">
      <c r="A722" s="3" t="inlineStr">
        <is>
          <t>나성동 829</t>
        </is>
      </c>
      <c r="B722" s="3" t="inlineStr">
        <is>
          <t>중심상업지역</t>
        </is>
      </c>
      <c r="C722" s="3" t="inlineStr">
        <is>
          <t>대</t>
        </is>
      </c>
      <c r="D722" s="3" t="inlineStr">
        <is>
          <t>대</t>
        </is>
      </c>
      <c r="E722" s="3" t="inlineStr">
        <is>
          <t>매매</t>
        </is>
      </c>
      <c r="F722" s="4" t="n">
        <v>50000</v>
      </c>
      <c r="G722" s="4" t="n">
        <v>264</v>
      </c>
      <c r="H722" s="3" t="inlineStr">
        <is>
          <t>송절동 테크노폴리스 원룸주택지 매매 공원뷰학세권  5억</t>
        </is>
      </c>
      <c r="I722" s="5">
        <f>HYPERLINK("https://fin.land.naver.com/articles/2645699741", "매물Link")</f>
        <v/>
      </c>
      <c r="J722" s="5">
        <f>HYPERLINK("https://map.naver.com/p/search/나성동 829", "지도Link")</f>
        <v/>
      </c>
      <c r="K722" s="5">
        <f>HYPERLINK("http://www.eum.go.kr/web/ar/lu/luLandDet.jsp?pnu=3611010700108290000&amp;isNoScr=script&amp;mode=search", "토지이음")</f>
        <v/>
      </c>
      <c r="L722" s="3" t="inlineStr">
        <is>
          <t>대소</t>
        </is>
      </c>
      <c r="M722" s="3" t="n">
        <v>1</v>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3" t="inlineStr">
        <is>
          <t>정봉동 생산녹지 농지 매매</t>
        </is>
      </c>
      <c r="I723" s="5">
        <f>HYPERLINK("https://fin.land.naver.com/articles/2646415812", "매물Link")</f>
        <v/>
      </c>
      <c r="J723" s="5">
        <f>HYPERLINK("https://map.naver.com/p/search/나성동 829", "지도Link")</f>
        <v/>
      </c>
      <c r="K723" s="5">
        <f>HYPERLINK("http://www.eum.go.kr/web/ar/lu/luLandDet.jsp?pnu=3611010700108290000&amp;isNoScr=script&amp;mode=search", "토지이음")</f>
        <v/>
      </c>
      <c r="L723" s="3" t="inlineStr">
        <is>
          <t>옥산금정</t>
        </is>
      </c>
      <c r="M723" s="3" t="n">
        <v>1</v>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3" t="inlineStr">
        <is>
          <t>정봉동 생산녹지 농지 매매</t>
        </is>
      </c>
      <c r="I724" s="5">
        <f>HYPERLINK("https://fin.land.naver.com/articles/2648840970", "매물Link")</f>
        <v/>
      </c>
      <c r="J724" s="5">
        <f>HYPERLINK("https://map.naver.com/p/search/나성동 829", "지도Link")</f>
        <v/>
      </c>
      <c r="K724" s="5">
        <f>HYPERLINK("http://www.eum.go.kr/web/ar/lu/luLandDet.jsp?pnu=3611010700108290000&amp;isNoScr=script&amp;mode=search", "토지이음")</f>
        <v/>
      </c>
      <c r="L724" s="3" t="inlineStr">
        <is>
          <t>옥산금정</t>
        </is>
      </c>
      <c r="M724" s="3" t="n">
        <v>1</v>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3" t="inlineStr">
        <is>
          <t>정봉동 생산녹지 농지 매매</t>
        </is>
      </c>
      <c r="I725" s="5">
        <f>HYPERLINK("https://fin.land.naver.com/articles/2649541216", "매물Link")</f>
        <v/>
      </c>
      <c r="J725" s="5">
        <f>HYPERLINK("https://map.naver.com/p/search/나성동 829", "지도Link")</f>
        <v/>
      </c>
      <c r="K725" s="5">
        <f>HYPERLINK("http://www.eum.go.kr/web/ar/lu/luLandDet.jsp?pnu=3611010700108290000&amp;isNoScr=script&amp;mode=search", "토지이음")</f>
        <v/>
      </c>
      <c r="L725" s="3" t="inlineStr">
        <is>
          <t>옥산금정</t>
        </is>
      </c>
      <c r="M725" s="3" t="n">
        <v>1</v>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3" t="inlineStr">
        <is>
          <t>nan</t>
        </is>
      </c>
      <c r="I726" s="5">
        <f>HYPERLINK("https://fin.land.naver.com/articles/2646278017", "매물Link")</f>
        <v/>
      </c>
      <c r="J726" s="5">
        <f>HYPERLINK("https://map.naver.com/p/search/나성동 829", "지도Link")</f>
        <v/>
      </c>
      <c r="K726" s="5">
        <f>HYPERLINK("http://www.eum.go.kr/web/ar/lu/luLandDet.jsp?pnu=3611010700108290000&amp;isNoScr=script&amp;mode=search", "토지이음")</f>
        <v/>
      </c>
      <c r="L726" s="3" t="inlineStr">
        <is>
          <t>드림사무소</t>
        </is>
      </c>
      <c r="M726" s="3" t="n">
        <v>1</v>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3" t="inlineStr">
        <is>
          <t>도시지역 , 자연녹지지역 , 광로2류(폭 50m~70m)(접합)</t>
        </is>
      </c>
      <c r="I727" s="5">
        <f>HYPERLINK("https://fin.land.naver.com/articles/2648272525", "매물Link")</f>
        <v/>
      </c>
      <c r="J727" s="5">
        <f>HYPERLINK("https://map.naver.com/p/search/나성동 829", "지도Link")</f>
        <v/>
      </c>
      <c r="K727" s="5">
        <f>HYPERLINK("http://www.eum.go.kr/web/ar/lu/luLandDet.jsp?pnu=3611010700108290000&amp;isNoScr=script&amp;mode=search", "토지이음")</f>
        <v/>
      </c>
      <c r="L727" s="3" t="inlineStr">
        <is>
          <t>신영</t>
        </is>
      </c>
      <c r="M727" s="3" t="n">
        <v>2</v>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3" t="inlineStr">
        <is>
          <t>nan</t>
        </is>
      </c>
      <c r="I728" s="5">
        <f>HYPERLINK("https://fin.land.naver.com/articles/2648631427", "매물Link")</f>
        <v/>
      </c>
      <c r="J728" s="5">
        <f>HYPERLINK("https://map.naver.com/p/search/나성동 829", "지도Link")</f>
        <v/>
      </c>
      <c r="K728" s="5">
        <f>HYPERLINK("http://www.eum.go.kr/web/ar/lu/luLandDet.jsp?pnu=3611010700108290000&amp;isNoScr=script&amp;mode=search", "토지이음")</f>
        <v/>
      </c>
      <c r="L728" s="3" t="inlineStr">
        <is>
          <t>드림사무소</t>
        </is>
      </c>
      <c r="M728" s="3" t="n">
        <v>1</v>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3" t="inlineStr">
        <is>
          <t>nan</t>
        </is>
      </c>
      <c r="I729" s="5">
        <f>HYPERLINK("https://fin.land.naver.com/articles/2647042944", "매물Link")</f>
        <v/>
      </c>
      <c r="J729" s="5">
        <f>HYPERLINK("https://map.naver.com/p/search/나성동 829", "지도Link")</f>
        <v/>
      </c>
      <c r="K729" s="5">
        <f>HYPERLINK("http://www.eum.go.kr/web/ar/lu/luLandDet.jsp?pnu=3611010700108290000&amp;isNoScr=script&amp;mode=search", "토지이음")</f>
        <v/>
      </c>
      <c r="L729" s="3" t="inlineStr">
        <is>
          <t>정세영</t>
        </is>
      </c>
      <c r="M729" s="3" t="n">
        <v>1</v>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3" t="inlineStr">
        <is>
          <t>nan</t>
        </is>
      </c>
      <c r="I730" s="5">
        <f>HYPERLINK("https://fin.land.naver.com/articles/2647768745", "매물Link")</f>
        <v/>
      </c>
      <c r="J730" s="5">
        <f>HYPERLINK("https://map.naver.com/p/search/나성동 829", "지도Link")</f>
        <v/>
      </c>
      <c r="K730" s="5">
        <f>HYPERLINK("http://www.eum.go.kr/web/ar/lu/luLandDet.jsp?pnu=3611010700108290000&amp;isNoScr=script&amp;mode=search", "토지이음")</f>
        <v/>
      </c>
      <c r="L730" s="3" t="inlineStr">
        <is>
          <t>청주합동</t>
        </is>
      </c>
      <c r="M730" s="3" t="n">
        <v>1</v>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3" t="inlineStr">
        <is>
          <t>nan</t>
        </is>
      </c>
      <c r="I731" s="5">
        <f>HYPERLINK("https://fin.land.naver.com/articles/2648225530", "매물Link")</f>
        <v/>
      </c>
      <c r="J731" s="5">
        <f>HYPERLINK("https://map.naver.com/p/search/나성동 829", "지도Link")</f>
        <v/>
      </c>
      <c r="K731" s="5">
        <f>HYPERLINK("http://www.eum.go.kr/web/ar/lu/luLandDet.jsp?pnu=3611010700108290000&amp;isNoScr=script&amp;mode=search", "토지이음")</f>
        <v/>
      </c>
      <c r="L731" s="3" t="inlineStr">
        <is>
          <t>좋은터</t>
        </is>
      </c>
      <c r="M731" s="3" t="n">
        <v>1</v>
      </c>
    </row>
    <row r="732">
      <c r="A732" s="3" t="inlineStr">
        <is>
          <t>나성동 829</t>
        </is>
      </c>
      <c r="B732" s="3" t="inlineStr">
        <is>
          <t>중심상업지역</t>
        </is>
      </c>
      <c r="C732" s="3" t="inlineStr">
        <is>
          <t>대</t>
        </is>
      </c>
      <c r="D732" s="3" t="inlineStr">
        <is>
          <t>전</t>
        </is>
      </c>
      <c r="E732" s="3" t="inlineStr">
        <is>
          <t>매매</t>
        </is>
      </c>
      <c r="F732" s="4" t="n">
        <v>62000</v>
      </c>
      <c r="G732" s="4" t="n">
        <v>377</v>
      </c>
      <c r="H732" s="3" t="inlineStr">
        <is>
          <t>큰도로 바로 접한 토지다가구건축 추천병원,터미널가까움</t>
        </is>
      </c>
      <c r="I732" s="5">
        <f>HYPERLINK("https://fin.land.naver.com/articles/2643911189", "매물Link")</f>
        <v/>
      </c>
      <c r="J732" s="5">
        <f>HYPERLINK("https://map.naver.com/p/search/나성동 829", "지도Link")</f>
        <v/>
      </c>
      <c r="K732" s="5">
        <f>HYPERLINK("http://www.eum.go.kr/web/ar/lu/luLandDet.jsp?pnu=3611010700108290000&amp;isNoScr=script&amp;mode=search", "토지이음")</f>
        <v/>
      </c>
      <c r="L732" s="3" t="inlineStr">
        <is>
          <t>비하삼일</t>
        </is>
      </c>
      <c r="M732" s="3" t="n">
        <v>1</v>
      </c>
    </row>
    <row r="733">
      <c r="A733" s="3" t="inlineStr">
        <is>
          <t>나성동 829</t>
        </is>
      </c>
      <c r="B733" s="3" t="inlineStr">
        <is>
          <t>중심상업지역</t>
        </is>
      </c>
      <c r="C733" s="3" t="inlineStr">
        <is>
          <t>대</t>
        </is>
      </c>
      <c r="D733" s="3" t="inlineStr">
        <is>
          <t>전</t>
        </is>
      </c>
      <c r="E733" s="3" t="inlineStr">
        <is>
          <t>매매</t>
        </is>
      </c>
      <c r="F733" s="4" t="n">
        <v>37600</v>
      </c>
      <c r="G733" s="4" t="n">
        <v>415</v>
      </c>
      <c r="H733" s="3" t="inlineStr">
        <is>
          <t>대도로변 도보 5분거리 다가구 건추가능</t>
        </is>
      </c>
      <c r="I733" s="5">
        <f>HYPERLINK("https://fin.land.naver.com/articles/2645066605", "매물Link")</f>
        <v/>
      </c>
      <c r="J733" s="5">
        <f>HYPERLINK("https://map.naver.com/p/search/나성동 829", "지도Link")</f>
        <v/>
      </c>
      <c r="K733" s="5">
        <f>HYPERLINK("http://www.eum.go.kr/web/ar/lu/luLandDet.jsp?pnu=3611010700108290000&amp;isNoScr=script&amp;mode=search", "토지이음")</f>
        <v/>
      </c>
      <c r="L733" s="3" t="inlineStr">
        <is>
          <t>효성</t>
        </is>
      </c>
      <c r="M733" s="3" t="n">
        <v>1</v>
      </c>
    </row>
    <row r="734">
      <c r="A734" s="3" t="inlineStr">
        <is>
          <t>나성동 829</t>
        </is>
      </c>
      <c r="B734" s="3" t="inlineStr">
        <is>
          <t>중심상업지역</t>
        </is>
      </c>
      <c r="C734" s="3" t="inlineStr">
        <is>
          <t>대</t>
        </is>
      </c>
      <c r="D734" s="3" t="inlineStr">
        <is>
          <t>대</t>
        </is>
      </c>
      <c r="E734" s="3" t="inlineStr">
        <is>
          <t>매매</t>
        </is>
      </c>
      <c r="F734" s="4" t="n">
        <v>95000</v>
      </c>
      <c r="G734" s="4" t="n">
        <v>314</v>
      </c>
      <c r="H734" s="3" t="inlineStr">
        <is>
          <t>상가주택 건축 적합</t>
        </is>
      </c>
      <c r="I734" s="5">
        <f>HYPERLINK("https://fin.land.naver.com/articles/2646010505", "매물Link")</f>
        <v/>
      </c>
      <c r="J734" s="5">
        <f>HYPERLINK("https://map.naver.com/p/search/나성동 829", "지도Link")</f>
        <v/>
      </c>
      <c r="K734" s="5">
        <f>HYPERLINK("http://www.eum.go.kr/web/ar/lu/luLandDet.jsp?pnu=3611010700108290000&amp;isNoScr=script&amp;mode=search", "토지이음")</f>
        <v/>
      </c>
      <c r="L734" s="3" t="inlineStr">
        <is>
          <t>케이투(k2)</t>
        </is>
      </c>
      <c r="M734" s="3" t="n">
        <v>1</v>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3" t="inlineStr">
        <is>
          <t>4차선도로접</t>
        </is>
      </c>
      <c r="I735" s="5">
        <f>HYPERLINK("https://fin.land.naver.com/articles/2647016324", "매물Link")</f>
        <v/>
      </c>
      <c r="J735" s="5">
        <f>HYPERLINK("https://map.naver.com/p/search/나성동 829", "지도Link")</f>
        <v/>
      </c>
      <c r="K735" s="5">
        <f>HYPERLINK("http://www.eum.go.kr/web/ar/lu/luLandDet.jsp?pnu=3611010700108290000&amp;isNoScr=script&amp;mode=search", "토지이음")</f>
        <v/>
      </c>
      <c r="L735" s="3" t="inlineStr">
        <is>
          <t>강남</t>
        </is>
      </c>
      <c r="M735" s="3" t="n">
        <v>1</v>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3" t="inlineStr">
        <is>
          <t>외 1필지(도로) 82m2 포함
지상의 수목은 매매 다상에서 제외됨</t>
        </is>
      </c>
      <c r="I736" s="5">
        <f>HYPERLINK("https://fin.land.naver.com/articles/2647618882", "매물Link")</f>
        <v/>
      </c>
      <c r="J736" s="5">
        <f>HYPERLINK("https://map.naver.com/p/search/나성동 829", "지도Link")</f>
        <v/>
      </c>
      <c r="K736" s="5">
        <f>HYPERLINK("http://www.eum.go.kr/web/ar/lu/luLandDet.jsp?pnu=3611010700108290000&amp;isNoScr=script&amp;mode=search", "토지이음")</f>
        <v/>
      </c>
      <c r="L736" s="3" t="inlineStr">
        <is>
          <t>우리동네</t>
        </is>
      </c>
      <c r="M736" s="3" t="n">
        <v>1</v>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3" t="inlineStr">
        <is>
          <t>청주 테크노폴리스 단지내 주차장 용지 매매</t>
        </is>
      </c>
      <c r="I737" s="5">
        <f>HYPERLINK("https://fin.land.naver.com/articles/2647648313", "매물Link")</f>
        <v/>
      </c>
      <c r="J737" s="5">
        <f>HYPERLINK("https://map.naver.com/p/search/나성동 829", "지도Link")</f>
        <v/>
      </c>
      <c r="K737" s="5">
        <f>HYPERLINK("http://www.eum.go.kr/web/ar/lu/luLandDet.jsp?pnu=3611010700108290000&amp;isNoScr=script&amp;mode=search", "토지이음")</f>
        <v/>
      </c>
      <c r="L737" s="3" t="inlineStr">
        <is>
          <t>강우림</t>
        </is>
      </c>
      <c r="M737" s="3" t="n">
        <v>1</v>
      </c>
    </row>
    <row r="738">
      <c r="A738" s="3" t="inlineStr">
        <is>
          <t>나성동 829</t>
        </is>
      </c>
      <c r="B738" s="3" t="inlineStr">
        <is>
          <t>중심상업지역</t>
        </is>
      </c>
      <c r="C738" s="3" t="inlineStr">
        <is>
          <t>대</t>
        </is>
      </c>
      <c r="D738" s="3" t="inlineStr">
        <is>
          <t>대</t>
        </is>
      </c>
      <c r="E738" s="3" t="inlineStr">
        <is>
          <t>매매</t>
        </is>
      </c>
      <c r="F738" s="4" t="n">
        <v>48000</v>
      </c>
      <c r="G738" s="4" t="n">
        <v>265</v>
      </c>
      <c r="H738" s="3" t="inlineStr">
        <is>
          <t>청주테크노폴리스내 단독 다가구 주택 부지</t>
        </is>
      </c>
      <c r="I738" s="5">
        <f>HYPERLINK("https://fin.land.naver.com/articles/2644034356", "매물Link")</f>
        <v/>
      </c>
      <c r="J738" s="5">
        <f>HYPERLINK("https://map.naver.com/p/search/나성동 829", "지도Link")</f>
        <v/>
      </c>
      <c r="K738" s="5">
        <f>HYPERLINK("http://www.eum.go.kr/web/ar/lu/luLandDet.jsp?pnu=3611010700108290000&amp;isNoScr=script&amp;mode=search", "토지이음")</f>
        <v/>
      </c>
      <c r="L738" s="3" t="inlineStr">
        <is>
          <t>강문구</t>
        </is>
      </c>
      <c r="M738" s="3" t="n">
        <v>1</v>
      </c>
    </row>
    <row r="739">
      <c r="A739" s="3" t="inlineStr">
        <is>
          <t>나성동 829</t>
        </is>
      </c>
      <c r="B739" s="3" t="inlineStr">
        <is>
          <t>중심상업지역</t>
        </is>
      </c>
      <c r="C739" s="3" t="inlineStr">
        <is>
          <t>대</t>
        </is>
      </c>
      <c r="D739" s="3" t="inlineStr">
        <is>
          <t>전</t>
        </is>
      </c>
      <c r="E739" s="3" t="inlineStr">
        <is>
          <t>매매</t>
        </is>
      </c>
      <c r="F739" s="4" t="n">
        <v>40000</v>
      </c>
      <c r="G739" s="4" t="n">
        <v>661</v>
      </c>
      <c r="H739" s="3" t="inlineStr">
        <is>
          <t>신전동 토지 매매</t>
        </is>
      </c>
      <c r="I739" s="5">
        <f>HYPERLINK("https://fin.land.naver.com/articles/2647140382", "매물Link")</f>
        <v/>
      </c>
      <c r="J739" s="5">
        <f>HYPERLINK("https://map.naver.com/p/search/나성동 829", "지도Link")</f>
        <v/>
      </c>
      <c r="K739" s="5">
        <f>HYPERLINK("http://www.eum.go.kr/web/ar/lu/luLandDet.jsp?pnu=3611010700108290000&amp;isNoScr=script&amp;mode=search", "토지이음")</f>
        <v/>
      </c>
      <c r="L739" s="3" t="inlineStr">
        <is>
          <t>사거리</t>
        </is>
      </c>
      <c r="M739" s="3" t="n">
        <v>1</v>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3" t="inlineStr">
        <is>
          <t>nan</t>
        </is>
      </c>
      <c r="I740" s="5">
        <f>HYPERLINK("https://fin.land.naver.com/articles/2648669404", "매물Link")</f>
        <v/>
      </c>
      <c r="J740" s="5">
        <f>HYPERLINK("https://map.naver.com/p/search/나성동 829", "지도Link")</f>
        <v/>
      </c>
      <c r="K740" s="5">
        <f>HYPERLINK("http://www.eum.go.kr/web/ar/lu/luLandDet.jsp?pnu=3611010700108290000&amp;isNoScr=script&amp;mode=search", "토지이음")</f>
        <v/>
      </c>
      <c r="L740" s="3" t="inlineStr">
        <is>
          <t>교차로</t>
        </is>
      </c>
      <c r="M740" s="3" t="n">
        <v>1</v>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3" t="inlineStr">
        <is>
          <t>급매 남청주ic 5분 개발 허가 및 토목공사 완료된 저렴한 대형 토지</t>
        </is>
      </c>
      <c r="I741" s="5">
        <f>HYPERLINK("https://fin.land.naver.com/articles/2648586916", "매물Link")</f>
        <v/>
      </c>
      <c r="J741" s="5">
        <f>HYPERLINK("https://map.naver.com/p/search/나성동 829", "지도Link")</f>
        <v/>
      </c>
      <c r="K741" s="5">
        <f>HYPERLINK("http://www.eum.go.kr/web/ar/lu/luLandDet.jsp?pnu=3611010700108290000&amp;isNoScr=script&amp;mode=search", "토지이음")</f>
        <v/>
      </c>
      <c r="L741" s="3" t="inlineStr">
        <is>
          <t>더원</t>
        </is>
      </c>
      <c r="M741" s="3" t="n">
        <v>1</v>
      </c>
    </row>
    <row r="742">
      <c r="A742" s="3" t="inlineStr">
        <is>
          <t>나성동 829</t>
        </is>
      </c>
      <c r="B742" s="3" t="inlineStr">
        <is>
          <t>중심상업지역</t>
        </is>
      </c>
      <c r="C742" s="3" t="inlineStr">
        <is>
          <t>대</t>
        </is>
      </c>
      <c r="D742" s="3" t="inlineStr">
        <is>
          <t>답</t>
        </is>
      </c>
      <c r="E742" s="3" t="inlineStr">
        <is>
          <t>매매</t>
        </is>
      </c>
      <c r="F742" s="4" t="n">
        <v>7300</v>
      </c>
      <c r="G742" s="4" t="n">
        <v>579</v>
      </c>
      <c r="H742" s="3" t="inlineStr">
        <is>
          <t>Point 투자 추천, 현도산단 부지 주변 국유지 접함 땅 모양 좋음</t>
        </is>
      </c>
      <c r="I742" s="5">
        <f>HYPERLINK("https://fin.land.naver.com/articles/2648629825", "매물Link")</f>
        <v/>
      </c>
      <c r="J742" s="5">
        <f>HYPERLINK("https://map.naver.com/p/search/나성동 829", "지도Link")</f>
        <v/>
      </c>
      <c r="K742" s="5">
        <f>HYPERLINK("http://www.eum.go.kr/web/ar/lu/luLandDet.jsp?pnu=3611010700108290000&amp;isNoScr=script&amp;mode=search", "토지이음")</f>
        <v/>
      </c>
      <c r="L742" s="3" t="inlineStr">
        <is>
          <t>도마호반</t>
        </is>
      </c>
      <c r="M742" s="3" t="n">
        <v>1</v>
      </c>
    </row>
    <row r="743">
      <c r="A743" s="3" t="inlineStr">
        <is>
          <t>나성동 829</t>
        </is>
      </c>
      <c r="B743" s="3" t="inlineStr">
        <is>
          <t>중심상업지역</t>
        </is>
      </c>
      <c r="C743" s="3" t="inlineStr">
        <is>
          <t>대</t>
        </is>
      </c>
      <c r="D743" s="3" t="inlineStr">
        <is>
          <t>전</t>
        </is>
      </c>
      <c r="E743" s="3" t="inlineStr">
        <is>
          <t>매매</t>
        </is>
      </c>
      <c r="F743" s="4" t="n">
        <v>7900</v>
      </c>
      <c r="G743" s="4" t="n">
        <v>1064</v>
      </c>
      <c r="H743" s="3" t="inlineStr">
        <is>
          <t>주말농장 농업경영</t>
        </is>
      </c>
      <c r="I743" s="5">
        <f>HYPERLINK("https://fin.land.naver.com/articles/2648936337", "매물Link")</f>
        <v/>
      </c>
      <c r="J743" s="5">
        <f>HYPERLINK("https://map.naver.com/p/search/나성동 829", "지도Link")</f>
        <v/>
      </c>
      <c r="K743" s="5">
        <f>HYPERLINK("http://www.eum.go.kr/web/ar/lu/luLandDet.jsp?pnu=3611010700108290000&amp;isNoScr=script&amp;mode=search", "토지이음")</f>
        <v/>
      </c>
      <c r="L743" s="3" t="inlineStr">
        <is>
          <t>우리동네</t>
        </is>
      </c>
      <c r="M743" s="3" t="n">
        <v>1</v>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3" t="inlineStr">
        <is>
          <t>신탄진 5분 1종일반 배산임수 정남향 청정지역 사옥 창고 전원주택 별장</t>
        </is>
      </c>
      <c r="I744" s="5">
        <f>HYPERLINK("https://fin.land.naver.com/articles/2648974854", "매물Link")</f>
        <v/>
      </c>
      <c r="J744" s="5">
        <f>HYPERLINK("https://map.naver.com/p/search/나성동 829", "지도Link")</f>
        <v/>
      </c>
      <c r="K744" s="5">
        <f>HYPERLINK("http://www.eum.go.kr/web/ar/lu/luLandDet.jsp?pnu=3611010700108290000&amp;isNoScr=script&amp;mode=search", "토지이음")</f>
        <v/>
      </c>
      <c r="L744" s="3" t="inlineStr">
        <is>
          <t>뉴태양</t>
        </is>
      </c>
      <c r="M744" s="3" t="n">
        <v>1</v>
      </c>
    </row>
    <row r="745">
      <c r="A745" s="3" t="inlineStr">
        <is>
          <t>나성동 829</t>
        </is>
      </c>
      <c r="B745" s="3" t="inlineStr">
        <is>
          <t>중심상업지역</t>
        </is>
      </c>
      <c r="C745" s="3" t="inlineStr">
        <is>
          <t>대</t>
        </is>
      </c>
      <c r="D745" s="3" t="inlineStr">
        <is>
          <t>전</t>
        </is>
      </c>
      <c r="E745" s="3" t="inlineStr">
        <is>
          <t>매매</t>
        </is>
      </c>
      <c r="F745" s="4" t="n">
        <v>14000</v>
      </c>
      <c r="G745" s="4" t="n">
        <v>660</v>
      </c>
      <c r="H745" s="3" t="inlineStr">
        <is>
          <t>Point 포장도로 접한 대청댐 상류 수변뷰, 주말농장 추천</t>
        </is>
      </c>
      <c r="I745" s="5">
        <f>HYPERLINK("https://fin.land.naver.com/articles/2646677100", "매물Link")</f>
        <v/>
      </c>
      <c r="J745" s="5">
        <f>HYPERLINK("https://map.naver.com/p/search/나성동 829", "지도Link")</f>
        <v/>
      </c>
      <c r="K745" s="5">
        <f>HYPERLINK("http://www.eum.go.kr/web/ar/lu/luLandDet.jsp?pnu=3611010700108290000&amp;isNoScr=script&amp;mode=search", "토지이음")</f>
        <v/>
      </c>
      <c r="L745" s="3" t="inlineStr">
        <is>
          <t>도마호반</t>
        </is>
      </c>
      <c r="M745" s="3" t="n">
        <v>1</v>
      </c>
    </row>
    <row r="746">
      <c r="A746" s="3" t="inlineStr">
        <is>
          <t>나성동 829</t>
        </is>
      </c>
      <c r="B746" s="3" t="inlineStr">
        <is>
          <t>중심상업지역</t>
        </is>
      </c>
      <c r="C746" s="3" t="inlineStr">
        <is>
          <t>대</t>
        </is>
      </c>
      <c r="D746" s="3" t="inlineStr">
        <is>
          <t>답</t>
        </is>
      </c>
      <c r="E746" s="3" t="inlineStr">
        <is>
          <t>매매</t>
        </is>
      </c>
      <c r="F746" s="4" t="n">
        <v>12000</v>
      </c>
      <c r="G746" s="4" t="n">
        <v>762</v>
      </c>
      <c r="H746" s="3" t="inlineStr">
        <is>
          <t>Point 대청댐 주변 수변 위치, 도로 접근성 땅 모양 좋고 양지 바름</t>
        </is>
      </c>
      <c r="I746" s="5">
        <f>HYPERLINK("https://fin.land.naver.com/articles/2646968760", "매물Link")</f>
        <v/>
      </c>
      <c r="J746" s="5">
        <f>HYPERLINK("https://map.naver.com/p/search/나성동 829", "지도Link")</f>
        <v/>
      </c>
      <c r="K746" s="5">
        <f>HYPERLINK("http://www.eum.go.kr/web/ar/lu/luLandDet.jsp?pnu=3611010700108290000&amp;isNoScr=script&amp;mode=search", "토지이음")</f>
        <v/>
      </c>
      <c r="L746" s="3" t="inlineStr">
        <is>
          <t>도마호반</t>
        </is>
      </c>
      <c r="M746" s="3" t="n">
        <v>2</v>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3" t="inlineStr">
        <is>
          <t>노산리 주말농장 밭</t>
        </is>
      </c>
      <c r="I747" s="5">
        <f>HYPERLINK("https://fin.land.naver.com/articles/2649545093", "매물Link")</f>
        <v/>
      </c>
      <c r="J747" s="5">
        <f>HYPERLINK("https://map.naver.com/p/search/나성동 829", "지도Link")</f>
        <v/>
      </c>
      <c r="K747" s="5">
        <f>HYPERLINK("http://www.eum.go.kr/web/ar/lu/luLandDet.jsp?pnu=3611010700108290000&amp;isNoScr=script&amp;mode=search", "토지이음")</f>
        <v/>
      </c>
      <c r="L747" s="3" t="inlineStr">
        <is>
          <t>우리동네</t>
        </is>
      </c>
      <c r="M747" s="3" t="n">
        <v>1</v>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3" t="inlineStr">
        <is>
          <t>노산리 밭</t>
        </is>
      </c>
      <c r="I748" s="5">
        <f>HYPERLINK("https://fin.land.naver.com/articles/2649545274", "매물Link")</f>
        <v/>
      </c>
      <c r="J748" s="5">
        <f>HYPERLINK("https://map.naver.com/p/search/나성동 829", "지도Link")</f>
        <v/>
      </c>
      <c r="K748" s="5">
        <f>HYPERLINK("http://www.eum.go.kr/web/ar/lu/luLandDet.jsp?pnu=3611010700108290000&amp;isNoScr=script&amp;mode=search", "토지이음")</f>
        <v/>
      </c>
      <c r="L748" s="3" t="inlineStr">
        <is>
          <t>우리동네</t>
        </is>
      </c>
      <c r="M748" s="3" t="n">
        <v>1</v>
      </c>
    </row>
    <row r="749">
      <c r="A749" s="3" t="inlineStr">
        <is>
          <t>나성동 829</t>
        </is>
      </c>
      <c r="B749" s="3" t="inlineStr">
        <is>
          <t>중심상업지역</t>
        </is>
      </c>
      <c r="C749" s="3" t="inlineStr">
        <is>
          <t>대</t>
        </is>
      </c>
      <c r="D749" s="3" t="inlineStr">
        <is>
          <t>전</t>
        </is>
      </c>
      <c r="E749" s="3" t="inlineStr">
        <is>
          <t>매매</t>
        </is>
      </c>
      <c r="F749" s="4" t="n">
        <v>40000</v>
      </c>
      <c r="G749" s="4" t="n">
        <v>296</v>
      </c>
      <c r="H749" s="3" t="inlineStr">
        <is>
          <t>모양좋은  토지  투자</t>
        </is>
      </c>
      <c r="I749" s="5">
        <f>HYPERLINK("https://fin.land.naver.com/articles/2648123337", "매물Link")</f>
        <v/>
      </c>
      <c r="J749" s="5">
        <f>HYPERLINK("https://map.naver.com/p/search/나성동 829", "지도Link")</f>
        <v/>
      </c>
      <c r="K749" s="5">
        <f>HYPERLINK("http://www.eum.go.kr/web/ar/lu/luLandDet.jsp?pnu=3611010700108290000&amp;isNoScr=script&amp;mode=search", "토지이음")</f>
        <v/>
      </c>
      <c r="L749" s="3" t="inlineStr">
        <is>
          <t>우리동네</t>
        </is>
      </c>
      <c r="M749" s="3" t="n">
        <v>1</v>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3" t="inlineStr">
        <is>
          <t>Point 조망 좋음, 대전,세종,청주 근교 주말농장용 추천, 도로있음</t>
        </is>
      </c>
      <c r="I750" s="5">
        <f>HYPERLINK("https://fin.land.naver.com/articles/2645837278", "매물Link")</f>
        <v/>
      </c>
      <c r="J750" s="5">
        <f>HYPERLINK("https://map.naver.com/p/search/나성동 829", "지도Link")</f>
        <v/>
      </c>
      <c r="K750" s="5">
        <f>HYPERLINK("http://www.eum.go.kr/web/ar/lu/luLandDet.jsp?pnu=3611010700108290000&amp;isNoScr=script&amp;mode=search", "토지이음")</f>
        <v/>
      </c>
      <c r="L750" s="3" t="inlineStr">
        <is>
          <t>도마호반</t>
        </is>
      </c>
      <c r="M750" s="3" t="n">
        <v>1</v>
      </c>
    </row>
    <row r="751">
      <c r="A751" s="3" t="inlineStr">
        <is>
          <t>나성동 829</t>
        </is>
      </c>
      <c r="B751" s="3" t="inlineStr">
        <is>
          <t>중심상업지역</t>
        </is>
      </c>
      <c r="C751" s="3" t="inlineStr">
        <is>
          <t>대</t>
        </is>
      </c>
      <c r="D751" s="3" t="inlineStr">
        <is>
          <t>대</t>
        </is>
      </c>
      <c r="E751" s="3" t="inlineStr">
        <is>
          <t>매매</t>
        </is>
      </c>
      <c r="F751" s="4" t="n">
        <v>25000</v>
      </c>
      <c r="G751" s="4" t="n">
        <v>448</v>
      </c>
      <c r="H751" s="3" t="inlineStr">
        <is>
          <t>터 좋은 대지 신탄진 5분거리</t>
        </is>
      </c>
      <c r="I751" s="5">
        <f>HYPERLINK("https://fin.land.naver.com/articles/2646088553", "매물Link")</f>
        <v/>
      </c>
      <c r="J751" s="5">
        <f>HYPERLINK("https://map.naver.com/p/search/나성동 829", "지도Link")</f>
        <v/>
      </c>
      <c r="K751" s="5">
        <f>HYPERLINK("http://www.eum.go.kr/web/ar/lu/luLandDet.jsp?pnu=3611010700108290000&amp;isNoScr=script&amp;mode=search", "토지이음")</f>
        <v/>
      </c>
      <c r="L751" s="3" t="inlineStr">
        <is>
          <t>우리동네</t>
        </is>
      </c>
      <c r="M751" s="3" t="n">
        <v>1</v>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3" t="inlineStr">
        <is>
          <t>다육,과수,화원등 추천</t>
        </is>
      </c>
      <c r="I752" s="5">
        <f>HYPERLINK("https://fin.land.naver.com/articles/2646091811", "매물Link")</f>
        <v/>
      </c>
      <c r="J752" s="5">
        <f>HYPERLINK("https://map.naver.com/p/search/나성동 829", "지도Link")</f>
        <v/>
      </c>
      <c r="K752" s="5">
        <f>HYPERLINK("http://www.eum.go.kr/web/ar/lu/luLandDet.jsp?pnu=3611010700108290000&amp;isNoScr=script&amp;mode=search", "토지이음")</f>
        <v/>
      </c>
      <c r="L752" s="3" t="inlineStr">
        <is>
          <t>우리동네</t>
        </is>
      </c>
      <c r="M752" s="3" t="n">
        <v>1</v>
      </c>
    </row>
    <row r="753">
      <c r="A753" s="3" t="inlineStr">
        <is>
          <t>나성동 829</t>
        </is>
      </c>
      <c r="B753" s="3" t="inlineStr">
        <is>
          <t>중심상업지역</t>
        </is>
      </c>
      <c r="C753" s="3" t="inlineStr">
        <is>
          <t>대</t>
        </is>
      </c>
      <c r="D753" s="3" t="inlineStr">
        <is>
          <t>전</t>
        </is>
      </c>
      <c r="E753" s="3" t="inlineStr">
        <is>
          <t>매매</t>
        </is>
      </c>
      <c r="F753" s="4" t="n">
        <v>8900</v>
      </c>
      <c r="G753" s="4" t="n">
        <v>1038</v>
      </c>
      <c r="H753" s="3" t="inlineStr">
        <is>
          <t>Point 과수원 추천, 대토, 농지원부, 구거 접함, 진입포장도로 연결</t>
        </is>
      </c>
      <c r="I753" s="5">
        <f>HYPERLINK("https://fin.land.naver.com/articles/2646504175", "매물Link")</f>
        <v/>
      </c>
      <c r="J753" s="5">
        <f>HYPERLINK("https://map.naver.com/p/search/나성동 829", "지도Link")</f>
        <v/>
      </c>
      <c r="K753" s="5">
        <f>HYPERLINK("http://www.eum.go.kr/web/ar/lu/luLandDet.jsp?pnu=3611010700108290000&amp;isNoScr=script&amp;mode=search", "토지이음")</f>
        <v/>
      </c>
      <c r="L753" s="3" t="inlineStr">
        <is>
          <t>도마호반</t>
        </is>
      </c>
      <c r="M753" s="3" t="n">
        <v>1</v>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3" t="inlineStr">
        <is>
          <t>Point 양지바르고 땅이 좋음, 농지원부용, 현황도로 접함</t>
        </is>
      </c>
      <c r="I754" s="5">
        <f>HYPERLINK("https://fin.land.naver.com/articles/2646676849", "매물Link")</f>
        <v/>
      </c>
      <c r="J754" s="5">
        <f>HYPERLINK("https://map.naver.com/p/search/나성동 829", "지도Link")</f>
        <v/>
      </c>
      <c r="K754" s="5">
        <f>HYPERLINK("http://www.eum.go.kr/web/ar/lu/luLandDet.jsp?pnu=3611010700108290000&amp;isNoScr=script&amp;mode=search", "토지이음")</f>
        <v/>
      </c>
      <c r="L754" s="3" t="inlineStr">
        <is>
          <t>도마호반</t>
        </is>
      </c>
      <c r="M754" s="3" t="n">
        <v>1</v>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3" t="inlineStr">
        <is>
          <t>Point 지적상 도로 접함, 땅 모양 좋음, 주말농장용 추천</t>
        </is>
      </c>
      <c r="I755" s="5">
        <f>HYPERLINK("https://fin.land.naver.com/articles/2646676877", "매물Link")</f>
        <v/>
      </c>
      <c r="J755" s="5">
        <f>HYPERLINK("https://map.naver.com/p/search/나성동 829", "지도Link")</f>
        <v/>
      </c>
      <c r="K755" s="5">
        <f>HYPERLINK("http://www.eum.go.kr/web/ar/lu/luLandDet.jsp?pnu=3611010700108290000&amp;isNoScr=script&amp;mode=search", "토지이음")</f>
        <v/>
      </c>
      <c r="L755" s="3" t="inlineStr">
        <is>
          <t>도마호반</t>
        </is>
      </c>
      <c r="M755" s="3" t="n">
        <v>1</v>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3" t="inlineStr">
        <is>
          <t>Point 세종, 대전 근교,산세 좋음, 진입도로가 있어서 접근성이 좋음</t>
        </is>
      </c>
      <c r="I756" s="5">
        <f>HYPERLINK("https://fin.land.naver.com/articles/2646676967", "매물Link")</f>
        <v/>
      </c>
      <c r="J756" s="5">
        <f>HYPERLINK("https://map.naver.com/p/search/나성동 829", "지도Link")</f>
        <v/>
      </c>
      <c r="K756" s="5">
        <f>HYPERLINK("http://www.eum.go.kr/web/ar/lu/luLandDet.jsp?pnu=3611010700108290000&amp;isNoScr=script&amp;mode=search", "토지이음")</f>
        <v/>
      </c>
      <c r="L756" s="3" t="inlineStr">
        <is>
          <t>도마호반</t>
        </is>
      </c>
      <c r="M756" s="3" t="n">
        <v>1</v>
      </c>
    </row>
    <row r="757">
      <c r="A757" s="3" t="inlineStr">
        <is>
          <t>나성동 829</t>
        </is>
      </c>
      <c r="B757" s="3" t="inlineStr">
        <is>
          <t>중심상업지역</t>
        </is>
      </c>
      <c r="C757" s="3" t="inlineStr">
        <is>
          <t>대</t>
        </is>
      </c>
      <c r="D757" s="3" t="inlineStr">
        <is>
          <t>전</t>
        </is>
      </c>
      <c r="E757" s="3" t="inlineStr">
        <is>
          <t>매매</t>
        </is>
      </c>
      <c r="F757" s="4" t="n">
        <v>5200</v>
      </c>
      <c r="G757" s="4" t="n">
        <v>631</v>
      </c>
      <c r="H757" s="3" t="inlineStr">
        <is>
          <t>Point 주말농장용, 주말농장용, 도로 접근 가능</t>
        </is>
      </c>
      <c r="I757" s="5">
        <f>HYPERLINK("https://fin.land.naver.com/articles/2646677031", "매물Link")</f>
        <v/>
      </c>
      <c r="J757" s="5">
        <f>HYPERLINK("https://map.naver.com/p/search/나성동 829", "지도Link")</f>
        <v/>
      </c>
      <c r="K757" s="5">
        <f>HYPERLINK("http://www.eum.go.kr/web/ar/lu/luLandDet.jsp?pnu=3611010700108290000&amp;isNoScr=script&amp;mode=search", "토지이음")</f>
        <v/>
      </c>
      <c r="L757" s="3" t="inlineStr">
        <is>
          <t>도마호반</t>
        </is>
      </c>
      <c r="M757" s="3" t="n">
        <v>1</v>
      </c>
    </row>
    <row r="758">
      <c r="A758" s="3" t="inlineStr">
        <is>
          <t>나성동 829</t>
        </is>
      </c>
      <c r="B758" s="3" t="inlineStr">
        <is>
          <t>중심상업지역</t>
        </is>
      </c>
      <c r="C758" s="3" t="inlineStr">
        <is>
          <t>대</t>
        </is>
      </c>
      <c r="D758" s="3" t="inlineStr">
        <is>
          <t>답</t>
        </is>
      </c>
      <c r="E758" s="3" t="inlineStr">
        <is>
          <t>매매</t>
        </is>
      </c>
      <c r="F758" s="4" t="n">
        <v>22000</v>
      </c>
      <c r="G758" s="4" t="n">
        <v>943</v>
      </c>
      <c r="H758" s="3" t="inlineStr">
        <is>
          <t>Point 투자용,창고부지,전원주택용지추천,도로접,활용도 높은 저렴한토지</t>
        </is>
      </c>
      <c r="I758" s="5">
        <f>HYPERLINK("https://fin.land.naver.com/articles/2646677053", "매물Link")</f>
        <v/>
      </c>
      <c r="J758" s="5">
        <f>HYPERLINK("https://map.naver.com/p/search/나성동 829", "지도Link")</f>
        <v/>
      </c>
      <c r="K758" s="5">
        <f>HYPERLINK("http://www.eum.go.kr/web/ar/lu/luLandDet.jsp?pnu=3611010700108290000&amp;isNoScr=script&amp;mode=search", "토지이음")</f>
        <v/>
      </c>
      <c r="L758" s="3" t="inlineStr">
        <is>
          <t>도마호반</t>
        </is>
      </c>
      <c r="M758" s="3" t="n">
        <v>1</v>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3" t="inlineStr">
        <is>
          <t>Point 농지원부용, 주말농장, 투자용</t>
        </is>
      </c>
      <c r="I759" s="5">
        <f>HYPERLINK("https://fin.land.naver.com/articles/2646677119", "매물Link")</f>
        <v/>
      </c>
      <c r="J759" s="5">
        <f>HYPERLINK("https://map.naver.com/p/search/나성동 829", "지도Link")</f>
        <v/>
      </c>
      <c r="K759" s="5">
        <f>HYPERLINK("http://www.eum.go.kr/web/ar/lu/luLandDet.jsp?pnu=3611010700108290000&amp;isNoScr=script&amp;mode=search", "토지이음")</f>
        <v/>
      </c>
      <c r="L759" s="3" t="inlineStr">
        <is>
          <t>도마호반</t>
        </is>
      </c>
      <c r="M759" s="3" t="n">
        <v>1</v>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3" t="inlineStr">
        <is>
          <t>Point 집입도로 있고, 공장, 창고 추천, 시세보다 저렴</t>
        </is>
      </c>
      <c r="I760" s="5">
        <f>HYPERLINK("https://fin.land.naver.com/articles/2646677149", "매물Link")</f>
        <v/>
      </c>
      <c r="J760" s="5">
        <f>HYPERLINK("https://map.naver.com/p/search/나성동 829", "지도Link")</f>
        <v/>
      </c>
      <c r="K760" s="5">
        <f>HYPERLINK("http://www.eum.go.kr/web/ar/lu/luLandDet.jsp?pnu=3611010700108290000&amp;isNoScr=script&amp;mode=search", "토지이음")</f>
        <v/>
      </c>
      <c r="L760" s="3" t="inlineStr">
        <is>
          <t>도마호반</t>
        </is>
      </c>
      <c r="M760" s="3" t="n">
        <v>1</v>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3" t="inlineStr">
        <is>
          <t>Point 자연인 추천 토지, 구거 접함, 청정지역</t>
        </is>
      </c>
      <c r="I761" s="5">
        <f>HYPERLINK("https://fin.land.naver.com/articles/2646814699", "매물Link")</f>
        <v/>
      </c>
      <c r="J761" s="5">
        <f>HYPERLINK("https://map.naver.com/p/search/나성동 829", "지도Link")</f>
        <v/>
      </c>
      <c r="K761" s="5">
        <f>HYPERLINK("http://www.eum.go.kr/web/ar/lu/luLandDet.jsp?pnu=3611010700108290000&amp;isNoScr=script&amp;mode=search", "토지이음")</f>
        <v/>
      </c>
      <c r="L761" s="3" t="inlineStr">
        <is>
          <t>도마호반</t>
        </is>
      </c>
      <c r="M761" s="3" t="n">
        <v>1</v>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3" t="inlineStr">
        <is>
          <t>2차선도로접 나대지 남청주ic 5분거리 물류창고추천</t>
        </is>
      </c>
      <c r="I762" s="5">
        <f>HYPERLINK("https://fin.land.naver.com/articles/2647750720", "매물Link")</f>
        <v/>
      </c>
      <c r="J762" s="5">
        <f>HYPERLINK("https://map.naver.com/p/search/나성동 829", "지도Link")</f>
        <v/>
      </c>
      <c r="K762" s="5">
        <f>HYPERLINK("http://www.eum.go.kr/web/ar/lu/luLandDet.jsp?pnu=3611010700108290000&amp;isNoScr=script&amp;mode=search", "토지이음")</f>
        <v/>
      </c>
      <c r="L762" s="3" t="inlineStr">
        <is>
          <t>플러스태양</t>
        </is>
      </c>
      <c r="M762" s="3" t="n">
        <v>1</v>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3" t="inlineStr">
        <is>
          <t>노산리 토지 매매, 신탄진네거리에서 차량으로 5분 거리</t>
        </is>
      </c>
      <c r="I763" s="5">
        <f>HYPERLINK("https://fin.land.naver.com/articles/2645703848", "매물Link")</f>
        <v/>
      </c>
      <c r="J763" s="5">
        <f>HYPERLINK("https://map.naver.com/p/search/나성동 829", "지도Link")</f>
        <v/>
      </c>
      <c r="K763" s="5">
        <f>HYPERLINK("http://www.eum.go.kr/web/ar/lu/luLandDet.jsp?pnu=3611010700108290000&amp;isNoScr=script&amp;mode=search", "토지이음")</f>
        <v/>
      </c>
      <c r="L763" s="3" t="inlineStr">
        <is>
          <t>대지</t>
        </is>
      </c>
      <c r="M763" s="3" t="n">
        <v>1</v>
      </c>
    </row>
    <row r="764">
      <c r="A764" s="3" t="inlineStr">
        <is>
          <t>나성동 829</t>
        </is>
      </c>
      <c r="B764" s="3" t="inlineStr">
        <is>
          <t>중심상업지역</t>
        </is>
      </c>
      <c r="C764" s="3" t="inlineStr">
        <is>
          <t>대</t>
        </is>
      </c>
      <c r="D764" s="3" t="inlineStr">
        <is>
          <t>대</t>
        </is>
      </c>
      <c r="E764" s="3" t="inlineStr">
        <is>
          <t>매매</t>
        </is>
      </c>
      <c r="F764" s="4" t="n">
        <v>7800</v>
      </c>
      <c r="G764" s="4" t="n">
        <v>115</v>
      </c>
      <c r="H764" s="3" t="inlineStr">
        <is>
          <t>Point 계획관리지역, 성장관리계획구역</t>
        </is>
      </c>
      <c r="I764" s="5">
        <f>HYPERLINK("https://fin.land.naver.com/articles/2647899710", "매물Link")</f>
        <v/>
      </c>
      <c r="J764" s="5">
        <f>HYPERLINK("https://map.naver.com/p/search/나성동 829", "지도Link")</f>
        <v/>
      </c>
      <c r="K764" s="5">
        <f>HYPERLINK("http://www.eum.go.kr/web/ar/lu/luLandDet.jsp?pnu=3611010700108290000&amp;isNoScr=script&amp;mode=search", "토지이음")</f>
        <v/>
      </c>
      <c r="L764" s="3" t="inlineStr">
        <is>
          <t>도마호반</t>
        </is>
      </c>
      <c r="M764" s="3" t="n">
        <v>1</v>
      </c>
    </row>
    <row r="765">
      <c r="A765" s="3" t="inlineStr">
        <is>
          <t>나성동 829</t>
        </is>
      </c>
      <c r="B765" s="3" t="inlineStr">
        <is>
          <t>중심상업지역</t>
        </is>
      </c>
      <c r="C765" s="3" t="inlineStr">
        <is>
          <t>대</t>
        </is>
      </c>
      <c r="D765" s="3" t="inlineStr">
        <is>
          <t>대</t>
        </is>
      </c>
      <c r="E765" s="3" t="inlineStr">
        <is>
          <t>매매</t>
        </is>
      </c>
      <c r="F765" s="4" t="n">
        <v>31350</v>
      </c>
      <c r="G765" s="4" t="n">
        <v>691</v>
      </c>
      <c r="H765" s="3" t="inlineStr">
        <is>
          <t>현도면 구옥있음  철거후 신축가능</t>
        </is>
      </c>
      <c r="I765" s="5">
        <f>HYPERLINK("https://fin.land.naver.com/articles/2646163240", "매물Link")</f>
        <v/>
      </c>
      <c r="J765" s="5">
        <f>HYPERLINK("https://map.naver.com/p/search/나성동 829", "지도Link")</f>
        <v/>
      </c>
      <c r="K765" s="5">
        <f>HYPERLINK("http://www.eum.go.kr/web/ar/lu/luLandDet.jsp?pnu=3611010700108290000&amp;isNoScr=script&amp;mode=search", "토지이음")</f>
        <v/>
      </c>
      <c r="L765" s="3" t="inlineStr">
        <is>
          <t>더원</t>
        </is>
      </c>
      <c r="M765" s="3" t="n">
        <v>1</v>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3" t="inlineStr">
        <is>
          <t>남청주IC와 가까워 대형차 진출입이 편리한 곳, 현도 산업단지 인근</t>
        </is>
      </c>
      <c r="I766" s="5">
        <f>HYPERLINK("https://fin.land.naver.com/articles/2645782674", "매물Link")</f>
        <v/>
      </c>
      <c r="J766" s="5">
        <f>HYPERLINK("https://map.naver.com/p/search/나성동 829", "지도Link")</f>
        <v/>
      </c>
      <c r="K766" s="5">
        <f>HYPERLINK("http://www.eum.go.kr/web/ar/lu/luLandDet.jsp?pnu=3611010700108290000&amp;isNoScr=script&amp;mode=search", "토지이음")</f>
        <v/>
      </c>
      <c r="L766" s="3" t="inlineStr">
        <is>
          <t>(주)미르</t>
        </is>
      </c>
      <c r="M766" s="3" t="n">
        <v>1</v>
      </c>
    </row>
    <row r="767">
      <c r="A767" s="3" t="inlineStr">
        <is>
          <t>나성동 829</t>
        </is>
      </c>
      <c r="B767" s="3" t="inlineStr">
        <is>
          <t>중심상업지역</t>
        </is>
      </c>
      <c r="C767" s="3" t="inlineStr">
        <is>
          <t>대</t>
        </is>
      </c>
      <c r="D767" s="3" t="inlineStr">
        <is>
          <t>전</t>
        </is>
      </c>
      <c r="E767" s="3" t="inlineStr">
        <is>
          <t>매매</t>
        </is>
      </c>
      <c r="F767" s="4" t="n">
        <v>46000</v>
      </c>
      <c r="G767" s="4" t="n">
        <v>942</v>
      </c>
      <c r="H767" s="3" t="inlineStr">
        <is>
          <t>석판리 전망 좋은 토지 매매</t>
        </is>
      </c>
      <c r="I767" s="5">
        <f>HYPERLINK("https://fin.land.naver.com/articles/2647110764", "매물Link")</f>
        <v/>
      </c>
      <c r="J767" s="5">
        <f>HYPERLINK("https://map.naver.com/p/search/나성동 829", "지도Link")</f>
        <v/>
      </c>
      <c r="K767" s="5">
        <f>HYPERLINK("http://www.eum.go.kr/web/ar/lu/luLandDet.jsp?pnu=3611010700108290000&amp;isNoScr=script&amp;mode=search", "토지이음")</f>
        <v/>
      </c>
      <c r="L767" s="3" t="inlineStr">
        <is>
          <t>삼성사무소</t>
        </is>
      </c>
      <c r="M767" s="3" t="n">
        <v>1</v>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3" t="inlineStr">
        <is>
          <t>nan</t>
        </is>
      </c>
      <c r="I768" s="5">
        <f>HYPERLINK("https://fin.land.naver.com/articles/2647309703", "매물Link")</f>
        <v/>
      </c>
      <c r="J768" s="5">
        <f>HYPERLINK("https://map.naver.com/p/search/나성동 829", "지도Link")</f>
        <v/>
      </c>
      <c r="K768" s="5">
        <f>HYPERLINK("http://www.eum.go.kr/web/ar/lu/luLandDet.jsp?pnu=3611010700108290000&amp;isNoScr=script&amp;mode=search", "토지이음")</f>
        <v/>
      </c>
      <c r="L768" s="3" t="inlineStr">
        <is>
          <t>황금</t>
        </is>
      </c>
      <c r="M768" s="3" t="n">
        <v>1</v>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3" t="inlineStr">
        <is>
          <t>전원주택 지로 추천합니다</t>
        </is>
      </c>
      <c r="I769" s="5">
        <f>HYPERLINK("https://fin.land.naver.com/articles/2647310736", "매물Link")</f>
        <v/>
      </c>
      <c r="J769" s="5">
        <f>HYPERLINK("https://map.naver.com/p/search/나성동 829", "지도Link")</f>
        <v/>
      </c>
      <c r="K769" s="5">
        <f>HYPERLINK("http://www.eum.go.kr/web/ar/lu/luLandDet.jsp?pnu=3611010700108290000&amp;isNoScr=script&amp;mode=search", "토지이음")</f>
        <v/>
      </c>
      <c r="L769" s="3" t="inlineStr">
        <is>
          <t>황금</t>
        </is>
      </c>
      <c r="M769" s="3" t="n">
        <v>1</v>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3" t="inlineStr">
        <is>
          <t>nan</t>
        </is>
      </c>
      <c r="I770" s="5">
        <f>HYPERLINK("https://fin.land.naver.com/articles/2647470269", "매물Link")</f>
        <v/>
      </c>
      <c r="J770" s="5">
        <f>HYPERLINK("https://map.naver.com/p/search/나성동 829", "지도Link")</f>
        <v/>
      </c>
      <c r="K770" s="5">
        <f>HYPERLINK("http://www.eum.go.kr/web/ar/lu/luLandDet.jsp?pnu=3611010700108290000&amp;isNoScr=script&amp;mode=search", "토지이음")</f>
        <v/>
      </c>
      <c r="L770" s="3" t="inlineStr">
        <is>
          <t>좋은터</t>
        </is>
      </c>
      <c r="M770" s="3" t="n">
        <v>1</v>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3" t="inlineStr">
        <is>
          <t>nan</t>
        </is>
      </c>
      <c r="I771" s="5">
        <f>HYPERLINK("https://fin.land.naver.com/articles/2647471399", "매물Link")</f>
        <v/>
      </c>
      <c r="J771" s="5">
        <f>HYPERLINK("https://map.naver.com/p/search/나성동 829", "지도Link")</f>
        <v/>
      </c>
      <c r="K771" s="5">
        <f>HYPERLINK("http://www.eum.go.kr/web/ar/lu/luLandDet.jsp?pnu=3611010700108290000&amp;isNoScr=script&amp;mode=search", "토지이음")</f>
        <v/>
      </c>
      <c r="L771" s="3" t="inlineStr">
        <is>
          <t>좋은터</t>
        </is>
      </c>
      <c r="M771" s="3" t="n">
        <v>1</v>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3" t="inlineStr">
        <is>
          <t>남이면 수대리 토지매매</t>
        </is>
      </c>
      <c r="I772" s="5">
        <f>HYPERLINK("https://fin.land.naver.com/articles/2647565268", "매물Link")</f>
        <v/>
      </c>
      <c r="J772" s="5">
        <f>HYPERLINK("https://map.naver.com/p/search/나성동 829", "지도Link")</f>
        <v/>
      </c>
      <c r="K772" s="5">
        <f>HYPERLINK("http://www.eum.go.kr/web/ar/lu/luLandDet.jsp?pnu=3611010700108290000&amp;isNoScr=script&amp;mode=search", "토지이음")</f>
        <v/>
      </c>
      <c r="L772" s="3" t="inlineStr">
        <is>
          <t>진</t>
        </is>
      </c>
      <c r="M772" s="3" t="n">
        <v>1</v>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3" t="inlineStr">
        <is>
          <t>청주세종간 자동차전용도로 부근의 2차선에 접한 토지임</t>
        </is>
      </c>
      <c r="I773" s="5">
        <f>HYPERLINK("https://fin.land.naver.com/articles/2647681684", "매물Link")</f>
        <v/>
      </c>
      <c r="J773" s="5">
        <f>HYPERLINK("https://map.naver.com/p/search/나성동 829", "지도Link")</f>
        <v/>
      </c>
      <c r="K773" s="5">
        <f>HYPERLINK("http://www.eum.go.kr/web/ar/lu/luLandDet.jsp?pnu=3611010700108290000&amp;isNoScr=script&amp;mode=search", "토지이음")</f>
        <v/>
      </c>
      <c r="L773" s="3" t="inlineStr">
        <is>
          <t>교차로</t>
        </is>
      </c>
      <c r="M773" s="3" t="n">
        <v>1</v>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3" t="inlineStr">
        <is>
          <t>nan</t>
        </is>
      </c>
      <c r="I774" s="5">
        <f>HYPERLINK("https://fin.land.naver.com/articles/2647682631", "매물Link")</f>
        <v/>
      </c>
      <c r="J774" s="5">
        <f>HYPERLINK("https://map.naver.com/p/search/나성동 829", "지도Link")</f>
        <v/>
      </c>
      <c r="K774" s="5">
        <f>HYPERLINK("http://www.eum.go.kr/web/ar/lu/luLandDet.jsp?pnu=3611010700108290000&amp;isNoScr=script&amp;mode=search", "토지이음")</f>
        <v/>
      </c>
      <c r="L774" s="3" t="inlineStr">
        <is>
          <t>교차로</t>
        </is>
      </c>
      <c r="M774" s="3" t="n">
        <v>1</v>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3" t="inlineStr">
        <is>
          <t>구거에 접해있는 땅, 객토로 땅의 쓰임새 좋아요.</t>
        </is>
      </c>
      <c r="I775" s="5">
        <f>HYPERLINK("https://fin.land.naver.com/articles/2647750927", "매물Link")</f>
        <v/>
      </c>
      <c r="J775" s="5">
        <f>HYPERLINK("https://map.naver.com/p/search/나성동 829", "지도Link")</f>
        <v/>
      </c>
      <c r="K775" s="5">
        <f>HYPERLINK("http://www.eum.go.kr/web/ar/lu/luLandDet.jsp?pnu=3611010700108290000&amp;isNoScr=script&amp;mode=search", "토지이음")</f>
        <v/>
      </c>
      <c r="L775" s="3" t="inlineStr">
        <is>
          <t>굿모닝  사무소</t>
        </is>
      </c>
      <c r="M775" s="3" t="n">
        <v>1</v>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3" t="inlineStr">
        <is>
          <t>도로가 있는 구거에 접해있고 남향에 모양도 이쁜 땅</t>
        </is>
      </c>
      <c r="I776" s="5">
        <f>HYPERLINK("https://fin.land.naver.com/articles/2647756260", "매물Link")</f>
        <v/>
      </c>
      <c r="J776" s="5">
        <f>HYPERLINK("https://map.naver.com/p/search/나성동 829", "지도Link")</f>
        <v/>
      </c>
      <c r="K776" s="5">
        <f>HYPERLINK("http://www.eum.go.kr/web/ar/lu/luLandDet.jsp?pnu=3611010700108290000&amp;isNoScr=script&amp;mode=search", "토지이음")</f>
        <v/>
      </c>
      <c r="L776" s="3" t="inlineStr">
        <is>
          <t>굿모닝  사무소</t>
        </is>
      </c>
      <c r="M776" s="3" t="n">
        <v>1</v>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3" t="inlineStr">
        <is>
          <t>nan</t>
        </is>
      </c>
      <c r="I777" s="5">
        <f>HYPERLINK("https://fin.land.naver.com/articles/2648227980", "매물Link")</f>
        <v/>
      </c>
      <c r="J777" s="5">
        <f>HYPERLINK("https://map.naver.com/p/search/나성동 829", "지도Link")</f>
        <v/>
      </c>
      <c r="K777" s="5">
        <f>HYPERLINK("http://www.eum.go.kr/web/ar/lu/luLandDet.jsp?pnu=3611010700108290000&amp;isNoScr=script&amp;mode=search", "토지이음")</f>
        <v/>
      </c>
      <c r="L777" s="3" t="inlineStr">
        <is>
          <t>좋은터</t>
        </is>
      </c>
      <c r="M777" s="3" t="n">
        <v>1</v>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3" t="inlineStr">
        <is>
          <t>nan</t>
        </is>
      </c>
      <c r="I778" s="5">
        <f>HYPERLINK("https://fin.land.naver.com/articles/2648228201", "매물Link")</f>
        <v/>
      </c>
      <c r="J778" s="5">
        <f>HYPERLINK("https://map.naver.com/p/search/나성동 829", "지도Link")</f>
        <v/>
      </c>
      <c r="K778" s="5">
        <f>HYPERLINK("http://www.eum.go.kr/web/ar/lu/luLandDet.jsp?pnu=3611010700108290000&amp;isNoScr=script&amp;mode=search", "토지이음")</f>
        <v/>
      </c>
      <c r="L778" s="3" t="inlineStr">
        <is>
          <t>좋은터</t>
        </is>
      </c>
      <c r="M778" s="3" t="n">
        <v>1</v>
      </c>
    </row>
    <row r="779">
      <c r="A779" s="3" t="inlineStr">
        <is>
          <t>나성동 829</t>
        </is>
      </c>
      <c r="B779" s="3" t="inlineStr">
        <is>
          <t>중심상업지역</t>
        </is>
      </c>
      <c r="C779" s="3" t="inlineStr">
        <is>
          <t>대</t>
        </is>
      </c>
      <c r="D779" s="3" t="inlineStr">
        <is>
          <t>대</t>
        </is>
      </c>
      <c r="E779" s="3" t="inlineStr">
        <is>
          <t>매매</t>
        </is>
      </c>
      <c r="F779" s="4" t="n">
        <v>11500</v>
      </c>
      <c r="G779" s="4" t="n">
        <v>760</v>
      </c>
      <c r="H779" s="3" t="inlineStr">
        <is>
          <t>건축허가,토목공사 완료상태.토지 옆에 조그만 도랑 있음.</t>
        </is>
      </c>
      <c r="I779" s="5">
        <f>HYPERLINK("https://fin.land.naver.com/articles/2648234032", "매물Link")</f>
        <v/>
      </c>
      <c r="J779" s="5">
        <f>HYPERLINK("https://map.naver.com/p/search/나성동 829", "지도Link")</f>
        <v/>
      </c>
      <c r="K779" s="5">
        <f>HYPERLINK("http://www.eum.go.kr/web/ar/lu/luLandDet.jsp?pnu=3611010700108290000&amp;isNoScr=script&amp;mode=search", "토지이음")</f>
        <v/>
      </c>
      <c r="L779" s="3" t="inlineStr">
        <is>
          <t>청와대합동사무소</t>
        </is>
      </c>
      <c r="M779" s="3" t="n">
        <v>1</v>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3" t="inlineStr">
        <is>
          <t>도심지에서 가까운 조성완료된 전원주택지</t>
        </is>
      </c>
      <c r="I780" s="5">
        <f>HYPERLINK("https://fin.land.naver.com/articles/2648363453", "매물Link")</f>
        <v/>
      </c>
      <c r="J780" s="5">
        <f>HYPERLINK("https://map.naver.com/p/search/나성동 829", "지도Link")</f>
        <v/>
      </c>
      <c r="K780" s="5">
        <f>HYPERLINK("http://www.eum.go.kr/web/ar/lu/luLandDet.jsp?pnu=3611010700108290000&amp;isNoScr=script&amp;mode=search", "토지이음")</f>
        <v/>
      </c>
      <c r="L780" s="3" t="inlineStr">
        <is>
          <t>명진</t>
        </is>
      </c>
      <c r="M780" s="3" t="n">
        <v>1</v>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3" t="inlineStr">
        <is>
          <t>농림지역 도로접한 좋은토지 전답 두필지 매매</t>
        </is>
      </c>
      <c r="I781" s="5">
        <f>HYPERLINK("https://fin.land.naver.com/articles/2647067982", "매물Link")</f>
        <v/>
      </c>
      <c r="J781" s="5">
        <f>HYPERLINK("https://map.naver.com/p/search/나성동 829", "지도Link")</f>
        <v/>
      </c>
      <c r="K781" s="5">
        <f>HYPERLINK("http://www.eum.go.kr/web/ar/lu/luLandDet.jsp?pnu=3611010700108290000&amp;isNoScr=script&amp;mode=search", "토지이음")</f>
        <v/>
      </c>
      <c r="L781" s="3" t="inlineStr">
        <is>
          <t>방서비타민</t>
        </is>
      </c>
      <c r="M781" s="3" t="n">
        <v>1</v>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3" t="inlineStr">
        <is>
          <t>수도.전기,농막설치됨</t>
        </is>
      </c>
      <c r="I782" s="5">
        <f>HYPERLINK("https://fin.land.naver.com/articles/2644476078", "매물Link")</f>
        <v/>
      </c>
      <c r="J782" s="5">
        <f>HYPERLINK("https://map.naver.com/p/search/나성동 829", "지도Link")</f>
        <v/>
      </c>
      <c r="K782" s="5">
        <f>HYPERLINK("http://www.eum.go.kr/web/ar/lu/luLandDet.jsp?pnu=3611010700108290000&amp;isNoScr=script&amp;mode=search", "토지이음")</f>
        <v/>
      </c>
      <c r="L782" s="3" t="inlineStr">
        <is>
          <t>남청주ic합동무소</t>
        </is>
      </c>
      <c r="M782" s="3" t="n">
        <v>1</v>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3" t="inlineStr">
        <is>
          <t>세종시 입구, 다목적 토지 입니다</t>
        </is>
      </c>
      <c r="I783" s="5">
        <f>HYPERLINK("https://fin.land.naver.com/articles/2647041696", "매물Link")</f>
        <v/>
      </c>
      <c r="J783" s="5">
        <f>HYPERLINK("https://map.naver.com/p/search/나성동 829", "지도Link")</f>
        <v/>
      </c>
      <c r="K783" s="5">
        <f>HYPERLINK("http://www.eum.go.kr/web/ar/lu/luLandDet.jsp?pnu=3611010700108290000&amp;isNoScr=script&amp;mode=search", "토지이음")</f>
        <v/>
      </c>
      <c r="L783" s="3" t="inlineStr">
        <is>
          <t>대일</t>
        </is>
      </c>
      <c r="M783" s="3" t="n">
        <v>1</v>
      </c>
    </row>
    <row r="784">
      <c r="A784" s="3" t="inlineStr">
        <is>
          <t>나성동 829</t>
        </is>
      </c>
      <c r="B784" s="3" t="inlineStr">
        <is>
          <t>중심상업지역</t>
        </is>
      </c>
      <c r="C784" s="3" t="inlineStr">
        <is>
          <t>대</t>
        </is>
      </c>
      <c r="D784" s="3" t="inlineStr">
        <is>
          <t>답</t>
        </is>
      </c>
      <c r="E784" s="3" t="inlineStr">
        <is>
          <t>매매</t>
        </is>
      </c>
      <c r="F784" s="4" t="n">
        <v>6400</v>
      </c>
      <c r="G784" s="4" t="n">
        <v>1048</v>
      </c>
      <c r="H784" s="3" t="inlineStr">
        <is>
          <t>남향의 산자락에 붙어 있는 토지임</t>
        </is>
      </c>
      <c r="I784" s="5">
        <f>HYPERLINK("https://fin.land.naver.com/articles/2646980261", "매물Link")</f>
        <v/>
      </c>
      <c r="J784" s="5">
        <f>HYPERLINK("https://map.naver.com/p/search/나성동 829", "지도Link")</f>
        <v/>
      </c>
      <c r="K784" s="5">
        <f>HYPERLINK("http://www.eum.go.kr/web/ar/lu/luLandDet.jsp?pnu=3611010700108290000&amp;isNoScr=script&amp;mode=search", "토지이음")</f>
        <v/>
      </c>
      <c r="L784" s="3" t="inlineStr">
        <is>
          <t>교차로</t>
        </is>
      </c>
      <c r="M784" s="3" t="n">
        <v>1</v>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3" t="inlineStr">
        <is>
          <t>급매물공장용지허가완료</t>
        </is>
      </c>
      <c r="I785" s="5">
        <f>HYPERLINK("https://fin.land.naver.com/articles/2644477497", "매물Link")</f>
        <v/>
      </c>
      <c r="J785" s="5">
        <f>HYPERLINK("https://map.naver.com/p/search/나성동 829", "지도Link")</f>
        <v/>
      </c>
      <c r="K785" s="5">
        <f>HYPERLINK("http://www.eum.go.kr/web/ar/lu/luLandDet.jsp?pnu=3611010700108290000&amp;isNoScr=script&amp;mode=search", "토지이음")</f>
        <v/>
      </c>
      <c r="L785" s="3" t="inlineStr">
        <is>
          <t>남청주ic합동무소</t>
        </is>
      </c>
      <c r="M785" s="3" t="n">
        <v>1</v>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3" t="inlineStr">
        <is>
          <t>남이초 인근 전으로 사용 중 창고나 근생욜지로 추천</t>
        </is>
      </c>
      <c r="I786" s="5">
        <f>HYPERLINK("https://fin.land.naver.com/articles/2644790347", "매물Link")</f>
        <v/>
      </c>
      <c r="J786" s="5">
        <f>HYPERLINK("https://map.naver.com/p/search/나성동 829", "지도Link")</f>
        <v/>
      </c>
      <c r="K786" s="5">
        <f>HYPERLINK("http://www.eum.go.kr/web/ar/lu/luLandDet.jsp?pnu=3611010700108290000&amp;isNoScr=script&amp;mode=search", "토지이음")</f>
        <v/>
      </c>
      <c r="L786" s="3" t="inlineStr">
        <is>
          <t>태평</t>
        </is>
      </c>
      <c r="M786" s="3" t="n">
        <v>1</v>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3" t="inlineStr">
        <is>
          <t>분할가능 전원택지 최적 자연취락지구.2~3필지로 분할 사용가능</t>
        </is>
      </c>
      <c r="I787" s="5">
        <f>HYPERLINK("https://fin.land.naver.com/articles/2645313482", "매물Link")</f>
        <v/>
      </c>
      <c r="J787" s="5">
        <f>HYPERLINK("https://map.naver.com/p/search/나성동 829", "지도Link")</f>
        <v/>
      </c>
      <c r="K787" s="5">
        <f>HYPERLINK("http://www.eum.go.kr/web/ar/lu/luLandDet.jsp?pnu=3611010700108290000&amp;isNoScr=script&amp;mode=search", "토지이음")</f>
        <v/>
      </c>
      <c r="L787" s="3" t="inlineStr">
        <is>
          <t>사랑</t>
        </is>
      </c>
      <c r="M787" s="3" t="n">
        <v>1</v>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3" t="inlineStr">
        <is>
          <t>갈원리 마을 뒷편 전원주택지입니다. 취락지구(건폐율높음)</t>
        </is>
      </c>
      <c r="I788" s="5">
        <f>HYPERLINK("https://fin.land.naver.com/articles/2645313564", "매물Link")</f>
        <v/>
      </c>
      <c r="J788" s="5">
        <f>HYPERLINK("https://map.naver.com/p/search/나성동 829", "지도Link")</f>
        <v/>
      </c>
      <c r="K788" s="5">
        <f>HYPERLINK("http://www.eum.go.kr/web/ar/lu/luLandDet.jsp?pnu=3611010700108290000&amp;isNoScr=script&amp;mode=search", "토지이음")</f>
        <v/>
      </c>
      <c r="L788" s="3" t="inlineStr">
        <is>
          <t>사랑</t>
        </is>
      </c>
      <c r="M788" s="3" t="n">
        <v>1</v>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3" t="inlineStr">
        <is>
          <t>총 5필지로 구성된 자연녹지.공장 창고가능. 창고 밀집지역</t>
        </is>
      </c>
      <c r="I789" s="5">
        <f>HYPERLINK("https://fin.land.naver.com/articles/2645313593", "매물Link")</f>
        <v/>
      </c>
      <c r="J789" s="5">
        <f>HYPERLINK("https://map.naver.com/p/search/나성동 829", "지도Link")</f>
        <v/>
      </c>
      <c r="K789" s="5">
        <f>HYPERLINK("http://www.eum.go.kr/web/ar/lu/luLandDet.jsp?pnu=3611010700108290000&amp;isNoScr=script&amp;mode=search", "토지이음")</f>
        <v/>
      </c>
      <c r="L789" s="3" t="inlineStr">
        <is>
          <t>사랑</t>
        </is>
      </c>
      <c r="M789" s="3" t="n">
        <v>1</v>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3" t="inlineStr">
        <is>
          <t>nan</t>
        </is>
      </c>
      <c r="I790" s="5">
        <f>HYPERLINK("https://fin.land.naver.com/articles/2645313644", "매물Link")</f>
        <v/>
      </c>
      <c r="J790" s="5">
        <f>HYPERLINK("https://map.naver.com/p/search/나성동 829", "지도Link")</f>
        <v/>
      </c>
      <c r="K790" s="5">
        <f>HYPERLINK("http://www.eum.go.kr/web/ar/lu/luLandDet.jsp?pnu=3611010700108290000&amp;isNoScr=script&amp;mode=search", "토지이음")</f>
        <v/>
      </c>
      <c r="L790" s="3" t="inlineStr">
        <is>
          <t>사랑</t>
        </is>
      </c>
      <c r="M790" s="3" t="n">
        <v>1</v>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3" t="inlineStr">
        <is>
          <t>가마리 길성이백숙옆 답으로구성 두필지,가격조절가능</t>
        </is>
      </c>
      <c r="I791" s="5">
        <f>HYPERLINK("https://fin.land.naver.com/articles/2645517912", "매물Link")</f>
        <v/>
      </c>
      <c r="J791" s="5">
        <f>HYPERLINK("https://map.naver.com/p/search/나성동 829", "지도Link")</f>
        <v/>
      </c>
      <c r="K791" s="5">
        <f>HYPERLINK("http://www.eum.go.kr/web/ar/lu/luLandDet.jsp?pnu=3611010700108290000&amp;isNoScr=script&amp;mode=search", "토지이음")</f>
        <v/>
      </c>
      <c r="L791" s="3" t="inlineStr">
        <is>
          <t>남양휴튼합동무소</t>
        </is>
      </c>
      <c r="M791" s="3" t="n">
        <v>1</v>
      </c>
    </row>
    <row r="792">
      <c r="A792" s="3" t="inlineStr">
        <is>
          <t>나성동 829</t>
        </is>
      </c>
      <c r="B792" s="3" t="inlineStr">
        <is>
          <t>중심상업지역</t>
        </is>
      </c>
      <c r="C792" s="3" t="inlineStr">
        <is>
          <t>대</t>
        </is>
      </c>
      <c r="D792" s="3" t="inlineStr">
        <is>
          <t>대</t>
        </is>
      </c>
      <c r="E792" s="3" t="inlineStr">
        <is>
          <t>매매</t>
        </is>
      </c>
      <c r="F792" s="4" t="n">
        <v>10500</v>
      </c>
      <c r="G792" s="4" t="n">
        <v>824</v>
      </c>
      <c r="H792" s="3" t="inlineStr">
        <is>
          <t>3m도로에 접한 대지(계획관리) 주택허가 득한 나대지</t>
        </is>
      </c>
      <c r="I792" s="5">
        <f>HYPERLINK("https://fin.land.naver.com/articles/2645564061", "매물Link")</f>
        <v/>
      </c>
      <c r="J792" s="5">
        <f>HYPERLINK("https://map.naver.com/p/search/나성동 829", "지도Link")</f>
        <v/>
      </c>
      <c r="K792" s="5">
        <f>HYPERLINK("http://www.eum.go.kr/web/ar/lu/luLandDet.jsp?pnu=3611010700108290000&amp;isNoScr=script&amp;mode=search", "토지이음")</f>
        <v/>
      </c>
      <c r="L792" s="3" t="inlineStr">
        <is>
          <t>새온누리</t>
        </is>
      </c>
      <c r="M792" s="3" t="n">
        <v>1</v>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3" t="inlineStr">
        <is>
          <t>소규모공장 작업장 창고로 적격 요양원자리도 적격</t>
        </is>
      </c>
      <c r="I793" s="5">
        <f>HYPERLINK("https://fin.land.naver.com/articles/2645633812", "매물Link")</f>
        <v/>
      </c>
      <c r="J793" s="5">
        <f>HYPERLINK("https://map.naver.com/p/search/나성동 829", "지도Link")</f>
        <v/>
      </c>
      <c r="K793" s="5">
        <f>HYPERLINK("http://www.eum.go.kr/web/ar/lu/luLandDet.jsp?pnu=3611010700108290000&amp;isNoScr=script&amp;mode=search", "토지이음")</f>
        <v/>
      </c>
      <c r="L793" s="3" t="inlineStr">
        <is>
          <t>명진</t>
        </is>
      </c>
      <c r="M793" s="3" t="n">
        <v>1</v>
      </c>
    </row>
    <row r="794">
      <c r="A794" s="3" t="inlineStr">
        <is>
          <t>나성동 829</t>
        </is>
      </c>
      <c r="B794" s="3" t="inlineStr">
        <is>
          <t>중심상업지역</t>
        </is>
      </c>
      <c r="C794" s="3" t="inlineStr">
        <is>
          <t>대</t>
        </is>
      </c>
      <c r="D794" s="3" t="inlineStr">
        <is>
          <t>전</t>
        </is>
      </c>
      <c r="E794" s="3" t="inlineStr">
        <is>
          <t>매매</t>
        </is>
      </c>
      <c r="F794" s="4" t="n">
        <v>14000</v>
      </c>
      <c r="G794" s="4" t="n">
        <v>660</v>
      </c>
      <c r="H794" s="3" t="inlineStr">
        <is>
          <t>포장도로접 전망좋음 땅모양 네모반듯 농막설치하고 주말농장 하실분 추천</t>
        </is>
      </c>
      <c r="I794" s="5">
        <f>HYPERLINK("https://fin.land.naver.com/articles/2646312193", "매물Link")</f>
        <v/>
      </c>
      <c r="J794" s="5">
        <f>HYPERLINK("https://map.naver.com/p/search/나성동 829", "지도Link")</f>
        <v/>
      </c>
      <c r="K794" s="5">
        <f>HYPERLINK("http://www.eum.go.kr/web/ar/lu/luLandDet.jsp?pnu=3611010700108290000&amp;isNoScr=script&amp;mode=search", "토지이음")</f>
        <v/>
      </c>
      <c r="L794" s="3" t="inlineStr">
        <is>
          <t>신두꺼비</t>
        </is>
      </c>
      <c r="M794" s="3" t="n">
        <v>1</v>
      </c>
    </row>
    <row r="795">
      <c r="A795" s="3" t="inlineStr">
        <is>
          <t>나성동 829</t>
        </is>
      </c>
      <c r="B795" s="3" t="inlineStr">
        <is>
          <t>중심상업지역</t>
        </is>
      </c>
      <c r="C795" s="3" t="inlineStr">
        <is>
          <t>대</t>
        </is>
      </c>
      <c r="D795" s="3" t="inlineStr">
        <is>
          <t>답</t>
        </is>
      </c>
      <c r="E795" s="3" t="inlineStr">
        <is>
          <t>매매</t>
        </is>
      </c>
      <c r="F795" s="4" t="n">
        <v>6500</v>
      </c>
      <c r="G795" s="4" t="n">
        <v>910</v>
      </c>
      <c r="H795" s="3" t="inlineStr">
        <is>
          <t>농림지역,농업진흥구역,가축사육제한구역,접도구역</t>
        </is>
      </c>
      <c r="I795" s="5">
        <f>HYPERLINK("https://fin.land.naver.com/articles/2646675098", "매물Link")</f>
        <v/>
      </c>
      <c r="J795" s="5">
        <f>HYPERLINK("https://map.naver.com/p/search/나성동 829", "지도Link")</f>
        <v/>
      </c>
      <c r="K795" s="5">
        <f>HYPERLINK("http://www.eum.go.kr/web/ar/lu/luLandDet.jsp?pnu=3611010700108290000&amp;isNoScr=script&amp;mode=search", "토지이음")</f>
        <v/>
      </c>
      <c r="L795" s="3" t="inlineStr">
        <is>
          <t>세상을여는</t>
        </is>
      </c>
      <c r="M795" s="3" t="n">
        <v>1</v>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3" t="inlineStr">
        <is>
          <t>도시지역, 자연녹지지역 가축사육제한구역, 농막(원룸)있음</t>
        </is>
      </c>
      <c r="I796" s="5">
        <f>HYPERLINK("https://fin.land.naver.com/articles/2646675105", "매물Link")</f>
        <v/>
      </c>
      <c r="J796" s="5">
        <f>HYPERLINK("https://map.naver.com/p/search/나성동 829", "지도Link")</f>
        <v/>
      </c>
      <c r="K796" s="5">
        <f>HYPERLINK("http://www.eum.go.kr/web/ar/lu/luLandDet.jsp?pnu=3611010700108290000&amp;isNoScr=script&amp;mode=search", "토지이음")</f>
        <v/>
      </c>
      <c r="L796" s="3" t="inlineStr">
        <is>
          <t>세상을여는</t>
        </is>
      </c>
      <c r="M796" s="3" t="n">
        <v>1</v>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3" t="inlineStr">
        <is>
          <t>전망좋은 남향, 주말농장이나 대토용으로 추천, 가격절충가능</t>
        </is>
      </c>
      <c r="I797" s="5">
        <f>HYPERLINK("https://fin.land.naver.com/articles/2646675185", "매물Link")</f>
        <v/>
      </c>
      <c r="J797" s="5">
        <f>HYPERLINK("https://map.naver.com/p/search/나성동 829", "지도Link")</f>
        <v/>
      </c>
      <c r="K797" s="5">
        <f>HYPERLINK("http://www.eum.go.kr/web/ar/lu/luLandDet.jsp?pnu=3611010700108290000&amp;isNoScr=script&amp;mode=search", "토지이음")</f>
        <v/>
      </c>
      <c r="L797" s="3" t="inlineStr">
        <is>
          <t>세상을여는</t>
        </is>
      </c>
      <c r="M797" s="3" t="n">
        <v>1</v>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3" t="inlineStr">
        <is>
          <t>nan</t>
        </is>
      </c>
      <c r="I798" s="5">
        <f>HYPERLINK("https://fin.land.naver.com/articles/2646980400", "매물Link")</f>
        <v/>
      </c>
      <c r="J798" s="5">
        <f>HYPERLINK("https://map.naver.com/p/search/나성동 829", "지도Link")</f>
        <v/>
      </c>
      <c r="K798" s="5">
        <f>HYPERLINK("http://www.eum.go.kr/web/ar/lu/luLandDet.jsp?pnu=3611010700108290000&amp;isNoScr=script&amp;mode=search", "토지이음")</f>
        <v/>
      </c>
      <c r="L798" s="3" t="inlineStr">
        <is>
          <t>교차로</t>
        </is>
      </c>
      <c r="M798" s="3" t="n">
        <v>1</v>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3" t="inlineStr">
        <is>
          <t>경부 IC에서 석곡 JC  중간 지점 자연녹지</t>
        </is>
      </c>
      <c r="I799" s="5">
        <f>HYPERLINK("https://fin.land.naver.com/articles/2647363542", "매물Link")</f>
        <v/>
      </c>
      <c r="J799" s="5">
        <f>HYPERLINK("https://map.naver.com/p/search/나성동 829", "지도Link")</f>
        <v/>
      </c>
      <c r="K799" s="5">
        <f>HYPERLINK("http://www.eum.go.kr/web/ar/lu/luLandDet.jsp?pnu=3611010700108290000&amp;isNoScr=script&amp;mode=search", "토지이음")</f>
        <v/>
      </c>
      <c r="L799" s="3" t="inlineStr">
        <is>
          <t>윤</t>
        </is>
      </c>
      <c r="M799" s="3" t="n">
        <v>1</v>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3" t="inlineStr">
        <is>
          <t>Point 저렴한 토지, 도로접하여 접근성 우수, 땅모양 좋음</t>
        </is>
      </c>
      <c r="I800" s="5">
        <f>HYPERLINK("https://fin.land.naver.com/articles/2645575673", "매물Link")</f>
        <v/>
      </c>
      <c r="J800" s="5">
        <f>HYPERLINK("https://map.naver.com/p/search/나성동 829", "지도Link")</f>
        <v/>
      </c>
      <c r="K800" s="5">
        <f>HYPERLINK("http://www.eum.go.kr/web/ar/lu/luLandDet.jsp?pnu=3611010700108290000&amp;isNoScr=script&amp;mode=search", "토지이음")</f>
        <v/>
      </c>
      <c r="L800" s="3" t="inlineStr">
        <is>
          <t>도마호반</t>
        </is>
      </c>
      <c r="M800" s="3" t="n">
        <v>1</v>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3" t="inlineStr">
        <is>
          <t>청주시 봉명동 대로변 토지매매</t>
        </is>
      </c>
      <c r="I801" s="5">
        <f>HYPERLINK("https://fin.land.naver.com/articles/2646786227", "매물Link")</f>
        <v/>
      </c>
      <c r="J801" s="5">
        <f>HYPERLINK("https://map.naver.com/p/search/나성동 829", "지도Link")</f>
        <v/>
      </c>
      <c r="K801" s="5">
        <f>HYPERLINK("http://www.eum.go.kr/web/ar/lu/luLandDet.jsp?pnu=3611010700108290000&amp;isNoScr=script&amp;mode=search", "토지이음")</f>
        <v/>
      </c>
      <c r="L801" s="3" t="inlineStr">
        <is>
          <t>땅야박영수사무소</t>
        </is>
      </c>
      <c r="M801" s="3" t="n">
        <v>1</v>
      </c>
    </row>
    <row r="802">
      <c r="A802" s="3" t="inlineStr">
        <is>
          <t>나성동 829</t>
        </is>
      </c>
      <c r="B802" s="3" t="inlineStr">
        <is>
          <t>중심상업지역</t>
        </is>
      </c>
      <c r="C802" s="3" t="inlineStr">
        <is>
          <t>대</t>
        </is>
      </c>
      <c r="D802" s="3" t="inlineStr">
        <is>
          <t>대</t>
        </is>
      </c>
      <c r="E802" s="3" t="inlineStr">
        <is>
          <t>매매</t>
        </is>
      </c>
      <c r="F802" s="4" t="n">
        <v>28000</v>
      </c>
      <c r="G802" s="4" t="n">
        <v>209</v>
      </c>
      <c r="H802" s="3" t="inlineStr">
        <is>
          <t>중앙여고 지적공사 인근 코너 각지</t>
        </is>
      </c>
      <c r="I802" s="5">
        <f>HYPERLINK("https://fin.land.naver.com/articles/2646905611", "매물Link")</f>
        <v/>
      </c>
      <c r="J802" s="5">
        <f>HYPERLINK("https://map.naver.com/p/search/나성동 829", "지도Link")</f>
        <v/>
      </c>
      <c r="K802" s="5">
        <f>HYPERLINK("http://www.eum.go.kr/web/ar/lu/luLandDet.jsp?pnu=3611010700108290000&amp;isNoScr=script&amp;mode=search", "토지이음")</f>
        <v/>
      </c>
      <c r="L802" s="3" t="inlineStr">
        <is>
          <t>潤윤</t>
        </is>
      </c>
      <c r="M802" s="3" t="n">
        <v>1</v>
      </c>
    </row>
    <row r="803">
      <c r="A803" s="3" t="inlineStr">
        <is>
          <t>나성동 829</t>
        </is>
      </c>
      <c r="B803" s="3" t="inlineStr">
        <is>
          <t>중심상업지역</t>
        </is>
      </c>
      <c r="C803" s="3" t="inlineStr">
        <is>
          <t>대</t>
        </is>
      </c>
      <c r="D803" s="3" t="inlineStr">
        <is>
          <t>대</t>
        </is>
      </c>
      <c r="E803" s="3" t="inlineStr">
        <is>
          <t>월세</t>
        </is>
      </c>
      <c r="F803" s="4" t="n">
        <v>500</v>
      </c>
      <c r="G803" s="4" t="n">
        <v>610</v>
      </c>
      <c r="H803" s="3" t="inlineStr">
        <is>
          <t>nan</t>
        </is>
      </c>
      <c r="I803" s="5">
        <f>HYPERLINK("https://fin.land.naver.com/articles/2647078804", "매물Link")</f>
        <v/>
      </c>
      <c r="J803" s="5">
        <f>HYPERLINK("https://map.naver.com/p/search/나성동 829", "지도Link")</f>
        <v/>
      </c>
      <c r="K803" s="5">
        <f>HYPERLINK("http://www.eum.go.kr/web/ar/lu/luLandDet.jsp?pnu=3611010700108290000&amp;isNoScr=script&amp;mode=search", "토지이음")</f>
        <v/>
      </c>
      <c r="L803" s="3" t="inlineStr">
        <is>
          <t>지구촌무소</t>
        </is>
      </c>
      <c r="M803" s="3" t="n">
        <v>1</v>
      </c>
    </row>
    <row r="804">
      <c r="A804" s="3" t="inlineStr">
        <is>
          <t>나성동 829</t>
        </is>
      </c>
      <c r="B804" s="3" t="inlineStr">
        <is>
          <t>중심상업지역</t>
        </is>
      </c>
      <c r="C804" s="3" t="inlineStr">
        <is>
          <t>대</t>
        </is>
      </c>
      <c r="D804" s="3" t="inlineStr">
        <is>
          <t>대</t>
        </is>
      </c>
      <c r="E804" s="3" t="inlineStr">
        <is>
          <t>매매</t>
        </is>
      </c>
      <c r="F804" s="4" t="n">
        <v>68000</v>
      </c>
      <c r="G804" s="4" t="n">
        <v>376</v>
      </c>
      <c r="H804" s="3" t="inlineStr">
        <is>
          <t>흥덕구 봉명동 송절중학교앞 20m~25m 도로 코너에 있는토지입니다</t>
        </is>
      </c>
      <c r="I804" s="5">
        <f>HYPERLINK("https://fin.land.naver.com/articles/2647082160", "매물Link")</f>
        <v/>
      </c>
      <c r="J804" s="5">
        <f>HYPERLINK("https://map.naver.com/p/search/나성동 829", "지도Link")</f>
        <v/>
      </c>
      <c r="K804" s="5">
        <f>HYPERLINK("http://www.eum.go.kr/web/ar/lu/luLandDet.jsp?pnu=3611010700108290000&amp;isNoScr=script&amp;mode=search", "토지이음")</f>
        <v/>
      </c>
      <c r="L804" s="3" t="inlineStr">
        <is>
          <t>지구촌무소</t>
        </is>
      </c>
      <c r="M804" s="3" t="n">
        <v>1</v>
      </c>
    </row>
    <row r="805">
      <c r="A805" s="3" t="inlineStr">
        <is>
          <t>나성동 829</t>
        </is>
      </c>
      <c r="B805" s="3" t="inlineStr">
        <is>
          <t>중심상업지역</t>
        </is>
      </c>
      <c r="C805" s="3" t="inlineStr">
        <is>
          <t>대</t>
        </is>
      </c>
      <c r="D805" s="3" t="inlineStr">
        <is>
          <t>대</t>
        </is>
      </c>
      <c r="E805" s="3" t="inlineStr">
        <is>
          <t>매매</t>
        </is>
      </c>
      <c r="F805" s="4" t="n">
        <v>44000</v>
      </c>
      <c r="G805" s="4" t="n">
        <v>211</v>
      </c>
      <c r="H805" s="3" t="inlineStr">
        <is>
          <t>sk뷰자이인근.단독주택건축.교통편리.최대한조율</t>
        </is>
      </c>
      <c r="I805" s="5">
        <f>HYPERLINK("https://fin.land.naver.com/articles/2648090665", "매물Link")</f>
        <v/>
      </c>
      <c r="J805" s="5">
        <f>HYPERLINK("https://map.naver.com/p/search/나성동 829", "지도Link")</f>
        <v/>
      </c>
      <c r="K805" s="5">
        <f>HYPERLINK("http://www.eum.go.kr/web/ar/lu/luLandDet.jsp?pnu=3611010700108290000&amp;isNoScr=script&amp;mode=search", "토지이음")</f>
        <v/>
      </c>
      <c r="L805" s="3" t="inlineStr">
        <is>
          <t>조은</t>
        </is>
      </c>
      <c r="M805" s="3" t="n">
        <v>1</v>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3" t="inlineStr">
        <is>
          <t>삼면이 도로접한 위치의 토지 준공업지역</t>
        </is>
      </c>
      <c r="I806" s="5">
        <f>HYPERLINK("https://fin.land.naver.com/articles/2646668569", "매물Link")</f>
        <v/>
      </c>
      <c r="J806" s="5">
        <f>HYPERLINK("https://map.naver.com/p/search/나성동 829", "지도Link")</f>
        <v/>
      </c>
      <c r="K806" s="5">
        <f>HYPERLINK("http://www.eum.go.kr/web/ar/lu/luLandDet.jsp?pnu=3611010700108290000&amp;isNoScr=script&amp;mode=search", "토지이음")</f>
        <v/>
      </c>
      <c r="L806" s="3" t="inlineStr">
        <is>
          <t>더원</t>
        </is>
      </c>
      <c r="M806" s="3" t="n">
        <v>1</v>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3" t="inlineStr">
        <is>
          <t>봉명동 현대아이파크 대로변 접한 메인코너 각지 토지 위치최상</t>
        </is>
      </c>
      <c r="I807" s="5">
        <f>HYPERLINK("https://fin.land.naver.com/articles/2646668704", "매물Link")</f>
        <v/>
      </c>
      <c r="J807" s="5">
        <f>HYPERLINK("https://map.naver.com/p/search/나성동 829", "지도Link")</f>
        <v/>
      </c>
      <c r="K807" s="5">
        <f>HYPERLINK("http://www.eum.go.kr/web/ar/lu/luLandDet.jsp?pnu=3611010700108290000&amp;isNoScr=script&amp;mode=search", "토지이음")</f>
        <v/>
      </c>
      <c r="L807" s="3" t="inlineStr">
        <is>
          <t>더원</t>
        </is>
      </c>
      <c r="M807" s="3" t="n">
        <v>1</v>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3" t="inlineStr">
        <is>
          <t>봉명동 예술의 전당 인근 대로 각지 토지 매매</t>
        </is>
      </c>
      <c r="I808" s="5">
        <f>HYPERLINK("https://fin.land.naver.com/articles/2647368526", "매물Link")</f>
        <v/>
      </c>
      <c r="J808" s="5">
        <f>HYPERLINK("https://map.naver.com/p/search/나성동 829", "지도Link")</f>
        <v/>
      </c>
      <c r="K808" s="5">
        <f>HYPERLINK("http://www.eum.go.kr/web/ar/lu/luLandDet.jsp?pnu=3611010700108290000&amp;isNoScr=script&amp;mode=search", "토지이음")</f>
        <v/>
      </c>
      <c r="L808" s="3" t="inlineStr">
        <is>
          <t>윤</t>
        </is>
      </c>
      <c r="M808" s="3" t="n">
        <v>1</v>
      </c>
    </row>
    <row r="809">
      <c r="A809" s="3" t="inlineStr">
        <is>
          <t>나성동 829</t>
        </is>
      </c>
      <c r="B809" s="3" t="inlineStr">
        <is>
          <t>중심상업지역</t>
        </is>
      </c>
      <c r="C809" s="3" t="inlineStr">
        <is>
          <t>대</t>
        </is>
      </c>
      <c r="D809" s="3" t="inlineStr">
        <is>
          <t>대</t>
        </is>
      </c>
      <c r="E809" s="3" t="inlineStr">
        <is>
          <t>매매</t>
        </is>
      </c>
      <c r="F809" s="4" t="n">
        <v>20000</v>
      </c>
      <c r="G809" s="4" t="n">
        <v>142</v>
      </c>
      <c r="H809" s="3" t="inlineStr">
        <is>
          <t>현재나지대임.복대4거리 포스코아파트부근 소형주택지적합</t>
        </is>
      </c>
      <c r="I809" s="5">
        <f>HYPERLINK("https://fin.land.naver.com/articles/2647034808", "매물Link")</f>
        <v/>
      </c>
      <c r="J809" s="5">
        <f>HYPERLINK("https://map.naver.com/p/search/나성동 829", "지도Link")</f>
        <v/>
      </c>
      <c r="K809" s="5">
        <f>HYPERLINK("http://www.eum.go.kr/web/ar/lu/luLandDet.jsp?pnu=3611010700108290000&amp;isNoScr=script&amp;mode=search", "토지이음")</f>
        <v/>
      </c>
      <c r="L809" s="3" t="inlineStr">
        <is>
          <t>청와대합동</t>
        </is>
      </c>
      <c r="M809" s="3" t="n">
        <v>1</v>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3" t="inlineStr">
        <is>
          <t>nan</t>
        </is>
      </c>
      <c r="I810" s="5">
        <f>HYPERLINK("https://fin.land.naver.com/articles/2647474430", "매물Link")</f>
        <v/>
      </c>
      <c r="J810" s="5">
        <f>HYPERLINK("https://map.naver.com/p/search/나성동 829", "지도Link")</f>
        <v/>
      </c>
      <c r="K810" s="5">
        <f>HYPERLINK("http://www.eum.go.kr/web/ar/lu/luLandDet.jsp?pnu=3611010700108290000&amp;isNoScr=script&amp;mode=search", "토지이음")</f>
        <v/>
      </c>
      <c r="L810" s="3" t="inlineStr">
        <is>
          <t>좋은터</t>
        </is>
      </c>
      <c r="M810" s="3" t="n">
        <v>1</v>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3" t="inlineStr">
        <is>
          <t>6차선대로변 청주 중심권 복대가경 사창지구 세시보다저렴매물</t>
        </is>
      </c>
      <c r="I811" s="5">
        <f>HYPERLINK("https://fin.land.naver.com/articles/2647605959", "매물Link")</f>
        <v/>
      </c>
      <c r="J811" s="5">
        <f>HYPERLINK("https://map.naver.com/p/search/나성동 829", "지도Link")</f>
        <v/>
      </c>
      <c r="K811" s="5">
        <f>HYPERLINK("http://www.eum.go.kr/web/ar/lu/luLandDet.jsp?pnu=3611010700108290000&amp;isNoScr=script&amp;mode=search", "토지이음")</f>
        <v/>
      </c>
      <c r="L811" s="3" t="inlineStr">
        <is>
          <t>자이원</t>
        </is>
      </c>
      <c r="M811" s="3" t="n">
        <v>2</v>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3" t="inlineStr">
        <is>
          <t>신봉동 대성중학교 부근 준공업단지내 공장용지 입니다</t>
        </is>
      </c>
      <c r="I812" s="5">
        <f>HYPERLINK("https://fin.land.naver.com/articles/2647077790", "매물Link")</f>
        <v/>
      </c>
      <c r="J812" s="5">
        <f>HYPERLINK("https://map.naver.com/p/search/나성동 829", "지도Link")</f>
        <v/>
      </c>
      <c r="K812" s="5">
        <f>HYPERLINK("http://www.eum.go.kr/web/ar/lu/luLandDet.jsp?pnu=3611010700108290000&amp;isNoScr=script&amp;mode=search", "토지이음")</f>
        <v/>
      </c>
      <c r="L812" s="3" t="inlineStr">
        <is>
          <t>지구촌무소</t>
        </is>
      </c>
      <c r="M812" s="3" t="n">
        <v>1</v>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3" t="inlineStr">
        <is>
          <t>청주시 봉명사거리 상업용지 매매 12.5억</t>
        </is>
      </c>
      <c r="I813" s="5">
        <f>HYPERLINK("https://fin.land.naver.com/articles/2646082642", "매물Link")</f>
        <v/>
      </c>
      <c r="J813" s="5">
        <f>HYPERLINK("https://map.naver.com/p/search/나성동 829", "지도Link")</f>
        <v/>
      </c>
      <c r="K813" s="5">
        <f>HYPERLINK("http://www.eum.go.kr/web/ar/lu/luLandDet.jsp?pnu=3611010700108290000&amp;isNoScr=script&amp;mode=search", "토지이음")</f>
        <v/>
      </c>
      <c r="L813" s="3" t="inlineStr">
        <is>
          <t>땅야박영수사무소</t>
        </is>
      </c>
      <c r="M813" s="3" t="n">
        <v>1</v>
      </c>
    </row>
    <row r="814">
      <c r="A814" s="3" t="inlineStr">
        <is>
          <t>나성동 829</t>
        </is>
      </c>
      <c r="B814" s="3" t="inlineStr">
        <is>
          <t>중심상업지역</t>
        </is>
      </c>
      <c r="C814" s="3" t="inlineStr">
        <is>
          <t>대</t>
        </is>
      </c>
      <c r="D814" s="3" t="inlineStr">
        <is>
          <t>전</t>
        </is>
      </c>
      <c r="E814" s="3" t="inlineStr">
        <is>
          <t>매매</t>
        </is>
      </c>
      <c r="F814" s="4" t="n">
        <v>8500</v>
      </c>
      <c r="G814" s="4" t="n">
        <v>744</v>
      </c>
      <c r="H814" s="3" t="inlineStr">
        <is>
          <t>nan</t>
        </is>
      </c>
      <c r="I814" s="5">
        <f>HYPERLINK("https://fin.land.naver.com/articles/2647622545", "매물Link")</f>
        <v/>
      </c>
      <c r="J814" s="5">
        <f>HYPERLINK("https://map.naver.com/p/search/나성동 829", "지도Link")</f>
        <v/>
      </c>
      <c r="K814" s="5">
        <f>HYPERLINK("http://www.eum.go.kr/web/ar/lu/luLandDet.jsp?pnu=3611010700108290000&amp;isNoScr=script&amp;mode=search", "토지이음")</f>
        <v/>
      </c>
      <c r="L814" s="3" t="inlineStr">
        <is>
          <t>가가</t>
        </is>
      </c>
      <c r="M814" s="3" t="n">
        <v>1</v>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3" t="inlineStr">
        <is>
          <t>석곡교차로 호암방죽인근, 교통요충지, 주말농장 및 투자용</t>
        </is>
      </c>
      <c r="I815" s="5">
        <f>HYPERLINK("https://fin.land.naver.com/articles/2650064748", "매물Link")</f>
        <v/>
      </c>
      <c r="J815" s="5">
        <f>HYPERLINK("https://map.naver.com/p/search/나성동 829", "지도Link")</f>
        <v/>
      </c>
      <c r="K815" s="5">
        <f>HYPERLINK("http://www.eum.go.kr/web/ar/lu/luLandDet.jsp?pnu=3611010700108290000&amp;isNoScr=script&amp;mode=search", "토지이음")</f>
        <v/>
      </c>
      <c r="L815" s="3" t="inlineStr">
        <is>
          <t>개신푸르지오</t>
        </is>
      </c>
      <c r="M815" s="3" t="n">
        <v>1</v>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3" t="inlineStr">
        <is>
          <t>휴암동 단독 주택 토지 매매</t>
        </is>
      </c>
      <c r="I816" s="5">
        <f>HYPERLINK("https://fin.land.naver.com/articles/2644210603", "매물Link")</f>
        <v/>
      </c>
      <c r="J816" s="5">
        <f>HYPERLINK("https://map.naver.com/p/search/나성동 829", "지도Link")</f>
        <v/>
      </c>
      <c r="K816" s="5">
        <f>HYPERLINK("http://www.eum.go.kr/web/ar/lu/luLandDet.jsp?pnu=3611010700108290000&amp;isNoScr=script&amp;mode=search", "토지이음")</f>
        <v/>
      </c>
      <c r="L816" s="3" t="inlineStr">
        <is>
          <t>사거리</t>
        </is>
      </c>
      <c r="M816" s="3" t="n">
        <v>1</v>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3" t="inlineStr">
        <is>
          <t>휴암동 토지 매매</t>
        </is>
      </c>
      <c r="I817" s="5">
        <f>HYPERLINK("https://fin.land.naver.com/articles/2645889689", "매물Link")</f>
        <v/>
      </c>
      <c r="J817" s="5">
        <f>HYPERLINK("https://map.naver.com/p/search/나성동 829", "지도Link")</f>
        <v/>
      </c>
      <c r="K817" s="5">
        <f>HYPERLINK("http://www.eum.go.kr/web/ar/lu/luLandDet.jsp?pnu=3611010700108290000&amp;isNoScr=script&amp;mode=search", "토지이음")</f>
        <v/>
      </c>
      <c r="L817" s="3" t="inlineStr">
        <is>
          <t>사거리</t>
        </is>
      </c>
      <c r="M817" s="3" t="n">
        <v>1</v>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3" t="inlineStr">
        <is>
          <t>대로변 삼거리 코너 전시효과 최고 요지</t>
        </is>
      </c>
      <c r="I818" s="5">
        <f>HYPERLINK("https://fin.land.naver.com/articles/2648082635", "매물Link")</f>
        <v/>
      </c>
      <c r="J818" s="5">
        <f>HYPERLINK("https://map.naver.com/p/search/나성동 829", "지도Link")</f>
        <v/>
      </c>
      <c r="K818" s="5">
        <f>HYPERLINK("http://www.eum.go.kr/web/ar/lu/luLandDet.jsp?pnu=3611010700108290000&amp;isNoScr=script&amp;mode=search", "토지이음")</f>
        <v/>
      </c>
      <c r="L818" s="3" t="inlineStr">
        <is>
          <t>좋은터</t>
        </is>
      </c>
      <c r="M818" s="3" t="n">
        <v>1</v>
      </c>
    </row>
    <row r="819">
      <c r="A819" s="3" t="inlineStr">
        <is>
          <t>나성동 829</t>
        </is>
      </c>
      <c r="B819" s="3" t="inlineStr">
        <is>
          <t>중심상업지역</t>
        </is>
      </c>
      <c r="C819" s="3" t="inlineStr">
        <is>
          <t>대</t>
        </is>
      </c>
      <c r="D819" s="3" t="inlineStr">
        <is>
          <t>전</t>
        </is>
      </c>
      <c r="E819" s="3" t="inlineStr">
        <is>
          <t>매매</t>
        </is>
      </c>
      <c r="F819" s="4" t="n">
        <v>60000</v>
      </c>
      <c r="G819" s="4" t="n">
        <v>668</v>
      </c>
      <c r="H819" s="3" t="inlineStr">
        <is>
          <t>주택지로 적합.  충북공고 부근 교통편리.공동지분땅 미포함.</t>
        </is>
      </c>
      <c r="I819" s="5">
        <f>HYPERLINK("https://fin.land.naver.com/articles/2647033275", "매물Link")</f>
        <v/>
      </c>
      <c r="J819" s="5">
        <f>HYPERLINK("https://map.naver.com/p/search/나성동 829", "지도Link")</f>
        <v/>
      </c>
      <c r="K819" s="5">
        <f>HYPERLINK("http://www.eum.go.kr/web/ar/lu/luLandDet.jsp?pnu=3611010700108290000&amp;isNoScr=script&amp;mode=search", "토지이음")</f>
        <v/>
      </c>
      <c r="L819" s="3" t="inlineStr">
        <is>
          <t>청와대합동</t>
        </is>
      </c>
      <c r="M819" s="3" t="n">
        <v>1</v>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3" t="inlineStr">
        <is>
          <t>모든 업종 가능 한 토지 매매</t>
        </is>
      </c>
      <c r="I820" s="5">
        <f>HYPERLINK("https://fin.land.naver.com/articles/2649561554", "매물Link")</f>
        <v/>
      </c>
      <c r="J820" s="5">
        <f>HYPERLINK("https://map.naver.com/p/search/나성동 829", "지도Link")</f>
        <v/>
      </c>
      <c r="K820" s="5">
        <f>HYPERLINK("http://www.eum.go.kr/web/ar/lu/luLandDet.jsp?pnu=3611010700108290000&amp;isNoScr=script&amp;mode=search", "토지이음")</f>
        <v/>
      </c>
      <c r="L820" s="3" t="inlineStr">
        <is>
          <t>사거리</t>
        </is>
      </c>
      <c r="M820" s="3" t="n">
        <v>1</v>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3" t="inlineStr">
        <is>
          <t>터미널인근 일반상업지역하이마트인근 단층건물있음</t>
        </is>
      </c>
      <c r="I821" s="5">
        <f>HYPERLINK("https://fin.land.naver.com/articles/2646668450", "매물Link")</f>
        <v/>
      </c>
      <c r="J821" s="5">
        <f>HYPERLINK("https://map.naver.com/p/search/나성동 829", "지도Link")</f>
        <v/>
      </c>
      <c r="K821" s="5">
        <f>HYPERLINK("http://www.eum.go.kr/web/ar/lu/luLandDet.jsp?pnu=3611010700108290000&amp;isNoScr=script&amp;mode=search", "토지이음")</f>
        <v/>
      </c>
      <c r="L821" s="3" t="inlineStr">
        <is>
          <t>더원</t>
        </is>
      </c>
      <c r="M821" s="3" t="n">
        <v>1</v>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3" t="inlineStr">
        <is>
          <t>대규모 아파트 밀집지역, 교통량 많은 대로변 사거리 병원, 전시매장 자리</t>
        </is>
      </c>
      <c r="I822" s="5">
        <f>HYPERLINK("https://fin.land.naver.com/articles/2648845329", "매물Link")</f>
        <v/>
      </c>
      <c r="J822" s="5">
        <f>HYPERLINK("https://map.naver.com/p/search/나성동 829", "지도Link")</f>
        <v/>
      </c>
      <c r="K822" s="5">
        <f>HYPERLINK("http://www.eum.go.kr/web/ar/lu/luLandDet.jsp?pnu=3611010700108290000&amp;isNoScr=script&amp;mode=search", "토지이음")</f>
        <v/>
      </c>
      <c r="L822" s="3" t="inlineStr">
        <is>
          <t>좋은터</t>
        </is>
      </c>
      <c r="M822" s="3" t="n">
        <v>1</v>
      </c>
    </row>
    <row r="823">
      <c r="A823" s="3" t="inlineStr">
        <is>
          <t>나성동 829</t>
        </is>
      </c>
      <c r="B823" s="3" t="inlineStr">
        <is>
          <t>중심상업지역</t>
        </is>
      </c>
      <c r="C823" s="3" t="inlineStr">
        <is>
          <t>대</t>
        </is>
      </c>
      <c r="D823" s="3" t="inlineStr">
        <is>
          <t>대</t>
        </is>
      </c>
      <c r="E823" s="3" t="inlineStr">
        <is>
          <t>매매</t>
        </is>
      </c>
      <c r="F823" s="4" t="n">
        <v>12000</v>
      </c>
      <c r="G823" s="4" t="n">
        <v>569</v>
      </c>
      <c r="H823" s="3" t="inlineStr">
        <is>
          <t>Point 주택 건축 가능, 도로 접함</t>
        </is>
      </c>
      <c r="I823" s="5">
        <f>HYPERLINK("https://fin.land.naver.com/articles/2645576528", "매물Link")</f>
        <v/>
      </c>
      <c r="J823" s="5">
        <f>HYPERLINK("https://map.naver.com/p/search/나성동 829", "지도Link")</f>
        <v/>
      </c>
      <c r="K823" s="5">
        <f>HYPERLINK("http://www.eum.go.kr/web/ar/lu/luLandDet.jsp?pnu=3611010700108290000&amp;isNoScr=script&amp;mode=search", "토지이음")</f>
        <v/>
      </c>
      <c r="L823" s="3" t="inlineStr">
        <is>
          <t>도마호반</t>
        </is>
      </c>
      <c r="M823" s="3" t="n">
        <v>1</v>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3" t="inlineStr">
        <is>
          <t>신봉동 준공업지역 두필지 일괄매매, 현황상 차량진입가능</t>
        </is>
      </c>
      <c r="I824" s="5">
        <f>HYPERLINK("https://fin.land.naver.com/articles/2644100867", "매물Link")</f>
        <v/>
      </c>
      <c r="J824" s="5">
        <f>HYPERLINK("https://map.naver.com/p/search/나성동 829", "지도Link")</f>
        <v/>
      </c>
      <c r="K824" s="5">
        <f>HYPERLINK("http://www.eum.go.kr/web/ar/lu/luLandDet.jsp?pnu=3611010700108290000&amp;isNoScr=script&amp;mode=search", "토지이음")</f>
        <v/>
      </c>
      <c r="L824" s="3" t="inlineStr">
        <is>
          <t>뉴믿음</t>
        </is>
      </c>
      <c r="M824" s="3" t="n">
        <v>1</v>
      </c>
    </row>
    <row r="825">
      <c r="A825" s="3" t="inlineStr">
        <is>
          <t>나성동 829</t>
        </is>
      </c>
      <c r="B825" s="3" t="inlineStr">
        <is>
          <t>중심상업지역</t>
        </is>
      </c>
      <c r="C825" s="3" t="inlineStr">
        <is>
          <t>대</t>
        </is>
      </c>
      <c r="D825" s="3" t="inlineStr">
        <is>
          <t>대</t>
        </is>
      </c>
      <c r="E825" s="3" t="inlineStr">
        <is>
          <t>매매</t>
        </is>
      </c>
      <c r="F825" s="4" t="n">
        <v>8400</v>
      </c>
      <c r="G825" s="4" t="n">
        <v>275</v>
      </c>
      <c r="H825" s="3" t="inlineStr">
        <is>
          <t>Point 구옥 있고, 텃밭, 도로접, 막힘없는 뷰,즉시 입주 가능</t>
        </is>
      </c>
      <c r="I825" s="5">
        <f>HYPERLINK("https://fin.land.naver.com/articles/2644649606", "매물Link")</f>
        <v/>
      </c>
      <c r="J825" s="5">
        <f>HYPERLINK("https://map.naver.com/p/search/나성동 829", "지도Link")</f>
        <v/>
      </c>
      <c r="K825" s="5">
        <f>HYPERLINK("http://www.eum.go.kr/web/ar/lu/luLandDet.jsp?pnu=3611010700108290000&amp;isNoScr=script&amp;mode=search", "토지이음")</f>
        <v/>
      </c>
      <c r="L825" s="3" t="inlineStr">
        <is>
          <t>도마호반</t>
        </is>
      </c>
      <c r="M825" s="3" t="n">
        <v>1</v>
      </c>
    </row>
    <row r="826">
      <c r="A826" s="3" t="inlineStr">
        <is>
          <t>나성동 829</t>
        </is>
      </c>
      <c r="B826" s="3" t="inlineStr">
        <is>
          <t>중심상업지역</t>
        </is>
      </c>
      <c r="C826" s="3" t="inlineStr">
        <is>
          <t>대</t>
        </is>
      </c>
      <c r="D826" s="3" t="inlineStr">
        <is>
          <t>대</t>
        </is>
      </c>
      <c r="E826" s="3" t="inlineStr">
        <is>
          <t>매매</t>
        </is>
      </c>
      <c r="F826" s="4" t="n">
        <v>21800</v>
      </c>
      <c r="G826" s="4" t="n">
        <v>359</v>
      </c>
      <c r="H826" s="3" t="inlineStr">
        <is>
          <t>코너각지 건축가능 즉시사용가 대지 일반주거지역</t>
        </is>
      </c>
      <c r="I826" s="5">
        <f>HYPERLINK("https://fin.land.naver.com/articles/2644659452", "매물Link")</f>
        <v/>
      </c>
      <c r="J826" s="5">
        <f>HYPERLINK("https://map.naver.com/p/search/나성동 829", "지도Link")</f>
        <v/>
      </c>
      <c r="K826" s="5">
        <f>HYPERLINK("http://www.eum.go.kr/web/ar/lu/luLandDet.jsp?pnu=3611010700108290000&amp;isNoScr=script&amp;mode=search", "토지이음")</f>
        <v/>
      </c>
      <c r="L826" s="3" t="inlineStr">
        <is>
          <t>우리동네</t>
        </is>
      </c>
      <c r="M826" s="3" t="n">
        <v>1</v>
      </c>
    </row>
    <row r="827">
      <c r="A827" s="3" t="inlineStr">
        <is>
          <t>나성동 829</t>
        </is>
      </c>
      <c r="B827" s="3" t="inlineStr">
        <is>
          <t>중심상업지역</t>
        </is>
      </c>
      <c r="C827" s="3" t="inlineStr">
        <is>
          <t>대</t>
        </is>
      </c>
      <c r="D827" s="3" t="inlineStr">
        <is>
          <t>대</t>
        </is>
      </c>
      <c r="E827" s="3" t="inlineStr">
        <is>
          <t>매매</t>
        </is>
      </c>
      <c r="F827" s="4" t="n">
        <v>20000</v>
      </c>
      <c r="G827" s="4" t="n">
        <v>360</v>
      </c>
      <c r="H827" s="3" t="inlineStr">
        <is>
          <t>현도 산업단지 인근.건축허가o.도로접</t>
        </is>
      </c>
      <c r="I827" s="5">
        <f>HYPERLINK("https://fin.land.naver.com/articles/2644683113", "매물Link")</f>
        <v/>
      </c>
      <c r="J827" s="5">
        <f>HYPERLINK("https://map.naver.com/p/search/나성동 829", "지도Link")</f>
        <v/>
      </c>
      <c r="K827" s="5">
        <f>HYPERLINK("http://www.eum.go.kr/web/ar/lu/luLandDet.jsp?pnu=3611010700108290000&amp;isNoScr=script&amp;mode=search", "토지이음")</f>
        <v/>
      </c>
      <c r="L827" s="3" t="inlineStr">
        <is>
          <t>롯데한비</t>
        </is>
      </c>
      <c r="M827" s="3" t="n">
        <v>1</v>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3" t="inlineStr">
        <is>
          <t>신축 공장,창고 부지 추천 드립니다.</t>
        </is>
      </c>
      <c r="I828" s="5">
        <f>HYPERLINK("https://fin.land.naver.com/articles/2644835964", "매물Link")</f>
        <v/>
      </c>
      <c r="J828" s="5">
        <f>HYPERLINK("https://map.naver.com/p/search/나성동 829", "지도Link")</f>
        <v/>
      </c>
      <c r="K828" s="5">
        <f>HYPERLINK("http://www.eum.go.kr/web/ar/lu/luLandDet.jsp?pnu=3611010700108290000&amp;isNoScr=script&amp;mode=search", "토지이음")</f>
        <v/>
      </c>
      <c r="L828" s="3" t="inlineStr">
        <is>
          <t>삼익</t>
        </is>
      </c>
      <c r="M828" s="3" t="n">
        <v>1</v>
      </c>
    </row>
    <row r="829">
      <c r="A829" s="3" t="inlineStr">
        <is>
          <t>나성동 829</t>
        </is>
      </c>
      <c r="B829" s="3" t="inlineStr">
        <is>
          <t>중심상업지역</t>
        </is>
      </c>
      <c r="C829" s="3" t="inlineStr">
        <is>
          <t>대</t>
        </is>
      </c>
      <c r="D829" s="3" t="inlineStr">
        <is>
          <t>답</t>
        </is>
      </c>
      <c r="E829" s="3" t="inlineStr">
        <is>
          <t>매매</t>
        </is>
      </c>
      <c r="F829" s="4" t="n">
        <v>6500</v>
      </c>
      <c r="G829" s="4" t="n">
        <v>713</v>
      </c>
      <c r="H829" s="3" t="inlineStr">
        <is>
          <t>Point 대전 세종 청주 근교 가까움, 도로접함, 공기 좋은 청정지역</t>
        </is>
      </c>
      <c r="I829" s="5">
        <f>HYPERLINK("https://fin.land.naver.com/articles/2644915364", "매물Link")</f>
        <v/>
      </c>
      <c r="J829" s="5">
        <f>HYPERLINK("https://map.naver.com/p/search/나성동 829", "지도Link")</f>
        <v/>
      </c>
      <c r="K829" s="5">
        <f>HYPERLINK("http://www.eum.go.kr/web/ar/lu/luLandDet.jsp?pnu=3611010700108290000&amp;isNoScr=script&amp;mode=search", "토지이음")</f>
        <v/>
      </c>
      <c r="L829" s="3" t="inlineStr">
        <is>
          <t>도마호반</t>
        </is>
      </c>
      <c r="M829" s="3" t="n">
        <v>1</v>
      </c>
    </row>
    <row r="830">
      <c r="A830" s="3" t="inlineStr">
        <is>
          <t>나성동 829</t>
        </is>
      </c>
      <c r="B830" s="3" t="inlineStr">
        <is>
          <t>중심상업지역</t>
        </is>
      </c>
      <c r="C830" s="3" t="inlineStr">
        <is>
          <t>대</t>
        </is>
      </c>
      <c r="D830" s="3" t="inlineStr">
        <is>
          <t>전</t>
        </is>
      </c>
      <c r="E830" s="3" t="inlineStr">
        <is>
          <t>매매</t>
        </is>
      </c>
      <c r="F830" s="4" t="n">
        <v>7800</v>
      </c>
      <c r="G830" s="4" t="n">
        <v>1028</v>
      </c>
      <c r="H830" s="3" t="inlineStr">
        <is>
          <t>Point 주말농장, 지적상 도로접함, 투자추천,산 아래 뷰 좋음</t>
        </is>
      </c>
      <c r="I830" s="5">
        <f>HYPERLINK("https://fin.land.naver.com/articles/2644915462", "매물Link")</f>
        <v/>
      </c>
      <c r="J830" s="5">
        <f>HYPERLINK("https://map.naver.com/p/search/나성동 829", "지도Link")</f>
        <v/>
      </c>
      <c r="K830" s="5">
        <f>HYPERLINK("http://www.eum.go.kr/web/ar/lu/luLandDet.jsp?pnu=3611010700108290000&amp;isNoScr=script&amp;mode=search", "토지이음")</f>
        <v/>
      </c>
      <c r="L830" s="3" t="inlineStr">
        <is>
          <t>도마호반</t>
        </is>
      </c>
      <c r="M830" s="3" t="n">
        <v>1</v>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3" t="inlineStr">
        <is>
          <t>Point 뷰가 좋고, 주변 형세가 좋음.</t>
        </is>
      </c>
      <c r="I831" s="5">
        <f>HYPERLINK("https://fin.land.naver.com/articles/2644915501", "매물Link")</f>
        <v/>
      </c>
      <c r="J831" s="5">
        <f>HYPERLINK("https://map.naver.com/p/search/나성동 829", "지도Link")</f>
        <v/>
      </c>
      <c r="K831" s="5">
        <f>HYPERLINK("http://www.eum.go.kr/web/ar/lu/luLandDet.jsp?pnu=3611010700108290000&amp;isNoScr=script&amp;mode=search", "토지이음")</f>
        <v/>
      </c>
      <c r="L831" s="3" t="inlineStr">
        <is>
          <t>도마호반</t>
        </is>
      </c>
      <c r="M831" s="3" t="n">
        <v>1</v>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3" t="inlineStr">
        <is>
          <t>Point 생산관리지역, 도로 접하여 접근성 좋음</t>
        </is>
      </c>
      <c r="I832" s="5">
        <f>HYPERLINK("https://fin.land.naver.com/articles/2644916139", "매물Link")</f>
        <v/>
      </c>
      <c r="J832" s="5">
        <f>HYPERLINK("https://map.naver.com/p/search/나성동 829", "지도Link")</f>
        <v/>
      </c>
      <c r="K832" s="5">
        <f>HYPERLINK("http://www.eum.go.kr/web/ar/lu/luLandDet.jsp?pnu=3611010700108290000&amp;isNoScr=script&amp;mode=search", "토지이음")</f>
        <v/>
      </c>
      <c r="L832" s="3" t="inlineStr">
        <is>
          <t>도마호반</t>
        </is>
      </c>
      <c r="M832" s="3" t="n">
        <v>1</v>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3" t="inlineStr">
        <is>
          <t>Point 급매, 청정지역, 도로 접함, 접근성 좋음</t>
        </is>
      </c>
      <c r="I833" s="5">
        <f>HYPERLINK("https://fin.land.naver.com/articles/2644916382", "매물Link")</f>
        <v/>
      </c>
      <c r="J833" s="5">
        <f>HYPERLINK("https://map.naver.com/p/search/나성동 829", "지도Link")</f>
        <v/>
      </c>
      <c r="K833" s="5">
        <f>HYPERLINK("http://www.eum.go.kr/web/ar/lu/luLandDet.jsp?pnu=3611010700108290000&amp;isNoScr=script&amp;mode=search", "토지이음")</f>
        <v/>
      </c>
      <c r="L833" s="3" t="inlineStr">
        <is>
          <t>도마호반</t>
        </is>
      </c>
      <c r="M833" s="3" t="n">
        <v>1</v>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3" t="inlineStr">
        <is>
          <t>Point 생산관리지역 주변시세 보다 저렴한 토지, 땅 모양 좋음</t>
        </is>
      </c>
      <c r="I834" s="5">
        <f>HYPERLINK("https://fin.land.naver.com/articles/2644916415", "매물Link")</f>
        <v/>
      </c>
      <c r="J834" s="5">
        <f>HYPERLINK("https://map.naver.com/p/search/나성동 829", "지도Link")</f>
        <v/>
      </c>
      <c r="K834" s="5">
        <f>HYPERLINK("http://www.eum.go.kr/web/ar/lu/luLandDet.jsp?pnu=3611010700108290000&amp;isNoScr=script&amp;mode=search", "토지이음")</f>
        <v/>
      </c>
      <c r="L834" s="3" t="inlineStr">
        <is>
          <t>도마호반</t>
        </is>
      </c>
      <c r="M834" s="3" t="n">
        <v>1</v>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3" t="inlineStr">
        <is>
          <t>Point 지목 임야, 임도 인접하여 접근성 좋음, 시세보다 저렴</t>
        </is>
      </c>
      <c r="I835" s="5">
        <f>HYPERLINK("https://fin.land.naver.com/articles/2645052388", "매물Link")</f>
        <v/>
      </c>
      <c r="J835" s="5">
        <f>HYPERLINK("https://map.naver.com/p/search/나성동 829", "지도Link")</f>
        <v/>
      </c>
      <c r="K835" s="5">
        <f>HYPERLINK("http://www.eum.go.kr/web/ar/lu/luLandDet.jsp?pnu=3611010700108290000&amp;isNoScr=script&amp;mode=search", "토지이음")</f>
        <v/>
      </c>
      <c r="L835" s="3" t="inlineStr">
        <is>
          <t>도마호반</t>
        </is>
      </c>
      <c r="M835" s="3" t="n">
        <v>1</v>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3" t="inlineStr">
        <is>
          <t>Point 국유지 접하고 땅 모양 좋음, 도로 있음</t>
        </is>
      </c>
      <c r="I836" s="5">
        <f>HYPERLINK("https://fin.land.naver.com/articles/2645090611", "매물Link")</f>
        <v/>
      </c>
      <c r="J836" s="5">
        <f>HYPERLINK("https://map.naver.com/p/search/나성동 829", "지도Link")</f>
        <v/>
      </c>
      <c r="K836" s="5">
        <f>HYPERLINK("http://www.eum.go.kr/web/ar/lu/luLandDet.jsp?pnu=3611010700108290000&amp;isNoScr=script&amp;mode=search", "토지이음")</f>
        <v/>
      </c>
      <c r="L836" s="3" t="inlineStr">
        <is>
          <t>도마호반</t>
        </is>
      </c>
      <c r="M836" s="3" t="n">
        <v>1</v>
      </c>
    </row>
    <row r="837">
      <c r="A837" s="3" t="inlineStr">
        <is>
          <t>나성동 829</t>
        </is>
      </c>
      <c r="B837" s="3" t="inlineStr">
        <is>
          <t>중심상업지역</t>
        </is>
      </c>
      <c r="C837" s="3" t="inlineStr">
        <is>
          <t>대</t>
        </is>
      </c>
      <c r="D837" s="3" t="inlineStr">
        <is>
          <t>답</t>
        </is>
      </c>
      <c r="E837" s="3" t="inlineStr">
        <is>
          <t>매매</t>
        </is>
      </c>
      <c r="F837" s="4" t="n">
        <v>6000</v>
      </c>
      <c r="G837" s="4" t="n">
        <v>796</v>
      </c>
      <c r="H837" s="3" t="inlineStr">
        <is>
          <t>Point 급매, 주말농장용, 개발제한구역, 도로 접함</t>
        </is>
      </c>
      <c r="I837" s="5">
        <f>HYPERLINK("https://fin.land.naver.com/articles/2645152458", "매물Link")</f>
        <v/>
      </c>
      <c r="J837" s="5">
        <f>HYPERLINK("https://map.naver.com/p/search/나성동 829", "지도Link")</f>
        <v/>
      </c>
      <c r="K837" s="5">
        <f>HYPERLINK("http://www.eum.go.kr/web/ar/lu/luLandDet.jsp?pnu=3611010700108290000&amp;isNoScr=script&amp;mode=search", "토지이음")</f>
        <v/>
      </c>
      <c r="L837" s="3" t="inlineStr">
        <is>
          <t>도마호반</t>
        </is>
      </c>
      <c r="M837" s="3" t="n">
        <v>1</v>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3" t="inlineStr">
        <is>
          <t>Point 신탄진에서 약 5분 거리 토지, 주말농장용, 투자용</t>
        </is>
      </c>
      <c r="I838" s="5">
        <f>HYPERLINK("https://fin.land.naver.com/articles/2645152571", "매물Link")</f>
        <v/>
      </c>
      <c r="J838" s="5">
        <f>HYPERLINK("https://map.naver.com/p/search/나성동 829", "지도Link")</f>
        <v/>
      </c>
      <c r="K838" s="5">
        <f>HYPERLINK("http://www.eum.go.kr/web/ar/lu/luLandDet.jsp?pnu=3611010700108290000&amp;isNoScr=script&amp;mode=search", "토지이음")</f>
        <v/>
      </c>
      <c r="L838" s="3" t="inlineStr">
        <is>
          <t>도마호반</t>
        </is>
      </c>
      <c r="M838" s="3" t="n">
        <v>1</v>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3" t="inlineStr">
        <is>
          <t>Point 현도산업단지 주변 계획관리지역, 성장관리계획구역, 투자용 토지</t>
        </is>
      </c>
      <c r="I839" s="5">
        <f>HYPERLINK("https://fin.land.naver.com/articles/2645329766", "매물Link")</f>
        <v/>
      </c>
      <c r="J839" s="5">
        <f>HYPERLINK("https://map.naver.com/p/search/나성동 829", "지도Link")</f>
        <v/>
      </c>
      <c r="K839" s="5">
        <f>HYPERLINK("http://www.eum.go.kr/web/ar/lu/luLandDet.jsp?pnu=3611010700108290000&amp;isNoScr=script&amp;mode=search", "토지이음")</f>
        <v/>
      </c>
      <c r="L839" s="3" t="inlineStr">
        <is>
          <t>도마호반</t>
        </is>
      </c>
      <c r="M839" s="3" t="n">
        <v>1</v>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3" t="inlineStr">
        <is>
          <t>1번국도에서 가까운 생산관리지역 답 매매합니다</t>
        </is>
      </c>
      <c r="I840" s="5">
        <f>HYPERLINK("https://fin.land.naver.com/articles/2645433964", "매물Link")</f>
        <v/>
      </c>
      <c r="J840" s="5">
        <f>HYPERLINK("https://map.naver.com/p/search/나성동 829", "지도Link")</f>
        <v/>
      </c>
      <c r="K840" s="5">
        <f>HYPERLINK("http://www.eum.go.kr/web/ar/lu/luLandDet.jsp?pnu=3611010700108290000&amp;isNoScr=script&amp;mode=search", "토지이음")</f>
        <v/>
      </c>
      <c r="L840" s="3" t="inlineStr">
        <is>
          <t>이루마</t>
        </is>
      </c>
      <c r="M840" s="3" t="n">
        <v>1</v>
      </c>
    </row>
    <row r="841">
      <c r="A841" s="3" t="inlineStr">
        <is>
          <t>나성동 829</t>
        </is>
      </c>
      <c r="B841" s="3" t="inlineStr">
        <is>
          <t>중심상업지역</t>
        </is>
      </c>
      <c r="C841" s="3" t="inlineStr">
        <is>
          <t>대</t>
        </is>
      </c>
      <c r="D841" s="3" t="inlineStr">
        <is>
          <t>대</t>
        </is>
      </c>
      <c r="E841" s="3" t="inlineStr">
        <is>
          <t>매매</t>
        </is>
      </c>
      <c r="F841" s="4" t="n">
        <v>7200</v>
      </c>
      <c r="G841" s="4" t="n">
        <v>163</v>
      </c>
      <c r="H841" s="3" t="inlineStr">
        <is>
          <t>nan</t>
        </is>
      </c>
      <c r="I841" s="5">
        <f>HYPERLINK("https://fin.land.naver.com/articles/2644049957", "매물Link")</f>
        <v/>
      </c>
      <c r="J841" s="5">
        <f>HYPERLINK("https://map.naver.com/p/search/나성동 829", "지도Link")</f>
        <v/>
      </c>
      <c r="K841" s="5">
        <f>HYPERLINK("http://www.eum.go.kr/web/ar/lu/luLandDet.jsp?pnu=3611010700108290000&amp;isNoScr=script&amp;mode=search", "토지이음")</f>
        <v/>
      </c>
      <c r="L841" s="3" t="inlineStr">
        <is>
          <t>우리동네</t>
        </is>
      </c>
      <c r="M841" s="3" t="n">
        <v>1</v>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3" t="inlineStr">
        <is>
          <t>청주시청 충북도청 옆,청주시내 중심생활권 회사사옥,물류창고,상업시설</t>
        </is>
      </c>
      <c r="I842" s="5">
        <f>HYPERLINK("https://fin.land.naver.com/articles/2644310565", "매물Link")</f>
        <v/>
      </c>
      <c r="J842" s="5">
        <f>HYPERLINK("https://map.naver.com/p/search/나성동 829", "지도Link")</f>
        <v/>
      </c>
      <c r="K842" s="5">
        <f>HYPERLINK("http://www.eum.go.kr/web/ar/lu/luLandDet.jsp?pnu=3611010700108290000&amp;isNoScr=script&amp;mode=search", "토지이음")</f>
        <v/>
      </c>
      <c r="L842" s="3" t="inlineStr">
        <is>
          <t>딸기(02-848-2300단지내)</t>
        </is>
      </c>
      <c r="M842" s="3" t="n">
        <v>1</v>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3" t="inlineStr">
        <is>
          <t>소규모 공장 및 골프장에 인접한 계획관리지역 토지임.</t>
        </is>
      </c>
      <c r="I843" s="5">
        <f>HYPERLINK("https://fin.land.naver.com/articles/2643922224", "매물Link")</f>
        <v/>
      </c>
      <c r="J843" s="5">
        <f>HYPERLINK("https://map.naver.com/p/search/나성동 829", "지도Link")</f>
        <v/>
      </c>
      <c r="K843" s="5">
        <f>HYPERLINK("http://www.eum.go.kr/web/ar/lu/luLandDet.jsp?pnu=3611010700108290000&amp;isNoScr=script&amp;mode=search", "토지이음")</f>
        <v/>
      </c>
      <c r="L843" s="3" t="inlineStr">
        <is>
          <t>포시즌</t>
        </is>
      </c>
      <c r="M843" s="3" t="n">
        <v>1</v>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3" t="inlineStr">
        <is>
          <t>nan</t>
        </is>
      </c>
      <c r="I844" s="5">
        <f>HYPERLINK("https://fin.land.naver.com/articles/2649467497", "매물Link")</f>
        <v/>
      </c>
      <c r="J844" s="5">
        <f>HYPERLINK("https://map.naver.com/p/search/나성동 829", "지도Link")</f>
        <v/>
      </c>
      <c r="K844" s="5">
        <f>HYPERLINK("http://www.eum.go.kr/web/ar/lu/luLandDet.jsp?pnu=3611010700108290000&amp;isNoScr=script&amp;mode=search", "토지이음")</f>
        <v/>
      </c>
      <c r="L844" s="3" t="inlineStr">
        <is>
          <t>청주합동</t>
        </is>
      </c>
      <c r="M844" s="3" t="n">
        <v>1</v>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3" t="inlineStr">
        <is>
          <t>공장 창고 부지 매매</t>
        </is>
      </c>
      <c r="I845" s="5">
        <f>HYPERLINK("https://fin.land.naver.com/articles/2647634685", "매물Link")</f>
        <v/>
      </c>
      <c r="J845" s="5">
        <f>HYPERLINK("https://map.naver.com/p/search/나성동 829", "지도Link")</f>
        <v/>
      </c>
      <c r="K845" s="5">
        <f>HYPERLINK("http://www.eum.go.kr/web/ar/lu/luLandDet.jsp?pnu=3611010700108290000&amp;isNoScr=script&amp;mode=search", "토지이음")</f>
        <v/>
      </c>
      <c r="L845" s="3" t="inlineStr">
        <is>
          <t>테크노조은</t>
        </is>
      </c>
      <c r="M845" s="3" t="n">
        <v>1</v>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3" t="inlineStr">
        <is>
          <t>청주시청 충북도청 옆,청주시내 중심생활권 회사사옥,물류창고,상업시설</t>
        </is>
      </c>
      <c r="I846" s="5">
        <f>HYPERLINK("https://fin.land.naver.com/articles/2650129936", "매물Link")</f>
        <v/>
      </c>
      <c r="J846" s="5">
        <f>HYPERLINK("https://map.naver.com/p/search/나성동 829", "지도Link")</f>
        <v/>
      </c>
      <c r="K846" s="5">
        <f>HYPERLINK("http://www.eum.go.kr/web/ar/lu/luLandDet.jsp?pnu=3611010700108290000&amp;isNoScr=script&amp;mode=search", "토지이음")</f>
        <v/>
      </c>
      <c r="L846" s="3" t="inlineStr">
        <is>
          <t>딸기(02-848-2300단지내)</t>
        </is>
      </c>
      <c r="M846" s="3" t="n">
        <v>1</v>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3" t="inlineStr">
        <is>
          <t>중척리 소재 밭 2필지 매매입니다., 4미터 포장 농로 접</t>
        </is>
      </c>
      <c r="I847" s="5">
        <f>HYPERLINK("https://fin.land.naver.com/articles/2644676462", "매물Link")</f>
        <v/>
      </c>
      <c r="J847" s="5">
        <f>HYPERLINK("https://map.naver.com/p/search/나성동 829", "지도Link")</f>
        <v/>
      </c>
      <c r="K847" s="5">
        <f>HYPERLINK("http://www.eum.go.kr/web/ar/lu/luLandDet.jsp?pnu=3611010700108290000&amp;isNoScr=script&amp;mode=search", "토지이음")</f>
        <v/>
      </c>
      <c r="L847" s="3" t="inlineStr">
        <is>
          <t>엘크루</t>
        </is>
      </c>
      <c r="M847" s="3" t="n">
        <v>1</v>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3" t="inlineStr">
        <is>
          <t>nan</t>
        </is>
      </c>
      <c r="I848" s="5">
        <f>HYPERLINK("https://fin.land.naver.com/articles/2645164047", "매물Link")</f>
        <v/>
      </c>
      <c r="J848" s="5">
        <f>HYPERLINK("https://map.naver.com/p/search/나성동 829", "지도Link")</f>
        <v/>
      </c>
      <c r="K848" s="5">
        <f>HYPERLINK("http://www.eum.go.kr/web/ar/lu/luLandDet.jsp?pnu=3611010700108290000&amp;isNoScr=script&amp;mode=search", "토지이음")</f>
        <v/>
      </c>
      <c r="L848" s="3" t="inlineStr">
        <is>
          <t>웰컴</t>
        </is>
      </c>
      <c r="M848" s="3" t="n">
        <v>1</v>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3" t="inlineStr">
        <is>
          <t>성토된 畓. 대토.주말농장 최적</t>
        </is>
      </c>
      <c r="I849" s="5">
        <f>HYPERLINK("https://fin.land.naver.com/articles/2645164156", "매물Link")</f>
        <v/>
      </c>
      <c r="J849" s="5">
        <f>HYPERLINK("https://map.naver.com/p/search/나성동 829", "지도Link")</f>
        <v/>
      </c>
      <c r="K849" s="5">
        <f>HYPERLINK("http://www.eum.go.kr/web/ar/lu/luLandDet.jsp?pnu=3611010700108290000&amp;isNoScr=script&amp;mode=search", "토지이음")</f>
        <v/>
      </c>
      <c r="L849" s="3" t="inlineStr">
        <is>
          <t>웰컴</t>
        </is>
      </c>
      <c r="M849" s="3" t="n">
        <v>1</v>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3" t="inlineStr">
        <is>
          <t>과수원.종중묘</t>
        </is>
      </c>
      <c r="I850" s="5">
        <f>HYPERLINK("https://fin.land.naver.com/articles/2645164322", "매물Link")</f>
        <v/>
      </c>
      <c r="J850" s="5">
        <f>HYPERLINK("https://map.naver.com/p/search/나성동 829", "지도Link")</f>
        <v/>
      </c>
      <c r="K850" s="5">
        <f>HYPERLINK("http://www.eum.go.kr/web/ar/lu/luLandDet.jsp?pnu=3611010700108290000&amp;isNoScr=script&amp;mode=search", "토지이음")</f>
        <v/>
      </c>
      <c r="L850" s="3" t="inlineStr">
        <is>
          <t>웰컴</t>
        </is>
      </c>
      <c r="M850" s="3" t="n">
        <v>1</v>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3" t="inlineStr">
        <is>
          <t>금강변에 접한 토지
전원주택, 카페, 창고임대사업 추천</t>
        </is>
      </c>
      <c r="I851" s="5">
        <f>HYPERLINK("https://fin.land.naver.com/articles/2645581011", "매물Link")</f>
        <v/>
      </c>
      <c r="J851" s="5">
        <f>HYPERLINK("https://map.naver.com/p/search/나성동 829", "지도Link")</f>
        <v/>
      </c>
      <c r="K851" s="5">
        <f>HYPERLINK("http://www.eum.go.kr/web/ar/lu/luLandDet.jsp?pnu=3611010700108290000&amp;isNoScr=script&amp;mode=search", "토지이음")</f>
        <v/>
      </c>
      <c r="L851" s="3" t="inlineStr">
        <is>
          <t>산업</t>
        </is>
      </c>
      <c r="M851" s="3" t="n">
        <v>1</v>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3" t="inlineStr">
        <is>
          <t>17번 국도접한  토지로 다용도로 이용가능함</t>
        </is>
      </c>
      <c r="I852" s="5">
        <f>HYPERLINK("https://fin.land.naver.com/articles/2646451186", "매물Link")</f>
        <v/>
      </c>
      <c r="J852" s="5">
        <f>HYPERLINK("https://map.naver.com/p/search/나성동 829", "지도Link")</f>
        <v/>
      </c>
      <c r="K852" s="5">
        <f>HYPERLINK("http://www.eum.go.kr/web/ar/lu/luLandDet.jsp?pnu=3611010700108290000&amp;isNoScr=script&amp;mode=search", "토지이음")</f>
        <v/>
      </c>
      <c r="L852" s="3" t="inlineStr">
        <is>
          <t>금정</t>
        </is>
      </c>
      <c r="M852" s="3" t="n">
        <v>1</v>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3" t="inlineStr">
        <is>
          <t>17번 국도접 그린벨트 농지로서 주변에 산업공단 조성중 투자용</t>
        </is>
      </c>
      <c r="I853" s="5">
        <f>HYPERLINK("https://fin.land.naver.com/articles/2646451382", "매물Link")</f>
        <v/>
      </c>
      <c r="J853" s="5">
        <f>HYPERLINK("https://map.naver.com/p/search/나성동 829", "지도Link")</f>
        <v/>
      </c>
      <c r="K853" s="5">
        <f>HYPERLINK("http://www.eum.go.kr/web/ar/lu/luLandDet.jsp?pnu=3611010700108290000&amp;isNoScr=script&amp;mode=search", "토지이음")</f>
        <v/>
      </c>
      <c r="L853" s="3" t="inlineStr">
        <is>
          <t>금정</t>
        </is>
      </c>
      <c r="M853" s="3" t="n">
        <v>1</v>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3" t="inlineStr">
        <is>
          <t>토목공사완료.</t>
        </is>
      </c>
      <c r="I854" s="5">
        <f>HYPERLINK("https://fin.land.naver.com/articles/2646790864", "매물Link")</f>
        <v/>
      </c>
      <c r="J854" s="5">
        <f>HYPERLINK("https://map.naver.com/p/search/나성동 829", "지도Link")</f>
        <v/>
      </c>
      <c r="K854" s="5">
        <f>HYPERLINK("http://www.eum.go.kr/web/ar/lu/luLandDet.jsp?pnu=3611010700108290000&amp;isNoScr=script&amp;mode=search", "토지이음")</f>
        <v/>
      </c>
      <c r="L854" s="3" t="inlineStr">
        <is>
          <t>대전명품</t>
        </is>
      </c>
      <c r="M854" s="3" t="n">
        <v>1</v>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3" t="inlineStr">
        <is>
          <t>공장부지로 토목공사완료</t>
        </is>
      </c>
      <c r="I855" s="5">
        <f>HYPERLINK("https://fin.land.naver.com/articles/2646837893", "매물Link")</f>
        <v/>
      </c>
      <c r="J855" s="5">
        <f>HYPERLINK("https://map.naver.com/p/search/나성동 829", "지도Link")</f>
        <v/>
      </c>
      <c r="K855" s="5">
        <f>HYPERLINK("http://www.eum.go.kr/web/ar/lu/luLandDet.jsp?pnu=3611010700108290000&amp;isNoScr=script&amp;mode=search", "토지이음")</f>
        <v/>
      </c>
      <c r="L855" s="3" t="inlineStr">
        <is>
          <t>대전명품</t>
        </is>
      </c>
      <c r="M855" s="3" t="n">
        <v>1</v>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3" t="inlineStr">
        <is>
          <t>하우스5동 시설일체 완비(선별장, 숙소동, 냉동창고, 보일러시설일체)</t>
        </is>
      </c>
      <c r="I856" s="5">
        <f>HYPERLINK("https://fin.land.naver.com/articles/2649929403", "매물Link")</f>
        <v/>
      </c>
      <c r="J856" s="5">
        <f>HYPERLINK("https://map.naver.com/p/search/나성동 829", "지도Link")</f>
        <v/>
      </c>
      <c r="K856" s="5">
        <f>HYPERLINK("http://www.eum.go.kr/web/ar/lu/luLandDet.jsp?pnu=3611010700108290000&amp;isNoScr=script&amp;mode=search", "토지이음")</f>
        <v/>
      </c>
      <c r="L856" s="3" t="inlineStr">
        <is>
          <t>새여울</t>
        </is>
      </c>
      <c r="M856" s="3" t="n">
        <v>1</v>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3" t="inlineStr">
        <is>
          <t>터미널맞은편 상업지역 도생 오피스텔 상가건물등 추천</t>
        </is>
      </c>
      <c r="I857" s="5">
        <f>HYPERLINK("https://fin.land.naver.com/articles/2644664408", "매물Link")</f>
        <v/>
      </c>
      <c r="J857" s="5">
        <f>HYPERLINK("https://map.naver.com/p/search/나성동 829", "지도Link")</f>
        <v/>
      </c>
      <c r="K857" s="5">
        <f>HYPERLINK("http://www.eum.go.kr/web/ar/lu/luLandDet.jsp?pnu=3611010700108290000&amp;isNoScr=script&amp;mode=search", "토지이음")</f>
        <v/>
      </c>
      <c r="L857" s="3" t="inlineStr">
        <is>
          <t>더원</t>
        </is>
      </c>
      <c r="M857" s="3" t="n">
        <v>1</v>
      </c>
    </row>
    <row r="858">
      <c r="A858" s="3" t="inlineStr">
        <is>
          <t>나성동 829</t>
        </is>
      </c>
      <c r="B858" s="3" t="inlineStr">
        <is>
          <t>중심상업지역</t>
        </is>
      </c>
      <c r="C858" s="3" t="inlineStr">
        <is>
          <t>대</t>
        </is>
      </c>
      <c r="D858" s="3" t="inlineStr">
        <is>
          <t>대</t>
        </is>
      </c>
      <c r="E858" s="3" t="inlineStr">
        <is>
          <t>매매</t>
        </is>
      </c>
      <c r="F858" s="4" t="n">
        <v>35000</v>
      </c>
      <c r="G858" s="4" t="n">
        <v>114</v>
      </c>
      <c r="H858" s="3" t="inlineStr">
        <is>
          <t>nan</t>
        </is>
      </c>
      <c r="I858" s="5">
        <f>HYPERLINK("https://fin.land.naver.com/articles/2646624967", "매물Link")</f>
        <v/>
      </c>
      <c r="J858" s="5">
        <f>HYPERLINK("https://map.naver.com/p/search/나성동 829", "지도Link")</f>
        <v/>
      </c>
      <c r="K858" s="5">
        <f>HYPERLINK("http://www.eum.go.kr/web/ar/lu/luLandDet.jsp?pnu=3611010700108290000&amp;isNoScr=script&amp;mode=search", "토지이음")</f>
        <v/>
      </c>
      <c r="L858" s="3" t="inlineStr">
        <is>
          <t>어진마을</t>
        </is>
      </c>
      <c r="M858" s="3" t="n">
        <v>2</v>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3" t="inlineStr">
        <is>
          <t>주택지을실 분이나 소형창고 지으실분 좋아요</t>
        </is>
      </c>
      <c r="I859" s="5">
        <f>HYPERLINK("https://fin.land.naver.com/articles/2648705779", "매물Link")</f>
        <v/>
      </c>
      <c r="J859" s="5">
        <f>HYPERLINK("https://map.naver.com/p/search/나성동 829", "지도Link")</f>
        <v/>
      </c>
      <c r="K859" s="5">
        <f>HYPERLINK("http://www.eum.go.kr/web/ar/lu/luLandDet.jsp?pnu=3611010700108290000&amp;isNoScr=script&amp;mode=search", "토지이음")</f>
        <v/>
      </c>
      <c r="L859" s="3" t="inlineStr">
        <is>
          <t>해뜨는  사무소</t>
        </is>
      </c>
      <c r="M859" s="3" t="n">
        <v>1</v>
      </c>
    </row>
    <row r="860">
      <c r="A860" s="3" t="inlineStr">
        <is>
          <t>나성동 829</t>
        </is>
      </c>
      <c r="B860" s="3" t="inlineStr">
        <is>
          <t>중심상업지역</t>
        </is>
      </c>
      <c r="C860" s="3" t="inlineStr">
        <is>
          <t>대</t>
        </is>
      </c>
      <c r="D860" s="3" t="inlineStr">
        <is>
          <t>답</t>
        </is>
      </c>
      <c r="E860" s="3" t="inlineStr">
        <is>
          <t>매매</t>
        </is>
      </c>
      <c r="F860" s="4" t="n">
        <v>10000</v>
      </c>
      <c r="G860" s="4" t="n">
        <v>837</v>
      </c>
      <c r="H860" s="3" t="inlineStr">
        <is>
          <t>천안권과 접경지역으로 4차선전용도로(세종로)와 철도편이 접근성 최상</t>
        </is>
      </c>
      <c r="I860" s="5">
        <f>HYPERLINK("https://fin.land.naver.com/articles/2644936235", "매물Link")</f>
        <v/>
      </c>
      <c r="J860" s="5">
        <f>HYPERLINK("https://map.naver.com/p/search/나성동 829", "지도Link")</f>
        <v/>
      </c>
      <c r="K860" s="5">
        <f>HYPERLINK("http://www.eum.go.kr/web/ar/lu/luLandDet.jsp?pnu=3611010700108290000&amp;isNoScr=script&amp;mode=search", "토지이음")</f>
        <v/>
      </c>
      <c r="L860" s="3" t="inlineStr">
        <is>
          <t>온누리</t>
        </is>
      </c>
      <c r="M860" s="3" t="n">
        <v>1</v>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3" t="inlineStr">
        <is>
          <t>천안권과 접경지역으로 4차선전용도로(세종로)로 생활권의 확장성이 높음</t>
        </is>
      </c>
      <c r="I861" s="5">
        <f>HYPERLINK("https://fin.land.naver.com/articles/2644936174", "매물Link")</f>
        <v/>
      </c>
      <c r="J861" s="5">
        <f>HYPERLINK("https://map.naver.com/p/search/나성동 829", "지도Link")</f>
        <v/>
      </c>
      <c r="K861" s="5">
        <f>HYPERLINK("http://www.eum.go.kr/web/ar/lu/luLandDet.jsp?pnu=3611010700108290000&amp;isNoScr=script&amp;mode=search", "토지이음")</f>
        <v/>
      </c>
      <c r="L861" s="3" t="inlineStr">
        <is>
          <t>온누리</t>
        </is>
      </c>
      <c r="M861" s="3" t="n">
        <v>1</v>
      </c>
    </row>
    <row r="862">
      <c r="A862" s="3" t="inlineStr">
        <is>
          <t>나성동 829</t>
        </is>
      </c>
      <c r="B862" s="3" t="inlineStr">
        <is>
          <t>중심상업지역</t>
        </is>
      </c>
      <c r="C862" s="3" t="inlineStr">
        <is>
          <t>대</t>
        </is>
      </c>
      <c r="D862" s="3" t="inlineStr">
        <is>
          <t>대</t>
        </is>
      </c>
      <c r="E862" s="3" t="inlineStr">
        <is>
          <t>매매</t>
        </is>
      </c>
      <c r="F862" s="4" t="n">
        <v>49600</v>
      </c>
      <c r="G862" s="4" t="n">
        <v>205</v>
      </c>
      <c r="H862" s="3" t="inlineStr">
        <is>
          <t>서문동 토지</t>
        </is>
      </c>
      <c r="I862" s="5">
        <f>HYPERLINK("https://fin.land.naver.com/articles/2648074435", "매물Link")</f>
        <v/>
      </c>
      <c r="J862" s="5">
        <f>HYPERLINK("https://map.naver.com/p/search/나성동 829", "지도Link")</f>
        <v/>
      </c>
      <c r="K862" s="5">
        <f>HYPERLINK("http://www.eum.go.kr/web/ar/lu/luLandDet.jsp?pnu=3611010700108290000&amp;isNoScr=script&amp;mode=search", "토지이음")</f>
        <v/>
      </c>
      <c r="L862" s="3" t="inlineStr">
        <is>
          <t>어반에스테이트</t>
        </is>
      </c>
      <c r="M862" s="3" t="n">
        <v>1</v>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3" t="inlineStr">
        <is>
          <t>구)로얄관광호텔자리로호텔철거후나대지로있음.상업용지로용도다양함</t>
        </is>
      </c>
      <c r="I863" s="5">
        <f>HYPERLINK("https://fin.land.naver.com/articles/2649567788", "매물Link")</f>
        <v/>
      </c>
      <c r="J863" s="5">
        <f>HYPERLINK("https://map.naver.com/p/search/나성동 829", "지도Link")</f>
        <v/>
      </c>
      <c r="K863" s="5">
        <f>HYPERLINK("http://www.eum.go.kr/web/ar/lu/luLandDet.jsp?pnu=3611010700108290000&amp;isNoScr=script&amp;mode=search", "토지이음")</f>
        <v/>
      </c>
      <c r="L863" s="3" t="inlineStr">
        <is>
          <t>모범</t>
        </is>
      </c>
      <c r="M863" s="3" t="n">
        <v>1</v>
      </c>
    </row>
    <row r="864">
      <c r="A864" s="3" t="inlineStr">
        <is>
          <t>나성동 829</t>
        </is>
      </c>
      <c r="B864" s="3" t="inlineStr">
        <is>
          <t>중심상업지역</t>
        </is>
      </c>
      <c r="C864" s="3" t="inlineStr">
        <is>
          <t>대</t>
        </is>
      </c>
      <c r="D864" s="3" t="inlineStr">
        <is>
          <t>대</t>
        </is>
      </c>
      <c r="E864" s="3" t="inlineStr">
        <is>
          <t>매매</t>
        </is>
      </c>
      <c r="F864" s="4" t="n">
        <v>17500</v>
      </c>
      <c r="G864" s="4" t="n">
        <v>166</v>
      </c>
      <c r="H864" s="3" t="inlineStr">
        <is>
          <t>나대지 상업용지 다용도 이용가능</t>
        </is>
      </c>
      <c r="I864" s="5">
        <f>HYPERLINK("https://fin.land.naver.com/articles/2647374426", "매물Link")</f>
        <v/>
      </c>
      <c r="J864" s="5">
        <f>HYPERLINK("https://map.naver.com/p/search/나성동 829", "지도Link")</f>
        <v/>
      </c>
      <c r="K864" s="5">
        <f>HYPERLINK("http://www.eum.go.kr/web/ar/lu/luLandDet.jsp?pnu=3611010700108290000&amp;isNoScr=script&amp;mode=search", "토지이음")</f>
        <v/>
      </c>
      <c r="L864" s="3" t="inlineStr">
        <is>
          <t>제우스</t>
        </is>
      </c>
      <c r="M864" s="3" t="n">
        <v>1</v>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3" t="inlineStr">
        <is>
          <t>남주동 중앙공원 앞 남사로 접</t>
        </is>
      </c>
      <c r="I865" s="5">
        <f>HYPERLINK("https://fin.land.naver.com/articles/2647757975", "매물Link")</f>
        <v/>
      </c>
      <c r="J865" s="5">
        <f>HYPERLINK("https://map.naver.com/p/search/나성동 829", "지도Link")</f>
        <v/>
      </c>
      <c r="K865" s="5">
        <f>HYPERLINK("http://www.eum.go.kr/web/ar/lu/luLandDet.jsp?pnu=3611010700108290000&amp;isNoScr=script&amp;mode=search", "토지이음")</f>
        <v/>
      </c>
      <c r="L865" s="3" t="inlineStr">
        <is>
          <t>좋은</t>
        </is>
      </c>
      <c r="M865" s="3" t="n">
        <v>1</v>
      </c>
    </row>
    <row r="866">
      <c r="A866" s="3" t="inlineStr">
        <is>
          <t>나성동 829</t>
        </is>
      </c>
      <c r="B866" s="3" t="inlineStr">
        <is>
          <t>중심상업지역</t>
        </is>
      </c>
      <c r="C866" s="3" t="inlineStr">
        <is>
          <t>대</t>
        </is>
      </c>
      <c r="D866" s="3" t="inlineStr">
        <is>
          <t>대</t>
        </is>
      </c>
      <c r="E866" s="3" t="inlineStr">
        <is>
          <t>매매</t>
        </is>
      </c>
      <c r="F866" s="4" t="n">
        <v>27500</v>
      </c>
      <c r="G866" s="4" t="n">
        <v>340</v>
      </c>
      <c r="H866" s="3" t="inlineStr">
        <is>
          <t>본필지 외 2필지 있음.  구옥 있음.</t>
        </is>
      </c>
      <c r="I866" s="5">
        <f>HYPERLINK("https://fin.land.naver.com/articles/2644320742", "매물Link")</f>
        <v/>
      </c>
      <c r="J866" s="5">
        <f>HYPERLINK("https://map.naver.com/p/search/나성동 829", "지도Link")</f>
        <v/>
      </c>
      <c r="K866" s="5">
        <f>HYPERLINK("http://www.eum.go.kr/web/ar/lu/luLandDet.jsp?pnu=3611010700108290000&amp;isNoScr=script&amp;mode=search", "토지이음")</f>
        <v/>
      </c>
      <c r="L866" s="3" t="inlineStr">
        <is>
          <t>지성합동사무소</t>
        </is>
      </c>
      <c r="M866" s="3" t="n">
        <v>1</v>
      </c>
    </row>
    <row r="867">
      <c r="A867" s="3" t="inlineStr">
        <is>
          <t>나성동 829</t>
        </is>
      </c>
      <c r="B867" s="3" t="inlineStr">
        <is>
          <t>중심상업지역</t>
        </is>
      </c>
      <c r="C867" s="3" t="inlineStr">
        <is>
          <t>대</t>
        </is>
      </c>
      <c r="D867" s="3" t="inlineStr">
        <is>
          <t>대</t>
        </is>
      </c>
      <c r="E867" s="3" t="inlineStr">
        <is>
          <t>매매</t>
        </is>
      </c>
      <c r="F867" s="4" t="n">
        <v>66500</v>
      </c>
      <c r="G867" s="4" t="n">
        <v>439</v>
      </c>
      <c r="H867" s="3" t="inlineStr">
        <is>
          <t>수동 도심활력권역 내 토지 매매</t>
        </is>
      </c>
      <c r="I867" s="5">
        <f>HYPERLINK("https://fin.land.naver.com/articles/2646928292", "매물Link")</f>
        <v/>
      </c>
      <c r="J867" s="5">
        <f>HYPERLINK("https://map.naver.com/p/search/나성동 829", "지도Link")</f>
        <v/>
      </c>
      <c r="K867" s="5">
        <f>HYPERLINK("http://www.eum.go.kr/web/ar/lu/luLandDet.jsp?pnu=3611010700108290000&amp;isNoScr=script&amp;mode=search", "토지이음")</f>
        <v/>
      </c>
      <c r="L867" s="3" t="inlineStr">
        <is>
          <t>효원</t>
        </is>
      </c>
      <c r="M867" s="3" t="n">
        <v>1</v>
      </c>
    </row>
    <row r="868">
      <c r="A868" s="3" t="inlineStr">
        <is>
          <t>나성동 829</t>
        </is>
      </c>
      <c r="B868" s="3" t="inlineStr">
        <is>
          <t>중심상업지역</t>
        </is>
      </c>
      <c r="C868" s="3" t="inlineStr">
        <is>
          <t>대</t>
        </is>
      </c>
      <c r="D868" s="3" t="inlineStr">
        <is>
          <t>답</t>
        </is>
      </c>
      <c r="E868" s="3" t="inlineStr">
        <is>
          <t>월세</t>
        </is>
      </c>
      <c r="F868" s="4" t="n">
        <v>2000</v>
      </c>
      <c r="G868" s="4" t="n">
        <v>650</v>
      </c>
      <c r="H868" s="3" t="inlineStr">
        <is>
          <t>대로변 옆</t>
        </is>
      </c>
      <c r="I868" s="5">
        <f>HYPERLINK("https://fin.land.naver.com/articles/2646693553", "매물Link")</f>
        <v/>
      </c>
      <c r="J868" s="5">
        <f>HYPERLINK("https://map.naver.com/p/search/나성동 829", "지도Link")</f>
        <v/>
      </c>
      <c r="K868" s="5">
        <f>HYPERLINK("http://www.eum.go.kr/web/ar/lu/luLandDet.jsp?pnu=3611010700108290000&amp;isNoScr=script&amp;mode=search", "토지이음")</f>
        <v/>
      </c>
      <c r="L868" s="3" t="inlineStr">
        <is>
          <t>대동</t>
        </is>
      </c>
      <c r="M868" s="3" t="n">
        <v>1</v>
      </c>
    </row>
    <row r="869">
      <c r="A869" s="3" t="inlineStr">
        <is>
          <t>나성동 829</t>
        </is>
      </c>
      <c r="B869" s="3" t="inlineStr">
        <is>
          <t>중심상업지역</t>
        </is>
      </c>
      <c r="C869" s="3" t="inlineStr">
        <is>
          <t>대</t>
        </is>
      </c>
      <c r="D869" s="3" t="inlineStr">
        <is>
          <t>대</t>
        </is>
      </c>
      <c r="E869" s="3" t="inlineStr">
        <is>
          <t>매매</t>
        </is>
      </c>
      <c r="F869" s="4" t="n">
        <v>25000</v>
      </c>
      <c r="G869" s="4" t="n">
        <v>314</v>
      </c>
      <c r="H869" s="3" t="inlineStr">
        <is>
          <t>주택및다가구 신축하실분</t>
        </is>
      </c>
      <c r="I869" s="5">
        <f>HYPERLINK("https://fin.land.naver.com/articles/2644591281", "매물Link")</f>
        <v/>
      </c>
      <c r="J869" s="5">
        <f>HYPERLINK("https://map.naver.com/p/search/나성동 829", "지도Link")</f>
        <v/>
      </c>
      <c r="K869" s="5">
        <f>HYPERLINK("http://www.eum.go.kr/web/ar/lu/luLandDet.jsp?pnu=3611010700108290000&amp;isNoScr=script&amp;mode=search", "토지이음")</f>
        <v/>
      </c>
      <c r="L869" s="3" t="inlineStr">
        <is>
          <t>거림</t>
        </is>
      </c>
      <c r="M869" s="3" t="n">
        <v>1</v>
      </c>
    </row>
    <row r="870">
      <c r="A870" s="3" t="inlineStr">
        <is>
          <t>나성동 829</t>
        </is>
      </c>
      <c r="B870" s="3" t="inlineStr">
        <is>
          <t>중심상업지역</t>
        </is>
      </c>
      <c r="C870" s="3" t="inlineStr">
        <is>
          <t>대</t>
        </is>
      </c>
      <c r="D870" s="3" t="inlineStr">
        <is>
          <t>대</t>
        </is>
      </c>
      <c r="E870" s="3" t="inlineStr">
        <is>
          <t>매매</t>
        </is>
      </c>
      <c r="F870" s="4" t="n">
        <v>16000</v>
      </c>
      <c r="G870" s="4" t="n">
        <v>138</v>
      </c>
      <c r="H870" s="3" t="inlineStr">
        <is>
          <t>도로접한 코너입니다. 다용도 활용가능합니다.</t>
        </is>
      </c>
      <c r="I870" s="5">
        <f>HYPERLINK("https://fin.land.naver.com/articles/2645249831", "매물Link")</f>
        <v/>
      </c>
      <c r="J870" s="5">
        <f>HYPERLINK("https://map.naver.com/p/search/나성동 829", "지도Link")</f>
        <v/>
      </c>
      <c r="K870" s="5">
        <f>HYPERLINK("http://www.eum.go.kr/web/ar/lu/luLandDet.jsp?pnu=3611010700108290000&amp;isNoScr=script&amp;mode=search", "토지이음")</f>
        <v/>
      </c>
      <c r="L870" s="3" t="inlineStr">
        <is>
          <t>하니힐데스</t>
        </is>
      </c>
      <c r="M870" s="3" t="n">
        <v>1</v>
      </c>
    </row>
    <row r="871">
      <c r="A871" s="3" t="inlineStr">
        <is>
          <t>나성동 829</t>
        </is>
      </c>
      <c r="B871" s="3" t="inlineStr">
        <is>
          <t>중심상업지역</t>
        </is>
      </c>
      <c r="C871" s="3" t="inlineStr">
        <is>
          <t>대</t>
        </is>
      </c>
      <c r="D871" s="3" t="inlineStr">
        <is>
          <t>전</t>
        </is>
      </c>
      <c r="E871" s="3" t="inlineStr">
        <is>
          <t>매매</t>
        </is>
      </c>
      <c r="F871" s="4" t="n">
        <v>16000</v>
      </c>
      <c r="G871" s="4" t="n">
        <v>199</v>
      </c>
      <c r="H871" s="3" t="inlineStr">
        <is>
          <t>단독주택 용지로 추천드려요.</t>
        </is>
      </c>
      <c r="I871" s="5">
        <f>HYPERLINK("https://fin.land.naver.com/articles/2644079424", "매물Link")</f>
        <v/>
      </c>
      <c r="J871" s="5">
        <f>HYPERLINK("https://map.naver.com/p/search/나성동 829", "지도Link")</f>
        <v/>
      </c>
      <c r="K871" s="5">
        <f>HYPERLINK("http://www.eum.go.kr/web/ar/lu/luLandDet.jsp?pnu=3611010700108290000&amp;isNoScr=script&amp;mode=search", "토지이음")</f>
        <v/>
      </c>
      <c r="L871" s="3" t="inlineStr">
        <is>
          <t>하니힐데스</t>
        </is>
      </c>
      <c r="M871" s="3" t="n">
        <v>1</v>
      </c>
    </row>
    <row r="872">
      <c r="A872" s="3" t="inlineStr">
        <is>
          <t>나성동 829</t>
        </is>
      </c>
      <c r="B872" s="3" t="inlineStr">
        <is>
          <t>중심상업지역</t>
        </is>
      </c>
      <c r="C872" s="3" t="inlineStr">
        <is>
          <t>대</t>
        </is>
      </c>
      <c r="D872" s="3" t="inlineStr">
        <is>
          <t>대</t>
        </is>
      </c>
      <c r="E872" s="3" t="inlineStr">
        <is>
          <t>매매</t>
        </is>
      </c>
      <c r="F872" s="4" t="n">
        <v>4600</v>
      </c>
      <c r="G872" s="4" t="n">
        <v>248</v>
      </c>
      <c r="H872" s="3" t="inlineStr">
        <is>
          <t>풍경이 내려다보이는 높은 지대의 집터니다. 현재 주택있으나 멸실해야되요</t>
        </is>
      </c>
      <c r="I872" s="5">
        <f>HYPERLINK("https://fin.land.naver.com/articles/2648726852", "매물Link")</f>
        <v/>
      </c>
      <c r="J872" s="5">
        <f>HYPERLINK("https://map.naver.com/p/search/나성동 829", "지도Link")</f>
        <v/>
      </c>
      <c r="K872" s="5">
        <f>HYPERLINK("http://www.eum.go.kr/web/ar/lu/luLandDet.jsp?pnu=3611010700108290000&amp;isNoScr=script&amp;mode=search", "토지이음")</f>
        <v/>
      </c>
      <c r="L872" s="3" t="inlineStr">
        <is>
          <t>굿모닝합동</t>
        </is>
      </c>
      <c r="M872" s="3" t="n">
        <v>1</v>
      </c>
    </row>
    <row r="873">
      <c r="A873" s="3" t="inlineStr">
        <is>
          <t>나성동 829</t>
        </is>
      </c>
      <c r="B873" s="3" t="inlineStr">
        <is>
          <t>중심상업지역</t>
        </is>
      </c>
      <c r="C873" s="3" t="inlineStr">
        <is>
          <t>대</t>
        </is>
      </c>
      <c r="D873" s="3" t="inlineStr">
        <is>
          <t>전</t>
        </is>
      </c>
      <c r="E873" s="3" t="inlineStr">
        <is>
          <t>매매</t>
        </is>
      </c>
      <c r="F873" s="4" t="n">
        <v>52000</v>
      </c>
      <c r="G873" s="4" t="n">
        <v>433</v>
      </c>
      <c r="H873" s="3" t="inlineStr">
        <is>
          <t>공터 예요  업종은 상가  주택  창고등  가능합니다</t>
        </is>
      </c>
      <c r="I873" s="5">
        <f>HYPERLINK("https://fin.land.naver.com/articles/2648433415", "매물Link")</f>
        <v/>
      </c>
      <c r="J873" s="5">
        <f>HYPERLINK("https://map.naver.com/p/search/나성동 829", "지도Link")</f>
        <v/>
      </c>
      <c r="K873" s="5">
        <f>HYPERLINK("http://www.eum.go.kr/web/ar/lu/luLandDet.jsp?pnu=3611010700108290000&amp;isNoScr=script&amp;mode=search", "토지이음")</f>
        <v/>
      </c>
      <c r="L873" s="3" t="inlineStr">
        <is>
          <t>하니</t>
        </is>
      </c>
      <c r="M873" s="3" t="n">
        <v>1</v>
      </c>
    </row>
    <row r="874">
      <c r="A874" s="3" t="inlineStr">
        <is>
          <t>나성동 829</t>
        </is>
      </c>
      <c r="B874" s="3" t="inlineStr">
        <is>
          <t>중심상업지역</t>
        </is>
      </c>
      <c r="C874" s="3" t="inlineStr">
        <is>
          <t>대</t>
        </is>
      </c>
      <c r="D874" s="3" t="inlineStr">
        <is>
          <t>전</t>
        </is>
      </c>
      <c r="E874" s="3" t="inlineStr">
        <is>
          <t>매매</t>
        </is>
      </c>
      <c r="F874" s="4" t="n">
        <v>16000</v>
      </c>
      <c r="G874" s="4" t="n">
        <v>199</v>
      </c>
      <c r="H874" s="3" t="inlineStr">
        <is>
          <t>단독주택용지로 추천드려요.</t>
        </is>
      </c>
      <c r="I874" s="5">
        <f>HYPERLINK("https://fin.land.naver.com/articles/2647043268", "매물Link")</f>
        <v/>
      </c>
      <c r="J874" s="5">
        <f>HYPERLINK("https://map.naver.com/p/search/나성동 829", "지도Link")</f>
        <v/>
      </c>
      <c r="K874" s="5">
        <f>HYPERLINK("http://www.eum.go.kr/web/ar/lu/luLandDet.jsp?pnu=3611010700108290000&amp;isNoScr=script&amp;mode=search", "토지이음")</f>
        <v/>
      </c>
      <c r="L874" s="3" t="inlineStr">
        <is>
          <t>하니힐데스</t>
        </is>
      </c>
      <c r="M874" s="3" t="n">
        <v>1</v>
      </c>
    </row>
    <row r="875">
      <c r="A875" s="3" t="inlineStr">
        <is>
          <t>나성동 829</t>
        </is>
      </c>
      <c r="B875" s="3" t="inlineStr">
        <is>
          <t>중심상업지역</t>
        </is>
      </c>
      <c r="C875" s="3" t="inlineStr">
        <is>
          <t>대</t>
        </is>
      </c>
      <c r="D875" s="3" t="inlineStr">
        <is>
          <t>전</t>
        </is>
      </c>
      <c r="E875" s="3" t="inlineStr">
        <is>
          <t>매매</t>
        </is>
      </c>
      <c r="F875" s="4" t="n">
        <v>57500</v>
      </c>
      <c r="G875" s="4" t="n">
        <v>382</v>
      </c>
      <c r="H875" s="3" t="inlineStr">
        <is>
          <t>인근 청주용암저수지 개발로 개발가능성 증대되고 있음
어린이회관 주차가능</t>
        </is>
      </c>
      <c r="I875" s="5">
        <f>HYPERLINK("https://fin.land.naver.com/articles/2648982623", "매물Link")</f>
        <v/>
      </c>
      <c r="J875" s="5">
        <f>HYPERLINK("https://map.naver.com/p/search/나성동 829", "지도Link")</f>
        <v/>
      </c>
      <c r="K875" s="5">
        <f>HYPERLINK("http://www.eum.go.kr/web/ar/lu/luLandDet.jsp?pnu=3611010700108290000&amp;isNoScr=script&amp;mode=search", "토지이음")</f>
        <v/>
      </c>
      <c r="L875" s="3" t="inlineStr">
        <is>
          <t>코아루수지</t>
        </is>
      </c>
      <c r="M875" s="3" t="n">
        <v>1</v>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3" t="inlineStr">
        <is>
          <t>명암저수지 인근의 높지 않은 지형으로 넓은 임야의 매물이예요</t>
        </is>
      </c>
      <c r="I876" s="5">
        <f>HYPERLINK("https://fin.land.naver.com/articles/2647513868", "매물Link")</f>
        <v/>
      </c>
      <c r="J876" s="5">
        <f>HYPERLINK("https://map.naver.com/p/search/나성동 829", "지도Link")</f>
        <v/>
      </c>
      <c r="K876" s="5">
        <f>HYPERLINK("http://www.eum.go.kr/web/ar/lu/luLandDet.jsp?pnu=3611010700108290000&amp;isNoScr=script&amp;mode=search", "토지이음")</f>
        <v/>
      </c>
      <c r="L876" s="3" t="inlineStr">
        <is>
          <t>4989명품</t>
        </is>
      </c>
      <c r="M876" s="3" t="n">
        <v>1</v>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3" t="inlineStr">
        <is>
          <t>도로가는잔디도소매입대중.뒤필지는전으로사용중</t>
        </is>
      </c>
      <c r="I877" s="5">
        <f>HYPERLINK("https://fin.land.naver.com/articles/2645788701", "매물Link")</f>
        <v/>
      </c>
      <c r="J877" s="5">
        <f>HYPERLINK("https://map.naver.com/p/search/나성동 829", "지도Link")</f>
        <v/>
      </c>
      <c r="K877" s="5">
        <f>HYPERLINK("http://www.eum.go.kr/web/ar/lu/luLandDet.jsp?pnu=3611010700108290000&amp;isNoScr=script&amp;mode=search", "토지이음")</f>
        <v/>
      </c>
      <c r="L877" s="3" t="inlineStr">
        <is>
          <t>정은경</t>
        </is>
      </c>
      <c r="M877" s="3" t="n">
        <v>2</v>
      </c>
    </row>
    <row r="878">
      <c r="A878" s="3" t="inlineStr">
        <is>
          <t>나성동 829</t>
        </is>
      </c>
      <c r="B878" s="3" t="inlineStr">
        <is>
          <t>중심상업지역</t>
        </is>
      </c>
      <c r="C878" s="3" t="inlineStr">
        <is>
          <t>대</t>
        </is>
      </c>
      <c r="D878" s="3" t="inlineStr">
        <is>
          <t>전</t>
        </is>
      </c>
      <c r="E878" s="3" t="inlineStr">
        <is>
          <t>매매</t>
        </is>
      </c>
      <c r="F878" s="4" t="n">
        <v>32000</v>
      </c>
      <c r="G878" s="4" t="n">
        <v>865</v>
      </c>
      <c r="H878" s="3" t="inlineStr">
        <is>
          <t>자연녹지 전원주택 식당 커피숍등</t>
        </is>
      </c>
      <c r="I878" s="5">
        <f>HYPERLINK("https://fin.land.naver.com/articles/2649528054", "매물Link")</f>
        <v/>
      </c>
      <c r="J878" s="5">
        <f>HYPERLINK("https://map.naver.com/p/search/나성동 829", "지도Link")</f>
        <v/>
      </c>
      <c r="K878" s="5">
        <f>HYPERLINK("http://www.eum.go.kr/web/ar/lu/luLandDet.jsp?pnu=3611010700108290000&amp;isNoScr=script&amp;mode=search", "토지이음")</f>
        <v/>
      </c>
      <c r="L878" s="3" t="inlineStr">
        <is>
          <t>명문</t>
        </is>
      </c>
      <c r="M878" s="3" t="n">
        <v>1</v>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3" t="inlineStr">
        <is>
          <t>상당산성 교차로 인근 대로변옆 위치좋고 미래가치상승 기대되는 토지이예요</t>
        </is>
      </c>
      <c r="I879" s="5">
        <f>HYPERLINK("https://fin.land.naver.com/articles/2647156315", "매물Link")</f>
        <v/>
      </c>
      <c r="J879" s="5">
        <f>HYPERLINK("https://map.naver.com/p/search/나성동 829", "지도Link")</f>
        <v/>
      </c>
      <c r="K879" s="5">
        <f>HYPERLINK("http://www.eum.go.kr/web/ar/lu/luLandDet.jsp?pnu=3611010700108290000&amp;isNoScr=script&amp;mode=search", "토지이음")</f>
        <v/>
      </c>
      <c r="L879" s="3" t="inlineStr">
        <is>
          <t>4989명품</t>
        </is>
      </c>
      <c r="M879" s="3" t="n">
        <v>1</v>
      </c>
    </row>
    <row r="880">
      <c r="A880" s="3" t="inlineStr">
        <is>
          <t>나성동 829</t>
        </is>
      </c>
      <c r="B880" s="3" t="inlineStr">
        <is>
          <t>중심상업지역</t>
        </is>
      </c>
      <c r="C880" s="3" t="inlineStr">
        <is>
          <t>대</t>
        </is>
      </c>
      <c r="D880" s="3" t="inlineStr">
        <is>
          <t>전</t>
        </is>
      </c>
      <c r="E880" s="3" t="inlineStr">
        <is>
          <t>매매</t>
        </is>
      </c>
      <c r="F880" s="4" t="n">
        <v>28000</v>
      </c>
      <c r="G880" s="4" t="n">
        <v>802</v>
      </c>
      <c r="H880" s="3" t="inlineStr">
        <is>
          <t>도로에 접해있는 상승가치가 높은 땅</t>
        </is>
      </c>
      <c r="I880" s="5">
        <f>HYPERLINK("https://fin.land.naver.com/articles/2647754808", "매물Link")</f>
        <v/>
      </c>
      <c r="J880" s="5">
        <f>HYPERLINK("https://map.naver.com/p/search/나성동 829", "지도Link")</f>
        <v/>
      </c>
      <c r="K880" s="5">
        <f>HYPERLINK("http://www.eum.go.kr/web/ar/lu/luLandDet.jsp?pnu=3611010700108290000&amp;isNoScr=script&amp;mode=search", "토지이음")</f>
        <v/>
      </c>
      <c r="L880" s="3" t="inlineStr">
        <is>
          <t>굿모닝  사무소</t>
        </is>
      </c>
      <c r="M880" s="3" t="n">
        <v>1</v>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3" t="inlineStr">
        <is>
          <t>충청북도 청주시 상당구 산성동 주말농장 대토용 토지 매매</t>
        </is>
      </c>
      <c r="I881" s="5">
        <f>HYPERLINK("https://fin.land.naver.com/articles/2647603590", "매물Link")</f>
        <v/>
      </c>
      <c r="J881" s="5">
        <f>HYPERLINK("https://map.naver.com/p/search/나성동 829", "지도Link")</f>
        <v/>
      </c>
      <c r="K881" s="5">
        <f>HYPERLINK("http://www.eum.go.kr/web/ar/lu/luLandDet.jsp?pnu=3611010700108290000&amp;isNoScr=script&amp;mode=search", "토지이음")</f>
        <v/>
      </c>
      <c r="L881" s="3" t="inlineStr">
        <is>
          <t>삼성사무소</t>
        </is>
      </c>
      <c r="M881" s="3" t="n">
        <v>1</v>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3" t="inlineStr">
        <is>
          <t>청주 최대 택지개발 동남지구경계 지역토지</t>
        </is>
      </c>
      <c r="I882" s="5">
        <f>HYPERLINK("https://fin.land.naver.com/articles/2647737314", "매물Link")</f>
        <v/>
      </c>
      <c r="J882" s="5">
        <f>HYPERLINK("https://map.naver.com/p/search/나성동 829", "지도Link")</f>
        <v/>
      </c>
      <c r="K882" s="5">
        <f>HYPERLINK("http://www.eum.go.kr/web/ar/lu/luLandDet.jsp?pnu=3611010700108290000&amp;isNoScr=script&amp;mode=search", "토지이음")</f>
        <v/>
      </c>
      <c r="L882" s="3" t="inlineStr">
        <is>
          <t>좋은</t>
        </is>
      </c>
      <c r="M882" s="3" t="n">
        <v>1</v>
      </c>
    </row>
    <row r="883">
      <c r="A883" s="3" t="inlineStr">
        <is>
          <t>나성동 829</t>
        </is>
      </c>
      <c r="B883" s="3" t="inlineStr">
        <is>
          <t>중심상업지역</t>
        </is>
      </c>
      <c r="C883" s="3" t="inlineStr">
        <is>
          <t>대</t>
        </is>
      </c>
      <c r="D883" s="3" t="inlineStr">
        <is>
          <t>대</t>
        </is>
      </c>
      <c r="E883" s="3" t="inlineStr">
        <is>
          <t>매매</t>
        </is>
      </c>
      <c r="F883" s="4" t="n">
        <v>85000</v>
      </c>
      <c r="G883" s="4" t="n">
        <v>359</v>
      </c>
      <c r="H883" s="3" t="inlineStr">
        <is>
          <t>nan</t>
        </is>
      </c>
      <c r="I883" s="5">
        <f>HYPERLINK("https://fin.land.naver.com/articles/2644113997", "매물Link")</f>
        <v/>
      </c>
      <c r="J883" s="5">
        <f>HYPERLINK("https://map.naver.com/p/search/나성동 829", "지도Link")</f>
        <v/>
      </c>
      <c r="K883" s="5">
        <f>HYPERLINK("http://www.eum.go.kr/web/ar/lu/luLandDet.jsp?pnu=3611010700108290000&amp;isNoScr=script&amp;mode=search", "토지이음")</f>
        <v/>
      </c>
      <c r="L883" s="3" t="inlineStr">
        <is>
          <t>신하나로</t>
        </is>
      </c>
      <c r="M883" s="3" t="n">
        <v>1</v>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3" t="inlineStr">
        <is>
          <t>nan</t>
        </is>
      </c>
      <c r="I884" s="5">
        <f>HYPERLINK("https://fin.land.naver.com/articles/2648225737", "매물Link")</f>
        <v/>
      </c>
      <c r="J884" s="5">
        <f>HYPERLINK("https://map.naver.com/p/search/나성동 829", "지도Link")</f>
        <v/>
      </c>
      <c r="K884" s="5">
        <f>HYPERLINK("http://www.eum.go.kr/web/ar/lu/luLandDet.jsp?pnu=3611010700108290000&amp;isNoScr=script&amp;mode=search", "토지이음")</f>
        <v/>
      </c>
      <c r="L884" s="3" t="inlineStr">
        <is>
          <t>좋은터</t>
        </is>
      </c>
      <c r="M884" s="3" t="n">
        <v>1</v>
      </c>
    </row>
    <row r="885">
      <c r="A885" s="3" t="inlineStr">
        <is>
          <t>나성동 829</t>
        </is>
      </c>
      <c r="B885" s="3" t="inlineStr">
        <is>
          <t>중심상업지역</t>
        </is>
      </c>
      <c r="C885" s="3" t="inlineStr">
        <is>
          <t>대</t>
        </is>
      </c>
      <c r="D885" s="3" t="inlineStr">
        <is>
          <t>대</t>
        </is>
      </c>
      <c r="E885" s="3" t="inlineStr">
        <is>
          <t>매매</t>
        </is>
      </c>
      <c r="F885" s="4" t="n">
        <v>33000</v>
      </c>
      <c r="G885" s="4" t="n">
        <v>282</v>
      </c>
      <c r="H885" s="3" t="inlineStr">
        <is>
          <t>택지</t>
        </is>
      </c>
      <c r="I885" s="5">
        <f>HYPERLINK("https://fin.land.naver.com/articles/2647911773", "매물Link")</f>
        <v/>
      </c>
      <c r="J885" s="5">
        <f>HYPERLINK("https://map.naver.com/p/search/나성동 829", "지도Link")</f>
        <v/>
      </c>
      <c r="K885" s="5">
        <f>HYPERLINK("http://www.eum.go.kr/web/ar/lu/luLandDet.jsp?pnu=3611010700108290000&amp;isNoScr=script&amp;mode=search", "토지이음")</f>
        <v/>
      </c>
      <c r="L885" s="3" t="inlineStr">
        <is>
          <t>산과들</t>
        </is>
      </c>
      <c r="M885" s="3" t="n">
        <v>1</v>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3" t="inlineStr">
        <is>
          <t>nan</t>
        </is>
      </c>
      <c r="I886" s="5">
        <f>HYPERLINK("https://fin.land.naver.com/articles/2647316439", "매물Link")</f>
        <v/>
      </c>
      <c r="J886" s="5">
        <f>HYPERLINK("https://map.naver.com/p/search/나성동 829", "지도Link")</f>
        <v/>
      </c>
      <c r="K886" s="5">
        <f>HYPERLINK("http://www.eum.go.kr/web/ar/lu/luLandDet.jsp?pnu=3611010700108290000&amp;isNoScr=script&amp;mode=search", "토지이음")</f>
        <v/>
      </c>
      <c r="L886" s="3" t="inlineStr">
        <is>
          <t>CJ</t>
        </is>
      </c>
      <c r="M886" s="3" t="n">
        <v>1</v>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3" t="inlineStr">
        <is>
          <t>천안권과 접경지역으로 4차선전용도로(세종로)로 생활권의 확장성이 높음.</t>
        </is>
      </c>
      <c r="I887" s="5">
        <f>HYPERLINK("https://fin.land.naver.com/articles/2644936359", "매물Link")</f>
        <v/>
      </c>
      <c r="J887" s="5">
        <f>HYPERLINK("https://map.naver.com/p/search/나성동 829", "지도Link")</f>
        <v/>
      </c>
      <c r="K887" s="5">
        <f>HYPERLINK("http://www.eum.go.kr/web/ar/lu/luLandDet.jsp?pnu=3611010700108290000&amp;isNoScr=script&amp;mode=search", "토지이음")</f>
        <v/>
      </c>
      <c r="L887" s="3" t="inlineStr">
        <is>
          <t>온누리</t>
        </is>
      </c>
      <c r="M887" s="3" t="n">
        <v>1</v>
      </c>
    </row>
    <row r="888">
      <c r="A888" s="3" t="inlineStr">
        <is>
          <t>나성동 829</t>
        </is>
      </c>
      <c r="B888" s="3" t="inlineStr">
        <is>
          <t>중심상업지역</t>
        </is>
      </c>
      <c r="C888" s="3" t="inlineStr">
        <is>
          <t>대</t>
        </is>
      </c>
      <c r="D888" s="3" t="inlineStr">
        <is>
          <t>대</t>
        </is>
      </c>
      <c r="E888" s="3" t="inlineStr">
        <is>
          <t>매매</t>
        </is>
      </c>
      <c r="F888" s="4" t="n">
        <v>32000</v>
      </c>
      <c r="G888" s="4" t="n">
        <v>233</v>
      </c>
      <c r="H888" s="3" t="inlineStr">
        <is>
          <t>현재  주택건물로 사용중이며 매매가에 포함됨</t>
        </is>
      </c>
      <c r="I888" s="5">
        <f>HYPERLINK("https://fin.land.naver.com/articles/2645839832", "매물Link")</f>
        <v/>
      </c>
      <c r="J888" s="5">
        <f>HYPERLINK("https://map.naver.com/p/search/나성동 829", "지도Link")</f>
        <v/>
      </c>
      <c r="K888" s="5">
        <f>HYPERLINK("http://www.eum.go.kr/web/ar/lu/luLandDet.jsp?pnu=3611010700108290000&amp;isNoScr=script&amp;mode=search", "토지이음")</f>
        <v/>
      </c>
      <c r="L888" s="3" t="inlineStr">
        <is>
          <t>테크노지웰탑</t>
        </is>
      </c>
      <c r="M888" s="3" t="n">
        <v>1</v>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3" t="inlineStr">
        <is>
          <t>천안권과 접경지역으로 4차선전용도로(세종로)로 생활권의 확장성이 높음</t>
        </is>
      </c>
      <c r="I889" s="5">
        <f>HYPERLINK("https://fin.land.naver.com/articles/2644936480", "매물Link")</f>
        <v/>
      </c>
      <c r="J889" s="5">
        <f>HYPERLINK("https://map.naver.com/p/search/나성동 829", "지도Link")</f>
        <v/>
      </c>
      <c r="K889" s="5">
        <f>HYPERLINK("http://www.eum.go.kr/web/ar/lu/luLandDet.jsp?pnu=3611010700108290000&amp;isNoScr=script&amp;mode=search", "토지이음")</f>
        <v/>
      </c>
      <c r="L889" s="3" t="inlineStr">
        <is>
          <t>온누리</t>
        </is>
      </c>
      <c r="M889" s="3" t="n">
        <v>1</v>
      </c>
    </row>
    <row r="890">
      <c r="A890" s="3" t="inlineStr">
        <is>
          <t>나성동 829</t>
        </is>
      </c>
      <c r="B890" s="3" t="inlineStr">
        <is>
          <t>중심상업지역</t>
        </is>
      </c>
      <c r="C890" s="3" t="inlineStr">
        <is>
          <t>대</t>
        </is>
      </c>
      <c r="D890" s="3" t="inlineStr">
        <is>
          <t>전</t>
        </is>
      </c>
      <c r="E890" s="3" t="inlineStr">
        <is>
          <t>매매</t>
        </is>
      </c>
      <c r="F890" s="4" t="n">
        <v>25000</v>
      </c>
      <c r="G890" s="4" t="n">
        <v>995</v>
      </c>
      <c r="H890" s="3" t="inlineStr">
        <is>
          <t>투자용으로 추천합니다.</t>
        </is>
      </c>
      <c r="I890" s="5">
        <f>HYPERLINK("https://fin.land.naver.com/articles/2645621016", "매물Link")</f>
        <v/>
      </c>
      <c r="J890" s="5">
        <f>HYPERLINK("https://map.naver.com/p/search/나성동 829", "지도Link")</f>
        <v/>
      </c>
      <c r="K890" s="5">
        <f>HYPERLINK("http://www.eum.go.kr/web/ar/lu/luLandDet.jsp?pnu=3611010700108290000&amp;isNoScr=script&amp;mode=search", "토지이음")</f>
        <v/>
      </c>
      <c r="L890" s="3" t="inlineStr">
        <is>
          <t>으뜸</t>
        </is>
      </c>
      <c r="M890" s="3" t="n">
        <v>1</v>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3" t="inlineStr">
        <is>
          <t>코너각지이며교통용이함</t>
        </is>
      </c>
      <c r="I891" s="5">
        <f>HYPERLINK("https://fin.land.naver.com/articles/2648190488", "매물Link")</f>
        <v/>
      </c>
      <c r="J891" s="5">
        <f>HYPERLINK("https://map.naver.com/p/search/나성동 829", "지도Link")</f>
        <v/>
      </c>
      <c r="K891" s="5">
        <f>HYPERLINK("http://www.eum.go.kr/web/ar/lu/luLandDet.jsp?pnu=3611010700108290000&amp;isNoScr=script&amp;mode=search", "토지이음")</f>
        <v/>
      </c>
      <c r="L891" s="3" t="inlineStr">
        <is>
          <t>이은숙</t>
        </is>
      </c>
      <c r="M891" s="3" t="n">
        <v>1</v>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3" t="inlineStr">
        <is>
          <t>nan</t>
        </is>
      </c>
      <c r="I892" s="5">
        <f>HYPERLINK("https://fin.land.naver.com/articles/2647830553", "매물Link")</f>
        <v/>
      </c>
      <c r="J892" s="5">
        <f>HYPERLINK("https://map.naver.com/p/search/나성동 829", "지도Link")</f>
        <v/>
      </c>
      <c r="K892" s="5">
        <f>HYPERLINK("http://www.eum.go.kr/web/ar/lu/luLandDet.jsp?pnu=3611010700108290000&amp;isNoScr=script&amp;mode=search", "토지이음")</f>
        <v/>
      </c>
      <c r="L892" s="3" t="inlineStr">
        <is>
          <t>천안좋은터</t>
        </is>
      </c>
      <c r="M892" s="3" t="n">
        <v>1</v>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3" t="inlineStr">
        <is>
          <t>nan</t>
        </is>
      </c>
      <c r="I893" s="5">
        <f>HYPERLINK("https://fin.land.naver.com/articles/2647176675", "매물Link")</f>
        <v/>
      </c>
      <c r="J893" s="5">
        <f>HYPERLINK("https://map.naver.com/p/search/나성동 829", "지도Link")</f>
        <v/>
      </c>
      <c r="K893" s="5">
        <f>HYPERLINK("http://www.eum.go.kr/web/ar/lu/luLandDet.jsp?pnu=3611010700108290000&amp;isNoScr=script&amp;mode=search", "토지이음")</f>
        <v/>
      </c>
      <c r="L893" s="3" t="inlineStr">
        <is>
          <t>진솔한</t>
        </is>
      </c>
      <c r="M893" s="3" t="n">
        <v>1</v>
      </c>
    </row>
    <row r="894">
      <c r="A894" s="3" t="inlineStr">
        <is>
          <t>나성동 829</t>
        </is>
      </c>
      <c r="B894" s="3" t="inlineStr">
        <is>
          <t>중심상업지역</t>
        </is>
      </c>
      <c r="C894" s="3" t="inlineStr">
        <is>
          <t>대</t>
        </is>
      </c>
      <c r="D894" s="3" t="inlineStr">
        <is>
          <t>전</t>
        </is>
      </c>
      <c r="E894" s="3" t="inlineStr">
        <is>
          <t>매매</t>
        </is>
      </c>
      <c r="F894" s="4" t="n">
        <v>7000</v>
      </c>
      <c r="G894" s="4" t="n">
        <v>539</v>
      </c>
      <c r="H894" s="3" t="inlineStr">
        <is>
          <t>nan</t>
        </is>
      </c>
      <c r="I894" s="5">
        <f>HYPERLINK("https://fin.land.naver.com/articles/2647176357", "매물Link")</f>
        <v/>
      </c>
      <c r="J894" s="5">
        <f>HYPERLINK("https://map.naver.com/p/search/나성동 829", "지도Link")</f>
        <v/>
      </c>
      <c r="K894" s="5">
        <f>HYPERLINK("http://www.eum.go.kr/web/ar/lu/luLandDet.jsp?pnu=3611010700108290000&amp;isNoScr=script&amp;mode=search", "토지이음")</f>
        <v/>
      </c>
      <c r="L894" s="3" t="inlineStr">
        <is>
          <t>진솔한</t>
        </is>
      </c>
      <c r="M894" s="3" t="n">
        <v>1</v>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3" t="inlineStr">
        <is>
          <t>건축허가가능</t>
        </is>
      </c>
      <c r="I895" s="5">
        <f>HYPERLINK("https://fin.land.naver.com/articles/2645605145", "매물Link")</f>
        <v/>
      </c>
      <c r="J895" s="5">
        <f>HYPERLINK("https://map.naver.com/p/search/나성동 829", "지도Link")</f>
        <v/>
      </c>
      <c r="K895" s="5">
        <f>HYPERLINK("http://www.eum.go.kr/web/ar/lu/luLandDet.jsp?pnu=3611010700108290000&amp;isNoScr=script&amp;mode=search", "토지이음")</f>
        <v/>
      </c>
      <c r="L895" s="3" t="inlineStr">
        <is>
          <t>세종다정랜드</t>
        </is>
      </c>
      <c r="M895" s="3" t="n">
        <v>1</v>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3" t="inlineStr">
        <is>
          <t>세종시 요지에 위치하여 추후 다양하게 이용가능한 토지임</t>
        </is>
      </c>
      <c r="I896" s="5">
        <f>HYPERLINK("https://fin.land.naver.com/articles/2645335828", "매물Link")</f>
        <v/>
      </c>
      <c r="J896" s="5">
        <f>HYPERLINK("https://map.naver.com/p/search/나성동 829", "지도Link")</f>
        <v/>
      </c>
      <c r="K896" s="5">
        <f>HYPERLINK("http://www.eum.go.kr/web/ar/lu/luLandDet.jsp?pnu=3611010700108290000&amp;isNoScr=script&amp;mode=search", "토지이음")</f>
        <v/>
      </c>
      <c r="L896" s="3" t="inlineStr">
        <is>
          <t>태평양</t>
        </is>
      </c>
      <c r="M896" s="3" t="n">
        <v>1</v>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3" t="inlineStr">
        <is>
          <t>남풍세IC 3분거리,계확관리지역 창고부지 추천토지.</t>
        </is>
      </c>
      <c r="I897" s="5">
        <f>HYPERLINK("https://fin.land.naver.com/articles/2649564491", "매물Link")</f>
        <v/>
      </c>
      <c r="J897" s="5">
        <f>HYPERLINK("https://map.naver.com/p/search/나성동 829", "지도Link")</f>
        <v/>
      </c>
      <c r="K897" s="5">
        <f>HYPERLINK("http://www.eum.go.kr/web/ar/lu/luLandDet.jsp?pnu=3611010700108290000&amp;isNoScr=script&amp;mode=search", "토지이음")</f>
        <v/>
      </c>
      <c r="L897" s="3" t="inlineStr">
        <is>
          <t>세종강산</t>
        </is>
      </c>
      <c r="M897" s="3" t="n">
        <v>1</v>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3" t="inlineStr">
        <is>
          <t>공시지가 이하 소정면 운당리 계획관리 토지매매</t>
        </is>
      </c>
      <c r="I898" s="5">
        <f>HYPERLINK("https://fin.land.naver.com/articles/2647551413", "매물Link")</f>
        <v/>
      </c>
      <c r="J898" s="5">
        <f>HYPERLINK("https://map.naver.com/p/search/나성동 829", "지도Link")</f>
        <v/>
      </c>
      <c r="K898" s="5">
        <f>HYPERLINK("http://www.eum.go.kr/web/ar/lu/luLandDet.jsp?pnu=3611010700108290000&amp;isNoScr=script&amp;mode=search", "토지이음")</f>
        <v/>
      </c>
      <c r="L898" s="3" t="inlineStr">
        <is>
          <t>재화</t>
        </is>
      </c>
      <c r="M898" s="3" t="n">
        <v>1</v>
      </c>
    </row>
    <row r="899">
      <c r="A899" s="3" t="inlineStr">
        <is>
          <t>나성동 829</t>
        </is>
      </c>
      <c r="B899" s="3" t="inlineStr">
        <is>
          <t>중심상업지역</t>
        </is>
      </c>
      <c r="C899" s="3" t="inlineStr">
        <is>
          <t>대</t>
        </is>
      </c>
      <c r="D899" s="3" t="inlineStr">
        <is>
          <t>대</t>
        </is>
      </c>
      <c r="E899" s="3" t="inlineStr">
        <is>
          <t>매매</t>
        </is>
      </c>
      <c r="F899" s="4" t="n">
        <v>70000</v>
      </c>
      <c r="G899" s="4" t="n">
        <v>592</v>
      </c>
      <c r="H899" s="3" t="inlineStr">
        <is>
          <t>소정면 첨단산업단지내 위치한 토지로 공원인접 도로인접 투자가치굿</t>
        </is>
      </c>
      <c r="I899" s="5">
        <f>HYPERLINK("https://fin.land.naver.com/articles/2645188222", "매물Link")</f>
        <v/>
      </c>
      <c r="J899" s="5">
        <f>HYPERLINK("https://map.naver.com/p/search/나성동 829", "지도Link")</f>
        <v/>
      </c>
      <c r="K899" s="5">
        <f>HYPERLINK("http://www.eum.go.kr/web/ar/lu/luLandDet.jsp?pnu=3611010700108290000&amp;isNoScr=script&amp;mode=search", "토지이음")</f>
        <v/>
      </c>
      <c r="L899" s="3" t="inlineStr">
        <is>
          <t>세종OK</t>
        </is>
      </c>
      <c r="M899" s="3" t="n">
        <v>1</v>
      </c>
    </row>
    <row r="900">
      <c r="A900" s="3" t="inlineStr">
        <is>
          <t>나성동 829</t>
        </is>
      </c>
      <c r="B900" s="3" t="inlineStr">
        <is>
          <t>중심상업지역</t>
        </is>
      </c>
      <c r="C900" s="3" t="inlineStr">
        <is>
          <t>대</t>
        </is>
      </c>
      <c r="D900" s="3" t="inlineStr">
        <is>
          <t>대</t>
        </is>
      </c>
      <c r="E900" s="3" t="inlineStr">
        <is>
          <t>매매</t>
        </is>
      </c>
      <c r="F900" s="4" t="n">
        <v>7000</v>
      </c>
      <c r="G900" s="4" t="n">
        <v>268</v>
      </c>
      <c r="H900" s="3" t="inlineStr">
        <is>
          <t>소정면 대곡리 도로접 나대지 매매</t>
        </is>
      </c>
      <c r="I900" s="5">
        <f>HYPERLINK("https://fin.land.naver.com/articles/2646211647", "매물Link")</f>
        <v/>
      </c>
      <c r="J900" s="5">
        <f>HYPERLINK("https://map.naver.com/p/search/나성동 829", "지도Link")</f>
        <v/>
      </c>
      <c r="K900" s="5">
        <f>HYPERLINK("http://www.eum.go.kr/web/ar/lu/luLandDet.jsp?pnu=3611010700108290000&amp;isNoScr=script&amp;mode=search", "토지이음")</f>
        <v/>
      </c>
      <c r="L900" s="3" t="inlineStr">
        <is>
          <t>재화</t>
        </is>
      </c>
      <c r="M900" s="3" t="n">
        <v>1</v>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3" t="inlineStr">
        <is>
          <t>전원주택지  추천, 도로 있음</t>
        </is>
      </c>
      <c r="I901" s="5">
        <f>HYPERLINK("https://fin.land.naver.com/articles/2644374208", "매물Link")</f>
        <v/>
      </c>
      <c r="J901" s="5">
        <f>HYPERLINK("https://map.naver.com/p/search/나성동 829", "지도Link")</f>
        <v/>
      </c>
      <c r="K901" s="5">
        <f>HYPERLINK("http://www.eum.go.kr/web/ar/lu/luLandDet.jsp?pnu=3611010700108290000&amp;isNoScr=script&amp;mode=search", "토지이음")</f>
        <v/>
      </c>
      <c r="L901" s="3" t="inlineStr">
        <is>
          <t>오렌지</t>
        </is>
      </c>
      <c r="M901" s="3" t="n">
        <v>1</v>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3" t="inlineStr">
        <is>
          <t>소정면 대곡리 도로접 계획관리 토지매매</t>
        </is>
      </c>
      <c r="I902" s="5">
        <f>HYPERLINK("https://fin.land.naver.com/articles/2644812997", "매물Link")</f>
        <v/>
      </c>
      <c r="J902" s="5">
        <f>HYPERLINK("https://map.naver.com/p/search/나성동 829", "지도Link")</f>
        <v/>
      </c>
      <c r="K902" s="5">
        <f>HYPERLINK("http://www.eum.go.kr/web/ar/lu/luLandDet.jsp?pnu=3611010700108290000&amp;isNoScr=script&amp;mode=search", "토지이음")</f>
        <v/>
      </c>
      <c r="L902" s="3" t="inlineStr">
        <is>
          <t>재화</t>
        </is>
      </c>
      <c r="M902" s="3" t="n">
        <v>1</v>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3" t="inlineStr">
        <is>
          <t>세종로와 천안권의 접경으로 4차선도로의 교차로에 근접하고 확장성이 최상.</t>
        </is>
      </c>
      <c r="I903" s="5">
        <f>HYPERLINK("https://fin.land.naver.com/articles/2648322399", "매물Link")</f>
        <v/>
      </c>
      <c r="J903" s="5">
        <f>HYPERLINK("https://map.naver.com/p/search/나성동 829", "지도Link")</f>
        <v/>
      </c>
      <c r="K903" s="5">
        <f>HYPERLINK("http://www.eum.go.kr/web/ar/lu/luLandDet.jsp?pnu=3611010700108290000&amp;isNoScr=script&amp;mode=search", "토지이음")</f>
        <v/>
      </c>
      <c r="L903" s="3" t="inlineStr">
        <is>
          <t>온누리</t>
        </is>
      </c>
      <c r="M903" s="3" t="n">
        <v>1</v>
      </c>
    </row>
    <row r="904">
      <c r="A904" s="3" t="inlineStr">
        <is>
          <t>나성동 829</t>
        </is>
      </c>
      <c r="B904" s="3" t="inlineStr">
        <is>
          <t>중심상업지역</t>
        </is>
      </c>
      <c r="C904" s="3" t="inlineStr">
        <is>
          <t>대</t>
        </is>
      </c>
      <c r="D904" s="3" t="inlineStr">
        <is>
          <t>전</t>
        </is>
      </c>
      <c r="E904" s="3" t="inlineStr">
        <is>
          <t>매매</t>
        </is>
      </c>
      <c r="F904" s="4" t="n">
        <v>5000</v>
      </c>
      <c r="G904" s="4" t="n">
        <v>704</v>
      </c>
      <c r="H904" s="3" t="inlineStr">
        <is>
          <t>nan</t>
        </is>
      </c>
      <c r="I904" s="5">
        <f>HYPERLINK("https://fin.land.naver.com/articles/2648141229", "매물Link")</f>
        <v/>
      </c>
      <c r="J904" s="5">
        <f>HYPERLINK("https://map.naver.com/p/search/나성동 829", "지도Link")</f>
        <v/>
      </c>
      <c r="K904" s="5">
        <f>HYPERLINK("http://www.eum.go.kr/web/ar/lu/luLandDet.jsp?pnu=3611010700108290000&amp;isNoScr=script&amp;mode=search", "토지이음")</f>
        <v/>
      </c>
      <c r="L904" s="3" t="inlineStr">
        <is>
          <t>가경</t>
        </is>
      </c>
      <c r="M904" s="3" t="n">
        <v>1</v>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3" t="inlineStr">
        <is>
          <t>물류기지</t>
        </is>
      </c>
      <c r="I905" s="5">
        <f>HYPERLINK("https://fin.land.naver.com/articles/2647921147", "매물Link")</f>
        <v/>
      </c>
      <c r="J905" s="5">
        <f>HYPERLINK("https://map.naver.com/p/search/나성동 829", "지도Link")</f>
        <v/>
      </c>
      <c r="K905" s="5">
        <f>HYPERLINK("http://www.eum.go.kr/web/ar/lu/luLandDet.jsp?pnu=3611010700108290000&amp;isNoScr=script&amp;mode=search", "토지이음")</f>
        <v/>
      </c>
      <c r="L905" s="3" t="inlineStr">
        <is>
          <t>운산</t>
        </is>
      </c>
      <c r="M905" s="3" t="n">
        <v>1</v>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3" t="inlineStr">
        <is>
          <t>nan</t>
        </is>
      </c>
      <c r="I906" s="5">
        <f>HYPERLINK("https://fin.land.naver.com/articles/2647817060", "매물Link")</f>
        <v/>
      </c>
      <c r="J906" s="5">
        <f>HYPERLINK("https://map.naver.com/p/search/나성동 829", "지도Link")</f>
        <v/>
      </c>
      <c r="K906" s="5">
        <f>HYPERLINK("http://www.eum.go.kr/web/ar/lu/luLandDet.jsp?pnu=3611010700108290000&amp;isNoScr=script&amp;mode=search", "토지이음")</f>
        <v/>
      </c>
      <c r="L906" s="3" t="inlineStr">
        <is>
          <t>뉴미래로</t>
        </is>
      </c>
      <c r="M906" s="3" t="n">
        <v>1</v>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3" t="inlineStr">
        <is>
          <t>세종시 스마트그린 일반산업단지내 희소한 지원시설용지 매매건</t>
        </is>
      </c>
      <c r="I907" s="5">
        <f>HYPERLINK("https://fin.land.naver.com/articles/2647190032", "매물Link")</f>
        <v/>
      </c>
      <c r="J907" s="5">
        <f>HYPERLINK("https://map.naver.com/p/search/나성동 829", "지도Link")</f>
        <v/>
      </c>
      <c r="K907" s="5">
        <f>HYPERLINK("http://www.eum.go.kr/web/ar/lu/luLandDet.jsp?pnu=3611010700108290000&amp;isNoScr=script&amp;mode=search", "토지이음")</f>
        <v/>
      </c>
      <c r="L907" s="3" t="inlineStr">
        <is>
          <t>에이플러스주식회사</t>
        </is>
      </c>
      <c r="M907" s="3" t="n">
        <v>1</v>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3" t="inlineStr">
        <is>
          <t>세종로과 천안권의 접경지역으로 4차선에 근접하여 확장성이 최상.</t>
        </is>
      </c>
      <c r="I908" s="5">
        <f>HYPERLINK("https://fin.land.naver.com/articles/2647056457", "매물Link")</f>
        <v/>
      </c>
      <c r="J908" s="5">
        <f>HYPERLINK("https://map.naver.com/p/search/나성동 829", "지도Link")</f>
        <v/>
      </c>
      <c r="K908" s="5">
        <f>HYPERLINK("http://www.eum.go.kr/web/ar/lu/luLandDet.jsp?pnu=3611010700108290000&amp;isNoScr=script&amp;mode=search", "토지이음")</f>
        <v/>
      </c>
      <c r="L908" s="3" t="inlineStr">
        <is>
          <t>온누리</t>
        </is>
      </c>
      <c r="M908" s="3" t="n">
        <v>1</v>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3" t="inlineStr">
        <is>
          <t>4차선 도로에 접했으나 3미터 포장도로를 이용하여 진입가능함.</t>
        </is>
      </c>
      <c r="I909" s="5">
        <f>HYPERLINK("https://fin.land.naver.com/articles/2645620511", "매물Link")</f>
        <v/>
      </c>
      <c r="J909" s="5">
        <f>HYPERLINK("https://map.naver.com/p/search/나성동 829", "지도Link")</f>
        <v/>
      </c>
      <c r="K909" s="5">
        <f>HYPERLINK("http://www.eum.go.kr/web/ar/lu/luLandDet.jsp?pnu=3611010700108290000&amp;isNoScr=script&amp;mode=search", "토지이음")</f>
        <v/>
      </c>
      <c r="L909" s="3" t="inlineStr">
        <is>
          <t>으뜸</t>
        </is>
      </c>
      <c r="M909" s="3" t="n">
        <v>1</v>
      </c>
    </row>
    <row r="910">
      <c r="A910" s="3" t="inlineStr">
        <is>
          <t>나성동 829</t>
        </is>
      </c>
      <c r="B910" s="3" t="inlineStr">
        <is>
          <t>중심상업지역</t>
        </is>
      </c>
      <c r="C910" s="3" t="inlineStr">
        <is>
          <t>대</t>
        </is>
      </c>
      <c r="D910" s="3" t="inlineStr">
        <is>
          <t>대</t>
        </is>
      </c>
      <c r="E910" s="3" t="inlineStr">
        <is>
          <t>매매</t>
        </is>
      </c>
      <c r="F910" s="4" t="n">
        <v>35000</v>
      </c>
      <c r="G910" s="4" t="n">
        <v>244</v>
      </c>
      <c r="H910" s="3" t="inlineStr">
        <is>
          <t>동남지구 택지개발지역에 위치한 점포주택이 가능한 일반형 단독주택용지임</t>
        </is>
      </c>
      <c r="I910" s="5">
        <f>HYPERLINK("https://fin.land.naver.com/articles/2644693585", "매물Link")</f>
        <v/>
      </c>
      <c r="J910" s="5">
        <f>HYPERLINK("https://map.naver.com/p/search/나성동 829", "지도Link")</f>
        <v/>
      </c>
      <c r="K910" s="5">
        <f>HYPERLINK("http://www.eum.go.kr/web/ar/lu/luLandDet.jsp?pnu=3611010700108290000&amp;isNoScr=script&amp;mode=search", "토지이음")</f>
        <v/>
      </c>
      <c r="L910" s="3" t="inlineStr">
        <is>
          <t>산성</t>
        </is>
      </c>
      <c r="M910" s="3" t="n">
        <v>1</v>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3" t="inlineStr">
        <is>
          <t>양궁장 입구 3순환로 교통광장 진출입로 입구</t>
        </is>
      </c>
      <c r="I911" s="5">
        <f>HYPERLINK("https://fin.land.naver.com/articles/2647452157", "매물Link")</f>
        <v/>
      </c>
      <c r="J911" s="5">
        <f>HYPERLINK("https://map.naver.com/p/search/나성동 829", "지도Link")</f>
        <v/>
      </c>
      <c r="K911" s="5">
        <f>HYPERLINK("http://www.eum.go.kr/web/ar/lu/luLandDet.jsp?pnu=3611010700108290000&amp;isNoScr=script&amp;mode=search", "토지이음")</f>
        <v/>
      </c>
      <c r="L911" s="3" t="inlineStr">
        <is>
          <t>좋은터</t>
        </is>
      </c>
      <c r="M911" s="3" t="n">
        <v>1</v>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3" t="inlineStr">
        <is>
          <t>현 잡종지와 전으로 되어있으며 요양원 부지로 사용하기 좋은 토지이예요</t>
        </is>
      </c>
      <c r="I912" s="5">
        <f>HYPERLINK("https://fin.land.naver.com/articles/2645058237", "매물Link")</f>
        <v/>
      </c>
      <c r="J912" s="5">
        <f>HYPERLINK("https://map.naver.com/p/search/나성동 829", "지도Link")</f>
        <v/>
      </c>
      <c r="K912" s="5">
        <f>HYPERLINK("http://www.eum.go.kr/web/ar/lu/luLandDet.jsp?pnu=3611010700108290000&amp;isNoScr=script&amp;mode=search", "토지이음")</f>
        <v/>
      </c>
      <c r="L912" s="3" t="inlineStr">
        <is>
          <t>4989명품</t>
        </is>
      </c>
      <c r="M912" s="3" t="n">
        <v>1</v>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3" t="inlineStr">
        <is>
          <t>다용도부지 4차선 도로변</t>
        </is>
      </c>
      <c r="I913" s="5">
        <f>HYPERLINK("https://fin.land.naver.com/articles/2646459089", "매물Link")</f>
        <v/>
      </c>
      <c r="J913" s="5">
        <f>HYPERLINK("https://map.naver.com/p/search/나성동 829", "지도Link")</f>
        <v/>
      </c>
      <c r="K913" s="5">
        <f>HYPERLINK("http://www.eum.go.kr/web/ar/lu/luLandDet.jsp?pnu=3611010700108290000&amp;isNoScr=script&amp;mode=search", "토지이음")</f>
        <v/>
      </c>
      <c r="L913" s="3" t="inlineStr">
        <is>
          <t>정석</t>
        </is>
      </c>
      <c r="M913" s="3" t="n">
        <v>1</v>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3" t="inlineStr">
        <is>
          <t>갈산리 전원생활하기 좋은</t>
        </is>
      </c>
      <c r="I914" s="5">
        <f>HYPERLINK("https://fin.land.naver.com/articles/2645632583", "매물Link")</f>
        <v/>
      </c>
      <c r="J914" s="5">
        <f>HYPERLINK("https://map.naver.com/p/search/나성동 829", "지도Link")</f>
        <v/>
      </c>
      <c r="K914" s="5">
        <f>HYPERLINK("http://www.eum.go.kr/web/ar/lu/luLandDet.jsp?pnu=3611010700108290000&amp;isNoScr=script&amp;mode=search", "토지이음")</f>
        <v/>
      </c>
      <c r="L914" s="3" t="inlineStr">
        <is>
          <t>명진</t>
        </is>
      </c>
      <c r="M914" s="3" t="n">
        <v>1</v>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3" t="inlineStr">
        <is>
          <t>nan</t>
        </is>
      </c>
      <c r="I915" s="5">
        <f>HYPERLINK("https://fin.land.naver.com/articles/2645285069", "매물Link")</f>
        <v/>
      </c>
      <c r="J915" s="5">
        <f>HYPERLINK("https://map.naver.com/p/search/나성동 829", "지도Link")</f>
        <v/>
      </c>
      <c r="K915" s="5">
        <f>HYPERLINK("http://www.eum.go.kr/web/ar/lu/luLandDet.jsp?pnu=3611010700108290000&amp;isNoScr=script&amp;mode=search", "토지이음")</f>
        <v/>
      </c>
      <c r="L915" s="3" t="inlineStr">
        <is>
          <t>대길</t>
        </is>
      </c>
      <c r="M915" s="3" t="n">
        <v>1</v>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3" t="inlineStr">
        <is>
          <t>현 지목은 답이나 전으로 사용하고 있음.</t>
        </is>
      </c>
      <c r="I916" s="5">
        <f>HYPERLINK("https://fin.land.naver.com/articles/2645132875", "매물Link")</f>
        <v/>
      </c>
      <c r="J916" s="5">
        <f>HYPERLINK("https://map.naver.com/p/search/나성동 829", "지도Link")</f>
        <v/>
      </c>
      <c r="K916" s="5">
        <f>HYPERLINK("http://www.eum.go.kr/web/ar/lu/luLandDet.jsp?pnu=3611010700108290000&amp;isNoScr=script&amp;mode=search", "토지이음")</f>
        <v/>
      </c>
      <c r="L916" s="3" t="inlineStr">
        <is>
          <t>대학</t>
        </is>
      </c>
      <c r="M916" s="3" t="n">
        <v>1</v>
      </c>
    </row>
    <row r="917">
      <c r="A917" s="3" t="inlineStr">
        <is>
          <t>나성동 829</t>
        </is>
      </c>
      <c r="B917" s="3" t="inlineStr">
        <is>
          <t>중심상업지역</t>
        </is>
      </c>
      <c r="C917" s="3" t="inlineStr">
        <is>
          <t>대</t>
        </is>
      </c>
      <c r="D917" s="3" t="inlineStr">
        <is>
          <t>답</t>
        </is>
      </c>
      <c r="E917" s="3" t="inlineStr">
        <is>
          <t>매매</t>
        </is>
      </c>
      <c r="F917" s="4" t="n">
        <v>8460</v>
      </c>
      <c r="G917" s="4" t="n">
        <v>1000</v>
      </c>
      <c r="H917" s="3" t="inlineStr">
        <is>
          <t>포장농로길 접한 위치좋은 토지</t>
        </is>
      </c>
      <c r="I917" s="5">
        <f>HYPERLINK("https://fin.land.naver.com/articles/2649796241", "매물Link")</f>
        <v/>
      </c>
      <c r="J917" s="5">
        <f>HYPERLINK("https://map.naver.com/p/search/나성동 829", "지도Link")</f>
        <v/>
      </c>
      <c r="K917" s="5">
        <f>HYPERLINK("http://www.eum.go.kr/web/ar/lu/luLandDet.jsp?pnu=3611010700108290000&amp;isNoScr=script&amp;mode=search", "토지이음")</f>
        <v/>
      </c>
      <c r="L917" s="3" t="inlineStr">
        <is>
          <t>바로</t>
        </is>
      </c>
      <c r="M917" s="3" t="n">
        <v>1</v>
      </c>
    </row>
    <row r="918">
      <c r="A918" s="3" t="inlineStr">
        <is>
          <t>나성동 829</t>
        </is>
      </c>
      <c r="B918" s="3" t="inlineStr">
        <is>
          <t>중심상업지역</t>
        </is>
      </c>
      <c r="C918" s="3" t="inlineStr">
        <is>
          <t>대</t>
        </is>
      </c>
      <c r="D918" s="3" t="inlineStr">
        <is>
          <t>전</t>
        </is>
      </c>
      <c r="E918" s="3" t="inlineStr">
        <is>
          <t>매매</t>
        </is>
      </c>
      <c r="F918" s="4" t="n">
        <v>4800</v>
      </c>
      <c r="G918" s="4" t="n">
        <v>688</v>
      </c>
      <c r="H918" s="3" t="inlineStr">
        <is>
          <t>주말농장 추천 비닐하스  농막  화목난로</t>
        </is>
      </c>
      <c r="I918" s="5">
        <f>HYPERLINK("https://fin.land.naver.com/articles/2649769239", "매물Link")</f>
        <v/>
      </c>
      <c r="J918" s="5">
        <f>HYPERLINK("https://map.naver.com/p/search/나성동 829", "지도Link")</f>
        <v/>
      </c>
      <c r="K918" s="5">
        <f>HYPERLINK("http://www.eum.go.kr/web/ar/lu/luLandDet.jsp?pnu=3611010700108290000&amp;isNoScr=script&amp;mode=search", "토지이음")</f>
        <v/>
      </c>
      <c r="L918" s="3" t="inlineStr">
        <is>
          <t>용암탑</t>
        </is>
      </c>
      <c r="M918" s="3" t="n">
        <v>1</v>
      </c>
    </row>
    <row r="919">
      <c r="A919" s="3" t="inlineStr">
        <is>
          <t>나성동 829</t>
        </is>
      </c>
      <c r="B919" s="3" t="inlineStr">
        <is>
          <t>중심상업지역</t>
        </is>
      </c>
      <c r="C919" s="3" t="inlineStr">
        <is>
          <t>대</t>
        </is>
      </c>
      <c r="D919" s="3" t="inlineStr">
        <is>
          <t>전</t>
        </is>
      </c>
      <c r="E919" s="3" t="inlineStr">
        <is>
          <t>매매</t>
        </is>
      </c>
      <c r="F919" s="4" t="n">
        <v>7260</v>
      </c>
      <c r="G919" s="4" t="n">
        <v>686</v>
      </c>
      <c r="H919" s="3" t="inlineStr">
        <is>
          <t>저렴한가격 투자최고</t>
        </is>
      </c>
      <c r="I919" s="5">
        <f>HYPERLINK("https://fin.land.naver.com/articles/2647516058", "매물Link")</f>
        <v/>
      </c>
      <c r="J919" s="5">
        <f>HYPERLINK("https://map.naver.com/p/search/나성동 829", "지도Link")</f>
        <v/>
      </c>
      <c r="K919" s="5">
        <f>HYPERLINK("http://www.eum.go.kr/web/ar/lu/luLandDet.jsp?pnu=3611010700108290000&amp;isNoScr=script&amp;mode=search", "토지이음")</f>
        <v/>
      </c>
      <c r="L919" s="3" t="inlineStr">
        <is>
          <t>열린호반</t>
        </is>
      </c>
      <c r="M919" s="3" t="n">
        <v>1</v>
      </c>
    </row>
    <row r="920">
      <c r="A920" s="3" t="inlineStr">
        <is>
          <t>나성동 829</t>
        </is>
      </c>
      <c r="B920" s="3" t="inlineStr">
        <is>
          <t>중심상업지역</t>
        </is>
      </c>
      <c r="C920" s="3" t="inlineStr">
        <is>
          <t>대</t>
        </is>
      </c>
      <c r="D920" s="3" t="inlineStr">
        <is>
          <t>전</t>
        </is>
      </c>
      <c r="E920" s="3" t="inlineStr">
        <is>
          <t>매매</t>
        </is>
      </c>
      <c r="F920" s="4" t="n">
        <v>2800</v>
      </c>
      <c r="G920" s="4" t="n">
        <v>410</v>
      </c>
      <c r="H920" s="3" t="inlineStr">
        <is>
          <t>미원 작은 토지 매매 하우스 포함</t>
        </is>
      </c>
      <c r="I920" s="5">
        <f>HYPERLINK("https://fin.land.naver.com/articles/2648438862", "매물Link")</f>
        <v/>
      </c>
      <c r="J920" s="5">
        <f>HYPERLINK("https://map.naver.com/p/search/나성동 829", "지도Link")</f>
        <v/>
      </c>
      <c r="K920" s="5">
        <f>HYPERLINK("http://www.eum.go.kr/web/ar/lu/luLandDet.jsp?pnu=3611010700108290000&amp;isNoScr=script&amp;mode=search", "토지이음")</f>
        <v/>
      </c>
      <c r="L920" s="3" t="inlineStr">
        <is>
          <t>채움</t>
        </is>
      </c>
      <c r="M920" s="3" t="n">
        <v>1</v>
      </c>
    </row>
    <row r="921">
      <c r="A921" s="3" t="inlineStr">
        <is>
          <t>나성동 829</t>
        </is>
      </c>
      <c r="B921" s="3" t="inlineStr">
        <is>
          <t>중심상업지역</t>
        </is>
      </c>
      <c r="C921" s="3" t="inlineStr">
        <is>
          <t>대</t>
        </is>
      </c>
      <c r="D921" s="3" t="inlineStr">
        <is>
          <t>답</t>
        </is>
      </c>
      <c r="E921" s="3" t="inlineStr">
        <is>
          <t>매매</t>
        </is>
      </c>
      <c r="F921" s="4" t="n">
        <v>5000</v>
      </c>
      <c r="G921" s="4" t="n">
        <v>1246</v>
      </c>
      <c r="H921" s="3" t="inlineStr">
        <is>
          <t>내산천교 부근 미원천 옆 토지매매</t>
        </is>
      </c>
      <c r="I921" s="5">
        <f>HYPERLINK("https://fin.land.naver.com/articles/2648413963", "매물Link")</f>
        <v/>
      </c>
      <c r="J921" s="5">
        <f>HYPERLINK("https://map.naver.com/p/search/나성동 829", "지도Link")</f>
        <v/>
      </c>
      <c r="K921" s="5">
        <f>HYPERLINK("http://www.eum.go.kr/web/ar/lu/luLandDet.jsp?pnu=3611010700108290000&amp;isNoScr=script&amp;mode=search", "토지이음")</f>
        <v/>
      </c>
      <c r="L921" s="3" t="inlineStr">
        <is>
          <t>가호</t>
        </is>
      </c>
      <c r="M921" s="3" t="n">
        <v>1</v>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3" t="inlineStr">
        <is>
          <t>미원중학교 인근 신설 우회도로 인근에 소재하는 토지입니다</t>
        </is>
      </c>
      <c r="I922" s="5">
        <f>HYPERLINK("https://fin.land.naver.com/articles/2647599138", "매물Link")</f>
        <v/>
      </c>
      <c r="J922" s="5">
        <f>HYPERLINK("https://map.naver.com/p/search/나성동 829", "지도Link")</f>
        <v/>
      </c>
      <c r="K922" s="5">
        <f>HYPERLINK("http://www.eum.go.kr/web/ar/lu/luLandDet.jsp?pnu=3611010700108290000&amp;isNoScr=script&amp;mode=search", "토지이음")</f>
        <v/>
      </c>
      <c r="L922" s="3" t="inlineStr">
        <is>
          <t>대창</t>
        </is>
      </c>
      <c r="M922" s="3" t="n">
        <v>1</v>
      </c>
    </row>
    <row r="923">
      <c r="A923" s="3" t="inlineStr">
        <is>
          <t>나성동 829</t>
        </is>
      </c>
      <c r="B923" s="3" t="inlineStr">
        <is>
          <t>중심상업지역</t>
        </is>
      </c>
      <c r="C923" s="3" t="inlineStr">
        <is>
          <t>대</t>
        </is>
      </c>
      <c r="D923" s="3" t="inlineStr">
        <is>
          <t>대</t>
        </is>
      </c>
      <c r="E923" s="3" t="inlineStr">
        <is>
          <t>매매</t>
        </is>
      </c>
      <c r="F923" s="4" t="n">
        <v>35000</v>
      </c>
      <c r="G923" s="4" t="n">
        <v>535</v>
      </c>
      <c r="H923" s="3" t="inlineStr">
        <is>
          <t>공기 맑은 속리산 기슭의 전원주택f</t>
        </is>
      </c>
      <c r="I923" s="5">
        <f>HYPERLINK("https://fin.land.naver.com/articles/2647309184", "매물Link")</f>
        <v/>
      </c>
      <c r="J923" s="5">
        <f>HYPERLINK("https://map.naver.com/p/search/나성동 829", "지도Link")</f>
        <v/>
      </c>
      <c r="K923" s="5">
        <f>HYPERLINK("http://www.eum.go.kr/web/ar/lu/luLandDet.jsp?pnu=3611010700108290000&amp;isNoScr=script&amp;mode=search", "토지이음")</f>
        <v/>
      </c>
      <c r="L923" s="3" t="inlineStr">
        <is>
          <t>정직한한국</t>
        </is>
      </c>
      <c r="M923" s="3" t="n">
        <v>1</v>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3" t="inlineStr">
        <is>
          <t>금관유원지 옆  땅 모양이 좋은 대토용 토지</t>
        </is>
      </c>
      <c r="I924" s="5">
        <f>HYPERLINK("https://fin.land.naver.com/articles/2646726990", "매물Link")</f>
        <v/>
      </c>
      <c r="J924" s="5">
        <f>HYPERLINK("https://map.naver.com/p/search/나성동 829", "지도Link")</f>
        <v/>
      </c>
      <c r="K924" s="5">
        <f>HYPERLINK("http://www.eum.go.kr/web/ar/lu/luLandDet.jsp?pnu=3611010700108290000&amp;isNoScr=script&amp;mode=search", "토지이음")</f>
        <v/>
      </c>
      <c r="L924" s="3" t="inlineStr">
        <is>
          <t>소중한</t>
        </is>
      </c>
      <c r="M924" s="3" t="n">
        <v>1</v>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3" t="inlineStr">
        <is>
          <t>공기 좋고 조용한 마을내에 위치한 전원주택 귀농 귀촌용 알짜배기 땅</t>
        </is>
      </c>
      <c r="I925" s="5">
        <f>HYPERLINK("https://fin.land.naver.com/articles/2646392292", "매물Link")</f>
        <v/>
      </c>
      <c r="J925" s="5">
        <f>HYPERLINK("https://map.naver.com/p/search/나성동 829", "지도Link")</f>
        <v/>
      </c>
      <c r="K925" s="5">
        <f>HYPERLINK("http://www.eum.go.kr/web/ar/lu/luLandDet.jsp?pnu=3611010700108290000&amp;isNoScr=script&amp;mode=search", "토지이음")</f>
        <v/>
      </c>
      <c r="L925" s="3" t="inlineStr">
        <is>
          <t>강문구</t>
        </is>
      </c>
      <c r="M925" s="3" t="n">
        <v>1</v>
      </c>
    </row>
    <row r="926">
      <c r="A926" s="3" t="inlineStr">
        <is>
          <t>나성동 829</t>
        </is>
      </c>
      <c r="B926" s="3" t="inlineStr">
        <is>
          <t>중심상업지역</t>
        </is>
      </c>
      <c r="C926" s="3" t="inlineStr">
        <is>
          <t>대</t>
        </is>
      </c>
      <c r="D926" s="3" t="inlineStr">
        <is>
          <t>대</t>
        </is>
      </c>
      <c r="E926" s="3" t="inlineStr">
        <is>
          <t>매매</t>
        </is>
      </c>
      <c r="F926" s="4" t="n">
        <v>17000</v>
      </c>
      <c r="G926" s="4" t="n">
        <v>528</v>
      </c>
      <c r="H926" s="3" t="inlineStr">
        <is>
          <t>어암리 달천 인근 즉시 건축가능한 위치 좋은 나대지 매매이예요</t>
        </is>
      </c>
      <c r="I926" s="5">
        <f>HYPERLINK("https://fin.land.naver.com/articles/2646130154", "매물Link")</f>
        <v/>
      </c>
      <c r="J926" s="5">
        <f>HYPERLINK("https://map.naver.com/p/search/나성동 829", "지도Link")</f>
        <v/>
      </c>
      <c r="K926" s="5">
        <f>HYPERLINK("http://www.eum.go.kr/web/ar/lu/luLandDet.jsp?pnu=3611010700108290000&amp;isNoScr=script&amp;mode=search", "토지이음")</f>
        <v/>
      </c>
      <c r="L926" s="3" t="inlineStr">
        <is>
          <t>4989명품</t>
        </is>
      </c>
      <c r="M926" s="3" t="n">
        <v>1</v>
      </c>
    </row>
    <row r="927">
      <c r="A927" s="3" t="inlineStr">
        <is>
          <t>나성동 829</t>
        </is>
      </c>
      <c r="B927" s="3" t="inlineStr">
        <is>
          <t>중심상업지역</t>
        </is>
      </c>
      <c r="C927" s="3" t="inlineStr">
        <is>
          <t>대</t>
        </is>
      </c>
      <c r="D927" s="3" t="inlineStr">
        <is>
          <t>전</t>
        </is>
      </c>
      <c r="E927" s="3" t="inlineStr">
        <is>
          <t>매매</t>
        </is>
      </c>
      <c r="F927" s="4" t="n">
        <v>6500</v>
      </c>
      <c r="G927" s="4" t="n">
        <v>1012</v>
      </c>
      <c r="H927" s="3" t="inlineStr">
        <is>
          <t>공기좋고  물 좋고  환경 좋은곳이며 과실수 있어요</t>
        </is>
      </c>
      <c r="I927" s="5">
        <f>HYPERLINK("https://fin.land.naver.com/articles/2644423272", "매물Link")</f>
        <v/>
      </c>
      <c r="J927" s="5">
        <f>HYPERLINK("https://map.naver.com/p/search/나성동 829", "지도Link")</f>
        <v/>
      </c>
      <c r="K927" s="5">
        <f>HYPERLINK("http://www.eum.go.kr/web/ar/lu/luLandDet.jsp?pnu=3611010700108290000&amp;isNoScr=script&amp;mode=search", "토지이음")</f>
        <v/>
      </c>
      <c r="L927" s="3" t="inlineStr">
        <is>
          <t>비타민</t>
        </is>
      </c>
      <c r="M927" s="3" t="n">
        <v>1</v>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3" t="inlineStr">
        <is>
          <t>토지 두필지 가멱 1.030  676  1.706 제곱미터</t>
        </is>
      </c>
      <c r="I928" s="5">
        <f>HYPERLINK("https://fin.land.naver.com/articles/2644293281", "매물Link")</f>
        <v/>
      </c>
      <c r="J928" s="5">
        <f>HYPERLINK("https://map.naver.com/p/search/나성동 829", "지도Link")</f>
        <v/>
      </c>
      <c r="K928" s="5">
        <f>HYPERLINK("http://www.eum.go.kr/web/ar/lu/luLandDet.jsp?pnu=3611010700108290000&amp;isNoScr=script&amp;mode=search", "토지이음")</f>
        <v/>
      </c>
      <c r="L928" s="3" t="inlineStr">
        <is>
          <t>늘푸른</t>
        </is>
      </c>
      <c r="M928" s="3" t="n">
        <v>1</v>
      </c>
    </row>
    <row r="929">
      <c r="A929" s="3" t="inlineStr">
        <is>
          <t>나성동 829</t>
        </is>
      </c>
      <c r="B929" s="3" t="inlineStr">
        <is>
          <t>중심상업지역</t>
        </is>
      </c>
      <c r="C929" s="3" t="inlineStr">
        <is>
          <t>대</t>
        </is>
      </c>
      <c r="D929" s="3" t="inlineStr">
        <is>
          <t>전</t>
        </is>
      </c>
      <c r="E929" s="3" t="inlineStr">
        <is>
          <t>매매</t>
        </is>
      </c>
      <c r="F929" s="4" t="n">
        <v>8000</v>
      </c>
      <c r="G929" s="4" t="n">
        <v>581</v>
      </c>
      <c r="H929" s="3" t="inlineStr">
        <is>
          <t>농막시설이 완벽하게 갖추어져 있는 2차선도로접한땅</t>
        </is>
      </c>
      <c r="I929" s="5">
        <f>HYPERLINK("https://fin.land.naver.com/articles/2644115072", "매물Link")</f>
        <v/>
      </c>
      <c r="J929" s="5">
        <f>HYPERLINK("https://map.naver.com/p/search/나성동 829", "지도Link")</f>
        <v/>
      </c>
      <c r="K929" s="5">
        <f>HYPERLINK("http://www.eum.go.kr/web/ar/lu/luLandDet.jsp?pnu=3611010700108290000&amp;isNoScr=script&amp;mode=search", "토지이음")</f>
        <v/>
      </c>
      <c r="L929" s="3" t="inlineStr">
        <is>
          <t>부엉이</t>
        </is>
      </c>
      <c r="M929" s="3" t="n">
        <v>1</v>
      </c>
    </row>
    <row r="930">
      <c r="A930" s="3" t="inlineStr">
        <is>
          <t>나성동 829</t>
        </is>
      </c>
      <c r="B930" s="3" t="inlineStr">
        <is>
          <t>중심상업지역</t>
        </is>
      </c>
      <c r="C930" s="3" t="inlineStr">
        <is>
          <t>대</t>
        </is>
      </c>
      <c r="D930" s="3" t="inlineStr">
        <is>
          <t>대</t>
        </is>
      </c>
      <c r="E930" s="3" t="inlineStr">
        <is>
          <t>매매</t>
        </is>
      </c>
      <c r="F930" s="4" t="n">
        <v>9500</v>
      </c>
      <c r="G930" s="4" t="n">
        <v>1158</v>
      </c>
      <c r="H930" s="3" t="inlineStr">
        <is>
          <t>nan</t>
        </is>
      </c>
      <c r="I930" s="5">
        <f>HYPERLINK("https://fin.land.naver.com/articles/2650138203", "매물Link")</f>
        <v/>
      </c>
      <c r="J930" s="5">
        <f>HYPERLINK("https://map.naver.com/p/search/나성동 829", "지도Link")</f>
        <v/>
      </c>
      <c r="K930" s="5">
        <f>HYPERLINK("http://www.eum.go.kr/web/ar/lu/luLandDet.jsp?pnu=3611010700108290000&amp;isNoScr=script&amp;mode=search", "토지이음")</f>
        <v/>
      </c>
      <c r="L930" s="3" t="inlineStr">
        <is>
          <t>땅야박영수사무소</t>
        </is>
      </c>
      <c r="M930" s="3" t="n">
        <v>1</v>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3" t="inlineStr">
        <is>
          <t>청주시내에서 40분정도 거리에 위치하고 전경 좋음.</t>
        </is>
      </c>
      <c r="I931" s="5">
        <f>HYPERLINK("https://fin.land.naver.com/articles/2649971752", "매물Link")</f>
        <v/>
      </c>
      <c r="J931" s="5">
        <f>HYPERLINK("https://map.naver.com/p/search/나성동 829", "지도Link")</f>
        <v/>
      </c>
      <c r="K931" s="5">
        <f>HYPERLINK("http://www.eum.go.kr/web/ar/lu/luLandDet.jsp?pnu=3611010700108290000&amp;isNoScr=script&amp;mode=search", "토지이음")</f>
        <v/>
      </c>
      <c r="L931" s="3" t="inlineStr">
        <is>
          <t>청와대합동</t>
        </is>
      </c>
      <c r="M931" s="3" t="n">
        <v>1</v>
      </c>
    </row>
    <row r="932">
      <c r="A932" s="3" t="inlineStr">
        <is>
          <t>나성동 829</t>
        </is>
      </c>
      <c r="B932" s="3" t="inlineStr">
        <is>
          <t>중심상업지역</t>
        </is>
      </c>
      <c r="C932" s="3" t="inlineStr">
        <is>
          <t>대</t>
        </is>
      </c>
      <c r="D932" s="3" t="inlineStr">
        <is>
          <t>답</t>
        </is>
      </c>
      <c r="E932" s="3" t="inlineStr">
        <is>
          <t>매매</t>
        </is>
      </c>
      <c r="F932" s="4" t="n">
        <v>8500</v>
      </c>
      <c r="G932" s="4" t="n">
        <v>1234</v>
      </c>
      <c r="H932" s="3" t="inlineStr">
        <is>
          <t>2차선 근접, 도로접 ,주말농장이나 농지원부 만들고 농막지으실분~~</t>
        </is>
      </c>
      <c r="I932" s="5">
        <f>HYPERLINK("https://fin.land.naver.com/articles/2649290406", "매물Link")</f>
        <v/>
      </c>
      <c r="J932" s="5">
        <f>HYPERLINK("https://map.naver.com/p/search/나성동 829", "지도Link")</f>
        <v/>
      </c>
      <c r="K932" s="5">
        <f>HYPERLINK("http://www.eum.go.kr/web/ar/lu/luLandDet.jsp?pnu=3611010700108290000&amp;isNoScr=script&amp;mode=search", "토지이음")</f>
        <v/>
      </c>
      <c r="L932" s="3" t="inlineStr">
        <is>
          <t>신두꺼비</t>
        </is>
      </c>
      <c r="M932" s="3" t="n">
        <v>1</v>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3" t="inlineStr">
        <is>
          <t>nan</t>
        </is>
      </c>
      <c r="I933" s="5">
        <f>HYPERLINK("https://fin.land.naver.com/articles/2648831477", "매물Link")</f>
        <v/>
      </c>
      <c r="J933" s="5">
        <f>HYPERLINK("https://map.naver.com/p/search/나성동 829", "지도Link")</f>
        <v/>
      </c>
      <c r="K933" s="5">
        <f>HYPERLINK("http://www.eum.go.kr/web/ar/lu/luLandDet.jsp?pnu=3611010700108290000&amp;isNoScr=script&amp;mode=search", "토지이음")</f>
        <v/>
      </c>
      <c r="L933" s="3" t="inlineStr">
        <is>
          <t>승미</t>
        </is>
      </c>
      <c r="M933" s="3" t="n">
        <v>1</v>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3" t="inlineStr">
        <is>
          <t>nan</t>
        </is>
      </c>
      <c r="I934" s="5">
        <f>HYPERLINK("https://fin.land.naver.com/articles/2647988608", "매물Link")</f>
        <v/>
      </c>
      <c r="J934" s="5">
        <f>HYPERLINK("https://map.naver.com/p/search/나성동 829", "지도Link")</f>
        <v/>
      </c>
      <c r="K934" s="5">
        <f>HYPERLINK("http://www.eum.go.kr/web/ar/lu/luLandDet.jsp?pnu=3611010700108290000&amp;isNoScr=script&amp;mode=search", "토지이음")</f>
        <v/>
      </c>
      <c r="L934" s="3" t="inlineStr">
        <is>
          <t>채움</t>
        </is>
      </c>
      <c r="M934" s="3" t="n">
        <v>1</v>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3" t="inlineStr">
        <is>
          <t>진입로 좋아요</t>
        </is>
      </c>
      <c r="I935" s="5">
        <f>HYPERLINK("https://fin.land.naver.com/articles/2647370304", "매물Link")</f>
        <v/>
      </c>
      <c r="J935" s="5">
        <f>HYPERLINK("https://map.naver.com/p/search/나성동 829", "지도Link")</f>
        <v/>
      </c>
      <c r="K935" s="5">
        <f>HYPERLINK("http://www.eum.go.kr/web/ar/lu/luLandDet.jsp?pnu=3611010700108290000&amp;isNoScr=script&amp;mode=search", "토지이음")</f>
        <v/>
      </c>
      <c r="L935" s="3" t="inlineStr">
        <is>
          <t>제우스</t>
        </is>
      </c>
      <c r="M935" s="3" t="n">
        <v>1</v>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3" t="inlineStr">
        <is>
          <t>계획관리지역, 4미터 도로 접, 전원주택지</t>
        </is>
      </c>
      <c r="I936" s="5">
        <f>HYPERLINK("https://fin.land.naver.com/articles/2647260157", "매물Link")</f>
        <v/>
      </c>
      <c r="J936" s="5">
        <f>HYPERLINK("https://map.naver.com/p/search/나성동 829", "지도Link")</f>
        <v/>
      </c>
      <c r="K936" s="5">
        <f>HYPERLINK("http://www.eum.go.kr/web/ar/lu/luLandDet.jsp?pnu=3611010700108290000&amp;isNoScr=script&amp;mode=search", "토지이음")</f>
        <v/>
      </c>
      <c r="L936" s="3" t="inlineStr">
        <is>
          <t>청주모충주공사모1·2재개발명성</t>
        </is>
      </c>
      <c r="M936" s="3" t="n">
        <v>1</v>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3" t="inlineStr">
        <is>
          <t>옥화대 달래강이 근접해 있는 토지 입니다.</t>
        </is>
      </c>
      <c r="I937" s="5">
        <f>HYPERLINK("https://fin.land.naver.com/articles/2647109411", "매물Link")</f>
        <v/>
      </c>
      <c r="J937" s="5">
        <f>HYPERLINK("https://map.naver.com/p/search/나성동 829", "지도Link")</f>
        <v/>
      </c>
      <c r="K937" s="5">
        <f>HYPERLINK("http://www.eum.go.kr/web/ar/lu/luLandDet.jsp?pnu=3611010700108290000&amp;isNoScr=script&amp;mode=search", "토지이음")</f>
        <v/>
      </c>
      <c r="L937" s="3" t="inlineStr">
        <is>
          <t>태림</t>
        </is>
      </c>
      <c r="M937" s="3" t="n">
        <v>1</v>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3" t="inlineStr">
        <is>
          <t>입구까지 콘크리트 포장 되어 있어 차량통행 가능, 창고,원두막,지하수</t>
        </is>
      </c>
      <c r="I938" s="5">
        <f>HYPERLINK("https://fin.land.naver.com/articles/2647054507", "매물Link")</f>
        <v/>
      </c>
      <c r="J938" s="5">
        <f>HYPERLINK("https://map.naver.com/p/search/나성동 829", "지도Link")</f>
        <v/>
      </c>
      <c r="K938" s="5">
        <f>HYPERLINK("http://www.eum.go.kr/web/ar/lu/luLandDet.jsp?pnu=3611010700108290000&amp;isNoScr=script&amp;mode=search", "토지이음")</f>
        <v/>
      </c>
      <c r="L938" s="3" t="inlineStr">
        <is>
          <t>굿모닝  사무소</t>
        </is>
      </c>
      <c r="M938" s="3" t="n">
        <v>1</v>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3" t="inlineStr">
        <is>
          <t>nan</t>
        </is>
      </c>
      <c r="I939" s="5">
        <f>HYPERLINK("https://fin.land.naver.com/articles/2646945856", "매물Link")</f>
        <v/>
      </c>
      <c r="J939" s="5">
        <f>HYPERLINK("https://map.naver.com/p/search/나성동 829", "지도Link")</f>
        <v/>
      </c>
      <c r="K939" s="5">
        <f>HYPERLINK("http://www.eum.go.kr/web/ar/lu/luLandDet.jsp?pnu=3611010700108290000&amp;isNoScr=script&amp;mode=search", "토지이음")</f>
        <v/>
      </c>
      <c r="L939" s="3" t="inlineStr">
        <is>
          <t>강남</t>
        </is>
      </c>
      <c r="M939" s="3" t="n">
        <v>1</v>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3" t="inlineStr">
        <is>
          <t>계획관리지역으로 모든 용도 건축 가능</t>
        </is>
      </c>
      <c r="I940" s="5">
        <f>HYPERLINK("https://fin.land.naver.com/articles/2648231838", "매물Link")</f>
        <v/>
      </c>
      <c r="J940" s="5">
        <f>HYPERLINK("https://map.naver.com/p/search/나성동 829", "지도Link")</f>
        <v/>
      </c>
      <c r="K940" s="5">
        <f>HYPERLINK("http://www.eum.go.kr/web/ar/lu/luLandDet.jsp?pnu=3611010700108290000&amp;isNoScr=script&amp;mode=search", "토지이음")</f>
        <v/>
      </c>
      <c r="L940" s="3" t="inlineStr">
        <is>
          <t>청와대합동사무소</t>
        </is>
      </c>
      <c r="M940" s="3" t="n">
        <v>1</v>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3" t="inlineStr">
        <is>
          <t>전원생활과 소일거리로 농사 짓고 사실분 추천합니다.</t>
        </is>
      </c>
      <c r="I941" s="5">
        <f>HYPERLINK("https://fin.land.naver.com/articles/2648267938", "매물Link")</f>
        <v/>
      </c>
      <c r="J941" s="5">
        <f>HYPERLINK("https://map.naver.com/p/search/나성동 829", "지도Link")</f>
        <v/>
      </c>
      <c r="K941" s="5">
        <f>HYPERLINK("http://www.eum.go.kr/web/ar/lu/luLandDet.jsp?pnu=3611010700108290000&amp;isNoScr=script&amp;mode=search", "토지이음")</f>
        <v/>
      </c>
      <c r="L941" s="3" t="inlineStr">
        <is>
          <t>상금</t>
        </is>
      </c>
      <c r="M941" s="3" t="n">
        <v>1</v>
      </c>
    </row>
    <row r="942">
      <c r="A942" s="3" t="inlineStr">
        <is>
          <t>나성동 829</t>
        </is>
      </c>
      <c r="B942" s="3" t="inlineStr">
        <is>
          <t>중심상업지역</t>
        </is>
      </c>
      <c r="C942" s="3" t="inlineStr">
        <is>
          <t>대</t>
        </is>
      </c>
      <c r="D942" s="3" t="inlineStr">
        <is>
          <t>전</t>
        </is>
      </c>
      <c r="E942" s="3" t="inlineStr">
        <is>
          <t>매매</t>
        </is>
      </c>
      <c r="F942" s="4" t="n">
        <v>13500</v>
      </c>
      <c r="G942" s="4" t="n">
        <v>545</v>
      </c>
      <c r="H942" s="3" t="inlineStr">
        <is>
          <t>남향의 전원주택지로 수도 전기시설 되어 있어요</t>
        </is>
      </c>
      <c r="I942" s="5">
        <f>HYPERLINK("https://fin.land.naver.com/articles/2648704382", "매물Link")</f>
        <v/>
      </c>
      <c r="J942" s="5">
        <f>HYPERLINK("https://map.naver.com/p/search/나성동 829", "지도Link")</f>
        <v/>
      </c>
      <c r="K942" s="5">
        <f>HYPERLINK("http://www.eum.go.kr/web/ar/lu/luLandDet.jsp?pnu=3611010700108290000&amp;isNoScr=script&amp;mode=search", "토지이음")</f>
        <v/>
      </c>
      <c r="L942" s="3" t="inlineStr">
        <is>
          <t>해뜨는  사무소</t>
        </is>
      </c>
      <c r="M942" s="3" t="n">
        <v>1</v>
      </c>
    </row>
    <row r="943">
      <c r="A943" s="3" t="inlineStr">
        <is>
          <t>나성동 829</t>
        </is>
      </c>
      <c r="B943" s="3" t="inlineStr">
        <is>
          <t>중심상업지역</t>
        </is>
      </c>
      <c r="C943" s="3" t="inlineStr">
        <is>
          <t>대</t>
        </is>
      </c>
      <c r="D943" s="3" t="inlineStr">
        <is>
          <t>전</t>
        </is>
      </c>
      <c r="E943" s="3" t="inlineStr">
        <is>
          <t>매매</t>
        </is>
      </c>
      <c r="F943" s="4" t="n">
        <v>44000</v>
      </c>
      <c r="G943" s="4" t="n">
        <v>394</v>
      </c>
      <c r="H943" s="3" t="inlineStr">
        <is>
          <t>김수녕양궁장 입구로 차량통행 맣으며 광고효과 좋음 상가건물 신축가능</t>
        </is>
      </c>
      <c r="I943" s="5">
        <f>HYPERLINK("https://fin.land.naver.com/articles/2647427487", "매물Link")</f>
        <v/>
      </c>
      <c r="J943" s="5">
        <f>HYPERLINK("https://map.naver.com/p/search/나성동 829", "지도Link")</f>
        <v/>
      </c>
      <c r="K943" s="5">
        <f>HYPERLINK("http://www.eum.go.kr/web/ar/lu/luLandDet.jsp?pnu=3611010700108290000&amp;isNoScr=script&amp;mode=search", "토지이음")</f>
        <v/>
      </c>
      <c r="L943" s="3" t="inlineStr">
        <is>
          <t>가야</t>
        </is>
      </c>
      <c r="M943" s="3" t="n">
        <v>1</v>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3" t="inlineStr">
        <is>
          <t>토지3면이도로,앞면6차로,옆면2차로,뒷면2차로접</t>
        </is>
      </c>
      <c r="I944" s="5">
        <f>HYPERLINK("https://fin.land.naver.com/articles/2648235203", "매물Link")</f>
        <v/>
      </c>
      <c r="J944" s="5">
        <f>HYPERLINK("https://map.naver.com/p/search/나성동 829", "지도Link")</f>
        <v/>
      </c>
      <c r="K944" s="5">
        <f>HYPERLINK("http://www.eum.go.kr/web/ar/lu/luLandDet.jsp?pnu=3611010700108290000&amp;isNoScr=script&amp;mode=search", "토지이음")</f>
        <v/>
      </c>
      <c r="L944" s="3" t="inlineStr">
        <is>
          <t>청와대합동사무소</t>
        </is>
      </c>
      <c r="M944" s="3" t="n">
        <v>1</v>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3" t="inlineStr">
        <is>
          <t>앞면 6차로,옆면4차로,뒷면2차로 접함.</t>
        </is>
      </c>
      <c r="I945" s="5">
        <f>HYPERLINK("https://fin.land.naver.com/articles/2648234833", "매물Link")</f>
        <v/>
      </c>
      <c r="J945" s="5">
        <f>HYPERLINK("https://map.naver.com/p/search/나성동 829", "지도Link")</f>
        <v/>
      </c>
      <c r="K945" s="5">
        <f>HYPERLINK("http://www.eum.go.kr/web/ar/lu/luLandDet.jsp?pnu=3611010700108290000&amp;isNoScr=script&amp;mode=search", "토지이음")</f>
        <v/>
      </c>
      <c r="L945" s="3" t="inlineStr">
        <is>
          <t>청와대합동사무소</t>
        </is>
      </c>
      <c r="M945" s="3" t="n">
        <v>1</v>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3" t="inlineStr">
        <is>
          <t>투자가치 최고 일반상업용지 대단지 아파트 앞</t>
        </is>
      </c>
      <c r="I946" s="5">
        <f>HYPERLINK("https://fin.land.naver.com/articles/2647245650", "매물Link")</f>
        <v/>
      </c>
      <c r="J946" s="5">
        <f>HYPERLINK("https://map.naver.com/p/search/나성동 829", "지도Link")</f>
        <v/>
      </c>
      <c r="K946" s="5">
        <f>HYPERLINK("http://www.eum.go.kr/web/ar/lu/luLandDet.jsp?pnu=3611010700108290000&amp;isNoScr=script&amp;mode=search", "토지이음")</f>
        <v/>
      </c>
      <c r="L946" s="3" t="inlineStr">
        <is>
          <t>반석</t>
        </is>
      </c>
      <c r="M946" s="3" t="n">
        <v>1</v>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3" t="inlineStr">
        <is>
          <t>방서동 택지개발지역에 위치한 단독주택용지로 건폐율60%,용적율200%임</t>
        </is>
      </c>
      <c r="I947" s="5">
        <f>HYPERLINK("https://fin.land.naver.com/articles/2644693973", "매물Link")</f>
        <v/>
      </c>
      <c r="J947" s="5">
        <f>HYPERLINK("https://map.naver.com/p/search/나성동 829", "지도Link")</f>
        <v/>
      </c>
      <c r="K947" s="5">
        <f>HYPERLINK("http://www.eum.go.kr/web/ar/lu/luLandDet.jsp?pnu=3611010700108290000&amp;isNoScr=script&amp;mode=search", "토지이음")</f>
        <v/>
      </c>
      <c r="L947" s="3" t="inlineStr">
        <is>
          <t>산성</t>
        </is>
      </c>
      <c r="M947" s="3" t="n">
        <v>1</v>
      </c>
    </row>
    <row r="948">
      <c r="A948" s="3" t="inlineStr">
        <is>
          <t>나성동 829</t>
        </is>
      </c>
      <c r="B948" s="3" t="inlineStr">
        <is>
          <t>중심상업지역</t>
        </is>
      </c>
      <c r="C948" s="3" t="inlineStr">
        <is>
          <t>대</t>
        </is>
      </c>
      <c r="D948" s="3" t="inlineStr">
        <is>
          <t>대</t>
        </is>
      </c>
      <c r="E948" s="3" t="inlineStr">
        <is>
          <t>매매</t>
        </is>
      </c>
      <c r="F948" s="4" t="n">
        <v>66000</v>
      </c>
      <c r="G948" s="4" t="n">
        <v>378</v>
      </c>
      <c r="H948" s="3" t="inlineStr">
        <is>
          <t>상가주택용지,상당구청인접.</t>
        </is>
      </c>
      <c r="I948" s="5">
        <f>HYPERLINK("https://fin.land.naver.com/articles/2650201169", "매물Link")</f>
        <v/>
      </c>
      <c r="J948" s="5">
        <f>HYPERLINK("https://map.naver.com/p/search/나성동 829", "지도Link")</f>
        <v/>
      </c>
      <c r="K948" s="5">
        <f>HYPERLINK("http://www.eum.go.kr/web/ar/lu/luLandDet.jsp?pnu=3611010700108290000&amp;isNoScr=script&amp;mode=search", "토지이음")</f>
        <v/>
      </c>
      <c r="L948" s="3" t="inlineStr">
        <is>
          <t>두산지웰</t>
        </is>
      </c>
      <c r="M948" s="3" t="n">
        <v>1</v>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3" t="inlineStr">
        <is>
          <t>청주동남택지개발지구 인근 대로변</t>
        </is>
      </c>
      <c r="I949" s="5">
        <f>HYPERLINK("https://fin.land.naver.com/articles/2647740329", "매물Link")</f>
        <v/>
      </c>
      <c r="J949" s="5">
        <f>HYPERLINK("https://map.naver.com/p/search/나성동 829", "지도Link")</f>
        <v/>
      </c>
      <c r="K949" s="5">
        <f>HYPERLINK("http://www.eum.go.kr/web/ar/lu/luLandDet.jsp?pnu=3611010700108290000&amp;isNoScr=script&amp;mode=search", "토지이음")</f>
        <v/>
      </c>
      <c r="L949" s="3" t="inlineStr">
        <is>
          <t>좋은</t>
        </is>
      </c>
      <c r="M949" s="3" t="n">
        <v>1</v>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3" t="inlineStr">
        <is>
          <t>대규모아파트단지 중심상권 대로변 자연녹지 건폐율60</t>
        </is>
      </c>
      <c r="I950" s="5">
        <f>HYPERLINK("https://fin.land.naver.com/articles/2646136847", "매물Link")</f>
        <v/>
      </c>
      <c r="J950" s="5">
        <f>HYPERLINK("https://map.naver.com/p/search/나성동 829", "지도Link")</f>
        <v/>
      </c>
      <c r="K950" s="5">
        <f>HYPERLINK("http://www.eum.go.kr/web/ar/lu/luLandDet.jsp?pnu=3611010700108290000&amp;isNoScr=script&amp;mode=search", "토지이음")</f>
        <v/>
      </c>
      <c r="L950" s="3" t="inlineStr">
        <is>
          <t>좋은터</t>
        </is>
      </c>
      <c r="M950" s="3" t="n">
        <v>1</v>
      </c>
    </row>
    <row r="951">
      <c r="A951" s="3" t="inlineStr">
        <is>
          <t>나성동 829</t>
        </is>
      </c>
      <c r="B951" s="3" t="inlineStr">
        <is>
          <t>중심상업지역</t>
        </is>
      </c>
      <c r="C951" s="3" t="inlineStr">
        <is>
          <t>대</t>
        </is>
      </c>
      <c r="D951" s="3" t="inlineStr">
        <is>
          <t>답</t>
        </is>
      </c>
      <c r="E951" s="3" t="inlineStr">
        <is>
          <t>매매</t>
        </is>
      </c>
      <c r="F951" s="4" t="n">
        <v>90000</v>
      </c>
      <c r="G951" s="4" t="n">
        <v>985</v>
      </c>
      <c r="H951" s="3" t="inlineStr">
        <is>
          <t>동남지구 카페.식당.투자 추천</t>
        </is>
      </c>
      <c r="I951" s="5">
        <f>HYPERLINK("https://fin.land.naver.com/articles/2646010616", "매물Link")</f>
        <v/>
      </c>
      <c r="J951" s="5">
        <f>HYPERLINK("https://map.naver.com/p/search/나성동 829", "지도Link")</f>
        <v/>
      </c>
      <c r="K951" s="5">
        <f>HYPERLINK("http://www.eum.go.kr/web/ar/lu/luLandDet.jsp?pnu=3611010700108290000&amp;isNoScr=script&amp;mode=search", "토지이음")</f>
        <v/>
      </c>
      <c r="L951" s="3" t="inlineStr">
        <is>
          <t>케이투(k2)</t>
        </is>
      </c>
      <c r="M951" s="3" t="n">
        <v>1</v>
      </c>
    </row>
    <row r="952">
      <c r="A952" s="3" t="inlineStr">
        <is>
          <t>나성동 829</t>
        </is>
      </c>
      <c r="B952" s="3" t="inlineStr">
        <is>
          <t>중심상업지역</t>
        </is>
      </c>
      <c r="C952" s="3" t="inlineStr">
        <is>
          <t>대</t>
        </is>
      </c>
      <c r="D952" s="3" t="inlineStr">
        <is>
          <t>대</t>
        </is>
      </c>
      <c r="E952" s="3" t="inlineStr">
        <is>
          <t>매매</t>
        </is>
      </c>
      <c r="F952" s="4" t="n">
        <v>54000</v>
      </c>
      <c r="G952" s="4" t="n">
        <v>585</v>
      </c>
      <c r="H952" s="3" t="inlineStr">
        <is>
          <t>nan</t>
        </is>
      </c>
      <c r="I952" s="5">
        <f>HYPERLINK("https://fin.land.naver.com/articles/2645735836", "매물Link")</f>
        <v/>
      </c>
      <c r="J952" s="5">
        <f>HYPERLINK("https://map.naver.com/p/search/나성동 829", "지도Link")</f>
        <v/>
      </c>
      <c r="K952" s="5">
        <f>HYPERLINK("http://www.eum.go.kr/web/ar/lu/luLandDet.jsp?pnu=3611010700108290000&amp;isNoScr=script&amp;mode=search", "토지이음")</f>
        <v/>
      </c>
      <c r="L952" s="3" t="inlineStr">
        <is>
          <t>뉴스타</t>
        </is>
      </c>
      <c r="M952" s="3" t="n">
        <v>1</v>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3" t="inlineStr">
        <is>
          <t>대형커피샾과 제빵카폐용지, 대형일반음식점으로 용이</t>
        </is>
      </c>
      <c r="I953" s="5">
        <f>HYPERLINK("https://fin.land.naver.com/articles/2643996058", "매물Link")</f>
        <v/>
      </c>
      <c r="J953" s="5">
        <f>HYPERLINK("https://map.naver.com/p/search/나성동 829", "지도Link")</f>
        <v/>
      </c>
      <c r="K953" s="5">
        <f>HYPERLINK("http://www.eum.go.kr/web/ar/lu/luLandDet.jsp?pnu=3611010700108290000&amp;isNoScr=script&amp;mode=search", "토지이음")</f>
        <v/>
      </c>
      <c r="L953" s="3" t="inlineStr">
        <is>
          <t>신하나로</t>
        </is>
      </c>
      <c r="M953" s="3" t="n">
        <v>1</v>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3" t="inlineStr">
        <is>
          <t>동남지구 인접한 전원생활 누릴분, 주택과 텃밭</t>
        </is>
      </c>
      <c r="I954" s="5">
        <f>HYPERLINK("https://fin.land.naver.com/articles/2649293165", "매물Link")</f>
        <v/>
      </c>
      <c r="J954" s="5">
        <f>HYPERLINK("https://map.naver.com/p/search/나성동 829", "지도Link")</f>
        <v/>
      </c>
      <c r="K954" s="5">
        <f>HYPERLINK("http://www.eum.go.kr/web/ar/lu/luLandDet.jsp?pnu=3611010700108290000&amp;isNoScr=script&amp;mode=search", "토지이음")</f>
        <v/>
      </c>
      <c r="L954" s="3" t="inlineStr">
        <is>
          <t>용암</t>
        </is>
      </c>
      <c r="M954" s="3" t="n">
        <v>1</v>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3" t="inlineStr">
        <is>
          <t>본필지 외 1필지, 답,전. 자연녹지지역</t>
        </is>
      </c>
      <c r="I955" s="5">
        <f>HYPERLINK("https://fin.land.naver.com/articles/2649106813", "매물Link")</f>
        <v/>
      </c>
      <c r="J955" s="5">
        <f>HYPERLINK("https://map.naver.com/p/search/나성동 829", "지도Link")</f>
        <v/>
      </c>
      <c r="K955" s="5">
        <f>HYPERLINK("http://www.eum.go.kr/web/ar/lu/luLandDet.jsp?pnu=3611010700108290000&amp;isNoScr=script&amp;mode=search", "토지이음")</f>
        <v/>
      </c>
      <c r="L955" s="3" t="inlineStr">
        <is>
          <t>터</t>
        </is>
      </c>
      <c r="M955" s="3" t="n">
        <v>1</v>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3" t="inlineStr">
        <is>
          <t>청주 최대 택지개발 동남지구 인근 토지</t>
        </is>
      </c>
      <c r="I956" s="5">
        <f>HYPERLINK("https://fin.land.naver.com/articles/2647793910", "매물Link")</f>
        <v/>
      </c>
      <c r="J956" s="5">
        <f>HYPERLINK("https://map.naver.com/p/search/나성동 829", "지도Link")</f>
        <v/>
      </c>
      <c r="K956" s="5">
        <f>HYPERLINK("http://www.eum.go.kr/web/ar/lu/luLandDet.jsp?pnu=3611010700108290000&amp;isNoScr=script&amp;mode=search", "토지이음")</f>
        <v/>
      </c>
      <c r="L956" s="3" t="inlineStr">
        <is>
          <t>좋은</t>
        </is>
      </c>
      <c r="M956" s="3" t="n">
        <v>1</v>
      </c>
    </row>
    <row r="957">
      <c r="A957" s="3" t="inlineStr">
        <is>
          <t>나성동 829</t>
        </is>
      </c>
      <c r="B957" s="3" t="inlineStr">
        <is>
          <t>중심상업지역</t>
        </is>
      </c>
      <c r="C957" s="3" t="inlineStr">
        <is>
          <t>대</t>
        </is>
      </c>
      <c r="D957" s="3" t="inlineStr">
        <is>
          <t>대</t>
        </is>
      </c>
      <c r="E957" s="3" t="inlineStr">
        <is>
          <t>매매</t>
        </is>
      </c>
      <c r="F957" s="4" t="n">
        <v>5500</v>
      </c>
      <c r="G957" s="4" t="n">
        <v>232</v>
      </c>
      <c r="H957" s="3" t="inlineStr">
        <is>
          <t>조치원에서10분거리,지차체에서 전면 도로 포장, 땅모양 반듯한 남서향,</t>
        </is>
      </c>
      <c r="I957" s="5">
        <f>HYPERLINK("https://fin.land.naver.com/articles/2648222917", "매물Link")</f>
        <v/>
      </c>
      <c r="J957" s="5">
        <f>HYPERLINK("https://map.naver.com/p/search/나성동 829", "지도Link")</f>
        <v/>
      </c>
      <c r="K957" s="5">
        <f>HYPERLINK("http://www.eum.go.kr/web/ar/lu/luLandDet.jsp?pnu=3611010700108290000&amp;isNoScr=script&amp;mode=search", "토지이음")</f>
        <v/>
      </c>
      <c r="L957" s="3" t="inlineStr">
        <is>
          <t>열매</t>
        </is>
      </c>
      <c r="M957" s="3" t="n">
        <v>1</v>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3" t="inlineStr">
        <is>
          <t>청주 최대 동남택지개발지구 인근지역 토지</t>
        </is>
      </c>
      <c r="I958" s="5">
        <f>HYPERLINK("https://fin.land.naver.com/articles/2647733509", "매물Link")</f>
        <v/>
      </c>
      <c r="J958" s="5">
        <f>HYPERLINK("https://map.naver.com/p/search/나성동 829", "지도Link")</f>
        <v/>
      </c>
      <c r="K958" s="5">
        <f>HYPERLINK("http://www.eum.go.kr/web/ar/lu/luLandDet.jsp?pnu=3611010700108290000&amp;isNoScr=script&amp;mode=search", "토지이음")</f>
        <v/>
      </c>
      <c r="L958" s="3" t="inlineStr">
        <is>
          <t>좋은</t>
        </is>
      </c>
      <c r="M958" s="3" t="n">
        <v>1</v>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3" t="inlineStr">
        <is>
          <t>nan</t>
        </is>
      </c>
      <c r="I959" s="5">
        <f>HYPERLINK("https://fin.land.naver.com/articles/2649507291", "매물Link")</f>
        <v/>
      </c>
      <c r="J959" s="5">
        <f>HYPERLINK("https://map.naver.com/p/search/나성동 829", "지도Link")</f>
        <v/>
      </c>
      <c r="K959" s="5">
        <f>HYPERLINK("http://www.eum.go.kr/web/ar/lu/luLandDet.jsp?pnu=3611010700108290000&amp;isNoScr=script&amp;mode=search", "토지이음")</f>
        <v/>
      </c>
      <c r="L959" s="3" t="inlineStr">
        <is>
          <t>공상배</t>
        </is>
      </c>
      <c r="M959" s="3" t="n">
        <v>1</v>
      </c>
    </row>
    <row r="960">
      <c r="A960" s="3" t="inlineStr">
        <is>
          <t>나성동 829</t>
        </is>
      </c>
      <c r="B960" s="3" t="inlineStr">
        <is>
          <t>중심상업지역</t>
        </is>
      </c>
      <c r="C960" s="3" t="inlineStr">
        <is>
          <t>대</t>
        </is>
      </c>
      <c r="D960" s="3" t="inlineStr">
        <is>
          <t>답</t>
        </is>
      </c>
      <c r="E960" s="3" t="inlineStr">
        <is>
          <t>매매</t>
        </is>
      </c>
      <c r="F960" s="4" t="n">
        <v>48000</v>
      </c>
      <c r="G960" s="4" t="n">
        <v>966</v>
      </c>
      <c r="H960" s="3" t="inlineStr">
        <is>
          <t>목련로 대로변 토지매매, 1종근생 추천</t>
        </is>
      </c>
      <c r="I960" s="5">
        <f>HYPERLINK("https://fin.land.naver.com/articles/2648641309", "매물Link")</f>
        <v/>
      </c>
      <c r="J960" s="5">
        <f>HYPERLINK("https://map.naver.com/p/search/나성동 829", "지도Link")</f>
        <v/>
      </c>
      <c r="K960" s="5">
        <f>HYPERLINK("http://www.eum.go.kr/web/ar/lu/luLandDet.jsp?pnu=3611010700108290000&amp;isNoScr=script&amp;mode=search", "토지이음")</f>
        <v/>
      </c>
      <c r="L960" s="3" t="inlineStr">
        <is>
          <t>두꺼비</t>
        </is>
      </c>
      <c r="M960" s="3" t="n">
        <v>1</v>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3" t="inlineStr">
        <is>
          <t>도로접.자연녹지</t>
        </is>
      </c>
      <c r="I961" s="5">
        <f>HYPERLINK("https://fin.land.naver.com/articles/2648519542", "매물Link")</f>
        <v/>
      </c>
      <c r="J961" s="5">
        <f>HYPERLINK("https://map.naver.com/p/search/나성동 829", "지도Link")</f>
        <v/>
      </c>
      <c r="K961" s="5">
        <f>HYPERLINK("http://www.eum.go.kr/web/ar/lu/luLandDet.jsp?pnu=3611010700108290000&amp;isNoScr=script&amp;mode=search", "토지이음")</f>
        <v/>
      </c>
      <c r="L961" s="3" t="inlineStr">
        <is>
          <t>용암탑 사무소</t>
        </is>
      </c>
      <c r="M961" s="3" t="n">
        <v>1</v>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3" t="inlineStr">
        <is>
          <t>큰대로변에 위치 상가 건물로 광고효과 좋은 토지</t>
        </is>
      </c>
      <c r="I962" s="5">
        <f>HYPERLINK("https://fin.land.naver.com/articles/2647427893", "매물Link")</f>
        <v/>
      </c>
      <c r="J962" s="5">
        <f>HYPERLINK("https://map.naver.com/p/search/나성동 829", "지도Link")</f>
        <v/>
      </c>
      <c r="K962" s="5">
        <f>HYPERLINK("http://www.eum.go.kr/web/ar/lu/luLandDet.jsp?pnu=3611010700108290000&amp;isNoScr=script&amp;mode=search", "토지이음")</f>
        <v/>
      </c>
      <c r="L962" s="3" t="inlineStr">
        <is>
          <t>가야</t>
        </is>
      </c>
      <c r="M962" s="3" t="n">
        <v>1</v>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3" t="inlineStr">
        <is>
          <t>대로변에 접한 토지로 상업용 건물 신축 광고효과 좋은 토지</t>
        </is>
      </c>
      <c r="I963" s="5">
        <f>HYPERLINK("https://fin.land.naver.com/articles/2647427400", "매물Link")</f>
        <v/>
      </c>
      <c r="J963" s="5">
        <f>HYPERLINK("https://map.naver.com/p/search/나성동 829", "지도Link")</f>
        <v/>
      </c>
      <c r="K963" s="5">
        <f>HYPERLINK("http://www.eum.go.kr/web/ar/lu/luLandDet.jsp?pnu=3611010700108290000&amp;isNoScr=script&amp;mode=search", "토지이음")</f>
        <v/>
      </c>
      <c r="L963" s="3" t="inlineStr">
        <is>
          <t>가야</t>
        </is>
      </c>
      <c r="M963" s="3" t="n">
        <v>1</v>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3" t="inlineStr">
        <is>
          <t>예쁜 전원주택 포함한 과수원 매매</t>
        </is>
      </c>
      <c r="I964" s="5">
        <f>HYPERLINK("https://fin.land.naver.com/articles/2649298843", "매물Link")</f>
        <v/>
      </c>
      <c r="J964" s="5">
        <f>HYPERLINK("https://map.naver.com/p/search/나성동 829", "지도Link")</f>
        <v/>
      </c>
      <c r="K964" s="5">
        <f>HYPERLINK("http://www.eum.go.kr/web/ar/lu/luLandDet.jsp?pnu=3611010700108290000&amp;isNoScr=script&amp;mode=search", "토지이음")</f>
        <v/>
      </c>
      <c r="L964" s="3" t="inlineStr">
        <is>
          <t>한방</t>
        </is>
      </c>
      <c r="M964" s="3" t="n">
        <v>1</v>
      </c>
    </row>
    <row r="965">
      <c r="A965" s="3" t="inlineStr">
        <is>
          <t>나성동 829</t>
        </is>
      </c>
      <c r="B965" s="3" t="inlineStr">
        <is>
          <t>중심상업지역</t>
        </is>
      </c>
      <c r="C965" s="3" t="inlineStr">
        <is>
          <t>대</t>
        </is>
      </c>
      <c r="D965" s="3" t="inlineStr">
        <is>
          <t>답</t>
        </is>
      </c>
      <c r="E965" s="3" t="inlineStr">
        <is>
          <t>매매</t>
        </is>
      </c>
      <c r="F965" s="4" t="n">
        <v>20000</v>
      </c>
      <c r="G965" s="4" t="n">
        <v>788</v>
      </c>
      <c r="H965" s="3" t="inlineStr">
        <is>
          <t>주말농장 제격인 호정리 토지매물</t>
        </is>
      </c>
      <c r="I965" s="5">
        <f>HYPERLINK("https://fin.land.naver.com/articles/2649160558", "매물Link")</f>
        <v/>
      </c>
      <c r="J965" s="5">
        <f>HYPERLINK("https://map.naver.com/p/search/나성동 829", "지도Link")</f>
        <v/>
      </c>
      <c r="K965" s="5">
        <f>HYPERLINK("http://www.eum.go.kr/web/ar/lu/luLandDet.jsp?pnu=3611010700108290000&amp;isNoScr=script&amp;mode=search", "토지이음")</f>
        <v/>
      </c>
      <c r="L965" s="3" t="inlineStr">
        <is>
          <t>동남명품</t>
        </is>
      </c>
      <c r="M965" s="3" t="n">
        <v>1</v>
      </c>
    </row>
    <row r="966">
      <c r="A966" s="3" t="inlineStr">
        <is>
          <t>나성동 829</t>
        </is>
      </c>
      <c r="B966" s="3" t="inlineStr">
        <is>
          <t>중심상업지역</t>
        </is>
      </c>
      <c r="C966" s="3" t="inlineStr">
        <is>
          <t>대</t>
        </is>
      </c>
      <c r="D966" s="3" t="inlineStr">
        <is>
          <t>전</t>
        </is>
      </c>
      <c r="E966" s="3" t="inlineStr">
        <is>
          <t>매매</t>
        </is>
      </c>
      <c r="F966" s="4" t="n">
        <v>10000</v>
      </c>
      <c r="G966" s="4" t="n">
        <v>855</v>
      </c>
      <c r="H966" s="3" t="inlineStr">
        <is>
          <t>전원주택 부지로 최상</t>
        </is>
      </c>
      <c r="I966" s="5">
        <f>HYPERLINK("https://fin.land.naver.com/articles/2648062692", "매물Link")</f>
        <v/>
      </c>
      <c r="J966" s="5">
        <f>HYPERLINK("https://map.naver.com/p/search/나성동 829", "지도Link")</f>
        <v/>
      </c>
      <c r="K966" s="5">
        <f>HYPERLINK("http://www.eum.go.kr/web/ar/lu/luLandDet.jsp?pnu=3611010700108290000&amp;isNoScr=script&amp;mode=search", "토지이음")</f>
        <v/>
      </c>
      <c r="L966" s="3" t="inlineStr">
        <is>
          <t>내덕</t>
        </is>
      </c>
      <c r="M966" s="3" t="n">
        <v>1</v>
      </c>
    </row>
    <row r="967">
      <c r="A967" s="3" t="inlineStr">
        <is>
          <t>나성동 829</t>
        </is>
      </c>
      <c r="B967" s="3" t="inlineStr">
        <is>
          <t>중심상업지역</t>
        </is>
      </c>
      <c r="C967" s="3" t="inlineStr">
        <is>
          <t>대</t>
        </is>
      </c>
      <c r="D967" s="3" t="inlineStr">
        <is>
          <t>대</t>
        </is>
      </c>
      <c r="E967" s="3" t="inlineStr">
        <is>
          <t>매매</t>
        </is>
      </c>
      <c r="F967" s="4" t="n">
        <v>14000</v>
      </c>
      <c r="G967" s="4" t="n">
        <v>630</v>
      </c>
      <c r="H967" s="3" t="inlineStr">
        <is>
          <t>계획관리지역내 도로접하고 있는 위치 모양 좋은 토지이예요</t>
        </is>
      </c>
      <c r="I967" s="5">
        <f>HYPERLINK("https://fin.land.naver.com/articles/2647737786", "매물Link")</f>
        <v/>
      </c>
      <c r="J967" s="5">
        <f>HYPERLINK("https://map.naver.com/p/search/나성동 829", "지도Link")</f>
        <v/>
      </c>
      <c r="K967" s="5">
        <f>HYPERLINK("http://www.eum.go.kr/web/ar/lu/luLandDet.jsp?pnu=3611010700108290000&amp;isNoScr=script&amp;mode=search", "토지이음")</f>
        <v/>
      </c>
      <c r="L967" s="3" t="inlineStr">
        <is>
          <t>4989명품</t>
        </is>
      </c>
      <c r="M967" s="3" t="n">
        <v>1</v>
      </c>
    </row>
    <row r="968">
      <c r="A968" s="3" t="inlineStr">
        <is>
          <t>나성동 829</t>
        </is>
      </c>
      <c r="B968" s="3" t="inlineStr">
        <is>
          <t>중심상업지역</t>
        </is>
      </c>
      <c r="C968" s="3" t="inlineStr">
        <is>
          <t>대</t>
        </is>
      </c>
      <c r="D968" s="3" t="inlineStr">
        <is>
          <t>답</t>
        </is>
      </c>
      <c r="E968" s="3" t="inlineStr">
        <is>
          <t>매매</t>
        </is>
      </c>
      <c r="F968" s="4" t="n">
        <v>12000</v>
      </c>
      <c r="G968" s="4" t="n">
        <v>496</v>
      </c>
      <c r="H968" s="3" t="inlineStr">
        <is>
          <t>낭성면 호정리 주택지</t>
        </is>
      </c>
      <c r="I968" s="5">
        <f>HYPERLINK("https://fin.land.naver.com/articles/2646931506", "매물Link")</f>
        <v/>
      </c>
      <c r="J968" s="5">
        <f>HYPERLINK("https://map.naver.com/p/search/나성동 829", "지도Link")</f>
        <v/>
      </c>
      <c r="K968" s="5">
        <f>HYPERLINK("http://www.eum.go.kr/web/ar/lu/luLandDet.jsp?pnu=3611010700108290000&amp;isNoScr=script&amp;mode=search", "토지이음")</f>
        <v/>
      </c>
      <c r="L968" s="3" t="inlineStr">
        <is>
          <t>사거리</t>
        </is>
      </c>
      <c r="M968" s="3" t="n">
        <v>1</v>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3" t="inlineStr">
        <is>
          <t>nan</t>
        </is>
      </c>
      <c r="I969" s="5">
        <f>HYPERLINK("https://fin.land.naver.com/articles/2645165463", "매물Link")</f>
        <v/>
      </c>
      <c r="J969" s="5">
        <f>HYPERLINK("https://map.naver.com/p/search/나성동 829", "지도Link")</f>
        <v/>
      </c>
      <c r="K969" s="5">
        <f>HYPERLINK("http://www.eum.go.kr/web/ar/lu/luLandDet.jsp?pnu=3611010700108290000&amp;isNoScr=script&amp;mode=search", "토지이음")</f>
        <v/>
      </c>
      <c r="L969" s="3" t="inlineStr">
        <is>
          <t>교차로</t>
        </is>
      </c>
      <c r="M969" s="3" t="n">
        <v>1</v>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3" t="inlineStr">
        <is>
          <t>추정리 토지</t>
        </is>
      </c>
      <c r="I970" s="5">
        <f>HYPERLINK("https://fin.land.naver.com/articles/2645099037", "매물Link")</f>
        <v/>
      </c>
      <c r="J970" s="5">
        <f>HYPERLINK("https://map.naver.com/p/search/나성동 829", "지도Link")</f>
        <v/>
      </c>
      <c r="K970" s="5">
        <f>HYPERLINK("http://www.eum.go.kr/web/ar/lu/luLandDet.jsp?pnu=3611010700108290000&amp;isNoScr=script&amp;mode=search", "토지이음")</f>
        <v/>
      </c>
      <c r="L970" s="3" t="inlineStr">
        <is>
          <t>사거리</t>
        </is>
      </c>
      <c r="M970" s="3" t="n">
        <v>1</v>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3" t="inlineStr">
        <is>
          <t>농사용 혹은 투자용으로 최근 각광받는 지역의 토지</t>
        </is>
      </c>
      <c r="I971" s="5">
        <f>HYPERLINK("https://fin.land.naver.com/articles/2649847549", "매물Link")</f>
        <v/>
      </c>
      <c r="J971" s="5">
        <f>HYPERLINK("https://map.naver.com/p/search/나성동 829", "지도Link")</f>
        <v/>
      </c>
      <c r="K971" s="5">
        <f>HYPERLINK("http://www.eum.go.kr/web/ar/lu/luLandDet.jsp?pnu=3611010700108290000&amp;isNoScr=script&amp;mode=search", "토지이음")</f>
        <v/>
      </c>
      <c r="L971" s="3" t="inlineStr">
        <is>
          <t>도깨비</t>
        </is>
      </c>
      <c r="M971" s="3" t="n">
        <v>1</v>
      </c>
    </row>
    <row r="972">
      <c r="A972" s="3" t="inlineStr">
        <is>
          <t>나성동 829</t>
        </is>
      </c>
      <c r="B972" s="3" t="inlineStr">
        <is>
          <t>중심상업지역</t>
        </is>
      </c>
      <c r="C972" s="3" t="inlineStr">
        <is>
          <t>대</t>
        </is>
      </c>
      <c r="D972" s="3" t="inlineStr">
        <is>
          <t>대</t>
        </is>
      </c>
      <c r="E972" s="3" t="inlineStr">
        <is>
          <t>매매</t>
        </is>
      </c>
      <c r="F972" s="4" t="n">
        <v>21000</v>
      </c>
      <c r="G972" s="4" t="n">
        <v>795</v>
      </c>
      <c r="H972" s="3" t="inlineStr">
        <is>
          <t>자연녹지,취락지구로 주택용지로 최고의자리로 분할매각 가능</t>
        </is>
      </c>
      <c r="I972" s="5">
        <f>HYPERLINK("https://fin.land.naver.com/articles/2648871070", "매물Link")</f>
        <v/>
      </c>
      <c r="J972" s="5">
        <f>HYPERLINK("https://map.naver.com/p/search/나성동 829", "지도Link")</f>
        <v/>
      </c>
      <c r="K972" s="5">
        <f>HYPERLINK("http://www.eum.go.kr/web/ar/lu/luLandDet.jsp?pnu=3611010700108290000&amp;isNoScr=script&amp;mode=search", "토지이음")</f>
        <v/>
      </c>
      <c r="L972" s="3" t="inlineStr">
        <is>
          <t>투자</t>
        </is>
      </c>
      <c r="M972" s="3" t="n">
        <v>1</v>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3" t="inlineStr">
        <is>
          <t>동남지구인접하여 다용도로 활용가능합니다.</t>
        </is>
      </c>
      <c r="I973" s="5">
        <f>HYPERLINK("https://fin.land.naver.com/articles/2649629126", "매물Link")</f>
        <v/>
      </c>
      <c r="J973" s="5">
        <f>HYPERLINK("https://map.naver.com/p/search/나성동 829", "지도Link")</f>
        <v/>
      </c>
      <c r="K973" s="5">
        <f>HYPERLINK("http://www.eum.go.kr/web/ar/lu/luLandDet.jsp?pnu=3611010700108290000&amp;isNoScr=script&amp;mode=search", "토지이음")</f>
        <v/>
      </c>
      <c r="L973" s="3" t="inlineStr">
        <is>
          <t>하니힐데스</t>
        </is>
      </c>
      <c r="M973" s="3" t="n">
        <v>1</v>
      </c>
    </row>
    <row r="974">
      <c r="A974" s="3" t="inlineStr">
        <is>
          <t>나성동 829</t>
        </is>
      </c>
      <c r="B974" s="3" t="inlineStr">
        <is>
          <t>중심상업지역</t>
        </is>
      </c>
      <c r="C974" s="3" t="inlineStr">
        <is>
          <t>대</t>
        </is>
      </c>
      <c r="D974" s="3" t="inlineStr">
        <is>
          <t>전</t>
        </is>
      </c>
      <c r="E974" s="3" t="inlineStr">
        <is>
          <t>매매</t>
        </is>
      </c>
      <c r="F974" s="4" t="n">
        <v>6200</v>
      </c>
      <c r="G974" s="4" t="n">
        <v>764</v>
      </c>
      <c r="H974" s="3" t="inlineStr">
        <is>
          <t>2차선근접 접근성이 양호한 토지</t>
        </is>
      </c>
      <c r="I974" s="5">
        <f>HYPERLINK("https://fin.land.naver.com/articles/2646980954", "매물Link")</f>
        <v/>
      </c>
      <c r="J974" s="5">
        <f>HYPERLINK("https://map.naver.com/p/search/나성동 829", "지도Link")</f>
        <v/>
      </c>
      <c r="K974" s="5">
        <f>HYPERLINK("http://www.eum.go.kr/web/ar/lu/luLandDet.jsp?pnu=3611010700108290000&amp;isNoScr=script&amp;mode=search", "토지이음")</f>
        <v/>
      </c>
      <c r="L974" s="3" t="inlineStr">
        <is>
          <t>채움</t>
        </is>
      </c>
      <c r="M974" s="3" t="n">
        <v>1</v>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3" t="inlineStr">
        <is>
          <t>nan</t>
        </is>
      </c>
      <c r="I975" s="5">
        <f>HYPERLINK("https://fin.land.naver.com/articles/2649368763", "매물Link")</f>
        <v/>
      </c>
      <c r="J975" s="5">
        <f>HYPERLINK("https://map.naver.com/p/search/나성동 829", "지도Link")</f>
        <v/>
      </c>
      <c r="K975" s="5">
        <f>HYPERLINK("http://www.eum.go.kr/web/ar/lu/luLandDet.jsp?pnu=3611010700108290000&amp;isNoScr=script&amp;mode=search", "토지이음")</f>
        <v/>
      </c>
      <c r="L975" s="3" t="inlineStr">
        <is>
          <t>가람</t>
        </is>
      </c>
      <c r="M975" s="3" t="n">
        <v>1</v>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3" t="inlineStr">
        <is>
          <t>옥산ic에서 15분,물류창고허가남</t>
        </is>
      </c>
      <c r="I976" s="5">
        <f>HYPERLINK("https://fin.land.naver.com/articles/2649647895", "매물Link")</f>
        <v/>
      </c>
      <c r="J976" s="5">
        <f>HYPERLINK("https://map.naver.com/p/search/나성동 829", "지도Link")</f>
        <v/>
      </c>
      <c r="K976" s="5">
        <f>HYPERLINK("http://www.eum.go.kr/web/ar/lu/luLandDet.jsp?pnu=3611010700108290000&amp;isNoScr=script&amp;mode=search", "토지이음")</f>
        <v/>
      </c>
      <c r="L976" s="3" t="inlineStr">
        <is>
          <t>아름다운</t>
        </is>
      </c>
      <c r="M976" s="3" t="n">
        <v>1</v>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3" t="inlineStr">
        <is>
          <t>nan</t>
        </is>
      </c>
      <c r="I977" s="5">
        <f>HYPERLINK("https://fin.land.naver.com/articles/2647057587", "매물Link")</f>
        <v/>
      </c>
      <c r="J977" s="5">
        <f>HYPERLINK("https://map.naver.com/p/search/나성동 829", "지도Link")</f>
        <v/>
      </c>
      <c r="K977" s="5">
        <f>HYPERLINK("http://www.eum.go.kr/web/ar/lu/luLandDet.jsp?pnu=3611010700108290000&amp;isNoScr=script&amp;mode=search", "토지이음")</f>
        <v/>
      </c>
      <c r="L977" s="3" t="inlineStr">
        <is>
          <t>엄지척</t>
        </is>
      </c>
      <c r="M977" s="3" t="n">
        <v>1</v>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3" t="inlineStr">
        <is>
          <t>쌍전리 농림지역 토지매매.</t>
        </is>
      </c>
      <c r="I978" s="5">
        <f>HYPERLINK("https://fin.land.naver.com/articles/2646218108", "매물Link")</f>
        <v/>
      </c>
      <c r="J978" s="5">
        <f>HYPERLINK("https://map.naver.com/p/search/나성동 829", "지도Link")</f>
        <v/>
      </c>
      <c r="K978" s="5">
        <f>HYPERLINK("http://www.eum.go.kr/web/ar/lu/luLandDet.jsp?pnu=3611010700108290000&amp;isNoScr=script&amp;mode=search", "토지이음")</f>
        <v/>
      </c>
      <c r="L978" s="3" t="inlineStr">
        <is>
          <t>세종강산</t>
        </is>
      </c>
      <c r="M978" s="3" t="n">
        <v>1</v>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3" t="inlineStr">
        <is>
          <t>추천매물</t>
        </is>
      </c>
      <c r="I979" s="5">
        <f>HYPERLINK("https://fin.land.naver.com/articles/2645985388", "매물Link")</f>
        <v/>
      </c>
      <c r="J979" s="5">
        <f>HYPERLINK("https://map.naver.com/p/search/나성동 829", "지도Link")</f>
        <v/>
      </c>
      <c r="K979" s="5">
        <f>HYPERLINK("http://www.eum.go.kr/web/ar/lu/luLandDet.jsp?pnu=3611010700108290000&amp;isNoScr=script&amp;mode=search", "토지이음")</f>
        <v/>
      </c>
      <c r="L979" s="3" t="inlineStr">
        <is>
          <t>세종푸르지오</t>
        </is>
      </c>
      <c r="M979" s="3" t="n">
        <v>1</v>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3" t="inlineStr">
        <is>
          <t>기룡리 도로 인접</t>
        </is>
      </c>
      <c r="I980" s="5">
        <f>HYPERLINK("https://fin.land.naver.com/articles/2645593430", "매물Link")</f>
        <v/>
      </c>
      <c r="J980" s="5">
        <f>HYPERLINK("https://map.naver.com/p/search/나성동 829", "지도Link")</f>
        <v/>
      </c>
      <c r="K980" s="5">
        <f>HYPERLINK("http://www.eum.go.kr/web/ar/lu/luLandDet.jsp?pnu=3611010700108290000&amp;isNoScr=script&amp;mode=search", "토지이음")</f>
        <v/>
      </c>
      <c r="L980" s="3" t="inlineStr">
        <is>
          <t>푸르지오</t>
        </is>
      </c>
      <c r="M980" s="3" t="n">
        <v>1</v>
      </c>
    </row>
    <row r="981">
      <c r="A981" s="3" t="inlineStr">
        <is>
          <t>나성동 829</t>
        </is>
      </c>
      <c r="B981" s="3" t="inlineStr">
        <is>
          <t>중심상업지역</t>
        </is>
      </c>
      <c r="C981" s="3" t="inlineStr">
        <is>
          <t>대</t>
        </is>
      </c>
      <c r="D981" s="3" t="inlineStr">
        <is>
          <t>대</t>
        </is>
      </c>
      <c r="E981" s="3" t="inlineStr">
        <is>
          <t>매매</t>
        </is>
      </c>
      <c r="F981" s="4" t="n">
        <v>19500</v>
      </c>
      <c r="G981" s="4" t="n">
        <v>483</v>
      </c>
      <c r="H981" s="3" t="inlineStr">
        <is>
          <t>급매물,  계획관리지역 투자로 추천</t>
        </is>
      </c>
      <c r="I981" s="5">
        <f>HYPERLINK("https://fin.land.naver.com/articles/2644773792", "매물Link")</f>
        <v/>
      </c>
      <c r="J981" s="5">
        <f>HYPERLINK("https://map.naver.com/p/search/나성동 829", "지도Link")</f>
        <v/>
      </c>
      <c r="K981" s="5">
        <f>HYPERLINK("http://www.eum.go.kr/web/ar/lu/luLandDet.jsp?pnu=3611010700108290000&amp;isNoScr=script&amp;mode=search", "토지이음")</f>
        <v/>
      </c>
      <c r="L981" s="3" t="inlineStr">
        <is>
          <t>세종대평</t>
        </is>
      </c>
      <c r="M981" s="3" t="n">
        <v>1</v>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3" t="inlineStr">
        <is>
          <t>8차선변 코너 계획관리 도시개발사업지구 세종IC계획</t>
        </is>
      </c>
      <c r="I982" s="5">
        <f>HYPERLINK("https://fin.land.naver.com/articles/2644723021", "매물Link")</f>
        <v/>
      </c>
      <c r="J982" s="5">
        <f>HYPERLINK("https://map.naver.com/p/search/나성동 829", "지도Link")</f>
        <v/>
      </c>
      <c r="K982" s="5">
        <f>HYPERLINK("http://www.eum.go.kr/web/ar/lu/luLandDet.jsp?pnu=3611010700108290000&amp;isNoScr=script&amp;mode=search", "토지이음")</f>
        <v/>
      </c>
      <c r="L982" s="3" t="inlineStr">
        <is>
          <t>좋은터</t>
        </is>
      </c>
      <c r="M982" s="3" t="n">
        <v>1</v>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3" t="inlineStr">
        <is>
          <t>월하리 자연녹지 토지매매.</t>
        </is>
      </c>
      <c r="I983" s="5">
        <f>HYPERLINK("https://fin.land.naver.com/articles/2644150638", "매물Link")</f>
        <v/>
      </c>
      <c r="J983" s="5">
        <f>HYPERLINK("https://map.naver.com/p/search/나성동 829", "지도Link")</f>
        <v/>
      </c>
      <c r="K983" s="5">
        <f>HYPERLINK("http://www.eum.go.kr/web/ar/lu/luLandDet.jsp?pnu=3611010700108290000&amp;isNoScr=script&amp;mode=search", "토지이음")</f>
        <v/>
      </c>
      <c r="L983" s="3" t="inlineStr">
        <is>
          <t>세종강산</t>
        </is>
      </c>
      <c r="M983" s="3" t="n">
        <v>1</v>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3" t="inlineStr">
        <is>
          <t>2차선도로접,생산,계획관리혼재</t>
        </is>
      </c>
      <c r="I984" s="5">
        <f>HYPERLINK("https://fin.land.naver.com/articles/2650206206", "매물Link")</f>
        <v/>
      </c>
      <c r="J984" s="5">
        <f>HYPERLINK("https://map.naver.com/p/search/나성동 829", "지도Link")</f>
        <v/>
      </c>
      <c r="K984" s="5">
        <f>HYPERLINK("http://www.eum.go.kr/web/ar/lu/luLandDet.jsp?pnu=3611010700108290000&amp;isNoScr=script&amp;mode=search", "토지이음")</f>
        <v/>
      </c>
      <c r="L984" s="3" t="inlineStr">
        <is>
          <t>세종힐데스</t>
        </is>
      </c>
      <c r="M984" s="3" t="n">
        <v>1</v>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3" t="inlineStr">
        <is>
          <t>상업용건물,주택지등</t>
        </is>
      </c>
      <c r="I985" s="5">
        <f>HYPERLINK("https://fin.land.naver.com/articles/2650204849", "매물Link")</f>
        <v/>
      </c>
      <c r="J985" s="5">
        <f>HYPERLINK("https://map.naver.com/p/search/나성동 829", "지도Link")</f>
        <v/>
      </c>
      <c r="K985" s="5">
        <f>HYPERLINK("http://www.eum.go.kr/web/ar/lu/luLandDet.jsp?pnu=3611010700108290000&amp;isNoScr=script&amp;mode=search", "토지이음")</f>
        <v/>
      </c>
      <c r="L985" s="3" t="inlineStr">
        <is>
          <t>세종힐데스</t>
        </is>
      </c>
      <c r="M985" s="3" t="n">
        <v>1</v>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3" t="inlineStr">
        <is>
          <t>전원주택단지부지.전기,수도설비 가능,투자굿</t>
        </is>
      </c>
      <c r="I986" s="5">
        <f>HYPERLINK("https://fin.land.naver.com/articles/2650041893", "매물Link")</f>
        <v/>
      </c>
      <c r="J986" s="5">
        <f>HYPERLINK("https://map.naver.com/p/search/나성동 829", "지도Link")</f>
        <v/>
      </c>
      <c r="K986" s="5">
        <f>HYPERLINK("http://www.eum.go.kr/web/ar/lu/luLandDet.jsp?pnu=3611010700108290000&amp;isNoScr=script&amp;mode=search", "토지이음")</f>
        <v/>
      </c>
      <c r="L986" s="3" t="inlineStr">
        <is>
          <t>모두</t>
        </is>
      </c>
      <c r="M986" s="3" t="n">
        <v>1</v>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3" t="inlineStr">
        <is>
          <t>고복저수지, 과수원매매, 수목포함, 186P</t>
        </is>
      </c>
      <c r="I987" s="5">
        <f>HYPERLINK("https://fin.land.naver.com/articles/2649770212", "매물Link")</f>
        <v/>
      </c>
      <c r="J987" s="5">
        <f>HYPERLINK("https://map.naver.com/p/search/나성동 829", "지도Link")</f>
        <v/>
      </c>
      <c r="K987" s="5">
        <f>HYPERLINK("http://www.eum.go.kr/web/ar/lu/luLandDet.jsp?pnu=3611010700108290000&amp;isNoScr=script&amp;mode=search", "토지이음")</f>
        <v/>
      </c>
      <c r="L987" s="3" t="inlineStr">
        <is>
          <t>엄마와 딸  사무소</t>
        </is>
      </c>
      <c r="M987" s="3" t="n">
        <v>1</v>
      </c>
    </row>
    <row r="988">
      <c r="A988" s="3" t="inlineStr">
        <is>
          <t>나성동 829</t>
        </is>
      </c>
      <c r="B988" s="3" t="inlineStr">
        <is>
          <t>중심상업지역</t>
        </is>
      </c>
      <c r="C988" s="3" t="inlineStr">
        <is>
          <t>대</t>
        </is>
      </c>
      <c r="D988" s="3" t="inlineStr">
        <is>
          <t>대</t>
        </is>
      </c>
      <c r="E988" s="3" t="inlineStr">
        <is>
          <t>매매</t>
        </is>
      </c>
      <c r="F988" s="4" t="n">
        <v>75000</v>
      </c>
      <c r="G988" s="4" t="n">
        <v>648</v>
      </c>
      <c r="H988" s="3" t="inlineStr">
        <is>
          <t>nan</t>
        </is>
      </c>
      <c r="I988" s="5">
        <f>HYPERLINK("https://fin.land.naver.com/articles/2649636931", "매물Link")</f>
        <v/>
      </c>
      <c r="J988" s="5">
        <f>HYPERLINK("https://map.naver.com/p/search/나성동 829", "지도Link")</f>
        <v/>
      </c>
      <c r="K988" s="5">
        <f>HYPERLINK("http://www.eum.go.kr/web/ar/lu/luLandDet.jsp?pnu=3611010700108290000&amp;isNoScr=script&amp;mode=search", "토지이음")</f>
        <v/>
      </c>
      <c r="L988" s="3" t="inlineStr">
        <is>
          <t>부자세종</t>
        </is>
      </c>
      <c r="M988" s="3" t="n">
        <v>1</v>
      </c>
    </row>
    <row r="989">
      <c r="A989" s="3" t="inlineStr">
        <is>
          <t>나성동 829</t>
        </is>
      </c>
      <c r="B989" s="3" t="inlineStr">
        <is>
          <t>중심상업지역</t>
        </is>
      </c>
      <c r="C989" s="3" t="inlineStr">
        <is>
          <t>대</t>
        </is>
      </c>
      <c r="D989" s="3" t="inlineStr">
        <is>
          <t>전</t>
        </is>
      </c>
      <c r="E989" s="3" t="inlineStr">
        <is>
          <t>매매</t>
        </is>
      </c>
      <c r="F989" s="4" t="n">
        <v>17850</v>
      </c>
      <c r="G989" s="4" t="n">
        <v>251</v>
      </c>
      <c r="H989" s="3" t="inlineStr">
        <is>
          <t>와촌국가산업단지조성과 연계된 4차선개발에 근접거리로 발전성 최상</t>
        </is>
      </c>
      <c r="I989" s="5">
        <f>HYPERLINK("https://fin.land.naver.com/articles/2649503523", "매물Link")</f>
        <v/>
      </c>
      <c r="J989" s="5">
        <f>HYPERLINK("https://map.naver.com/p/search/나성동 829", "지도Link")</f>
        <v/>
      </c>
      <c r="K989" s="5">
        <f>HYPERLINK("http://www.eum.go.kr/web/ar/lu/luLandDet.jsp?pnu=3611010700108290000&amp;isNoScr=script&amp;mode=search", "토지이음")</f>
        <v/>
      </c>
      <c r="L989" s="3" t="inlineStr">
        <is>
          <t>온누리</t>
        </is>
      </c>
      <c r="M989" s="3" t="n">
        <v>1</v>
      </c>
    </row>
    <row r="990">
      <c r="A990" s="3" t="inlineStr">
        <is>
          <t>나성동 829</t>
        </is>
      </c>
      <c r="B990" s="3" t="inlineStr">
        <is>
          <t>중심상업지역</t>
        </is>
      </c>
      <c r="C990" s="3" t="inlineStr">
        <is>
          <t>대</t>
        </is>
      </c>
      <c r="D990" s="3" t="inlineStr">
        <is>
          <t>대</t>
        </is>
      </c>
      <c r="E990" s="3" t="inlineStr">
        <is>
          <t>매매</t>
        </is>
      </c>
      <c r="F990" s="4" t="n">
        <v>29000</v>
      </c>
      <c r="G990" s="4" t="n">
        <v>631</v>
      </c>
      <c r="H990" s="3" t="inlineStr">
        <is>
          <t>현 나대지 저렴한 매매, 투자도 좋아요</t>
        </is>
      </c>
      <c r="I990" s="5">
        <f>HYPERLINK("https://fin.land.naver.com/articles/2649398912", "매물Link")</f>
        <v/>
      </c>
      <c r="J990" s="5">
        <f>HYPERLINK("https://map.naver.com/p/search/나성동 829", "지도Link")</f>
        <v/>
      </c>
      <c r="K990" s="5">
        <f>HYPERLINK("http://www.eum.go.kr/web/ar/lu/luLandDet.jsp?pnu=3611010700108290000&amp;isNoScr=script&amp;mode=search", "토지이음")</f>
        <v/>
      </c>
      <c r="L990" s="3" t="inlineStr">
        <is>
          <t>세종해비치</t>
        </is>
      </c>
      <c r="M990" s="3" t="n">
        <v>1</v>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3" t="inlineStr">
        <is>
          <t>위치좋음</t>
        </is>
      </c>
      <c r="I991" s="5">
        <f>HYPERLINK("https://fin.land.naver.com/articles/2649115870", "매물Link")</f>
        <v/>
      </c>
      <c r="J991" s="5">
        <f>HYPERLINK("https://map.naver.com/p/search/나성동 829", "지도Link")</f>
        <v/>
      </c>
      <c r="K991" s="5">
        <f>HYPERLINK("http://www.eum.go.kr/web/ar/lu/luLandDet.jsp?pnu=3611010700108290000&amp;isNoScr=script&amp;mode=search", "토지이음")</f>
        <v/>
      </c>
      <c r="L991" s="3" t="inlineStr">
        <is>
          <t>운산</t>
        </is>
      </c>
      <c r="M991" s="3" t="n">
        <v>1</v>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3" t="inlineStr">
        <is>
          <t>상가건물있음,  성제네거리코너10m도로접합 계획관리지역 3필지일괄매매</t>
        </is>
      </c>
      <c r="I992" s="5">
        <f>HYPERLINK("https://fin.land.naver.com/articles/2649008249", "매물Link")</f>
        <v/>
      </c>
      <c r="J992" s="5">
        <f>HYPERLINK("https://map.naver.com/p/search/나성동 829", "지도Link")</f>
        <v/>
      </c>
      <c r="K992" s="5">
        <f>HYPERLINK("http://www.eum.go.kr/web/ar/lu/luLandDet.jsp?pnu=3611010700108290000&amp;isNoScr=script&amp;mode=search", "토지이음")</f>
        <v/>
      </c>
      <c r="L992" s="3" t="inlineStr">
        <is>
          <t>길음(02-983-0110)</t>
        </is>
      </c>
      <c r="M992" s="3" t="n">
        <v>1</v>
      </c>
    </row>
    <row r="993">
      <c r="A993" s="3" t="inlineStr">
        <is>
          <t>나성동 829</t>
        </is>
      </c>
      <c r="B993" s="3" t="inlineStr">
        <is>
          <t>중심상업지역</t>
        </is>
      </c>
      <c r="C993" s="3" t="inlineStr">
        <is>
          <t>대</t>
        </is>
      </c>
      <c r="D993" s="3" t="inlineStr">
        <is>
          <t>답</t>
        </is>
      </c>
      <c r="E993" s="3" t="inlineStr">
        <is>
          <t>매매</t>
        </is>
      </c>
      <c r="F993" s="4" t="n">
        <v>2500</v>
      </c>
      <c r="G993" s="4" t="n">
        <v>942</v>
      </c>
      <c r="H993" s="3" t="inlineStr">
        <is>
          <t>급매.공시지가이하인 매물 전원·세컨·주말농장 등</t>
        </is>
      </c>
      <c r="I993" s="5">
        <f>HYPERLINK("https://fin.land.naver.com/articles/2648353178", "매물Link")</f>
        <v/>
      </c>
      <c r="J993" s="5">
        <f>HYPERLINK("https://map.naver.com/p/search/나성동 829", "지도Link")</f>
        <v/>
      </c>
      <c r="K993" s="5">
        <f>HYPERLINK("http://www.eum.go.kr/web/ar/lu/luLandDet.jsp?pnu=3611010700108290000&amp;isNoScr=script&amp;mode=search", "토지이음")</f>
        <v/>
      </c>
      <c r="L993" s="3" t="inlineStr">
        <is>
          <t>세종OK</t>
        </is>
      </c>
      <c r="M993" s="3" t="n">
        <v>1</v>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3" t="inlineStr">
        <is>
          <t>주거개발진흥지구 정방형토지 조절가 사정상급매</t>
        </is>
      </c>
      <c r="I994" s="5">
        <f>HYPERLINK("https://fin.land.naver.com/articles/2647871687", "매물Link")</f>
        <v/>
      </c>
      <c r="J994" s="5">
        <f>HYPERLINK("https://map.naver.com/p/search/나성동 829", "지도Link")</f>
        <v/>
      </c>
      <c r="K994" s="5">
        <f>HYPERLINK("http://www.eum.go.kr/web/ar/lu/luLandDet.jsp?pnu=3611010700108290000&amp;isNoScr=script&amp;mode=search", "토지이음")</f>
        <v/>
      </c>
      <c r="L994" s="3" t="inlineStr">
        <is>
          <t>도안재벌</t>
        </is>
      </c>
      <c r="M994" s="3" t="n">
        <v>1</v>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3" t="inlineStr">
        <is>
          <t>토지옆 작은 하천이 흐르는 청정지역 토지입니다</t>
        </is>
      </c>
      <c r="I995" s="5">
        <f>HYPERLINK("https://fin.land.naver.com/articles/2647818518", "매물Link")</f>
        <v/>
      </c>
      <c r="J995" s="5">
        <f>HYPERLINK("https://map.naver.com/p/search/나성동 829", "지도Link")</f>
        <v/>
      </c>
      <c r="K995" s="5">
        <f>HYPERLINK("http://www.eum.go.kr/web/ar/lu/luLandDet.jsp?pnu=3611010700108290000&amp;isNoScr=script&amp;mode=search", "토지이음")</f>
        <v/>
      </c>
      <c r="L995" s="3" t="inlineStr">
        <is>
          <t>복댕이무소</t>
        </is>
      </c>
      <c r="M995" s="3" t="n">
        <v>1</v>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3" t="inlineStr">
        <is>
          <t>계획관리지역,성장관리계획구역,조치원산업단지,세종국가산업단지와 근거리 위치</t>
        </is>
      </c>
      <c r="I996" s="5">
        <f>HYPERLINK("https://fin.land.naver.com/articles/2647402618", "매물Link")</f>
        <v/>
      </c>
      <c r="J996" s="5">
        <f>HYPERLINK("https://map.naver.com/p/search/나성동 829", "지도Link")</f>
        <v/>
      </c>
      <c r="K996" s="5">
        <f>HYPERLINK("http://www.eum.go.kr/web/ar/lu/luLandDet.jsp?pnu=3611010700108290000&amp;isNoScr=script&amp;mode=search", "토지이음")</f>
        <v/>
      </c>
      <c r="L996" s="3" t="inlineStr">
        <is>
          <t>세종원</t>
        </is>
      </c>
      <c r="M996" s="3" t="n">
        <v>1</v>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3" t="inlineStr">
        <is>
          <t>세종시 연서면 쌍유리 도로접한 과수원 토지 매매</t>
        </is>
      </c>
      <c r="I997" s="5">
        <f>HYPERLINK("https://fin.land.naver.com/articles/2647235975", "매물Link")</f>
        <v/>
      </c>
      <c r="J997" s="5">
        <f>HYPERLINK("https://map.naver.com/p/search/나성동 829", "지도Link")</f>
        <v/>
      </c>
      <c r="K997" s="5">
        <f>HYPERLINK("http://www.eum.go.kr/web/ar/lu/luLandDet.jsp?pnu=3611010700108290000&amp;isNoScr=script&amp;mode=search", "토지이음")</f>
        <v/>
      </c>
      <c r="L997" s="3" t="inlineStr">
        <is>
          <t>자이호박</t>
        </is>
      </c>
      <c r="M997" s="3" t="n">
        <v>1</v>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3" t="inlineStr">
        <is>
          <t>nan</t>
        </is>
      </c>
      <c r="I998" s="5">
        <f>HYPERLINK("https://fin.land.naver.com/articles/2647178267", "매물Link")</f>
        <v/>
      </c>
      <c r="J998" s="5">
        <f>HYPERLINK("https://map.naver.com/p/search/나성동 829", "지도Link")</f>
        <v/>
      </c>
      <c r="K998" s="5">
        <f>HYPERLINK("http://www.eum.go.kr/web/ar/lu/luLandDet.jsp?pnu=3611010700108290000&amp;isNoScr=script&amp;mode=search", "토지이음")</f>
        <v/>
      </c>
      <c r="L998" s="3" t="inlineStr">
        <is>
          <t>진솔한</t>
        </is>
      </c>
      <c r="M998" s="3" t="n">
        <v>1</v>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3" t="inlineStr">
        <is>
          <t>7,000세대 공동택지 예정지 부근</t>
        </is>
      </c>
      <c r="I999" s="5">
        <f>HYPERLINK("https://fin.land.naver.com/articles/2647093038", "매물Link")</f>
        <v/>
      </c>
      <c r="J999" s="5">
        <f>HYPERLINK("https://map.naver.com/p/search/나성동 829", "지도Link")</f>
        <v/>
      </c>
      <c r="K999" s="5">
        <f>HYPERLINK("http://www.eum.go.kr/web/ar/lu/luLandDet.jsp?pnu=3611010700108290000&amp;isNoScr=script&amp;mode=search", "토지이음")</f>
        <v/>
      </c>
      <c r="L999" s="3" t="inlineStr">
        <is>
          <t>새터전</t>
        </is>
      </c>
      <c r="M999" s="3" t="n">
        <v>1</v>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3" t="inlineStr">
        <is>
          <t>세종로(폭40m)6차선 도로에 접하며 도시지역으로 건물신축으로 최상.</t>
        </is>
      </c>
      <c r="I1000" s="5">
        <f>HYPERLINK("https://fin.land.naver.com/articles/2647054732", "매물Link")</f>
        <v/>
      </c>
      <c r="J1000" s="5">
        <f>HYPERLINK("https://map.naver.com/p/search/나성동 829", "지도Link")</f>
        <v/>
      </c>
      <c r="K1000" s="5">
        <f>HYPERLINK("http://www.eum.go.kr/web/ar/lu/luLandDet.jsp?pnu=3611010700108290000&amp;isNoScr=script&amp;mode=search", "토지이음")</f>
        <v/>
      </c>
      <c r="L1000" s="3" t="inlineStr">
        <is>
          <t>온누리</t>
        </is>
      </c>
      <c r="M1000" s="3" t="n">
        <v>1</v>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3" t="inlineStr">
        <is>
          <t>도로접한 주택지 입니다.</t>
        </is>
      </c>
      <c r="I1001" s="5">
        <f>HYPERLINK("https://fin.land.naver.com/articles/2646715896", "매물Link")</f>
        <v/>
      </c>
      <c r="J1001" s="5">
        <f>HYPERLINK("https://map.naver.com/p/search/나성동 829", "지도Link")</f>
        <v/>
      </c>
      <c r="K1001" s="5">
        <f>HYPERLINK("http://www.eum.go.kr/web/ar/lu/luLandDet.jsp?pnu=3611010700108290000&amp;isNoScr=script&amp;mode=search", "토지이음")</f>
        <v/>
      </c>
      <c r="L1001" s="3" t="inlineStr">
        <is>
          <t>빛나</t>
        </is>
      </c>
      <c r="M1001" s="3" t="n">
        <v>1</v>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3" t="inlineStr">
        <is>
          <t>세종국가산단 최인근에 위치한 전원주택단지내 자연녹지 토지매매</t>
        </is>
      </c>
      <c r="I1002" s="5">
        <f>HYPERLINK("https://fin.land.naver.com/articles/2646586409", "매물Link")</f>
        <v/>
      </c>
      <c r="J1002" s="5">
        <f>HYPERLINK("https://map.naver.com/p/search/나성동 829", "지도Link")</f>
        <v/>
      </c>
      <c r="K1002" s="5">
        <f>HYPERLINK("http://www.eum.go.kr/web/ar/lu/luLandDet.jsp?pnu=3611010700108290000&amp;isNoScr=script&amp;mode=search", "토지이음")</f>
        <v/>
      </c>
      <c r="L1002" s="3" t="inlineStr">
        <is>
          <t>이재</t>
        </is>
      </c>
      <c r="M1002" s="3" t="n">
        <v>1</v>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3" t="inlineStr">
        <is>
          <t>세종국가산단 최인근에 위치한 전원주택단지내 단독주택 허가부지</t>
        </is>
      </c>
      <c r="I1003" s="5">
        <f>HYPERLINK("https://fin.land.naver.com/articles/2646586279", "매물Link")</f>
        <v/>
      </c>
      <c r="J1003" s="5">
        <f>HYPERLINK("https://map.naver.com/p/search/나성동 829", "지도Link")</f>
        <v/>
      </c>
      <c r="K1003" s="5">
        <f>HYPERLINK("http://www.eum.go.kr/web/ar/lu/luLandDet.jsp?pnu=3611010700108290000&amp;isNoScr=script&amp;mode=search", "토지이음")</f>
        <v/>
      </c>
      <c r="L1003" s="3" t="inlineStr">
        <is>
          <t>이재</t>
        </is>
      </c>
      <c r="M1003" s="3" t="n">
        <v>1</v>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3" t="inlineStr">
        <is>
          <t>월하리 개발예정지로 호재 산재되어 음식점, 카페, 주거지 등 장기투자최상</t>
        </is>
      </c>
      <c r="I1004" s="5">
        <f>HYPERLINK("https://fin.land.naver.com/articles/2645954480", "매물Link")</f>
        <v/>
      </c>
      <c r="J1004" s="5">
        <f>HYPERLINK("https://map.naver.com/p/search/나성동 829", "지도Link")</f>
        <v/>
      </c>
      <c r="K1004" s="5">
        <f>HYPERLINK("http://www.eum.go.kr/web/ar/lu/luLandDet.jsp?pnu=3611010700108290000&amp;isNoScr=script&amp;mode=search", "토지이음")</f>
        <v/>
      </c>
      <c r="L1004" s="3" t="inlineStr">
        <is>
          <t>온누리</t>
        </is>
      </c>
      <c r="M1004" s="3" t="n">
        <v>1</v>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3" t="inlineStr">
        <is>
          <t>급. 연서면 투자용 전</t>
        </is>
      </c>
      <c r="I1005" s="5">
        <f>HYPERLINK("https://fin.land.naver.com/articles/2645479448", "매물Link")</f>
        <v/>
      </c>
      <c r="J1005" s="5">
        <f>HYPERLINK("https://map.naver.com/p/search/나성동 829", "지도Link")</f>
        <v/>
      </c>
      <c r="K1005" s="5">
        <f>HYPERLINK("http://www.eum.go.kr/web/ar/lu/luLandDet.jsp?pnu=3611010700108290000&amp;isNoScr=script&amp;mode=search", "토지이음")</f>
        <v/>
      </c>
      <c r="L1005" s="3" t="inlineStr">
        <is>
          <t>강아지풀</t>
        </is>
      </c>
      <c r="M1005" s="3" t="n">
        <v>1</v>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3" t="inlineStr">
        <is>
          <t>급매.공시지가이하인 매물 전원세컨주말농장 등</t>
        </is>
      </c>
      <c r="I1006" s="5">
        <f>HYPERLINK("https://fin.land.naver.com/articles/2648342132", "매물Link")</f>
        <v/>
      </c>
      <c r="J1006" s="5">
        <f>HYPERLINK("https://map.naver.com/p/search/나성동 829", "지도Link")</f>
        <v/>
      </c>
      <c r="K1006" s="5">
        <f>HYPERLINK("http://www.eum.go.kr/web/ar/lu/luLandDet.jsp?pnu=3611010700108290000&amp;isNoScr=script&amp;mode=search", "토지이음")</f>
        <v/>
      </c>
      <c r="L1006" s="3" t="inlineStr">
        <is>
          <t>세종OK</t>
        </is>
      </c>
      <c r="M1006" s="3" t="n">
        <v>1</v>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3" t="inlineStr">
        <is>
          <t>투자용</t>
        </is>
      </c>
      <c r="I1007" s="5">
        <f>HYPERLINK("https://fin.land.naver.com/articles/2649006734", "매물Link")</f>
        <v/>
      </c>
      <c r="J1007" s="5">
        <f>HYPERLINK("https://map.naver.com/p/search/나성동 829", "지도Link")</f>
        <v/>
      </c>
      <c r="K1007" s="5">
        <f>HYPERLINK("http://www.eum.go.kr/web/ar/lu/luLandDet.jsp?pnu=3611010700108290000&amp;isNoScr=script&amp;mode=search", "토지이음")</f>
        <v/>
      </c>
      <c r="L1007" s="3" t="inlineStr">
        <is>
          <t>세종푸르지오</t>
        </is>
      </c>
      <c r="M1007" s="3" t="n">
        <v>1</v>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3" t="inlineStr">
        <is>
          <t>공원같은 전원주택지 이마트 코스트코 20분거리</t>
        </is>
      </c>
      <c r="I1008" s="5">
        <f>HYPERLINK("https://fin.land.naver.com/articles/2648259769", "매물Link")</f>
        <v/>
      </c>
      <c r="J1008" s="5">
        <f>HYPERLINK("https://map.naver.com/p/search/나성동 829", "지도Link")</f>
        <v/>
      </c>
      <c r="K1008" s="5">
        <f>HYPERLINK("http://www.eum.go.kr/web/ar/lu/luLandDet.jsp?pnu=3611010700108290000&amp;isNoScr=script&amp;mode=search", "토지이음")</f>
        <v/>
      </c>
      <c r="L1008" s="3" t="inlineStr">
        <is>
          <t>그래그</t>
        </is>
      </c>
      <c r="M1008" s="3" t="n">
        <v>1</v>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3" t="inlineStr">
        <is>
          <t>그림같은 전경의 자연 친화적인 전원주택지</t>
        </is>
      </c>
      <c r="I1009" s="5">
        <f>HYPERLINK("https://fin.land.naver.com/articles/2648259650", "매물Link")</f>
        <v/>
      </c>
      <c r="J1009" s="5">
        <f>HYPERLINK("https://map.naver.com/p/search/나성동 829", "지도Link")</f>
        <v/>
      </c>
      <c r="K1009" s="5">
        <f>HYPERLINK("http://www.eum.go.kr/web/ar/lu/luLandDet.jsp?pnu=3611010700108290000&amp;isNoScr=script&amp;mode=search", "토지이음")</f>
        <v/>
      </c>
      <c r="L1009" s="3" t="inlineStr">
        <is>
          <t>그래그</t>
        </is>
      </c>
      <c r="M1009" s="3" t="n">
        <v>1</v>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3" t="inlineStr">
        <is>
          <t>nan</t>
        </is>
      </c>
      <c r="I1010" s="5">
        <f>HYPERLINK("https://fin.land.naver.com/articles/2647900033", "매물Link")</f>
        <v/>
      </c>
      <c r="J1010" s="5">
        <f>HYPERLINK("https://map.naver.com/p/search/나성동 829", "지도Link")</f>
        <v/>
      </c>
      <c r="K1010" s="5">
        <f>HYPERLINK("http://www.eum.go.kr/web/ar/lu/luLandDet.jsp?pnu=3611010700108290000&amp;isNoScr=script&amp;mode=search", "토지이음")</f>
        <v/>
      </c>
      <c r="L1010" s="3" t="inlineStr">
        <is>
          <t>터</t>
        </is>
      </c>
      <c r="M1010" s="3" t="n">
        <v>1</v>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3" t="inlineStr">
        <is>
          <t>구옥및텃밭으로사용</t>
        </is>
      </c>
      <c r="I1011" s="5">
        <f>HYPERLINK("https://fin.land.naver.com/articles/2647434146", "매물Link")</f>
        <v/>
      </c>
      <c r="J1011" s="5">
        <f>HYPERLINK("https://map.naver.com/p/search/나성동 829", "지도Link")</f>
        <v/>
      </c>
      <c r="K1011" s="5">
        <f>HYPERLINK("http://www.eum.go.kr/web/ar/lu/luLandDet.jsp?pnu=3611010700108290000&amp;isNoScr=script&amp;mode=search", "토지이음")</f>
        <v/>
      </c>
      <c r="L1011" s="3" t="inlineStr">
        <is>
          <t>공주신세계</t>
        </is>
      </c>
      <c r="M1011" s="3" t="n">
        <v>1</v>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3" t="inlineStr">
        <is>
          <t>보전관리지역, 성장관리계획지역</t>
        </is>
      </c>
      <c r="I1012" s="5">
        <f>HYPERLINK("https://fin.land.naver.com/articles/2647402824", "매물Link")</f>
        <v/>
      </c>
      <c r="J1012" s="5">
        <f>HYPERLINK("https://map.naver.com/p/search/나성동 829", "지도Link")</f>
        <v/>
      </c>
      <c r="K1012" s="5">
        <f>HYPERLINK("http://www.eum.go.kr/web/ar/lu/luLandDet.jsp?pnu=3611010700108290000&amp;isNoScr=script&amp;mode=search", "토지이음")</f>
        <v/>
      </c>
      <c r="L1012" s="3" t="inlineStr">
        <is>
          <t>세종원</t>
        </is>
      </c>
      <c r="M1012" s="3" t="n">
        <v>1</v>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3" t="inlineStr">
        <is>
          <t>급매 계획관리,성장관리계획구역,택지 (임야) 목장</t>
        </is>
      </c>
      <c r="I1013" s="5">
        <f>HYPERLINK("https://fin.land.naver.com/articles/2647402476", "매물Link")</f>
        <v/>
      </c>
      <c r="J1013" s="5">
        <f>HYPERLINK("https://map.naver.com/p/search/나성동 829", "지도Link")</f>
        <v/>
      </c>
      <c r="K1013" s="5">
        <f>HYPERLINK("http://www.eum.go.kr/web/ar/lu/luLandDet.jsp?pnu=3611010700108290000&amp;isNoScr=script&amp;mode=search", "토지이음")</f>
        <v/>
      </c>
      <c r="L1013" s="3" t="inlineStr">
        <is>
          <t>세종원</t>
        </is>
      </c>
      <c r="M1013" s="3" t="n">
        <v>1</v>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3" t="inlineStr">
        <is>
          <t>영상정보대 입구, 전원주택지. 6m 도로접</t>
        </is>
      </c>
      <c r="I1014" s="5">
        <f>HYPERLINK("https://fin.land.naver.com/articles/2647213218", "매물Link")</f>
        <v/>
      </c>
      <c r="J1014" s="5">
        <f>HYPERLINK("https://map.naver.com/p/search/나성동 829", "지도Link")</f>
        <v/>
      </c>
      <c r="K1014" s="5">
        <f>HYPERLINK("http://www.eum.go.kr/web/ar/lu/luLandDet.jsp?pnu=3611010700108290000&amp;isNoScr=script&amp;mode=search", "토지이음")</f>
        <v/>
      </c>
      <c r="L1014" s="3" t="inlineStr">
        <is>
          <t>대전조은</t>
        </is>
      </c>
      <c r="M1014" s="3" t="n">
        <v>1</v>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3" t="inlineStr">
        <is>
          <t>개발하기 좋은토지</t>
        </is>
      </c>
      <c r="I1015" s="5">
        <f>HYPERLINK("https://fin.land.naver.com/articles/2647168621", "매물Link")</f>
        <v/>
      </c>
      <c r="J1015" s="5">
        <f>HYPERLINK("https://map.naver.com/p/search/나성동 829", "지도Link")</f>
        <v/>
      </c>
      <c r="K1015" s="5">
        <f>HYPERLINK("http://www.eum.go.kr/web/ar/lu/luLandDet.jsp?pnu=3611010700108290000&amp;isNoScr=script&amp;mode=search", "토지이음")</f>
        <v/>
      </c>
      <c r="L1015" s="3" t="inlineStr">
        <is>
          <t>THE행복</t>
        </is>
      </c>
      <c r="M1015" s="3" t="n">
        <v>1</v>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3" t="inlineStr">
        <is>
          <t>보강도공사 완벽, 차량진입 수월해요. 남향으로 전기시설 돼 있어요 .</t>
        </is>
      </c>
      <c r="I1016" s="5">
        <f>HYPERLINK("https://fin.land.naver.com/articles/2647139207", "매물Link")</f>
        <v/>
      </c>
      <c r="J1016" s="5">
        <f>HYPERLINK("https://map.naver.com/p/search/나성동 829", "지도Link")</f>
        <v/>
      </c>
      <c r="K1016" s="5">
        <f>HYPERLINK("http://www.eum.go.kr/web/ar/lu/luLandDet.jsp?pnu=3611010700108290000&amp;isNoScr=script&amp;mode=search", "토지이음")</f>
        <v/>
      </c>
      <c r="L1016" s="3" t="inlineStr">
        <is>
          <t>신일류</t>
        </is>
      </c>
      <c r="M1016" s="3" t="n">
        <v>1</v>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3" t="inlineStr">
        <is>
          <t>계획관리, 성장관리계획구역, 현황상 시멘 도로 접</t>
        </is>
      </c>
      <c r="I1017" s="5">
        <f>HYPERLINK("https://fin.land.naver.com/articles/2646582170", "매물Link")</f>
        <v/>
      </c>
      <c r="J1017" s="5">
        <f>HYPERLINK("https://map.naver.com/p/search/나성동 829", "지도Link")</f>
        <v/>
      </c>
      <c r="K1017" s="5">
        <f>HYPERLINK("http://www.eum.go.kr/web/ar/lu/luLandDet.jsp?pnu=3611010700108290000&amp;isNoScr=script&amp;mode=search", "토지이음")</f>
        <v/>
      </c>
      <c r="L1017" s="3" t="inlineStr">
        <is>
          <t>이즈 세종백화</t>
        </is>
      </c>
      <c r="M1017" s="3" t="n">
        <v>1</v>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3" t="inlineStr">
        <is>
          <t>nan</t>
        </is>
      </c>
      <c r="I1018" s="5">
        <f>HYPERLINK("https://fin.land.naver.com/articles/2645605379", "매물Link")</f>
        <v/>
      </c>
      <c r="J1018" s="5">
        <f>HYPERLINK("https://map.naver.com/p/search/나성동 829", "지도Link")</f>
        <v/>
      </c>
      <c r="K1018" s="5">
        <f>HYPERLINK("http://www.eum.go.kr/web/ar/lu/luLandDet.jsp?pnu=3611010700108290000&amp;isNoScr=script&amp;mode=search", "토지이음")</f>
        <v/>
      </c>
      <c r="L1018" s="3" t="inlineStr">
        <is>
          <t>세종다정랜드</t>
        </is>
      </c>
      <c r="M1018" s="3" t="n">
        <v>1</v>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3" t="inlineStr">
        <is>
          <t>파인빌리지 전원주택 부지</t>
        </is>
      </c>
      <c r="I1019" s="5">
        <f>HYPERLINK("https://fin.land.naver.com/articles/2645490916", "매물Link")</f>
        <v/>
      </c>
      <c r="J1019" s="5">
        <f>HYPERLINK("https://map.naver.com/p/search/나성동 829", "지도Link")</f>
        <v/>
      </c>
      <c r="K1019" s="5">
        <f>HYPERLINK("http://www.eum.go.kr/web/ar/lu/luLandDet.jsp?pnu=3611010700108290000&amp;isNoScr=script&amp;mode=search", "토지이음")</f>
        <v/>
      </c>
      <c r="L1019" s="3" t="inlineStr">
        <is>
          <t>THE다온</t>
        </is>
      </c>
      <c r="M1019" s="3" t="n">
        <v>2</v>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3" t="inlineStr">
        <is>
          <t>추천. 장군면 주택지</t>
        </is>
      </c>
      <c r="I1020" s="5">
        <f>HYPERLINK("https://fin.land.naver.com/articles/2645480253", "매물Link")</f>
        <v/>
      </c>
      <c r="J1020" s="5">
        <f>HYPERLINK("https://map.naver.com/p/search/나성동 829", "지도Link")</f>
        <v/>
      </c>
      <c r="K1020" s="5">
        <f>HYPERLINK("http://www.eum.go.kr/web/ar/lu/luLandDet.jsp?pnu=3611010700108290000&amp;isNoScr=script&amp;mode=search", "토지이음")</f>
        <v/>
      </c>
      <c r="L1020" s="3" t="inlineStr">
        <is>
          <t>강아지풀</t>
        </is>
      </c>
      <c r="M1020" s="3" t="n">
        <v>1</v>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3" t="inlineStr">
        <is>
          <t>급매. 금암리 청벽마을 대지</t>
        </is>
      </c>
      <c r="I1021" s="5">
        <f>HYPERLINK("https://fin.land.naver.com/articles/2645479996", "매물Link")</f>
        <v/>
      </c>
      <c r="J1021" s="5">
        <f>HYPERLINK("https://map.naver.com/p/search/나성동 829", "지도Link")</f>
        <v/>
      </c>
      <c r="K1021" s="5">
        <f>HYPERLINK("http://www.eum.go.kr/web/ar/lu/luLandDet.jsp?pnu=3611010700108290000&amp;isNoScr=script&amp;mode=search", "토지이음")</f>
        <v/>
      </c>
      <c r="L1021" s="3" t="inlineStr">
        <is>
          <t>강아지풀</t>
        </is>
      </c>
      <c r="M1021" s="3" t="n">
        <v>1</v>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3" t="inlineStr">
        <is>
          <t>장군면 계획관리 토지</t>
        </is>
      </c>
      <c r="I1022" s="5">
        <f>HYPERLINK("https://fin.land.naver.com/articles/2645479592", "매물Link")</f>
        <v/>
      </c>
      <c r="J1022" s="5">
        <f>HYPERLINK("https://map.naver.com/p/search/나성동 829", "지도Link")</f>
        <v/>
      </c>
      <c r="K1022" s="5">
        <f>HYPERLINK("http://www.eum.go.kr/web/ar/lu/luLandDet.jsp?pnu=3611010700108290000&amp;isNoScr=script&amp;mode=search", "토지이음")</f>
        <v/>
      </c>
      <c r="L1022" s="3" t="inlineStr">
        <is>
          <t>강아지풀</t>
        </is>
      </c>
      <c r="M1022" s="3" t="n">
        <v>1</v>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3" t="inlineStr">
        <is>
          <t>세종시 초인접 근생</t>
        </is>
      </c>
      <c r="I1023" s="5">
        <f>HYPERLINK("https://fin.land.naver.com/articles/2645471410", "매물Link")</f>
        <v/>
      </c>
      <c r="J1023" s="5">
        <f>HYPERLINK("https://map.naver.com/p/search/나성동 829", "지도Link")</f>
        <v/>
      </c>
      <c r="K1023" s="5">
        <f>HYPERLINK("http://www.eum.go.kr/web/ar/lu/luLandDet.jsp?pnu=3611010700108290000&amp;isNoScr=script&amp;mode=search", "토지이음")</f>
        <v/>
      </c>
      <c r="L1023" s="3" t="inlineStr">
        <is>
          <t>강아지풀</t>
        </is>
      </c>
      <c r="M1023" s="3" t="n">
        <v>1</v>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3" t="inlineStr">
        <is>
          <t>추천. 강주변 토지</t>
        </is>
      </c>
      <c r="I1024" s="5">
        <f>HYPERLINK("https://fin.land.naver.com/articles/2645471313", "매물Link")</f>
        <v/>
      </c>
      <c r="J1024" s="5">
        <f>HYPERLINK("https://map.naver.com/p/search/나성동 829", "지도Link")</f>
        <v/>
      </c>
      <c r="K1024" s="5">
        <f>HYPERLINK("http://www.eum.go.kr/web/ar/lu/luLandDet.jsp?pnu=3611010700108290000&amp;isNoScr=script&amp;mode=search", "토지이음")</f>
        <v/>
      </c>
      <c r="L1024" s="3" t="inlineStr">
        <is>
          <t>강아지풀</t>
        </is>
      </c>
      <c r="M1024" s="3" t="n">
        <v>1</v>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3" t="inlineStr">
        <is>
          <t>추천. 장기초등학교 뒷편 토지</t>
        </is>
      </c>
      <c r="I1025" s="5">
        <f>HYPERLINK("https://fin.land.naver.com/articles/2645470769", "매물Link")</f>
        <v/>
      </c>
      <c r="J1025" s="5">
        <f>HYPERLINK("https://map.naver.com/p/search/나성동 829", "지도Link")</f>
        <v/>
      </c>
      <c r="K1025" s="5">
        <f>HYPERLINK("http://www.eum.go.kr/web/ar/lu/luLandDet.jsp?pnu=3611010700108290000&amp;isNoScr=script&amp;mode=search", "토지이음")</f>
        <v/>
      </c>
      <c r="L1025" s="3" t="inlineStr">
        <is>
          <t>강아지풀</t>
        </is>
      </c>
      <c r="M1025" s="3" t="n">
        <v>1</v>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3" t="inlineStr">
        <is>
          <t>nan</t>
        </is>
      </c>
      <c r="I1026" s="5">
        <f>HYPERLINK("https://fin.land.naver.com/articles/2645314185", "매물Link")</f>
        <v/>
      </c>
      <c r="J1026" s="5">
        <f>HYPERLINK("https://map.naver.com/p/search/나성동 829", "지도Link")</f>
        <v/>
      </c>
      <c r="K1026" s="5">
        <f>HYPERLINK("http://www.eum.go.kr/web/ar/lu/luLandDet.jsp?pnu=3611010700108290000&amp;isNoScr=script&amp;mode=search", "토지이음")</f>
        <v/>
      </c>
      <c r="L1026" s="3" t="inlineStr">
        <is>
          <t>태영</t>
        </is>
      </c>
      <c r="M1026" s="3" t="n">
        <v>1</v>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3" t="inlineStr">
        <is>
          <t>밤나무단지. 연수입1억이상</t>
        </is>
      </c>
      <c r="I1027" s="5">
        <f>HYPERLINK("https://fin.land.naver.com/articles/2645282831", "매물Link")</f>
        <v/>
      </c>
      <c r="J1027" s="5">
        <f>HYPERLINK("https://map.naver.com/p/search/나성동 829", "지도Link")</f>
        <v/>
      </c>
      <c r="K1027" s="5">
        <f>HYPERLINK("http://www.eum.go.kr/web/ar/lu/luLandDet.jsp?pnu=3611010700108290000&amp;isNoScr=script&amp;mode=search", "토지이음")</f>
        <v/>
      </c>
      <c r="L1027" s="3" t="inlineStr">
        <is>
          <t>운산</t>
        </is>
      </c>
      <c r="M1027" s="3" t="n">
        <v>1</v>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3" t="inlineStr">
        <is>
          <t>nan</t>
        </is>
      </c>
      <c r="I1028" s="5">
        <f>HYPERLINK("https://fin.land.naver.com/articles/2649777139", "매물Link")</f>
        <v/>
      </c>
      <c r="J1028" s="5">
        <f>HYPERLINK("https://map.naver.com/p/search/나성동 829", "지도Link")</f>
        <v/>
      </c>
      <c r="K1028" s="5">
        <f>HYPERLINK("http://www.eum.go.kr/web/ar/lu/luLandDet.jsp?pnu=3611010700108290000&amp;isNoScr=script&amp;mode=search", "토지이음")</f>
        <v/>
      </c>
      <c r="L1028" s="3" t="inlineStr">
        <is>
          <t>세종올리브</t>
        </is>
      </c>
      <c r="M1028" s="3" t="n">
        <v>1</v>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3" t="inlineStr">
        <is>
          <t>전원세컨주말농장 최적지 투자가치도굿</t>
        </is>
      </c>
      <c r="I1029" s="5">
        <f>HYPERLINK("https://fin.land.naver.com/articles/2648036146", "매물Link")</f>
        <v/>
      </c>
      <c r="J1029" s="5">
        <f>HYPERLINK("https://map.naver.com/p/search/나성동 829", "지도Link")</f>
        <v/>
      </c>
      <c r="K1029" s="5">
        <f>HYPERLINK("http://www.eum.go.kr/web/ar/lu/luLandDet.jsp?pnu=3611010700108290000&amp;isNoScr=script&amp;mode=search", "토지이음")</f>
        <v/>
      </c>
      <c r="L1029" s="3" t="inlineStr">
        <is>
          <t>세종OK</t>
        </is>
      </c>
      <c r="M1029" s="3" t="n">
        <v>1</v>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3" t="inlineStr">
        <is>
          <t>연서면 기룡리,뒷편 야산과 앞 구거가 있는 소중한 토지매매.</t>
        </is>
      </c>
      <c r="I1030" s="5">
        <f>HYPERLINK("https://fin.land.naver.com/articles/2649477632", "매물Link")</f>
        <v/>
      </c>
      <c r="J1030" s="5">
        <f>HYPERLINK("https://map.naver.com/p/search/나성동 829", "지도Link")</f>
        <v/>
      </c>
      <c r="K1030" s="5">
        <f>HYPERLINK("http://www.eum.go.kr/web/ar/lu/luLandDet.jsp?pnu=3611010700108290000&amp;isNoScr=script&amp;mode=search", "토지이음")</f>
        <v/>
      </c>
      <c r="L1030" s="3" t="inlineStr">
        <is>
          <t>세종강산</t>
        </is>
      </c>
      <c r="M1030" s="3" t="n">
        <v>1</v>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3" t="inlineStr">
        <is>
          <t>연서면 쌍전리,지대높고 풍광좋은 근셍부지 허가된 토지 매매.</t>
        </is>
      </c>
      <c r="I1031" s="5">
        <f>HYPERLINK("https://fin.land.naver.com/articles/2649477509", "매물Link")</f>
        <v/>
      </c>
      <c r="J1031" s="5">
        <f>HYPERLINK("https://map.naver.com/p/search/나성동 829", "지도Link")</f>
        <v/>
      </c>
      <c r="K1031" s="5">
        <f>HYPERLINK("http://www.eum.go.kr/web/ar/lu/luLandDet.jsp?pnu=3611010700108290000&amp;isNoScr=script&amp;mode=search", "토지이음")</f>
        <v/>
      </c>
      <c r="L1031" s="3" t="inlineStr">
        <is>
          <t>세종강산</t>
        </is>
      </c>
      <c r="M1031" s="3" t="n">
        <v>1</v>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3" t="inlineStr">
        <is>
          <t>성장관리지역으로   대지280㎡   임야385㎡   두필지</t>
        </is>
      </c>
      <c r="I1032" s="5">
        <f>HYPERLINK("https://fin.land.naver.com/articles/2647614794", "매물Link")</f>
        <v/>
      </c>
      <c r="J1032" s="5">
        <f>HYPERLINK("https://map.naver.com/p/search/나성동 829", "지도Link")</f>
        <v/>
      </c>
      <c r="K1032" s="5">
        <f>HYPERLINK("http://www.eum.go.kr/web/ar/lu/luLandDet.jsp?pnu=3611010700108290000&amp;isNoScr=script&amp;mode=search", "토지이음")</f>
        <v/>
      </c>
      <c r="L1032" s="3" t="inlineStr">
        <is>
          <t>중흥</t>
        </is>
      </c>
      <c r="M1032" s="3" t="n">
        <v>1</v>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3" t="inlineStr">
        <is>
          <t>생산관리지역 ,세종인접</t>
        </is>
      </c>
      <c r="I1033" s="5">
        <f>HYPERLINK("https://fin.land.naver.com/articles/2649195013", "매물Link")</f>
        <v/>
      </c>
      <c r="J1033" s="5">
        <f>HYPERLINK("https://map.naver.com/p/search/나성동 829", "지도Link")</f>
        <v/>
      </c>
      <c r="K1033" s="5">
        <f>HYPERLINK("http://www.eum.go.kr/web/ar/lu/luLandDet.jsp?pnu=3611010700108290000&amp;isNoScr=script&amp;mode=search", "토지이음")</f>
        <v/>
      </c>
      <c r="L1033" s="3" t="inlineStr">
        <is>
          <t>세종금주</t>
        </is>
      </c>
      <c r="M1033" s="3" t="n">
        <v>1</v>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3" t="inlineStr">
        <is>
          <t>도로접해있으며 농막설치  현 밭으로경작중</t>
        </is>
      </c>
      <c r="I1034" s="5">
        <f>HYPERLINK("https://fin.land.naver.com/articles/2649051840", "매물Link")</f>
        <v/>
      </c>
      <c r="J1034" s="5">
        <f>HYPERLINK("https://map.naver.com/p/search/나성동 829", "지도Link")</f>
        <v/>
      </c>
      <c r="K1034" s="5">
        <f>HYPERLINK("http://www.eum.go.kr/web/ar/lu/luLandDet.jsp?pnu=3611010700108290000&amp;isNoScr=script&amp;mode=search", "토지이음")</f>
        <v/>
      </c>
      <c r="L1034" s="3" t="inlineStr">
        <is>
          <t>조은</t>
        </is>
      </c>
      <c r="M1034" s="3" t="n">
        <v>1</v>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3" t="inlineStr">
        <is>
          <t>급매</t>
        </is>
      </c>
      <c r="I1035" s="5">
        <f>HYPERLINK("https://fin.land.naver.com/articles/2649006837", "매물Link")</f>
        <v/>
      </c>
      <c r="J1035" s="5">
        <f>HYPERLINK("https://map.naver.com/p/search/나성동 829", "지도Link")</f>
        <v/>
      </c>
      <c r="K1035" s="5">
        <f>HYPERLINK("http://www.eum.go.kr/web/ar/lu/luLandDet.jsp?pnu=3611010700108290000&amp;isNoScr=script&amp;mode=search", "토지이음")</f>
        <v/>
      </c>
      <c r="L1035" s="3" t="inlineStr">
        <is>
          <t>세종푸르지오</t>
        </is>
      </c>
      <c r="M1035" s="3" t="n">
        <v>1</v>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3" t="inlineStr">
        <is>
          <t>2차선도로접,규모있는 개발부지,연수 종교 업무 교육 노인용 등 다용도</t>
        </is>
      </c>
      <c r="I1036" s="5">
        <f>HYPERLINK("https://fin.land.naver.com/articles/2648983666", "매물Link")</f>
        <v/>
      </c>
      <c r="J1036" s="5">
        <f>HYPERLINK("https://map.naver.com/p/search/나성동 829", "지도Link")</f>
        <v/>
      </c>
      <c r="K1036" s="5">
        <f>HYPERLINK("http://www.eum.go.kr/web/ar/lu/luLandDet.jsp?pnu=3611010700108290000&amp;isNoScr=script&amp;mode=search", "토지이음")</f>
        <v/>
      </c>
      <c r="L1036" s="3" t="inlineStr">
        <is>
          <t>무한주식회사</t>
        </is>
      </c>
      <c r="M1036" s="3" t="n">
        <v>1</v>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3" t="inlineStr">
        <is>
          <t>추천. 주말 농장용 토지</t>
        </is>
      </c>
      <c r="I1037" s="5">
        <f>HYPERLINK("https://fin.land.naver.com/articles/2645470477", "매물Link")</f>
        <v/>
      </c>
      <c r="J1037" s="5">
        <f>HYPERLINK("https://map.naver.com/p/search/나성동 829", "지도Link")</f>
        <v/>
      </c>
      <c r="K1037" s="5">
        <f>HYPERLINK("http://www.eum.go.kr/web/ar/lu/luLandDet.jsp?pnu=3611010700108290000&amp;isNoScr=script&amp;mode=search", "토지이음")</f>
        <v/>
      </c>
      <c r="L1037" s="3" t="inlineStr">
        <is>
          <t>강아지풀</t>
        </is>
      </c>
      <c r="M1037" s="3" t="n">
        <v>1</v>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3" t="inlineStr">
        <is>
          <t>급매. 고복저수지 인근 건축가능한 토지</t>
        </is>
      </c>
      <c r="I1038" s="5">
        <f>HYPERLINK("https://fin.land.naver.com/articles/2645469885", "매물Link")</f>
        <v/>
      </c>
      <c r="J1038" s="5">
        <f>HYPERLINK("https://map.naver.com/p/search/나성동 829", "지도Link")</f>
        <v/>
      </c>
      <c r="K1038" s="5">
        <f>HYPERLINK("http://www.eum.go.kr/web/ar/lu/luLandDet.jsp?pnu=3611010700108290000&amp;isNoScr=script&amp;mode=search", "토지이음")</f>
        <v/>
      </c>
      <c r="L1038" s="3" t="inlineStr">
        <is>
          <t>강아지풀</t>
        </is>
      </c>
      <c r="M1038" s="3" t="n">
        <v>1</v>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3" t="inlineStr">
        <is>
          <t>세종시 땅,엄청 싸게나옴,투자가치 높음.</t>
        </is>
      </c>
      <c r="I1039" s="5">
        <f>HYPERLINK("https://fin.land.naver.com/articles/2647176132", "매물Link")</f>
        <v/>
      </c>
      <c r="J1039" s="5">
        <f>HYPERLINK("https://map.naver.com/p/search/나성동 829", "지도Link")</f>
        <v/>
      </c>
      <c r="K1039" s="5">
        <f>HYPERLINK("http://www.eum.go.kr/web/ar/lu/luLandDet.jsp?pnu=3611010700108290000&amp;isNoScr=script&amp;mode=search", "토지이음")</f>
        <v/>
      </c>
      <c r="L1039" s="3" t="inlineStr">
        <is>
          <t>진솔한</t>
        </is>
      </c>
      <c r="M1039" s="3" t="n">
        <v>1</v>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3" t="inlineStr">
        <is>
          <t>nan</t>
        </is>
      </c>
      <c r="I1040" s="5">
        <f>HYPERLINK("https://fin.land.naver.com/articles/2647174491", "매물Link")</f>
        <v/>
      </c>
      <c r="J1040" s="5">
        <f>HYPERLINK("https://map.naver.com/p/search/나성동 829", "지도Link")</f>
        <v/>
      </c>
      <c r="K1040" s="5">
        <f>HYPERLINK("http://www.eum.go.kr/web/ar/lu/luLandDet.jsp?pnu=3611010700108290000&amp;isNoScr=script&amp;mode=search", "토지이음")</f>
        <v/>
      </c>
      <c r="L1040" s="3" t="inlineStr">
        <is>
          <t>진솔한</t>
        </is>
      </c>
      <c r="M1040" s="3" t="n">
        <v>1</v>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3" t="inlineStr">
        <is>
          <t>전의면 산업단지조성및 세종시 토지상승요인으로</t>
        </is>
      </c>
      <c r="I1041" s="5">
        <f>HYPERLINK("https://fin.land.naver.com/articles/2646366710", "매물Link")</f>
        <v/>
      </c>
      <c r="J1041" s="5">
        <f>HYPERLINK("https://map.naver.com/p/search/나성동 829", "지도Link")</f>
        <v/>
      </c>
      <c r="K1041" s="5">
        <f>HYPERLINK("http://www.eum.go.kr/web/ar/lu/luLandDet.jsp?pnu=3611010700108290000&amp;isNoScr=script&amp;mode=search", "토지이음")</f>
        <v/>
      </c>
      <c r="L1041" s="3" t="inlineStr">
        <is>
          <t>뉴장원</t>
        </is>
      </c>
      <c r="M1041" s="3" t="n">
        <v>1</v>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3" t="inlineStr">
        <is>
          <t>남향, 전원주택지로 추천합니다.</t>
        </is>
      </c>
      <c r="I1042" s="5">
        <f>HYPERLINK("https://fin.land.naver.com/articles/2645620542", "매물Link")</f>
        <v/>
      </c>
      <c r="J1042" s="5">
        <f>HYPERLINK("https://map.naver.com/p/search/나성동 829", "지도Link")</f>
        <v/>
      </c>
      <c r="K1042" s="5">
        <f>HYPERLINK("http://www.eum.go.kr/web/ar/lu/luLandDet.jsp?pnu=3611010700108290000&amp;isNoScr=script&amp;mode=search", "토지이음")</f>
        <v/>
      </c>
      <c r="L1042" s="3" t="inlineStr">
        <is>
          <t>으뜸</t>
        </is>
      </c>
      <c r="M1042" s="3" t="n">
        <v>1</v>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3" t="inlineStr">
        <is>
          <t>2차선 포장도로접, 계획관리지역, 투자용또는 개발용으로 추천합니다.</t>
        </is>
      </c>
      <c r="I1043" s="5">
        <f>HYPERLINK("https://fin.land.naver.com/articles/2645620438", "매물Link")</f>
        <v/>
      </c>
      <c r="J1043" s="5">
        <f>HYPERLINK("https://map.naver.com/p/search/나성동 829", "지도Link")</f>
        <v/>
      </c>
      <c r="K1043" s="5">
        <f>HYPERLINK("http://www.eum.go.kr/web/ar/lu/luLandDet.jsp?pnu=3611010700108290000&amp;isNoScr=script&amp;mode=search", "토지이음")</f>
        <v/>
      </c>
      <c r="L1043" s="3" t="inlineStr">
        <is>
          <t>으뜸</t>
        </is>
      </c>
      <c r="M1043" s="3" t="n">
        <v>1</v>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3" t="inlineStr">
        <is>
          <t>1억이하 소액용지</t>
        </is>
      </c>
      <c r="I1044" s="5">
        <f>HYPERLINK("https://fin.land.naver.com/articles/2645322962", "매물Link")</f>
        <v/>
      </c>
      <c r="J1044" s="5">
        <f>HYPERLINK("https://map.naver.com/p/search/나성동 829", "지도Link")</f>
        <v/>
      </c>
      <c r="K1044" s="5">
        <f>HYPERLINK("http://www.eum.go.kr/web/ar/lu/luLandDet.jsp?pnu=3611010700108290000&amp;isNoScr=script&amp;mode=search", "토지이음")</f>
        <v/>
      </c>
      <c r="L1044" s="3" t="inlineStr">
        <is>
          <t>북세종</t>
        </is>
      </c>
      <c r="M1044" s="3" t="n">
        <v>2</v>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3" t="inlineStr">
        <is>
          <t>야산과 답, 보전관리지역과 농림지역 혼재</t>
        </is>
      </c>
      <c r="I1045" s="5">
        <f>HYPERLINK("https://fin.land.naver.com/articles/2645271113", "매물Link")</f>
        <v/>
      </c>
      <c r="J1045" s="5">
        <f>HYPERLINK("https://map.naver.com/p/search/나성동 829", "지도Link")</f>
        <v/>
      </c>
      <c r="K1045" s="5">
        <f>HYPERLINK("http://www.eum.go.kr/web/ar/lu/luLandDet.jsp?pnu=3611010700108290000&amp;isNoScr=script&amp;mode=search", "토지이음")</f>
        <v/>
      </c>
      <c r="L1045" s="3" t="inlineStr">
        <is>
          <t>으뜸</t>
        </is>
      </c>
      <c r="M1045" s="3" t="n">
        <v>1</v>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3" t="inlineStr">
        <is>
          <t>아스콘포장도로접, 투자용</t>
        </is>
      </c>
      <c r="I1046" s="5">
        <f>HYPERLINK("https://fin.land.naver.com/articles/2645271057", "매물Link")</f>
        <v/>
      </c>
      <c r="J1046" s="5">
        <f>HYPERLINK("https://map.naver.com/p/search/나성동 829", "지도Link")</f>
        <v/>
      </c>
      <c r="K1046" s="5">
        <f>HYPERLINK("http://www.eum.go.kr/web/ar/lu/luLandDet.jsp?pnu=3611010700108290000&amp;isNoScr=script&amp;mode=search", "토지이음")</f>
        <v/>
      </c>
      <c r="L1046" s="3" t="inlineStr">
        <is>
          <t>으뜸</t>
        </is>
      </c>
      <c r="M1046" s="3" t="n">
        <v>1</v>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3" t="inlineStr">
        <is>
          <t>nan</t>
        </is>
      </c>
      <c r="I1047" s="5">
        <f>HYPERLINK("https://fin.land.naver.com/articles/2644445710", "매물Link")</f>
        <v/>
      </c>
      <c r="J1047" s="5">
        <f>HYPERLINK("https://map.naver.com/p/search/나성동 829", "지도Link")</f>
        <v/>
      </c>
      <c r="K1047" s="5">
        <f>HYPERLINK("http://www.eum.go.kr/web/ar/lu/luLandDet.jsp?pnu=3611010700108290000&amp;isNoScr=script&amp;mode=search", "토지이음")</f>
        <v/>
      </c>
      <c r="L1047" s="3" t="inlineStr">
        <is>
          <t>바른</t>
        </is>
      </c>
      <c r="M1047" s="3" t="n">
        <v>1</v>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3" t="inlineStr">
        <is>
          <t>생산관리  답으로 현재 과수원임,3M도로접,전원주택,체험농장 추천</t>
        </is>
      </c>
      <c r="I1048" s="5">
        <f>HYPERLINK("https://fin.land.naver.com/articles/2649259799", "매물Link")</f>
        <v/>
      </c>
      <c r="J1048" s="5">
        <f>HYPERLINK("https://map.naver.com/p/search/나성동 829", "지도Link")</f>
        <v/>
      </c>
      <c r="K1048" s="5">
        <f>HYPERLINK("http://www.eum.go.kr/web/ar/lu/luLandDet.jsp?pnu=3611010700108290000&amp;isNoScr=script&amp;mode=search", "토지이음")</f>
        <v/>
      </c>
      <c r="L1048" s="3" t="inlineStr">
        <is>
          <t>신안무소</t>
        </is>
      </c>
      <c r="M1048" s="3" t="n">
        <v>1</v>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3" t="inlineStr">
        <is>
          <t>세종시정부종합청사,대전광역시 인근,회사사옥 각종공장,종합실버타운,연구소</t>
        </is>
      </c>
      <c r="I1049" s="5">
        <f>HYPERLINK("https://fin.land.naver.com/articles/2648755091", "매물Link")</f>
        <v/>
      </c>
      <c r="J1049" s="5">
        <f>HYPERLINK("https://map.naver.com/p/search/나성동 829", "지도Link")</f>
        <v/>
      </c>
      <c r="K1049" s="5">
        <f>HYPERLINK("http://www.eum.go.kr/web/ar/lu/luLandDet.jsp?pnu=3611010700108290000&amp;isNoScr=script&amp;mode=search", "토지이음")</f>
        <v/>
      </c>
      <c r="L1049" s="3" t="inlineStr">
        <is>
          <t>딸기(02-848-2300단지내)</t>
        </is>
      </c>
      <c r="M1049" s="3" t="n">
        <v>1</v>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3" t="inlineStr">
        <is>
          <t>전동면 봉대리 계획관리 도로접 토지매매</t>
        </is>
      </c>
      <c r="I1050" s="5">
        <f>HYPERLINK("https://fin.land.naver.com/articles/2648336799", "매물Link")</f>
        <v/>
      </c>
      <c r="J1050" s="5">
        <f>HYPERLINK("https://map.naver.com/p/search/나성동 829", "지도Link")</f>
        <v/>
      </c>
      <c r="K1050" s="5">
        <f>HYPERLINK("http://www.eum.go.kr/web/ar/lu/luLandDet.jsp?pnu=3611010700108290000&amp;isNoScr=script&amp;mode=search", "토지이음")</f>
        <v/>
      </c>
      <c r="L1050" s="3" t="inlineStr">
        <is>
          <t>재화</t>
        </is>
      </c>
      <c r="M1050" s="3" t="n">
        <v>1</v>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3" t="inlineStr">
        <is>
          <t>미곡리 농림지역 토지 매매</t>
        </is>
      </c>
      <c r="I1051" s="5">
        <f>HYPERLINK("https://fin.land.naver.com/articles/2645858593", "매물Link")</f>
        <v/>
      </c>
      <c r="J1051" s="5">
        <f>HYPERLINK("https://map.naver.com/p/search/나성동 829", "지도Link")</f>
        <v/>
      </c>
      <c r="K1051" s="5">
        <f>HYPERLINK("http://www.eum.go.kr/web/ar/lu/luLandDet.jsp?pnu=3611010700108290000&amp;isNoScr=script&amp;mode=search", "토지이음")</f>
        <v/>
      </c>
      <c r="L1051" s="3" t="inlineStr">
        <is>
          <t>세종땅사랑</t>
        </is>
      </c>
      <c r="M1051" s="3" t="n">
        <v>1</v>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3" t="inlineStr">
        <is>
          <t>절대농지 답,3M도로 접,대토추천</t>
        </is>
      </c>
      <c r="I1052" s="5">
        <f>HYPERLINK("https://fin.land.naver.com/articles/2645734752", "매물Link")</f>
        <v/>
      </c>
      <c r="J1052" s="5">
        <f>HYPERLINK("https://map.naver.com/p/search/나성동 829", "지도Link")</f>
        <v/>
      </c>
      <c r="K1052" s="5">
        <f>HYPERLINK("http://www.eum.go.kr/web/ar/lu/luLandDet.jsp?pnu=3611010700108290000&amp;isNoScr=script&amp;mode=search", "토지이음")</f>
        <v/>
      </c>
      <c r="L1052" s="3" t="inlineStr">
        <is>
          <t>신안무소</t>
        </is>
      </c>
      <c r="M1052" s="3" t="n">
        <v>1</v>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3" t="inlineStr">
        <is>
          <t>현재 과수원으로 이용중인 임야,전망트여 있어 전원주택지로도 좋음.</t>
        </is>
      </c>
      <c r="I1053" s="5">
        <f>HYPERLINK("https://fin.land.naver.com/articles/2645597688", "매물Link")</f>
        <v/>
      </c>
      <c r="J1053" s="5">
        <f>HYPERLINK("https://map.naver.com/p/search/나성동 829", "지도Link")</f>
        <v/>
      </c>
      <c r="K1053" s="5">
        <f>HYPERLINK("http://www.eum.go.kr/web/ar/lu/luLandDet.jsp?pnu=3611010700108290000&amp;isNoScr=script&amp;mode=search", "토지이음")</f>
        <v/>
      </c>
      <c r="L1053" s="3" t="inlineStr">
        <is>
          <t>신안무소</t>
        </is>
      </c>
      <c r="M1053" s="3" t="n">
        <v>1</v>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3" t="inlineStr">
        <is>
          <t>3M 도로 접한 생산관리계획관리로 이루어진 답으로 대토,투자 추천</t>
        </is>
      </c>
      <c r="I1054" s="5">
        <f>HYPERLINK("https://fin.land.naver.com/articles/2644415227", "매물Link")</f>
        <v/>
      </c>
      <c r="J1054" s="5">
        <f>HYPERLINK("https://map.naver.com/p/search/나성동 829", "지도Link")</f>
        <v/>
      </c>
      <c r="K1054" s="5">
        <f>HYPERLINK("http://www.eum.go.kr/web/ar/lu/luLandDet.jsp?pnu=3611010700108290000&amp;isNoScr=script&amp;mode=search", "토지이음")</f>
        <v/>
      </c>
      <c r="L1054" s="3" t="inlineStr">
        <is>
          <t>신안무소</t>
        </is>
      </c>
      <c r="M1054" s="3" t="n">
        <v>1</v>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3" t="inlineStr">
        <is>
          <t>임업후계자 하실분 추천</t>
        </is>
      </c>
      <c r="I1055" s="5">
        <f>HYPERLINK("https://fin.land.naver.com/articles/2649859406", "매물Link")</f>
        <v/>
      </c>
      <c r="J1055" s="5">
        <f>HYPERLINK("https://map.naver.com/p/search/나성동 829", "지도Link")</f>
        <v/>
      </c>
      <c r="K1055" s="5">
        <f>HYPERLINK("http://www.eum.go.kr/web/ar/lu/luLandDet.jsp?pnu=3611010700108290000&amp;isNoScr=script&amp;mode=search", "토지이음")</f>
        <v/>
      </c>
      <c r="L1055" s="3" t="inlineStr">
        <is>
          <t>킹</t>
        </is>
      </c>
      <c r="M1055" s="3" t="n">
        <v>2</v>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3" t="inlineStr">
        <is>
          <t>주말농장 추천</t>
        </is>
      </c>
      <c r="I1056" s="5">
        <f>HYPERLINK("https://fin.land.naver.com/articles/2649822206", "매물Link")</f>
        <v/>
      </c>
      <c r="J1056" s="5">
        <f>HYPERLINK("https://map.naver.com/p/search/나성동 829", "지도Link")</f>
        <v/>
      </c>
      <c r="K1056" s="5">
        <f>HYPERLINK("http://www.eum.go.kr/web/ar/lu/luLandDet.jsp?pnu=3611010700108290000&amp;isNoScr=script&amp;mode=search", "토지이음")</f>
        <v/>
      </c>
      <c r="L1056" s="3" t="inlineStr">
        <is>
          <t>갑부</t>
        </is>
      </c>
      <c r="M1056" s="3" t="n">
        <v>1</v>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3" t="inlineStr">
        <is>
          <t>급매 주변시세보다 많이 저렴해요,도로접해 있어 아주 좋아요</t>
        </is>
      </c>
      <c r="I1057" s="5">
        <f>HYPERLINK("https://fin.land.naver.com/articles/2649745967", "매물Link")</f>
        <v/>
      </c>
      <c r="J1057" s="5">
        <f>HYPERLINK("https://map.naver.com/p/search/나성동 829", "지도Link")</f>
        <v/>
      </c>
      <c r="K1057" s="5">
        <f>HYPERLINK("http://www.eum.go.kr/web/ar/lu/luLandDet.jsp?pnu=3611010700108290000&amp;isNoScr=script&amp;mode=search", "토지이음")</f>
        <v/>
      </c>
      <c r="L1057" s="3" t="inlineStr">
        <is>
          <t>해뜨는  사무소</t>
        </is>
      </c>
      <c r="M1057" s="3" t="n">
        <v>1</v>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3" t="inlineStr">
        <is>
          <t>도로접한 계획관리지역으로 성장관리구역 장기 투자가치있음</t>
        </is>
      </c>
      <c r="I1058" s="5">
        <f>HYPERLINK("https://fin.land.naver.com/articles/2647186033", "매물Link")</f>
        <v/>
      </c>
      <c r="J1058" s="5">
        <f>HYPERLINK("https://map.naver.com/p/search/나성동 829", "지도Link")</f>
        <v/>
      </c>
      <c r="K1058" s="5">
        <f>HYPERLINK("http://www.eum.go.kr/web/ar/lu/luLandDet.jsp?pnu=3611010700108290000&amp;isNoScr=script&amp;mode=search", "토지이음")</f>
        <v/>
      </c>
      <c r="L1058" s="3" t="inlineStr">
        <is>
          <t>중흥</t>
        </is>
      </c>
      <c r="M1058" s="3" t="n">
        <v>1</v>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3" t="inlineStr">
        <is>
          <t>세종첨단산업단지 입구에 위치해 있습니다.</t>
        </is>
      </c>
      <c r="I1059" s="5">
        <f>HYPERLINK("https://fin.land.naver.com/articles/2647244507", "매물Link")</f>
        <v/>
      </c>
      <c r="J1059" s="5">
        <f>HYPERLINK("https://map.naver.com/p/search/나성동 829", "지도Link")</f>
        <v/>
      </c>
      <c r="K1059" s="5">
        <f>HYPERLINK("http://www.eum.go.kr/web/ar/lu/luLandDet.jsp?pnu=3611010700108290000&amp;isNoScr=script&amp;mode=search", "토지이음")</f>
        <v/>
      </c>
      <c r="L1059" s="3" t="inlineStr">
        <is>
          <t>하이스트정원</t>
        </is>
      </c>
      <c r="M1059" s="3" t="n">
        <v>2</v>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3" t="inlineStr">
        <is>
          <t>마을 주변이라 쉼터로 해도 좋은위치</t>
        </is>
      </c>
      <c r="I1060" s="5">
        <f>HYPERLINK("https://fin.land.naver.com/articles/2647723508", "매물Link")</f>
        <v/>
      </c>
      <c r="J1060" s="5">
        <f>HYPERLINK("https://map.naver.com/p/search/나성동 829", "지도Link")</f>
        <v/>
      </c>
      <c r="K1060" s="5">
        <f>HYPERLINK("http://www.eum.go.kr/web/ar/lu/luLandDet.jsp?pnu=3611010700108290000&amp;isNoScr=script&amp;mode=search", "토지이음")</f>
        <v/>
      </c>
      <c r="L1060" s="3" t="inlineStr">
        <is>
          <t>토지</t>
        </is>
      </c>
      <c r="M1060" s="3" t="n">
        <v>1</v>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3" t="inlineStr">
        <is>
          <t>nan</t>
        </is>
      </c>
      <c r="I1061" s="5">
        <f>HYPERLINK("https://fin.land.naver.com/articles/2648117026", "매물Link")</f>
        <v/>
      </c>
      <c r="J1061" s="5">
        <f>HYPERLINK("https://map.naver.com/p/search/나성동 829", "지도Link")</f>
        <v/>
      </c>
      <c r="K1061" s="5">
        <f>HYPERLINK("http://www.eum.go.kr/web/ar/lu/luLandDet.jsp?pnu=3611010700108290000&amp;isNoScr=script&amp;mode=search", "토지이음")</f>
        <v/>
      </c>
      <c r="L1061" s="3" t="inlineStr">
        <is>
          <t>운산</t>
        </is>
      </c>
      <c r="M1061" s="3" t="n">
        <v>1</v>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3" t="inlineStr">
        <is>
          <t>분할 매매 가능,도로 접함,생산관리지역</t>
        </is>
      </c>
      <c r="I1062" s="5">
        <f>HYPERLINK("https://fin.land.naver.com/articles/2645185821", "매물Link")</f>
        <v/>
      </c>
      <c r="J1062" s="5">
        <f>HYPERLINK("https://map.naver.com/p/search/나성동 829", "지도Link")</f>
        <v/>
      </c>
      <c r="K1062" s="5">
        <f>HYPERLINK("http://www.eum.go.kr/web/ar/lu/luLandDet.jsp?pnu=3611010700108290000&amp;isNoScr=script&amp;mode=search", "토지이음")</f>
        <v/>
      </c>
      <c r="L1062" s="3" t="inlineStr">
        <is>
          <t>신나라</t>
        </is>
      </c>
      <c r="M1062" s="3" t="n">
        <v>1</v>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3" t="inlineStr">
        <is>
          <t>nan</t>
        </is>
      </c>
      <c r="I1063" s="5">
        <f>HYPERLINK("https://fin.land.naver.com/articles/2645043389", "매물Link")</f>
        <v/>
      </c>
      <c r="J1063" s="5">
        <f>HYPERLINK("https://map.naver.com/p/search/나성동 829", "지도Link")</f>
        <v/>
      </c>
      <c r="K1063" s="5">
        <f>HYPERLINK("http://www.eum.go.kr/web/ar/lu/luLandDet.jsp?pnu=3611010700108290000&amp;isNoScr=script&amp;mode=search", "토지이음")</f>
        <v/>
      </c>
      <c r="L1063" s="3" t="inlineStr">
        <is>
          <t>번암주공</t>
        </is>
      </c>
      <c r="M1063" s="3" t="n">
        <v>1</v>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3" t="inlineStr">
        <is>
          <t>계획관리지역입니다.  편하게 연락주세요</t>
        </is>
      </c>
      <c r="I1064" s="5">
        <f>HYPERLINK("https://fin.land.naver.com/articles/2644809833", "매물Link")</f>
        <v/>
      </c>
      <c r="J1064" s="5">
        <f>HYPERLINK("https://map.naver.com/p/search/나성동 829", "지도Link")</f>
        <v/>
      </c>
      <c r="K1064" s="5">
        <f>HYPERLINK("http://www.eum.go.kr/web/ar/lu/luLandDet.jsp?pnu=3611010700108290000&amp;isNoScr=script&amp;mode=search", "토지이음")</f>
        <v/>
      </c>
      <c r="L1064" s="3" t="inlineStr">
        <is>
          <t>스마트랜드</t>
        </is>
      </c>
      <c r="M1064" s="3" t="n">
        <v>1</v>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3" t="inlineStr">
        <is>
          <t>위치좋음</t>
        </is>
      </c>
      <c r="I1065" s="5">
        <f>HYPERLINK("https://fin.land.naver.com/articles/2644677408", "매물Link")</f>
        <v/>
      </c>
      <c r="J1065" s="5">
        <f>HYPERLINK("https://map.naver.com/p/search/나성동 829", "지도Link")</f>
        <v/>
      </c>
      <c r="K1065" s="5">
        <f>HYPERLINK("http://www.eum.go.kr/web/ar/lu/luLandDet.jsp?pnu=3611010700108290000&amp;isNoScr=script&amp;mode=search", "토지이음")</f>
        <v/>
      </c>
      <c r="L1065" s="3" t="inlineStr">
        <is>
          <t>운산</t>
        </is>
      </c>
      <c r="M1065" s="3" t="n">
        <v>1</v>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3" t="inlineStr">
        <is>
          <t>nan</t>
        </is>
      </c>
      <c r="I1066" s="5">
        <f>HYPERLINK("https://fin.land.naver.com/articles/2644537972", "매물Link")</f>
        <v/>
      </c>
      <c r="J1066" s="5">
        <f>HYPERLINK("https://map.naver.com/p/search/나성동 829", "지도Link")</f>
        <v/>
      </c>
      <c r="K1066" s="5">
        <f>HYPERLINK("http://www.eum.go.kr/web/ar/lu/luLandDet.jsp?pnu=3611010700108290000&amp;isNoScr=script&amp;mode=search", "토지이음")</f>
        <v/>
      </c>
      <c r="L1066" s="3" t="inlineStr">
        <is>
          <t>믿음</t>
        </is>
      </c>
      <c r="M1066" s="3" t="n">
        <v>1</v>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3" t="inlineStr">
        <is>
          <t>마을 밀집지역에서 2차선 도로접한 사거리대지</t>
        </is>
      </c>
      <c r="I1067" s="5">
        <f>HYPERLINK("https://fin.land.naver.com/articles/2644287812", "매물Link")</f>
        <v/>
      </c>
      <c r="J1067" s="5">
        <f>HYPERLINK("https://map.naver.com/p/search/나성동 829", "지도Link")</f>
        <v/>
      </c>
      <c r="K1067" s="5">
        <f>HYPERLINK("http://www.eum.go.kr/web/ar/lu/luLandDet.jsp?pnu=3611010700108290000&amp;isNoScr=script&amp;mode=search", "토지이음")</f>
        <v/>
      </c>
      <c r="L1067" s="3" t="inlineStr">
        <is>
          <t>명당</t>
        </is>
      </c>
      <c r="M1067" s="3" t="n">
        <v>1</v>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3" t="inlineStr">
        <is>
          <t>2차선 최근접(약12미터) 계획관리 지역</t>
        </is>
      </c>
      <c r="I1068" s="5">
        <f>HYPERLINK("https://fin.land.naver.com/articles/2644181784", "매물Link")</f>
        <v/>
      </c>
      <c r="J1068" s="5">
        <f>HYPERLINK("https://map.naver.com/p/search/나성동 829", "지도Link")</f>
        <v/>
      </c>
      <c r="K1068" s="5">
        <f>HYPERLINK("http://www.eum.go.kr/web/ar/lu/luLandDet.jsp?pnu=3611010700108290000&amp;isNoScr=script&amp;mode=search", "토지이음")</f>
        <v/>
      </c>
      <c r="L1068" s="3" t="inlineStr">
        <is>
          <t>신안</t>
        </is>
      </c>
      <c r="M1068" s="3" t="n">
        <v>1</v>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3" t="inlineStr">
        <is>
          <t>토지개발사업 완료된 단독주택 부지 급매</t>
        </is>
      </c>
      <c r="I1069" s="5">
        <f>HYPERLINK("https://fin.land.naver.com/articles/2649237751", "매물Link")</f>
        <v/>
      </c>
      <c r="J1069" s="5">
        <f>HYPERLINK("https://map.naver.com/p/search/나성동 829", "지도Link")</f>
        <v/>
      </c>
      <c r="K1069" s="5">
        <f>HYPERLINK("http://www.eum.go.kr/web/ar/lu/luLandDet.jsp?pnu=3611010700108290000&amp;isNoScr=script&amp;mode=search", "토지이음")</f>
        <v/>
      </c>
      <c r="L1069" s="3" t="inlineStr">
        <is>
          <t>반곡황금더샵</t>
        </is>
      </c>
      <c r="M1069" s="3" t="n">
        <v>1</v>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3" t="inlineStr">
        <is>
          <t>도시지역, 1종주거지역 2차선도로접 토지매매</t>
        </is>
      </c>
      <c r="I1070" s="5">
        <f>HYPERLINK("https://fin.land.naver.com/articles/2648172105", "매물Link")</f>
        <v/>
      </c>
      <c r="J1070" s="5">
        <f>HYPERLINK("https://map.naver.com/p/search/나성동 829", "지도Link")</f>
        <v/>
      </c>
      <c r="K1070" s="5">
        <f>HYPERLINK("http://www.eum.go.kr/web/ar/lu/luLandDet.jsp?pnu=3611010700108290000&amp;isNoScr=script&amp;mode=search", "토지이음")</f>
        <v/>
      </c>
      <c r="L1070" s="3" t="inlineStr">
        <is>
          <t>365</t>
        </is>
      </c>
      <c r="M1070" s="3" t="n">
        <v>1</v>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3" t="inlineStr">
        <is>
          <t>중로 접한   활용도가 높은  토지입니다.</t>
        </is>
      </c>
      <c r="I1071" s="5">
        <f>HYPERLINK("https://fin.land.naver.com/articles/2648071084", "매물Link")</f>
        <v/>
      </c>
      <c r="J1071" s="5">
        <f>HYPERLINK("https://map.naver.com/p/search/나성동 829", "지도Link")</f>
        <v/>
      </c>
      <c r="K1071" s="5">
        <f>HYPERLINK("http://www.eum.go.kr/web/ar/lu/luLandDet.jsp?pnu=3611010700108290000&amp;isNoScr=script&amp;mode=search", "토지이음")</f>
        <v/>
      </c>
      <c r="L1071" s="3" t="inlineStr">
        <is>
          <t>유진</t>
        </is>
      </c>
      <c r="M1071" s="3" t="n">
        <v>1</v>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3" t="inlineStr">
        <is>
          <t>nan</t>
        </is>
      </c>
      <c r="I1072" s="5">
        <f>HYPERLINK("https://fin.land.naver.com/articles/2649369293", "매물Link")</f>
        <v/>
      </c>
      <c r="J1072" s="5">
        <f>HYPERLINK("https://map.naver.com/p/search/나성동 829", "지도Link")</f>
        <v/>
      </c>
      <c r="K1072" s="5">
        <f>HYPERLINK("http://www.eum.go.kr/web/ar/lu/luLandDet.jsp?pnu=3611010700108290000&amp;isNoScr=script&amp;mode=search", "토지이음")</f>
        <v/>
      </c>
      <c r="L1072" s="3" t="inlineStr">
        <is>
          <t>가람</t>
        </is>
      </c>
      <c r="M1072" s="3" t="n">
        <v>1</v>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3" t="inlineStr">
        <is>
          <t>도로 연접해있는 토지로 주차장으로 이용하고있습니다.</t>
        </is>
      </c>
      <c r="I1073" s="5">
        <f>HYPERLINK("https://fin.land.naver.com/articles/2646942955", "매물Link")</f>
        <v/>
      </c>
      <c r="J1073" s="5">
        <f>HYPERLINK("https://map.naver.com/p/search/나성동 829", "지도Link")</f>
        <v/>
      </c>
      <c r="K1073" s="5">
        <f>HYPERLINK("http://www.eum.go.kr/web/ar/lu/luLandDet.jsp?pnu=3611010700108290000&amp;isNoScr=script&amp;mode=search", "토지이음")</f>
        <v/>
      </c>
      <c r="L1073" s="3" t="inlineStr">
        <is>
          <t>금돼지</t>
        </is>
      </c>
      <c r="M1073" s="3" t="n">
        <v>1</v>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3" t="inlineStr">
        <is>
          <t>nan</t>
        </is>
      </c>
      <c r="I1074" s="5">
        <f>HYPERLINK("https://fin.land.naver.com/articles/2646911930", "매물Link")</f>
        <v/>
      </c>
      <c r="J1074" s="5">
        <f>HYPERLINK("https://map.naver.com/p/search/나성동 829", "지도Link")</f>
        <v/>
      </c>
      <c r="K1074" s="5">
        <f>HYPERLINK("http://www.eum.go.kr/web/ar/lu/luLandDet.jsp?pnu=3611010700108290000&amp;isNoScr=script&amp;mode=search", "토지이음")</f>
        <v/>
      </c>
      <c r="L1074" s="3" t="inlineStr">
        <is>
          <t>더글로벌코리아 (주)</t>
        </is>
      </c>
      <c r="M1074" s="3" t="n">
        <v>1</v>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3" t="inlineStr">
        <is>
          <t>전의면 유천리 마을안 주택 매매</t>
        </is>
      </c>
      <c r="I1075" s="5">
        <f>HYPERLINK("https://fin.land.naver.com/articles/2646825400", "매물Link")</f>
        <v/>
      </c>
      <c r="J1075" s="5">
        <f>HYPERLINK("https://map.naver.com/p/search/나성동 829", "지도Link")</f>
        <v/>
      </c>
      <c r="K1075" s="5">
        <f>HYPERLINK("http://www.eum.go.kr/web/ar/lu/luLandDet.jsp?pnu=3611010700108290000&amp;isNoScr=script&amp;mode=search", "토지이음")</f>
        <v/>
      </c>
      <c r="L1075" s="3" t="inlineStr">
        <is>
          <t>재화</t>
        </is>
      </c>
      <c r="M1075" s="3" t="n">
        <v>1</v>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3" t="inlineStr">
        <is>
          <t>세종시 전의면 읍내리 토지 입니다.전의산업단지인근,전의중학교인근토지</t>
        </is>
      </c>
      <c r="I1076" s="5">
        <f>HYPERLINK("https://fin.land.naver.com/articles/2646569289", "매물Link")</f>
        <v/>
      </c>
      <c r="J1076" s="5">
        <f>HYPERLINK("https://map.naver.com/p/search/나성동 829", "지도Link")</f>
        <v/>
      </c>
      <c r="K1076" s="5">
        <f>HYPERLINK("http://www.eum.go.kr/web/ar/lu/luLandDet.jsp?pnu=3611010700108290000&amp;isNoScr=script&amp;mode=search", "토지이음")</f>
        <v/>
      </c>
      <c r="L1076" s="3" t="inlineStr">
        <is>
          <t>모아삼부황금</t>
        </is>
      </c>
      <c r="M1076" s="3" t="n">
        <v>1</v>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3" t="inlineStr">
        <is>
          <t>전의 생활권 갖춘 계획관리 대지, 주거와 창고 활용 검토</t>
        </is>
      </c>
      <c r="I1077" s="5">
        <f>HYPERLINK("https://fin.land.naver.com/articles/2645804718", "매물Link")</f>
        <v/>
      </c>
      <c r="J1077" s="5">
        <f>HYPERLINK("https://map.naver.com/p/search/나성동 829", "지도Link")</f>
        <v/>
      </c>
      <c r="K1077" s="5">
        <f>HYPERLINK("http://www.eum.go.kr/web/ar/lu/luLandDet.jsp?pnu=3611010700108290000&amp;isNoScr=script&amp;mode=search", "토지이음")</f>
        <v/>
      </c>
      <c r="L1077" s="3" t="inlineStr">
        <is>
          <t>세종소담황금</t>
        </is>
      </c>
      <c r="M1077" s="3" t="n">
        <v>1</v>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3" t="inlineStr">
        <is>
          <t>세종 스마트 산단 지원 단지 인근 자연 녹지 토지입니다.</t>
        </is>
      </c>
      <c r="I1078" s="5">
        <f>HYPERLINK("https://fin.land.naver.com/articles/2644258878", "매물Link")</f>
        <v/>
      </c>
      <c r="J1078" s="5">
        <f>HYPERLINK("https://map.naver.com/p/search/나성동 829", "지도Link")</f>
        <v/>
      </c>
      <c r="K1078" s="5">
        <f>HYPERLINK("http://www.eum.go.kr/web/ar/lu/luLandDet.jsp?pnu=3611010700108290000&amp;isNoScr=script&amp;mode=search", "토지이음")</f>
        <v/>
      </c>
      <c r="L1078" s="3" t="inlineStr">
        <is>
          <t>유진</t>
        </is>
      </c>
      <c r="M1078" s="3" t="n">
        <v>1</v>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3" t="inlineStr">
        <is>
          <t>소액 투자 가능,  성장관리계획구역, 향후 개발가능한지역</t>
        </is>
      </c>
      <c r="I1079" s="5">
        <f>HYPERLINK("https://fin.land.naver.com/articles/2649773958", "매물Link")</f>
        <v/>
      </c>
      <c r="J1079" s="5">
        <f>HYPERLINK("https://map.naver.com/p/search/나성동 829", "지도Link")</f>
        <v/>
      </c>
      <c r="K1079" s="5">
        <f>HYPERLINK("http://www.eum.go.kr/web/ar/lu/luLandDet.jsp?pnu=3611010700108290000&amp;isNoScr=script&amp;mode=search", "토지이음")</f>
        <v/>
      </c>
      <c r="L1079" s="3" t="inlineStr">
        <is>
          <t>국민</t>
        </is>
      </c>
      <c r="M1079" s="3" t="n">
        <v>1</v>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3" t="inlineStr">
        <is>
          <t>2차선접 계획관리</t>
        </is>
      </c>
      <c r="I1080" s="5">
        <f>HYPERLINK("https://fin.land.naver.com/articles/2649308010", "매물Link")</f>
        <v/>
      </c>
      <c r="J1080" s="5">
        <f>HYPERLINK("https://map.naver.com/p/search/나성동 829", "지도Link")</f>
        <v/>
      </c>
      <c r="K1080" s="5">
        <f>HYPERLINK("http://www.eum.go.kr/web/ar/lu/luLandDet.jsp?pnu=3611010700108290000&amp;isNoScr=script&amp;mode=search", "토지이음")</f>
        <v/>
      </c>
      <c r="L1080" s="3" t="inlineStr">
        <is>
          <t>골드</t>
        </is>
      </c>
      <c r="M1080" s="3" t="n">
        <v>1</v>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3" t="inlineStr">
        <is>
          <t>세종시에 위치하고 정안나들목 인근토지로 대토용으로 추천</t>
        </is>
      </c>
      <c r="I1081" s="5">
        <f>HYPERLINK("https://fin.land.naver.com/articles/2649281346", "매물Link")</f>
        <v/>
      </c>
      <c r="J1081" s="5">
        <f>HYPERLINK("https://map.naver.com/p/search/나성동 829", "지도Link")</f>
        <v/>
      </c>
      <c r="K1081" s="5">
        <f>HYPERLINK("http://www.eum.go.kr/web/ar/lu/luLandDet.jsp?pnu=3611010700108290000&amp;isNoScr=script&amp;mode=search", "토지이음")</f>
        <v/>
      </c>
      <c r="L1081" s="3" t="inlineStr">
        <is>
          <t>킹</t>
        </is>
      </c>
      <c r="M1081" s="3" t="n">
        <v>1</v>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3" t="inlineStr">
        <is>
          <t>2차선도로접, 투자용으로 추천합니다.</t>
        </is>
      </c>
      <c r="I1082" s="5">
        <f>HYPERLINK("https://fin.land.naver.com/articles/2648843123", "매물Link")</f>
        <v/>
      </c>
      <c r="J1082" s="5">
        <f>HYPERLINK("https://map.naver.com/p/search/나성동 829", "지도Link")</f>
        <v/>
      </c>
      <c r="K1082" s="5">
        <f>HYPERLINK("http://www.eum.go.kr/web/ar/lu/luLandDet.jsp?pnu=3611010700108290000&amp;isNoScr=script&amp;mode=search", "토지이음")</f>
        <v/>
      </c>
      <c r="L1082" s="3" t="inlineStr">
        <is>
          <t>으뜸</t>
        </is>
      </c>
      <c r="M1082" s="3" t="n">
        <v>1</v>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3" t="inlineStr">
        <is>
          <t>nan</t>
        </is>
      </c>
      <c r="I1083" s="5">
        <f>HYPERLINK("https://fin.land.naver.com/articles/2648634028", "매물Link")</f>
        <v/>
      </c>
      <c r="J1083" s="5">
        <f>HYPERLINK("https://map.naver.com/p/search/나성동 829", "지도Link")</f>
        <v/>
      </c>
      <c r="K1083" s="5">
        <f>HYPERLINK("http://www.eum.go.kr/web/ar/lu/luLandDet.jsp?pnu=3611010700108290000&amp;isNoScr=script&amp;mode=search", "토지이음")</f>
        <v/>
      </c>
      <c r="L1083" s="3" t="inlineStr">
        <is>
          <t>백제</t>
        </is>
      </c>
      <c r="M1083" s="3" t="n">
        <v>1</v>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3" t="inlineStr">
        <is>
          <t>전의역인근, 전원주택 추천, 인근 산업단지 위치,향후 지가상승기대</t>
        </is>
      </c>
      <c r="I1084" s="5">
        <f>HYPERLINK("https://fin.land.naver.com/articles/2648484324", "매물Link")</f>
        <v/>
      </c>
      <c r="J1084" s="5">
        <f>HYPERLINK("https://map.naver.com/p/search/나성동 829", "지도Link")</f>
        <v/>
      </c>
      <c r="K1084" s="5">
        <f>HYPERLINK("http://www.eum.go.kr/web/ar/lu/luLandDet.jsp?pnu=3611010700108290000&amp;isNoScr=script&amp;mode=search", "토지이음")</f>
        <v/>
      </c>
      <c r="L1084" s="3" t="inlineStr">
        <is>
          <t>중흥부영</t>
        </is>
      </c>
      <c r="M1084" s="3" t="n">
        <v>1</v>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3" t="inlineStr">
        <is>
          <t>향후 예산집행되는대로 포장예정임(구거)</t>
        </is>
      </c>
      <c r="I1085" s="5">
        <f>HYPERLINK("https://fin.land.naver.com/articles/2646980787", "매물Link")</f>
        <v/>
      </c>
      <c r="J1085" s="5">
        <f>HYPERLINK("https://map.naver.com/p/search/나성동 829", "지도Link")</f>
        <v/>
      </c>
      <c r="K1085" s="5">
        <f>HYPERLINK("http://www.eum.go.kr/web/ar/lu/luLandDet.jsp?pnu=3611010700108290000&amp;isNoScr=script&amp;mode=search", "토지이음")</f>
        <v/>
      </c>
      <c r="L1085" s="3" t="inlineStr">
        <is>
          <t>채움</t>
        </is>
      </c>
      <c r="M1085" s="3" t="n">
        <v>1</v>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3" t="inlineStr">
        <is>
          <t>맹지</t>
        </is>
      </c>
      <c r="I1086" s="5">
        <f>HYPERLINK("https://fin.land.naver.com/articles/2646691597", "매물Link")</f>
        <v/>
      </c>
      <c r="J1086" s="5">
        <f>HYPERLINK("https://map.naver.com/p/search/나성동 829", "지도Link")</f>
        <v/>
      </c>
      <c r="K1086" s="5">
        <f>HYPERLINK("http://www.eum.go.kr/web/ar/lu/luLandDet.jsp?pnu=3611010700108290000&amp;isNoScr=script&amp;mode=search", "토지이음")</f>
        <v/>
      </c>
      <c r="L1086" s="3" t="inlineStr">
        <is>
          <t>햇살</t>
        </is>
      </c>
      <c r="M1086" s="3" t="n">
        <v>1</v>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3" t="inlineStr">
        <is>
          <t>nan</t>
        </is>
      </c>
      <c r="I1087" s="5">
        <f>HYPERLINK("https://fin.land.naver.com/articles/2646675081", "매물Link")</f>
        <v/>
      </c>
      <c r="J1087" s="5">
        <f>HYPERLINK("https://map.naver.com/p/search/나성동 829", "지도Link")</f>
        <v/>
      </c>
      <c r="K1087" s="5">
        <f>HYPERLINK("http://www.eum.go.kr/web/ar/lu/luLandDet.jsp?pnu=3611010700108290000&amp;isNoScr=script&amp;mode=search", "토지이음")</f>
        <v/>
      </c>
      <c r="L1087" s="3" t="inlineStr">
        <is>
          <t>세상을여는</t>
        </is>
      </c>
      <c r="M1087" s="3" t="n">
        <v>1</v>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3" t="inlineStr">
        <is>
          <t>남청주IC와 가까우며 물류센터, 공장으로 추천, 계획관리지역</t>
        </is>
      </c>
      <c r="I1088" s="5">
        <f>HYPERLINK("https://fin.land.naver.com/articles/2649085194", "매물Link")</f>
        <v/>
      </c>
      <c r="J1088" s="5">
        <f>HYPERLINK("https://map.naver.com/p/search/나성동 829", "지도Link")</f>
        <v/>
      </c>
      <c r="K1088" s="5">
        <f>HYPERLINK("http://www.eum.go.kr/web/ar/lu/luLandDet.jsp?pnu=3611010700108290000&amp;isNoScr=script&amp;mode=search", "토지이음")</f>
        <v/>
      </c>
      <c r="L1088" s="3" t="inlineStr">
        <is>
          <t>(주)미르</t>
        </is>
      </c>
      <c r="M1088" s="3" t="n">
        <v>1</v>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3" t="inlineStr">
        <is>
          <t>가좌삼거리 인접 토목공사완료 제조업인허가완료</t>
        </is>
      </c>
      <c r="I1089" s="5">
        <f>HYPERLINK("https://fin.land.naver.com/articles/2649038884", "매물Link")</f>
        <v/>
      </c>
      <c r="J1089" s="5">
        <f>HYPERLINK("https://map.naver.com/p/search/나성동 829", "지도Link")</f>
        <v/>
      </c>
      <c r="K1089" s="5">
        <f>HYPERLINK("http://www.eum.go.kr/web/ar/lu/luLandDet.jsp?pnu=3611010700108290000&amp;isNoScr=script&amp;mode=search", "토지이음")</f>
        <v/>
      </c>
      <c r="L1089" s="3" t="inlineStr">
        <is>
          <t>더원</t>
        </is>
      </c>
      <c r="M1089" s="3" t="n">
        <v>1</v>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3" t="inlineStr">
        <is>
          <t>남청주ic 3분거리입지최상 대형물류창고 허가득 토목공사조건분할가능</t>
        </is>
      </c>
      <c r="I1090" s="5">
        <f>HYPERLINK("https://fin.land.naver.com/articles/2649015949", "매물Link")</f>
        <v/>
      </c>
      <c r="J1090" s="5">
        <f>HYPERLINK("https://map.naver.com/p/search/나성동 829", "지도Link")</f>
        <v/>
      </c>
      <c r="K1090" s="5">
        <f>HYPERLINK("http://www.eum.go.kr/web/ar/lu/luLandDet.jsp?pnu=3611010700108290000&amp;isNoScr=script&amp;mode=search", "토지이음")</f>
        <v/>
      </c>
      <c r="L1090" s="3" t="inlineStr">
        <is>
          <t>더원</t>
        </is>
      </c>
      <c r="M1090" s="3" t="n">
        <v>1</v>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3" t="inlineStr">
        <is>
          <t>대전 청주간 대로변에 위치,세종 인접지역,제2근생,계획관리,광고효과최상</t>
        </is>
      </c>
      <c r="I1091" s="5">
        <f>HYPERLINK("https://fin.land.naver.com/articles/2648869992", "매물Link")</f>
        <v/>
      </c>
      <c r="J1091" s="5">
        <f>HYPERLINK("https://map.naver.com/p/search/나성동 829", "지도Link")</f>
        <v/>
      </c>
      <c r="K1091" s="5">
        <f>HYPERLINK("http://www.eum.go.kr/web/ar/lu/luLandDet.jsp?pnu=3611010700108290000&amp;isNoScr=script&amp;mode=search", "토지이음")</f>
        <v/>
      </c>
      <c r="L1091" s="3" t="inlineStr">
        <is>
          <t>세종연동탑</t>
        </is>
      </c>
      <c r="M1091" s="3" t="n">
        <v>1</v>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3" t="inlineStr">
        <is>
          <t>남이면 토지 매매</t>
        </is>
      </c>
      <c r="I1092" s="5">
        <f>HYPERLINK("https://fin.land.naver.com/articles/2648217450", "매물Link")</f>
        <v/>
      </c>
      <c r="J1092" s="5">
        <f>HYPERLINK("https://map.naver.com/p/search/나성동 829", "지도Link")</f>
        <v/>
      </c>
      <c r="K1092" s="5">
        <f>HYPERLINK("http://www.eum.go.kr/web/ar/lu/luLandDet.jsp?pnu=3611010700108290000&amp;isNoScr=script&amp;mode=search", "토지이음")</f>
        <v/>
      </c>
      <c r="L1092" s="3" t="inlineStr">
        <is>
          <t>사거리</t>
        </is>
      </c>
      <c r="M1092" s="3" t="n">
        <v>1</v>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3" t="inlineStr">
        <is>
          <t>석판리 소형 토지 매매</t>
        </is>
      </c>
      <c r="I1093" s="5">
        <f>HYPERLINK("https://fin.land.naver.com/articles/2648216416", "매물Link")</f>
        <v/>
      </c>
      <c r="J1093" s="5">
        <f>HYPERLINK("https://map.naver.com/p/search/나성동 829", "지도Link")</f>
        <v/>
      </c>
      <c r="K1093" s="5">
        <f>HYPERLINK("http://www.eum.go.kr/web/ar/lu/luLandDet.jsp?pnu=3611010700108290000&amp;isNoScr=script&amp;mode=search", "토지이음")</f>
        <v/>
      </c>
      <c r="L1093" s="3" t="inlineStr">
        <is>
          <t>사거리</t>
        </is>
      </c>
      <c r="M1093" s="3" t="n">
        <v>1</v>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3" t="inlineStr">
        <is>
          <t>Point 계획관리, 남청주IC 약 3분 이내, 접근성 좋음, 도로 접함</t>
        </is>
      </c>
      <c r="I1094" s="5">
        <f>HYPERLINK("https://fin.land.naver.com/articles/2648115138", "매물Link")</f>
        <v/>
      </c>
      <c r="J1094" s="5">
        <f>HYPERLINK("https://map.naver.com/p/search/나성동 829", "지도Link")</f>
        <v/>
      </c>
      <c r="K1094" s="5">
        <f>HYPERLINK("http://www.eum.go.kr/web/ar/lu/luLandDet.jsp?pnu=3611010700108290000&amp;isNoScr=script&amp;mode=search", "토지이음")</f>
        <v/>
      </c>
      <c r="L1094" s="3" t="inlineStr">
        <is>
          <t>도마호반</t>
        </is>
      </c>
      <c r="M1094" s="3" t="n">
        <v>1</v>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3" t="inlineStr">
        <is>
          <t>3차우회도로 인근 주차장 넓은 대형 음식점</t>
        </is>
      </c>
      <c r="I1095" s="5">
        <f>HYPERLINK("https://fin.land.naver.com/articles/2648082361", "매물Link")</f>
        <v/>
      </c>
      <c r="J1095" s="5">
        <f>HYPERLINK("https://map.naver.com/p/search/나성동 829", "지도Link")</f>
        <v/>
      </c>
      <c r="K1095" s="5">
        <f>HYPERLINK("http://www.eum.go.kr/web/ar/lu/luLandDet.jsp?pnu=3611010700108290000&amp;isNoScr=script&amp;mode=search", "토지이음")</f>
        <v/>
      </c>
      <c r="L1095" s="3" t="inlineStr">
        <is>
          <t>좋은터</t>
        </is>
      </c>
      <c r="M1095" s="3" t="n">
        <v>1</v>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3" t="inlineStr">
        <is>
          <t>남이면 척북리 소재.6미터도로확보.공장 창고 적합지</t>
        </is>
      </c>
      <c r="I1096" s="5">
        <f>HYPERLINK("https://fin.land.naver.com/articles/2646179764", "매물Link")</f>
        <v/>
      </c>
      <c r="J1096" s="5">
        <f>HYPERLINK("https://map.naver.com/p/search/나성동 829", "지도Link")</f>
        <v/>
      </c>
      <c r="K1096" s="5">
        <f>HYPERLINK("http://www.eum.go.kr/web/ar/lu/luLandDet.jsp?pnu=3611010700108290000&amp;isNoScr=script&amp;mode=search", "토지이음")</f>
        <v/>
      </c>
      <c r="L1096" s="3" t="inlineStr">
        <is>
          <t>사랑</t>
        </is>
      </c>
      <c r="M1096" s="3" t="n">
        <v>1</v>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3" t="inlineStr">
        <is>
          <t>청주도심과 가까운곳에 위치해있어 투자가치 있음</t>
        </is>
      </c>
      <c r="I1097" s="5">
        <f>HYPERLINK("https://fin.land.naver.com/articles/2647109798", "매물Link")</f>
        <v/>
      </c>
      <c r="J1097" s="5">
        <f>HYPERLINK("https://map.naver.com/p/search/나성동 829", "지도Link")</f>
        <v/>
      </c>
      <c r="K1097" s="5">
        <f>HYPERLINK("http://www.eum.go.kr/web/ar/lu/luLandDet.jsp?pnu=3611010700108290000&amp;isNoScr=script&amp;mode=search", "토지이음")</f>
        <v/>
      </c>
      <c r="L1097" s="3" t="inlineStr">
        <is>
          <t>사직푸르지오자이</t>
        </is>
      </c>
      <c r="M1097" s="3" t="n">
        <v>1</v>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3" t="inlineStr">
        <is>
          <t>2차선도로접 청주 석곡JC3km 공장 창고추천</t>
        </is>
      </c>
      <c r="I1098" s="5">
        <f>HYPERLINK("https://fin.land.naver.com/articles/2647503362", "매물Link")</f>
        <v/>
      </c>
      <c r="J1098" s="5">
        <f>HYPERLINK("https://map.naver.com/p/search/나성동 829", "지도Link")</f>
        <v/>
      </c>
      <c r="K1098" s="5">
        <f>HYPERLINK("http://www.eum.go.kr/web/ar/lu/luLandDet.jsp?pnu=3611010700108290000&amp;isNoScr=script&amp;mode=search", "토지이음")</f>
        <v/>
      </c>
      <c r="L1098" s="3" t="inlineStr">
        <is>
          <t>청주푸르지오</t>
        </is>
      </c>
      <c r="M1098" s="3" t="n">
        <v>2</v>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3" t="inlineStr">
        <is>
          <t>석판리 창고 용지 매매</t>
        </is>
      </c>
      <c r="I1099" s="5">
        <f>HYPERLINK("https://fin.land.naver.com/articles/2647335341", "매물Link")</f>
        <v/>
      </c>
      <c r="J1099" s="5">
        <f>HYPERLINK("https://map.naver.com/p/search/나성동 829", "지도Link")</f>
        <v/>
      </c>
      <c r="K1099" s="5">
        <f>HYPERLINK("http://www.eum.go.kr/web/ar/lu/luLandDet.jsp?pnu=3611010700108290000&amp;isNoScr=script&amp;mode=search", "토지이음")</f>
        <v/>
      </c>
      <c r="L1099" s="3" t="inlineStr">
        <is>
          <t>사거리</t>
        </is>
      </c>
      <c r="M1099" s="3" t="n">
        <v>1</v>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3" t="inlineStr">
        <is>
          <t>비룡리 토지 매매</t>
        </is>
      </c>
      <c r="I1100" s="5">
        <f>HYPERLINK("https://fin.land.naver.com/articles/2647320178", "매물Link")</f>
        <v/>
      </c>
      <c r="J1100" s="5">
        <f>HYPERLINK("https://map.naver.com/p/search/나성동 829", "지도Link")</f>
        <v/>
      </c>
      <c r="K1100" s="5">
        <f>HYPERLINK("http://www.eum.go.kr/web/ar/lu/luLandDet.jsp?pnu=3611010700108290000&amp;isNoScr=script&amp;mode=search", "토지이음")</f>
        <v/>
      </c>
      <c r="L1100" s="3" t="inlineStr">
        <is>
          <t>사거리</t>
        </is>
      </c>
      <c r="M1100" s="3" t="n">
        <v>1</v>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3" t="inlineStr">
        <is>
          <t>비룡리 토지 매매</t>
        </is>
      </c>
      <c r="I1101" s="5">
        <f>HYPERLINK("https://fin.land.naver.com/articles/2647257274", "매물Link")</f>
        <v/>
      </c>
      <c r="J1101" s="5">
        <f>HYPERLINK("https://map.naver.com/p/search/나성동 829", "지도Link")</f>
        <v/>
      </c>
      <c r="K1101" s="5">
        <f>HYPERLINK("http://www.eum.go.kr/web/ar/lu/luLandDet.jsp?pnu=3611010700108290000&amp;isNoScr=script&amp;mode=search", "토지이음")</f>
        <v/>
      </c>
      <c r="L1101" s="3" t="inlineStr">
        <is>
          <t>사거리</t>
        </is>
      </c>
      <c r="M1101" s="3" t="n">
        <v>1</v>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3" t="inlineStr">
        <is>
          <t>구암리 토지 매매</t>
        </is>
      </c>
      <c r="I1102" s="5">
        <f>HYPERLINK("https://fin.land.naver.com/articles/2647139655", "매물Link")</f>
        <v/>
      </c>
      <c r="J1102" s="5">
        <f>HYPERLINK("https://map.naver.com/p/search/나성동 829", "지도Link")</f>
        <v/>
      </c>
      <c r="K1102" s="5">
        <f>HYPERLINK("http://www.eum.go.kr/web/ar/lu/luLandDet.jsp?pnu=3611010700108290000&amp;isNoScr=script&amp;mode=search", "토지이음")</f>
        <v/>
      </c>
      <c r="L1102" s="3" t="inlineStr">
        <is>
          <t>사거리</t>
        </is>
      </c>
      <c r="M1102" s="3" t="n">
        <v>1</v>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3" t="inlineStr">
        <is>
          <t>석판리 토지 매매</t>
        </is>
      </c>
      <c r="I1103" s="5">
        <f>HYPERLINK("https://fin.land.naver.com/articles/2647139208", "매물Link")</f>
        <v/>
      </c>
      <c r="J1103" s="5">
        <f>HYPERLINK("https://map.naver.com/p/search/나성동 829", "지도Link")</f>
        <v/>
      </c>
      <c r="K1103" s="5">
        <f>HYPERLINK("http://www.eum.go.kr/web/ar/lu/luLandDet.jsp?pnu=3611010700108290000&amp;isNoScr=script&amp;mode=search", "토지이음")</f>
        <v/>
      </c>
      <c r="L1103" s="3" t="inlineStr">
        <is>
          <t>사거리</t>
        </is>
      </c>
      <c r="M1103" s="3" t="n">
        <v>1</v>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3" t="inlineStr">
        <is>
          <t>석판리 토지 매매</t>
        </is>
      </c>
      <c r="I1104" s="5">
        <f>HYPERLINK("https://fin.land.naver.com/articles/2647135792", "매물Link")</f>
        <v/>
      </c>
      <c r="J1104" s="5">
        <f>HYPERLINK("https://map.naver.com/p/search/나성동 829", "지도Link")</f>
        <v/>
      </c>
      <c r="K1104" s="5">
        <f>HYPERLINK("http://www.eum.go.kr/web/ar/lu/luLandDet.jsp?pnu=3611010700108290000&amp;isNoScr=script&amp;mode=search", "토지이음")</f>
        <v/>
      </c>
      <c r="L1104" s="3" t="inlineStr">
        <is>
          <t>사거리</t>
        </is>
      </c>
      <c r="M1104" s="3" t="n">
        <v>1</v>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3" t="inlineStr">
        <is>
          <t>가좌리 단독 주택 토지 매매</t>
        </is>
      </c>
      <c r="I1105" s="5">
        <f>HYPERLINK("https://fin.land.naver.com/articles/2649584175", "매물Link")</f>
        <v/>
      </c>
      <c r="J1105" s="5">
        <f>HYPERLINK("https://map.naver.com/p/search/나성동 829", "지도Link")</f>
        <v/>
      </c>
      <c r="K1105" s="5">
        <f>HYPERLINK("http://www.eum.go.kr/web/ar/lu/luLandDet.jsp?pnu=3611010700108290000&amp;isNoScr=script&amp;mode=search", "토지이음")</f>
        <v/>
      </c>
      <c r="L1105" s="3" t="inlineStr">
        <is>
          <t>사거리</t>
        </is>
      </c>
      <c r="M1105" s="3" t="n">
        <v>1</v>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3" t="inlineStr">
        <is>
          <t>35미터 6차선 대로 접한 토지로서 진입도로 16미터 점용허가 득</t>
        </is>
      </c>
      <c r="I1106" s="5">
        <f>HYPERLINK("https://fin.land.naver.com/articles/2647622622", "매물Link")</f>
        <v/>
      </c>
      <c r="J1106" s="5">
        <f>HYPERLINK("https://map.naver.com/p/search/나성동 829", "지도Link")</f>
        <v/>
      </c>
      <c r="K1106" s="5">
        <f>HYPERLINK("http://www.eum.go.kr/web/ar/lu/luLandDet.jsp?pnu=3611010700108290000&amp;isNoScr=script&amp;mode=search", "토지이음")</f>
        <v/>
      </c>
      <c r="L1106" s="3" t="inlineStr">
        <is>
          <t>가가</t>
        </is>
      </c>
      <c r="M1106" s="3" t="n">
        <v>1</v>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3" t="inlineStr">
        <is>
          <t>4차선도로접</t>
        </is>
      </c>
      <c r="I1107" s="5">
        <f>HYPERLINK("https://fin.land.naver.com/articles/2646010484", "매물Link")</f>
        <v/>
      </c>
      <c r="J1107" s="5">
        <f>HYPERLINK("https://map.naver.com/p/search/나성동 829", "지도Link")</f>
        <v/>
      </c>
      <c r="K1107" s="5">
        <f>HYPERLINK("http://www.eum.go.kr/web/ar/lu/luLandDet.jsp?pnu=3611010700108290000&amp;isNoScr=script&amp;mode=search", "토지이음")</f>
        <v/>
      </c>
      <c r="L1107" s="3" t="inlineStr">
        <is>
          <t>케이투(k2)</t>
        </is>
      </c>
      <c r="M1107" s="3" t="n">
        <v>1</v>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3" t="inlineStr">
        <is>
          <t>nan</t>
        </is>
      </c>
      <c r="I1108" s="5">
        <f>HYPERLINK("https://fin.land.naver.com/articles/2644402189", "매물Link")</f>
        <v/>
      </c>
      <c r="J1108" s="5">
        <f>HYPERLINK("https://map.naver.com/p/search/나성동 829", "지도Link")</f>
        <v/>
      </c>
      <c r="K1108" s="5">
        <f>HYPERLINK("http://www.eum.go.kr/web/ar/lu/luLandDet.jsp?pnu=3611010700108290000&amp;isNoScr=script&amp;mode=search", "토지이음")</f>
        <v/>
      </c>
      <c r="L1108" s="3" t="inlineStr">
        <is>
          <t>대길</t>
        </is>
      </c>
      <c r="M1108" s="3" t="n">
        <v>1</v>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3" t="inlineStr">
        <is>
          <t>성화동 투자용으로 최적 저렴한 가격에 매매 지가 상승및 투자가치 좋은곳</t>
        </is>
      </c>
      <c r="I1109" s="5">
        <f>HYPERLINK("https://fin.land.naver.com/articles/2648875470", "매물Link")</f>
        <v/>
      </c>
      <c r="J1109" s="5">
        <f>HYPERLINK("https://map.naver.com/p/search/나성동 829", "지도Link")</f>
        <v/>
      </c>
      <c r="K1109" s="5">
        <f>HYPERLINK("http://www.eum.go.kr/web/ar/lu/luLandDet.jsp?pnu=3611010700108290000&amp;isNoScr=script&amp;mode=search", "토지이음")</f>
        <v/>
      </c>
      <c r="L1109" s="3" t="inlineStr">
        <is>
          <t>옥산리버자이</t>
        </is>
      </c>
      <c r="M1109" s="3" t="n">
        <v>1</v>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3" t="inlineStr">
        <is>
          <t>nan</t>
        </is>
      </c>
      <c r="I1110" s="5">
        <f>HYPERLINK("https://fin.land.naver.com/articles/2645319693", "매물Link")</f>
        <v/>
      </c>
      <c r="J1110" s="5">
        <f>HYPERLINK("https://map.naver.com/p/search/나성동 829", "지도Link")</f>
        <v/>
      </c>
      <c r="K1110" s="5">
        <f>HYPERLINK("http://www.eum.go.kr/web/ar/lu/luLandDet.jsp?pnu=3611010700108290000&amp;isNoScr=script&amp;mode=search", "토지이음")</f>
        <v/>
      </c>
      <c r="L1110" s="3" t="inlineStr">
        <is>
          <t>케이투(k2)</t>
        </is>
      </c>
      <c r="M1110" s="3" t="n">
        <v>1</v>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3" t="inlineStr">
        <is>
          <t>nan</t>
        </is>
      </c>
      <c r="I1111" s="5">
        <f>HYPERLINK("https://fin.land.naver.com/articles/2645426852", "매물Link")</f>
        <v/>
      </c>
      <c r="J1111" s="5">
        <f>HYPERLINK("https://map.naver.com/p/search/나성동 829", "지도Link")</f>
        <v/>
      </c>
      <c r="K1111" s="5">
        <f>HYPERLINK("http://www.eum.go.kr/web/ar/lu/luLandDet.jsp?pnu=3611010700108290000&amp;isNoScr=script&amp;mode=search", "토지이음")</f>
        <v/>
      </c>
      <c r="L1111" s="3" t="inlineStr">
        <is>
          <t>문화</t>
        </is>
      </c>
      <c r="M1111" s="3" t="n">
        <v>1</v>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3" t="inlineStr">
        <is>
          <t>대단지아파트옆 도로접근성 우수하여 프랜차이즈, 사무실, 애견카페 등 추천</t>
        </is>
      </c>
      <c r="I1112" s="5">
        <f>HYPERLINK("https://fin.land.naver.com/articles/2644147020", "매물Link")</f>
        <v/>
      </c>
      <c r="J1112" s="5">
        <f>HYPERLINK("https://map.naver.com/p/search/나성동 829", "지도Link")</f>
        <v/>
      </c>
      <c r="K1112" s="5">
        <f>HYPERLINK("http://www.eum.go.kr/web/ar/lu/luLandDet.jsp?pnu=3611010700108290000&amp;isNoScr=script&amp;mode=search", "토지이음")</f>
        <v/>
      </c>
      <c r="L1112" s="3" t="inlineStr">
        <is>
          <t>개신푸르지오</t>
        </is>
      </c>
      <c r="M1112" s="3" t="n">
        <v>1</v>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3" t="inlineStr">
        <is>
          <t>2순환로 대로변 접근성 좋은 병원 자동차매장 입지</t>
        </is>
      </c>
      <c r="I1113" s="5">
        <f>HYPERLINK("https://fin.land.naver.com/articles/2648847029", "매물Link")</f>
        <v/>
      </c>
      <c r="J1113" s="5">
        <f>HYPERLINK("https://map.naver.com/p/search/나성동 829", "지도Link")</f>
        <v/>
      </c>
      <c r="K1113" s="5">
        <f>HYPERLINK("http://www.eum.go.kr/web/ar/lu/luLandDet.jsp?pnu=3611010700108290000&amp;isNoScr=script&amp;mode=search", "토지이음")</f>
        <v/>
      </c>
      <c r="L1113" s="3" t="inlineStr">
        <is>
          <t>좋은터</t>
        </is>
      </c>
      <c r="M1113" s="3" t="n">
        <v>1</v>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3" t="inlineStr">
        <is>
          <t>교통량 많은 2차우회도로 4차선변</t>
        </is>
      </c>
      <c r="I1114" s="5">
        <f>HYPERLINK("https://fin.land.naver.com/articles/2648846105", "매물Link")</f>
        <v/>
      </c>
      <c r="J1114" s="5">
        <f>HYPERLINK("https://map.naver.com/p/search/나성동 829", "지도Link")</f>
        <v/>
      </c>
      <c r="K1114" s="5">
        <f>HYPERLINK("http://www.eum.go.kr/web/ar/lu/luLandDet.jsp?pnu=3611010700108290000&amp;isNoScr=script&amp;mode=search", "토지이음")</f>
        <v/>
      </c>
      <c r="L1114" s="3" t="inlineStr">
        <is>
          <t>좋은터</t>
        </is>
      </c>
      <c r="M1114" s="3" t="n">
        <v>1</v>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3" t="inlineStr">
        <is>
          <t>취락지역 4층건물 노인보호시설 강추</t>
        </is>
      </c>
      <c r="I1115" s="5">
        <f>HYPERLINK("https://fin.land.naver.com/articles/2646664333", "매물Link")</f>
        <v/>
      </c>
      <c r="J1115" s="5">
        <f>HYPERLINK("https://map.naver.com/p/search/나성동 829", "지도Link")</f>
        <v/>
      </c>
      <c r="K1115" s="5">
        <f>HYPERLINK("http://www.eum.go.kr/web/ar/lu/luLandDet.jsp?pnu=3611010700108290000&amp;isNoScr=script&amp;mode=search", "토지이음")</f>
        <v/>
      </c>
      <c r="L1115" s="3" t="inlineStr">
        <is>
          <t>좋은터</t>
        </is>
      </c>
      <c r="M1115" s="3" t="n">
        <v>1</v>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3" t="inlineStr">
        <is>
          <t>nan</t>
        </is>
      </c>
      <c r="I1116" s="5">
        <f>HYPERLINK("https://fin.land.naver.com/articles/2649553728", "매물Link")</f>
        <v/>
      </c>
      <c r="J1116" s="5">
        <f>HYPERLINK("https://map.naver.com/p/search/나성동 829", "지도Link")</f>
        <v/>
      </c>
      <c r="K1116" s="5">
        <f>HYPERLINK("http://www.eum.go.kr/web/ar/lu/luLandDet.jsp?pnu=3611010700108290000&amp;isNoScr=script&amp;mode=search", "토지이음")</f>
        <v/>
      </c>
      <c r="L1116" s="3" t="inlineStr">
        <is>
          <t>좋은터</t>
        </is>
      </c>
      <c r="M1116" s="3" t="n">
        <v>1</v>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3" t="inlineStr">
        <is>
          <t>nan</t>
        </is>
      </c>
      <c r="I1117" s="5">
        <f>HYPERLINK("https://fin.land.naver.com/articles/2647468918", "매물Link")</f>
        <v/>
      </c>
      <c r="J1117" s="5">
        <f>HYPERLINK("https://map.naver.com/p/search/나성동 829", "지도Link")</f>
        <v/>
      </c>
      <c r="K1117" s="5">
        <f>HYPERLINK("http://www.eum.go.kr/web/ar/lu/luLandDet.jsp?pnu=3611010700108290000&amp;isNoScr=script&amp;mode=search", "토지이음")</f>
        <v/>
      </c>
      <c r="L1117" s="3" t="inlineStr">
        <is>
          <t>좋은터</t>
        </is>
      </c>
      <c r="M1117" s="3" t="n">
        <v>1</v>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3" t="inlineStr">
        <is>
          <t>토지면적은 총3필지이며 상가와토지 일괄매매임</t>
        </is>
      </c>
      <c r="I1118" s="5">
        <f>HYPERLINK("https://fin.land.naver.com/articles/2645839293", "매물Link")</f>
        <v/>
      </c>
      <c r="J1118" s="5">
        <f>HYPERLINK("https://map.naver.com/p/search/나성동 829", "지도Link")</f>
        <v/>
      </c>
      <c r="K1118" s="5">
        <f>HYPERLINK("http://www.eum.go.kr/web/ar/lu/luLandDet.jsp?pnu=3611010700108290000&amp;isNoScr=script&amp;mode=search", "토지이음")</f>
        <v/>
      </c>
      <c r="L1118" s="3" t="inlineStr">
        <is>
          <t>테크노지웰탑</t>
        </is>
      </c>
      <c r="M1118" s="3" t="n">
        <v>1</v>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3" t="inlineStr">
        <is>
          <t>창고 임대중이며 전을 포함한 평수입니다</t>
        </is>
      </c>
      <c r="I1119" s="5">
        <f>HYPERLINK("https://fin.land.naver.com/articles/2646736063", "매물Link")</f>
        <v/>
      </c>
      <c r="J1119" s="5">
        <f>HYPERLINK("https://map.naver.com/p/search/나성동 829", "지도Link")</f>
        <v/>
      </c>
      <c r="K1119" s="5">
        <f>HYPERLINK("http://www.eum.go.kr/web/ar/lu/luLandDet.jsp?pnu=3611010700108290000&amp;isNoScr=script&amp;mode=search", "토지이음")</f>
        <v/>
      </c>
      <c r="L1119" s="3" t="inlineStr">
        <is>
          <t>금룡</t>
        </is>
      </c>
      <c r="M1119" s="3" t="n">
        <v>1</v>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3" t="inlineStr">
        <is>
          <t>장성동 2순환로 접함  인접지역 장성동 아파트단지 조성 투자및 다용도사용</t>
        </is>
      </c>
      <c r="I1120" s="5">
        <f>HYPERLINK("https://fin.land.naver.com/articles/2648351525", "매물Link")</f>
        <v/>
      </c>
      <c r="J1120" s="5">
        <f>HYPERLINK("https://map.naver.com/p/search/나성동 829", "지도Link")</f>
        <v/>
      </c>
      <c r="K1120" s="5">
        <f>HYPERLINK("http://www.eum.go.kr/web/ar/lu/luLandDet.jsp?pnu=3611010700108290000&amp;isNoScr=script&amp;mode=search", "토지이음")</f>
        <v/>
      </c>
      <c r="L1120" s="3" t="inlineStr">
        <is>
          <t>청와대합동</t>
        </is>
      </c>
      <c r="M1120" s="3" t="n">
        <v>1</v>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3" t="inlineStr">
        <is>
          <t>분필협의</t>
        </is>
      </c>
      <c r="I1121" s="5">
        <f>HYPERLINK("https://fin.land.naver.com/articles/2646949987", "매물Link")</f>
        <v/>
      </c>
      <c r="J1121" s="5">
        <f>HYPERLINK("https://map.naver.com/p/search/나성동 829", "지도Link")</f>
        <v/>
      </c>
      <c r="K1121" s="5">
        <f>HYPERLINK("http://www.eum.go.kr/web/ar/lu/luLandDet.jsp?pnu=3611010700108290000&amp;isNoScr=script&amp;mode=search", "토지이음")</f>
        <v/>
      </c>
      <c r="L1121" s="3" t="inlineStr">
        <is>
          <t>한화</t>
        </is>
      </c>
      <c r="M1121" s="3" t="n">
        <v>1</v>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3" t="inlineStr">
        <is>
          <t>장성동 토지 매매</t>
        </is>
      </c>
      <c r="I1122" s="5">
        <f>HYPERLINK("https://fin.land.naver.com/articles/2644355328", "매물Link")</f>
        <v/>
      </c>
      <c r="J1122" s="5">
        <f>HYPERLINK("https://map.naver.com/p/search/나성동 829", "지도Link")</f>
        <v/>
      </c>
      <c r="K1122" s="5">
        <f>HYPERLINK("http://www.eum.go.kr/web/ar/lu/luLandDet.jsp?pnu=3611010700108290000&amp;isNoScr=script&amp;mode=search", "토지이음")</f>
        <v/>
      </c>
      <c r="L1122" s="3" t="inlineStr">
        <is>
          <t>대한</t>
        </is>
      </c>
      <c r="M1122" s="3" t="n">
        <v>1</v>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3" t="inlineStr">
        <is>
          <t>2.3순환로 신분평개발지구 접근성 좋은 위치의 토지</t>
        </is>
      </c>
      <c r="I1123" s="5">
        <f>HYPERLINK("https://fin.land.naver.com/articles/2649038247", "매물Link")</f>
        <v/>
      </c>
      <c r="J1123" s="5">
        <f>HYPERLINK("https://map.naver.com/p/search/나성동 829", "지도Link")</f>
        <v/>
      </c>
      <c r="K1123" s="5">
        <f>HYPERLINK("http://www.eum.go.kr/web/ar/lu/luLandDet.jsp?pnu=3611010700108290000&amp;isNoScr=script&amp;mode=search", "토지이음")</f>
        <v/>
      </c>
      <c r="L1123" s="3" t="inlineStr">
        <is>
          <t>더원</t>
        </is>
      </c>
      <c r="M1123" s="3" t="n">
        <v>1</v>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3" t="inlineStr">
        <is>
          <t>2.3순환로 접근성 좋은 토지 도시계획도로 착공시 지가 상승</t>
        </is>
      </c>
      <c r="I1124" s="5">
        <f>HYPERLINK("https://fin.land.naver.com/articles/2649020309", "매물Link")</f>
        <v/>
      </c>
      <c r="J1124" s="5">
        <f>HYPERLINK("https://map.naver.com/p/search/나성동 829", "지도Link")</f>
        <v/>
      </c>
      <c r="K1124" s="5">
        <f>HYPERLINK("http://www.eum.go.kr/web/ar/lu/luLandDet.jsp?pnu=3611010700108290000&amp;isNoScr=script&amp;mode=search", "토지이음")</f>
        <v/>
      </c>
      <c r="L1124" s="3" t="inlineStr">
        <is>
          <t>더원</t>
        </is>
      </c>
      <c r="M1124" s="3" t="n">
        <v>1</v>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3" t="inlineStr">
        <is>
          <t>교통량 많은 4차선 대로변</t>
        </is>
      </c>
      <c r="I1125" s="5">
        <f>HYPERLINK("https://fin.land.naver.com/articles/2646077219", "매물Link")</f>
        <v/>
      </c>
      <c r="J1125" s="5">
        <f>HYPERLINK("https://map.naver.com/p/search/나성동 829", "지도Link")</f>
        <v/>
      </c>
      <c r="K1125" s="5">
        <f>HYPERLINK("http://www.eum.go.kr/web/ar/lu/luLandDet.jsp?pnu=3611010700108290000&amp;isNoScr=script&amp;mode=search", "토지이음")</f>
        <v/>
      </c>
      <c r="L1125" s="3" t="inlineStr">
        <is>
          <t>좋은터</t>
        </is>
      </c>
      <c r="M1125" s="3" t="n">
        <v>1</v>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3" t="inlineStr">
        <is>
          <t>진입도로 있어 접근성 우수, 도로 옆 부지로 전원주택, 주말농장 추천</t>
        </is>
      </c>
      <c r="I1126" s="5">
        <f>HYPERLINK("https://fin.land.naver.com/articles/2649561226", "매물Link")</f>
        <v/>
      </c>
      <c r="J1126" s="5">
        <f>HYPERLINK("https://map.naver.com/p/search/나성동 829", "지도Link")</f>
        <v/>
      </c>
      <c r="K1126" s="5">
        <f>HYPERLINK("http://www.eum.go.kr/web/ar/lu/luLandDet.jsp?pnu=3611010700108290000&amp;isNoScr=script&amp;mode=search", "토지이음")</f>
        <v/>
      </c>
      <c r="L1126" s="3" t="inlineStr">
        <is>
          <t>하경</t>
        </is>
      </c>
      <c r="M1126" s="3" t="n">
        <v>1</v>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3" t="inlineStr">
        <is>
          <t>현재 브런치카페 운영중, 다양한업종 가능</t>
        </is>
      </c>
      <c r="I1127" s="5">
        <f>HYPERLINK("https://fin.land.naver.com/articles/2649849680", "매물Link")</f>
        <v/>
      </c>
      <c r="J1127" s="5">
        <f>HYPERLINK("https://map.naver.com/p/search/나성동 829", "지도Link")</f>
        <v/>
      </c>
      <c r="K1127" s="5">
        <f>HYPERLINK("http://www.eum.go.kr/web/ar/lu/luLandDet.jsp?pnu=3611010700108290000&amp;isNoScr=script&amp;mode=search", "토지이음")</f>
        <v/>
      </c>
      <c r="L1127" s="3" t="inlineStr">
        <is>
          <t>뉴스타</t>
        </is>
      </c>
      <c r="M1127" s="3" t="n">
        <v>1</v>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3" t="inlineStr">
        <is>
          <t>nan</t>
        </is>
      </c>
      <c r="I1128" s="5">
        <f>HYPERLINK("https://fin.land.naver.com/articles/2649794531", "매물Link")</f>
        <v/>
      </c>
      <c r="J1128" s="5">
        <f>HYPERLINK("https://map.naver.com/p/search/나성동 829", "지도Link")</f>
        <v/>
      </c>
      <c r="K1128" s="5">
        <f>HYPERLINK("http://www.eum.go.kr/web/ar/lu/luLandDet.jsp?pnu=3611010700108290000&amp;isNoScr=script&amp;mode=search", "토지이음")</f>
        <v/>
      </c>
      <c r="L1128" s="3" t="inlineStr">
        <is>
          <t>바로</t>
        </is>
      </c>
      <c r="M1128" s="3" t="n">
        <v>1</v>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3" t="inlineStr">
        <is>
          <t>반듯한 사각형 모양의 토지임</t>
        </is>
      </c>
      <c r="I1129" s="5">
        <f>HYPERLINK("https://fin.land.naver.com/articles/2649775613", "매물Link")</f>
        <v/>
      </c>
      <c r="J1129" s="5">
        <f>HYPERLINK("https://map.naver.com/p/search/나성동 829", "지도Link")</f>
        <v/>
      </c>
      <c r="K1129" s="5">
        <f>HYPERLINK("http://www.eum.go.kr/web/ar/lu/luLandDet.jsp?pnu=3611010700108290000&amp;isNoScr=script&amp;mode=search", "토지이음")</f>
        <v/>
      </c>
      <c r="L1129" s="3" t="inlineStr">
        <is>
          <t>교차로</t>
        </is>
      </c>
      <c r="M1129" s="3" t="n">
        <v>1</v>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3" t="inlineStr">
        <is>
          <t>2차선도로변 2종근린생활시설로 허가득 제조업 근생가능 식품업종가능</t>
        </is>
      </c>
      <c r="I1130" s="5">
        <f>HYPERLINK("https://fin.land.naver.com/articles/2649682979", "매물Link")</f>
        <v/>
      </c>
      <c r="J1130" s="5">
        <f>HYPERLINK("https://map.naver.com/p/search/나성동 829", "지도Link")</f>
        <v/>
      </c>
      <c r="K1130" s="5">
        <f>HYPERLINK("http://www.eum.go.kr/web/ar/lu/luLandDet.jsp?pnu=3611010700108290000&amp;isNoScr=script&amp;mode=search", "토지이음")</f>
        <v/>
      </c>
      <c r="L1130" s="3" t="inlineStr">
        <is>
          <t>더원</t>
        </is>
      </c>
      <c r="M1130" s="3" t="n">
        <v>1</v>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3" t="inlineStr">
        <is>
          <t>비룡리 토지 매매</t>
        </is>
      </c>
      <c r="I1131" s="5">
        <f>HYPERLINK("https://fin.land.naver.com/articles/2646742989", "매물Link")</f>
        <v/>
      </c>
      <c r="J1131" s="5">
        <f>HYPERLINK("https://map.naver.com/p/search/나성동 829", "지도Link")</f>
        <v/>
      </c>
      <c r="K1131" s="5">
        <f>HYPERLINK("http://www.eum.go.kr/web/ar/lu/luLandDet.jsp?pnu=3611010700108290000&amp;isNoScr=script&amp;mode=search", "토지이음")</f>
        <v/>
      </c>
      <c r="L1131" s="3" t="inlineStr">
        <is>
          <t>사거리</t>
        </is>
      </c>
      <c r="M1131" s="3" t="n">
        <v>1</v>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3" t="inlineStr">
        <is>
          <t>문동리 토지 매매</t>
        </is>
      </c>
      <c r="I1132" s="5">
        <f>HYPERLINK("https://fin.land.naver.com/articles/2646735394", "매물Link")</f>
        <v/>
      </c>
      <c r="J1132" s="5">
        <f>HYPERLINK("https://map.naver.com/p/search/나성동 829", "지도Link")</f>
        <v/>
      </c>
      <c r="K1132" s="5">
        <f>HYPERLINK("http://www.eum.go.kr/web/ar/lu/luLandDet.jsp?pnu=3611010700108290000&amp;isNoScr=script&amp;mode=search", "토지이음")</f>
        <v/>
      </c>
      <c r="L1132" s="3" t="inlineStr">
        <is>
          <t>사거리</t>
        </is>
      </c>
      <c r="M1132" s="3" t="n">
        <v>1</v>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3" t="inlineStr">
        <is>
          <t>2차선 도로변 강내IC 계획관리지역</t>
        </is>
      </c>
      <c r="I1133" s="5">
        <f>HYPERLINK("https://fin.land.naver.com/articles/2645321644", "매물Link")</f>
        <v/>
      </c>
      <c r="J1133" s="5">
        <f>HYPERLINK("https://map.naver.com/p/search/나성동 829", "지도Link")</f>
        <v/>
      </c>
      <c r="K1133" s="5">
        <f>HYPERLINK("http://www.eum.go.kr/web/ar/lu/luLandDet.jsp?pnu=3611010700108290000&amp;isNoScr=script&amp;mode=search", "토지이음")</f>
        <v/>
      </c>
      <c r="L1133" s="3" t="inlineStr">
        <is>
          <t>좋은터</t>
        </is>
      </c>
      <c r="M1133" s="3" t="n">
        <v>1</v>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3" t="inlineStr">
        <is>
          <t>팔봉리 주택지 매매</t>
        </is>
      </c>
      <c r="I1134" s="5">
        <f>HYPERLINK("https://fin.land.naver.com/articles/2645097356", "매물Link")</f>
        <v/>
      </c>
      <c r="J1134" s="5">
        <f>HYPERLINK("https://map.naver.com/p/search/나성동 829", "지도Link")</f>
        <v/>
      </c>
      <c r="K1134" s="5">
        <f>HYPERLINK("http://www.eum.go.kr/web/ar/lu/luLandDet.jsp?pnu=3611010700108290000&amp;isNoScr=script&amp;mode=search", "토지이음")</f>
        <v/>
      </c>
      <c r="L1134" s="3" t="inlineStr">
        <is>
          <t>사거리</t>
        </is>
      </c>
      <c r="M1134" s="3" t="n">
        <v>1</v>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3" t="inlineStr">
        <is>
          <t>땅모양이 좋고 전망이 좋은 위치의 토지임</t>
        </is>
      </c>
      <c r="I1135" s="5">
        <f>HYPERLINK("https://fin.land.naver.com/articles/2644987629", "매물Link")</f>
        <v/>
      </c>
      <c r="J1135" s="5">
        <f>HYPERLINK("https://map.naver.com/p/search/나성동 829", "지도Link")</f>
        <v/>
      </c>
      <c r="K1135" s="5">
        <f>HYPERLINK("http://www.eum.go.kr/web/ar/lu/luLandDet.jsp?pnu=3611010700108290000&amp;isNoScr=script&amp;mode=search", "토지이음")</f>
        <v/>
      </c>
      <c r="L1135" s="3" t="inlineStr">
        <is>
          <t>교차로</t>
        </is>
      </c>
      <c r="M1135" s="3" t="n">
        <v>1</v>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3" t="inlineStr">
        <is>
          <t>접근성 좋은 계획관리지역 분할 가능</t>
        </is>
      </c>
      <c r="I1136" s="5">
        <f>HYPERLINK("https://fin.land.naver.com/articles/2644725596", "매물Link")</f>
        <v/>
      </c>
      <c r="J1136" s="5">
        <f>HYPERLINK("https://map.naver.com/p/search/나성동 829", "지도Link")</f>
        <v/>
      </c>
      <c r="K1136" s="5">
        <f>HYPERLINK("http://www.eum.go.kr/web/ar/lu/luLandDet.jsp?pnu=3611010700108290000&amp;isNoScr=script&amp;mode=search", "토지이음")</f>
        <v/>
      </c>
      <c r="L1136" s="3" t="inlineStr">
        <is>
          <t>좋은터</t>
        </is>
      </c>
      <c r="M1136" s="3" t="n">
        <v>1</v>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3" t="inlineStr">
        <is>
          <t>산소자리로  무진장 좋은곳 입니다</t>
        </is>
      </c>
      <c r="I1137" s="5">
        <f>HYPERLINK("https://fin.land.naver.com/articles/2644422488", "매물Link")</f>
        <v/>
      </c>
      <c r="J1137" s="5">
        <f>HYPERLINK("https://map.naver.com/p/search/나성동 829", "지도Link")</f>
        <v/>
      </c>
      <c r="K1137" s="5">
        <f>HYPERLINK("http://www.eum.go.kr/web/ar/lu/luLandDet.jsp?pnu=3611010700108290000&amp;isNoScr=script&amp;mode=search", "토지이음")</f>
        <v/>
      </c>
      <c r="L1137" s="3" t="inlineStr">
        <is>
          <t>비타민</t>
        </is>
      </c>
      <c r="M1137" s="3" t="n">
        <v>1</v>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3" t="inlineStr">
        <is>
          <t>시멘트 농로 포장도로에 접해있는 출입가능한 낮은야산</t>
        </is>
      </c>
      <c r="I1138" s="5">
        <f>HYPERLINK("https://fin.land.naver.com/articles/2644113761", "매물Link")</f>
        <v/>
      </c>
      <c r="J1138" s="5">
        <f>HYPERLINK("https://map.naver.com/p/search/나성동 829", "지도Link")</f>
        <v/>
      </c>
      <c r="K1138" s="5">
        <f>HYPERLINK("http://www.eum.go.kr/web/ar/lu/luLandDet.jsp?pnu=3611010700108290000&amp;isNoScr=script&amp;mode=search", "토지이음")</f>
        <v/>
      </c>
      <c r="L1138" s="3" t="inlineStr">
        <is>
          <t>부엉이</t>
        </is>
      </c>
      <c r="M1138" s="3" t="n">
        <v>1</v>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3" t="inlineStr">
        <is>
          <t>nan</t>
        </is>
      </c>
      <c r="I1139" s="5">
        <f>HYPERLINK("https://fin.land.naver.com/articles/2643959135", "매물Link")</f>
        <v/>
      </c>
      <c r="J1139" s="5">
        <f>HYPERLINK("https://map.naver.com/p/search/나성동 829", "지도Link")</f>
        <v/>
      </c>
      <c r="K1139" s="5">
        <f>HYPERLINK("http://www.eum.go.kr/web/ar/lu/luLandDet.jsp?pnu=3611010700108290000&amp;isNoScr=script&amp;mode=search", "토지이음")</f>
        <v/>
      </c>
      <c r="L1139" s="3" t="inlineStr">
        <is>
          <t>SB</t>
        </is>
      </c>
      <c r="M1139" s="3" t="n">
        <v>1</v>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3" t="inlineStr">
        <is>
          <t>식품공장, 제조공장 부지</t>
        </is>
      </c>
      <c r="I1140" s="5">
        <f>HYPERLINK("https://fin.land.naver.com/articles/2650191620", "매물Link")</f>
        <v/>
      </c>
      <c r="J1140" s="5">
        <f>HYPERLINK("https://map.naver.com/p/search/나성동 829", "지도Link")</f>
        <v/>
      </c>
      <c r="K1140" s="5">
        <f>HYPERLINK("http://www.eum.go.kr/web/ar/lu/luLandDet.jsp?pnu=3611010700108290000&amp;isNoScr=script&amp;mode=search", "토지이음")</f>
        <v/>
      </c>
      <c r="L1140" s="3" t="inlineStr">
        <is>
          <t>온나라</t>
        </is>
      </c>
      <c r="M1140" s="3" t="n">
        <v>1</v>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3" t="inlineStr">
        <is>
          <t>무인모텔허가필</t>
        </is>
      </c>
      <c r="I1141" s="5">
        <f>HYPERLINK("https://fin.land.naver.com/articles/2650042501", "매물Link")</f>
        <v/>
      </c>
      <c r="J1141" s="5">
        <f>HYPERLINK("https://map.naver.com/p/search/나성동 829", "지도Link")</f>
        <v/>
      </c>
      <c r="K1141" s="5">
        <f>HYPERLINK("http://www.eum.go.kr/web/ar/lu/luLandDet.jsp?pnu=3611010700108290000&amp;isNoScr=script&amp;mode=search", "토지이음")</f>
        <v/>
      </c>
      <c r="L1141" s="3" t="inlineStr">
        <is>
          <t>드림사무소</t>
        </is>
      </c>
      <c r="M1141" s="3" t="n">
        <v>1</v>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3" t="inlineStr">
        <is>
          <t>남청주ic 3분정도 소요되는 토지입니다</t>
        </is>
      </c>
      <c r="I1142" s="5">
        <f>HYPERLINK("https://fin.land.naver.com/articles/2649905761", "매물Link")</f>
        <v/>
      </c>
      <c r="J1142" s="5">
        <f>HYPERLINK("https://map.naver.com/p/search/나성동 829", "지도Link")</f>
        <v/>
      </c>
      <c r="K1142" s="5">
        <f>HYPERLINK("http://www.eum.go.kr/web/ar/lu/luLandDet.jsp?pnu=3611010700108290000&amp;isNoScr=script&amp;mode=search", "토지이음")</f>
        <v/>
      </c>
      <c r="L1142" s="3" t="inlineStr">
        <is>
          <t>복댕이무소</t>
        </is>
      </c>
      <c r="M1142" s="3" t="n">
        <v>1</v>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3" t="inlineStr">
        <is>
          <t>주말농장 추천</t>
        </is>
      </c>
      <c r="I1143" s="5">
        <f>HYPERLINK("https://fin.land.naver.com/articles/2649822193", "매물Link")</f>
        <v/>
      </c>
      <c r="J1143" s="5">
        <f>HYPERLINK("https://map.naver.com/p/search/나성동 829", "지도Link")</f>
        <v/>
      </c>
      <c r="K1143" s="5">
        <f>HYPERLINK("http://www.eum.go.kr/web/ar/lu/luLandDet.jsp?pnu=3611010700108290000&amp;isNoScr=script&amp;mode=search", "토지이음")</f>
        <v/>
      </c>
      <c r="L1143" s="3" t="inlineStr">
        <is>
          <t>갑부</t>
        </is>
      </c>
      <c r="M1143" s="3" t="n">
        <v>2</v>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3" t="inlineStr">
        <is>
          <t>nan</t>
        </is>
      </c>
      <c r="I1144" s="5">
        <f>HYPERLINK("https://fin.land.naver.com/articles/2649775100", "매물Link")</f>
        <v/>
      </c>
      <c r="J1144" s="5">
        <f>HYPERLINK("https://map.naver.com/p/search/나성동 829", "지도Link")</f>
        <v/>
      </c>
      <c r="K1144" s="5">
        <f>HYPERLINK("http://www.eum.go.kr/web/ar/lu/luLandDet.jsp?pnu=3611010700108290000&amp;isNoScr=script&amp;mode=search", "토지이음")</f>
        <v/>
      </c>
      <c r="L1144" s="3" t="inlineStr">
        <is>
          <t>길</t>
        </is>
      </c>
      <c r="M1144" s="3" t="n">
        <v>1</v>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3" t="inlineStr">
        <is>
          <t>nan</t>
        </is>
      </c>
      <c r="I1145" s="5">
        <f>HYPERLINK("https://fin.land.naver.com/articles/2649578327", "매물Link")</f>
        <v/>
      </c>
      <c r="J1145" s="5">
        <f>HYPERLINK("https://map.naver.com/p/search/나성동 829", "지도Link")</f>
        <v/>
      </c>
      <c r="K1145" s="5">
        <f>HYPERLINK("http://www.eum.go.kr/web/ar/lu/luLandDet.jsp?pnu=3611010700108290000&amp;isNoScr=script&amp;mode=search", "토지이음")</f>
        <v/>
      </c>
      <c r="L1145" s="3" t="inlineStr">
        <is>
          <t>덕성</t>
        </is>
      </c>
      <c r="M1145" s="3" t="n">
        <v>1</v>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3" t="inlineStr">
        <is>
          <t>흥덕구청 600미터거리 투자가치 상당함 맹지임</t>
        </is>
      </c>
      <c r="I1146" s="5">
        <f>HYPERLINK("https://fin.land.naver.com/articles/2649923524", "매물Link")</f>
        <v/>
      </c>
      <c r="J1146" s="5">
        <f>HYPERLINK("https://map.naver.com/p/search/나성동 829", "지도Link")</f>
        <v/>
      </c>
      <c r="K1146" s="5">
        <f>HYPERLINK("http://www.eum.go.kr/web/ar/lu/luLandDet.jsp?pnu=3611010700108290000&amp;isNoScr=script&amp;mode=search", "토지이음")</f>
        <v/>
      </c>
      <c r="L1146" s="3" t="inlineStr">
        <is>
          <t>바로</t>
        </is>
      </c>
      <c r="M1146" s="3" t="n">
        <v>1</v>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3" t="inlineStr">
        <is>
          <t>nan</t>
        </is>
      </c>
      <c r="I1147" s="5">
        <f>HYPERLINK("https://fin.land.naver.com/articles/2649240235", "매물Link")</f>
        <v/>
      </c>
      <c r="J1147" s="5">
        <f>HYPERLINK("https://map.naver.com/p/search/나성동 829", "지도Link")</f>
        <v/>
      </c>
      <c r="K1147" s="5">
        <f>HYPERLINK("http://www.eum.go.kr/web/ar/lu/luLandDet.jsp?pnu=3611010700108290000&amp;isNoScr=script&amp;mode=search", "토지이음")</f>
        <v/>
      </c>
      <c r="L1147" s="3" t="inlineStr">
        <is>
          <t>사랑</t>
        </is>
      </c>
      <c r="M1147" s="3" t="n">
        <v>1</v>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3" t="inlineStr">
        <is>
          <t>인허가 완료 산업용지 , I.C 신설 수혜지 ,공장창고 신축 가능</t>
        </is>
      </c>
      <c r="I1148" s="5">
        <f>HYPERLINK("https://fin.land.naver.com/articles/2645488279", "매물Link")</f>
        <v/>
      </c>
      <c r="J1148" s="5">
        <f>HYPERLINK("https://map.naver.com/p/search/나성동 829", "지도Link")</f>
        <v/>
      </c>
      <c r="K1148" s="5">
        <f>HYPERLINK("http://www.eum.go.kr/web/ar/lu/luLandDet.jsp?pnu=3611010700108290000&amp;isNoScr=script&amp;mode=search", "토지이음")</f>
        <v/>
      </c>
      <c r="L1148" s="3" t="inlineStr">
        <is>
          <t>타임합동사무소</t>
        </is>
      </c>
      <c r="M1148" s="3" t="n">
        <v>1</v>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3" t="inlineStr">
        <is>
          <t>주말농장 추천, 농막설치되어 있음</t>
        </is>
      </c>
      <c r="I1149" s="5">
        <f>HYPERLINK("https://fin.land.naver.com/articles/2644772763", "매물Link")</f>
        <v/>
      </c>
      <c r="J1149" s="5">
        <f>HYPERLINK("https://map.naver.com/p/search/나성동 829", "지도Link")</f>
        <v/>
      </c>
      <c r="K1149" s="5">
        <f>HYPERLINK("http://www.eum.go.kr/web/ar/lu/luLandDet.jsp?pnu=3611010700108290000&amp;isNoScr=script&amp;mode=search", "토지이음")</f>
        <v/>
      </c>
      <c r="L1149" s="3" t="inlineStr">
        <is>
          <t>하경</t>
        </is>
      </c>
      <c r="M1149" s="3" t="n">
        <v>1</v>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3" t="inlineStr">
        <is>
          <t>청주시에서 접근성이 좋은 위치에 있는 토지임</t>
        </is>
      </c>
      <c r="I1150" s="5">
        <f>HYPERLINK("https://fin.land.naver.com/articles/2645626978", "매물Link")</f>
        <v/>
      </c>
      <c r="J1150" s="5">
        <f>HYPERLINK("https://map.naver.com/p/search/나성동 829", "지도Link")</f>
        <v/>
      </c>
      <c r="K1150" s="5">
        <f>HYPERLINK("http://www.eum.go.kr/web/ar/lu/luLandDet.jsp?pnu=3611010700108290000&amp;isNoScr=script&amp;mode=search", "토지이음")</f>
        <v/>
      </c>
      <c r="L1150" s="3" t="inlineStr">
        <is>
          <t>교차로</t>
        </is>
      </c>
      <c r="M1150" s="3" t="n">
        <v>1</v>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3" t="inlineStr">
        <is>
          <t>건축허가서 도면 있음,산남동 대원칸타빌 인근의 나대지,3층 이하의 건물</t>
        </is>
      </c>
      <c r="I1151" s="5">
        <f>HYPERLINK("https://fin.land.naver.com/articles/2647622837", "매물Link")</f>
        <v/>
      </c>
      <c r="J1151" s="5">
        <f>HYPERLINK("https://map.naver.com/p/search/나성동 829", "지도Link")</f>
        <v/>
      </c>
      <c r="K1151" s="5">
        <f>HYPERLINK("http://www.eum.go.kr/web/ar/lu/luLandDet.jsp?pnu=3611010700108290000&amp;isNoScr=script&amp;mode=search", "토지이음")</f>
        <v/>
      </c>
      <c r="L1151" s="3" t="inlineStr">
        <is>
          <t>가가</t>
        </is>
      </c>
      <c r="M1151" s="3" t="n">
        <v>3</v>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3" t="inlineStr">
        <is>
          <t>교통량 많은 대로변 양촌3순환 회차로 근교 근생건물</t>
        </is>
      </c>
      <c r="I1152" s="5">
        <f>HYPERLINK("https://fin.land.naver.com/articles/2646667495", "매물Link")</f>
        <v/>
      </c>
      <c r="J1152" s="5">
        <f>HYPERLINK("https://map.naver.com/p/search/나성동 829", "지도Link")</f>
        <v/>
      </c>
      <c r="K1152" s="5">
        <f>HYPERLINK("http://www.eum.go.kr/web/ar/lu/luLandDet.jsp?pnu=3611010700108290000&amp;isNoScr=script&amp;mode=search", "토지이음")</f>
        <v/>
      </c>
      <c r="L1152" s="3" t="inlineStr">
        <is>
          <t>좋은터</t>
        </is>
      </c>
      <c r="M1152" s="3" t="n">
        <v>1</v>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3" t="inlineStr">
        <is>
          <t>투자 및 주말농장으로 활용하실 분 추천</t>
        </is>
      </c>
      <c r="I1153" s="5">
        <f>HYPERLINK("https://fin.land.naver.com/articles/2645848065", "매물Link")</f>
        <v/>
      </c>
      <c r="J1153" s="5">
        <f>HYPERLINK("https://map.naver.com/p/search/나성동 829", "지도Link")</f>
        <v/>
      </c>
      <c r="K1153" s="5">
        <f>HYPERLINK("http://www.eum.go.kr/web/ar/lu/luLandDet.jsp?pnu=3611010700108290000&amp;isNoScr=script&amp;mode=search", "토지이음")</f>
        <v/>
      </c>
      <c r="L1153" s="3" t="inlineStr">
        <is>
          <t>하경</t>
        </is>
      </c>
      <c r="M1153" s="3" t="n">
        <v>1</v>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3" t="inlineStr">
        <is>
          <t>남이면 산막리 작은땅 찾는분환영.주말농장.</t>
        </is>
      </c>
      <c r="I1154" s="5">
        <f>HYPERLINK("https://fin.land.naver.com/articles/2644729311", "매물Link")</f>
        <v/>
      </c>
      <c r="J1154" s="5">
        <f>HYPERLINK("https://map.naver.com/p/search/나성동 829", "지도Link")</f>
        <v/>
      </c>
      <c r="K1154" s="5">
        <f>HYPERLINK("http://www.eum.go.kr/web/ar/lu/luLandDet.jsp?pnu=3611010700108290000&amp;isNoScr=script&amp;mode=search", "토지이음")</f>
        <v/>
      </c>
      <c r="L1154" s="3" t="inlineStr">
        <is>
          <t>사랑</t>
        </is>
      </c>
      <c r="M1154" s="3" t="n">
        <v>1</v>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3" t="inlineStr">
        <is>
          <t>남청주IC 2분거리위치, 토목공사 완료로 매매, 대형물류창고 인,허가</t>
        </is>
      </c>
      <c r="I1155" s="5">
        <f>HYPERLINK("https://fin.land.naver.com/articles/2646385073", "매물Link")</f>
        <v/>
      </c>
      <c r="J1155" s="5">
        <f>HYPERLINK("https://map.naver.com/p/search/나성동 829", "지도Link")</f>
        <v/>
      </c>
      <c r="K1155" s="5">
        <f>HYPERLINK("http://www.eum.go.kr/web/ar/lu/luLandDet.jsp?pnu=3611010700108290000&amp;isNoScr=script&amp;mode=search", "토지이음")</f>
        <v/>
      </c>
      <c r="L1155" s="3" t="inlineStr">
        <is>
          <t>금화랜드</t>
        </is>
      </c>
      <c r="M1155" s="3" t="n">
        <v>1</v>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3" t="inlineStr">
        <is>
          <t>도시지역, 자연녹지지역, 지적도상 도로 있음</t>
        </is>
      </c>
      <c r="I1156" s="5">
        <f>HYPERLINK("https://fin.land.naver.com/articles/2646119732", "매물Link")</f>
        <v/>
      </c>
      <c r="J1156" s="5">
        <f>HYPERLINK("https://map.naver.com/p/search/나성동 829", "지도Link")</f>
        <v/>
      </c>
      <c r="K1156" s="5">
        <f>HYPERLINK("http://www.eum.go.kr/web/ar/lu/luLandDet.jsp?pnu=3611010700108290000&amp;isNoScr=script&amp;mode=search", "토지이음")</f>
        <v/>
      </c>
      <c r="L1156" s="3" t="inlineStr">
        <is>
          <t>하경</t>
        </is>
      </c>
      <c r="M1156" s="3" t="n">
        <v>1</v>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3" t="inlineStr">
        <is>
          <t>프리미엄운동시설을 매매를원하신다면</t>
        </is>
      </c>
      <c r="I1157" s="5">
        <f>HYPERLINK("https://fin.land.naver.com/articles/2645820916", "매물Link")</f>
        <v/>
      </c>
      <c r="J1157" s="5">
        <f>HYPERLINK("https://map.naver.com/p/search/나성동 829", "지도Link")</f>
        <v/>
      </c>
      <c r="K1157" s="5">
        <f>HYPERLINK("http://www.eum.go.kr/web/ar/lu/luLandDet.jsp?pnu=3611010700108290000&amp;isNoScr=script&amp;mode=search", "토지이음")</f>
        <v/>
      </c>
      <c r="L1157" s="3" t="inlineStr">
        <is>
          <t>매물맛집.믿고가는</t>
        </is>
      </c>
      <c r="M1157" s="3" t="n">
        <v>1</v>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3" t="inlineStr">
        <is>
          <t>숲속에 위치한 남향의 토지</t>
        </is>
      </c>
      <c r="I1158" s="5">
        <f>HYPERLINK("https://fin.land.naver.com/articles/2645627396", "매물Link")</f>
        <v/>
      </c>
      <c r="J1158" s="5">
        <f>HYPERLINK("https://map.naver.com/p/search/나성동 829", "지도Link")</f>
        <v/>
      </c>
      <c r="K1158" s="5">
        <f>HYPERLINK("http://www.eum.go.kr/web/ar/lu/luLandDet.jsp?pnu=3611010700108290000&amp;isNoScr=script&amp;mode=search", "토지이음")</f>
        <v/>
      </c>
      <c r="L1158" s="3" t="inlineStr">
        <is>
          <t>교차로</t>
        </is>
      </c>
      <c r="M1158" s="3" t="n">
        <v>1</v>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3" t="inlineStr">
        <is>
          <t>모충대로 인근 및 아파트 밀집지역 주변 토지</t>
        </is>
      </c>
      <c r="I1159" s="5">
        <f>HYPERLINK("https://fin.land.naver.com/articles/2647738156", "매물Link")</f>
        <v/>
      </c>
      <c r="J1159" s="5">
        <f>HYPERLINK("https://map.naver.com/p/search/나성동 829", "지도Link")</f>
        <v/>
      </c>
      <c r="K1159" s="5">
        <f>HYPERLINK("http://www.eum.go.kr/web/ar/lu/luLandDet.jsp?pnu=3611010700108290000&amp;isNoScr=script&amp;mode=search", "토지이음")</f>
        <v/>
      </c>
      <c r="L1159" s="3" t="inlineStr">
        <is>
          <t>좋은</t>
        </is>
      </c>
      <c r="M1159" s="3" t="n">
        <v>1</v>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3" t="inlineStr">
        <is>
          <t>nan</t>
        </is>
      </c>
      <c r="I1160" s="5">
        <f>HYPERLINK("https://fin.land.naver.com/articles/2647012453", "매물Link")</f>
        <v/>
      </c>
      <c r="J1160" s="5">
        <f>HYPERLINK("https://map.naver.com/p/search/나성동 829", "지도Link")</f>
        <v/>
      </c>
      <c r="K1160" s="5">
        <f>HYPERLINK("http://www.eum.go.kr/web/ar/lu/luLandDet.jsp?pnu=3611010700108290000&amp;isNoScr=script&amp;mode=search", "토지이음")</f>
        <v/>
      </c>
      <c r="L1160" s="3" t="inlineStr">
        <is>
          <t>가온</t>
        </is>
      </c>
      <c r="M1160" s="3" t="n">
        <v>1</v>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3" t="inlineStr">
        <is>
          <t>상업지역이며 오피스텔부지적함</t>
        </is>
      </c>
      <c r="I1161" s="5">
        <f>HYPERLINK("https://fin.land.naver.com/articles/2647181493", "매물Link")</f>
        <v/>
      </c>
      <c r="J1161" s="5">
        <f>HYPERLINK("https://map.naver.com/p/search/나성동 829", "지도Link")</f>
        <v/>
      </c>
      <c r="K1161" s="5">
        <f>HYPERLINK("http://www.eum.go.kr/web/ar/lu/luLandDet.jsp?pnu=3611010700108290000&amp;isNoScr=script&amp;mode=search", "토지이음")</f>
        <v/>
      </c>
      <c r="L1161" s="3" t="inlineStr">
        <is>
          <t>권덕사무소</t>
        </is>
      </c>
      <c r="M1161" s="3" t="n">
        <v>1</v>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3" t="inlineStr">
        <is>
          <t>4차선에접하고현재성토작업을완료하여전축하기용이함</t>
        </is>
      </c>
      <c r="I1162" s="5">
        <f>HYPERLINK("https://fin.land.naver.com/articles/2647784586", "매물Link")</f>
        <v/>
      </c>
      <c r="J1162" s="5">
        <f>HYPERLINK("https://map.naver.com/p/search/나성동 829", "지도Link")</f>
        <v/>
      </c>
      <c r="K1162" s="5">
        <f>HYPERLINK("http://www.eum.go.kr/web/ar/lu/luLandDet.jsp?pnu=3611010700108290000&amp;isNoScr=script&amp;mode=search", "토지이음")</f>
        <v/>
      </c>
      <c r="L1162" s="3" t="inlineStr">
        <is>
          <t>성안길</t>
        </is>
      </c>
      <c r="M1162" s="3" t="n">
        <v>1</v>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3" t="inlineStr">
        <is>
          <t>도로에 접한 나지막한 임야</t>
        </is>
      </c>
      <c r="I1163" s="5">
        <f>HYPERLINK("https://fin.land.naver.com/articles/2647756078", "매물Link")</f>
        <v/>
      </c>
      <c r="J1163" s="5">
        <f>HYPERLINK("https://map.naver.com/p/search/나성동 829", "지도Link")</f>
        <v/>
      </c>
      <c r="K1163" s="5">
        <f>HYPERLINK("http://www.eum.go.kr/web/ar/lu/luLandDet.jsp?pnu=3611010700108290000&amp;isNoScr=script&amp;mode=search", "토지이음")</f>
        <v/>
      </c>
      <c r="L1163" s="3" t="inlineStr">
        <is>
          <t>굿모닝  사무소</t>
        </is>
      </c>
      <c r="M1163" s="3" t="n">
        <v>1</v>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3" t="inlineStr">
        <is>
          <t>농지매매, 대토, 투자용추천, 절충가능</t>
        </is>
      </c>
      <c r="I1164" s="5">
        <f>HYPERLINK("https://fin.land.naver.com/articles/2647755755", "매물Link")</f>
        <v/>
      </c>
      <c r="J1164" s="5">
        <f>HYPERLINK("https://map.naver.com/p/search/나성동 829", "지도Link")</f>
        <v/>
      </c>
      <c r="K1164" s="5">
        <f>HYPERLINK("http://www.eum.go.kr/web/ar/lu/luLandDet.jsp?pnu=3611010700108290000&amp;isNoScr=script&amp;mode=search", "토지이음")</f>
        <v/>
      </c>
      <c r="L1164" s="3" t="inlineStr">
        <is>
          <t>굿모닝  사무소</t>
        </is>
      </c>
      <c r="M1164" s="3" t="n">
        <v>1</v>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3" t="inlineStr">
        <is>
          <t>도심에서 멀지않은 곳에 도로에 접한 대지와 전으로 카페나 농장에 적합</t>
        </is>
      </c>
      <c r="I1165" s="5">
        <f>HYPERLINK("https://fin.land.naver.com/articles/2647753633", "매물Link")</f>
        <v/>
      </c>
      <c r="J1165" s="5">
        <f>HYPERLINK("https://map.naver.com/p/search/나성동 829", "지도Link")</f>
        <v/>
      </c>
      <c r="K1165" s="5">
        <f>HYPERLINK("http://www.eum.go.kr/web/ar/lu/luLandDet.jsp?pnu=3611010700108290000&amp;isNoScr=script&amp;mode=search", "토지이음")</f>
        <v/>
      </c>
      <c r="L1165" s="3" t="inlineStr">
        <is>
          <t>굿모닝  사무소</t>
        </is>
      </c>
      <c r="M1165" s="3" t="n">
        <v>1</v>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3" t="inlineStr">
        <is>
          <t>2차선 도로에 접한 대지임.</t>
        </is>
      </c>
      <c r="I1166" s="5">
        <f>HYPERLINK("https://fin.land.naver.com/articles/2647430640", "매물Link")</f>
        <v/>
      </c>
      <c r="J1166" s="5">
        <f>HYPERLINK("https://map.naver.com/p/search/나성동 829", "지도Link")</f>
        <v/>
      </c>
      <c r="K1166" s="5">
        <f>HYPERLINK("http://www.eum.go.kr/web/ar/lu/luLandDet.jsp?pnu=3611010700108290000&amp;isNoScr=script&amp;mode=search", "토지이음")</f>
        <v/>
      </c>
      <c r="L1166" s="3" t="inlineStr">
        <is>
          <t>교차로</t>
        </is>
      </c>
      <c r="M1166" s="3" t="n">
        <v>1</v>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3" t="inlineStr">
        <is>
          <t>상대리 나대지 전원주택가능</t>
        </is>
      </c>
      <c r="I1167" s="5">
        <f>HYPERLINK("https://fin.land.naver.com/articles/2647427573", "매물Link")</f>
        <v/>
      </c>
      <c r="J1167" s="5">
        <f>HYPERLINK("https://map.naver.com/p/search/나성동 829", "지도Link")</f>
        <v/>
      </c>
      <c r="K1167" s="5">
        <f>HYPERLINK("http://www.eum.go.kr/web/ar/lu/luLandDet.jsp?pnu=3611010700108290000&amp;isNoScr=script&amp;mode=search", "토지이음")</f>
        <v/>
      </c>
      <c r="L1167" s="3" t="inlineStr">
        <is>
          <t>가야</t>
        </is>
      </c>
      <c r="M1167" s="3" t="n">
        <v>1</v>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3" t="inlineStr">
        <is>
          <t>2차선 도로에 접한 토지로 조용하고 아늑한 분위기로 접근성이 좋습니다.</t>
        </is>
      </c>
      <c r="I1168" s="5">
        <f>HYPERLINK("https://fin.land.naver.com/articles/2647077246", "매물Link")</f>
        <v/>
      </c>
      <c r="J1168" s="5">
        <f>HYPERLINK("https://map.naver.com/p/search/나성동 829", "지도Link")</f>
        <v/>
      </c>
      <c r="K1168" s="5">
        <f>HYPERLINK("http://www.eum.go.kr/web/ar/lu/luLandDet.jsp?pnu=3611010700108290000&amp;isNoScr=script&amp;mode=search", "토지이음")</f>
        <v/>
      </c>
      <c r="L1168" s="3" t="inlineStr">
        <is>
          <t>지구촌무소</t>
        </is>
      </c>
      <c r="M1168" s="3" t="n">
        <v>1</v>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3" t="inlineStr">
        <is>
          <t>낮은 산아래위치한 토지</t>
        </is>
      </c>
      <c r="I1169" s="5">
        <f>HYPERLINK("https://fin.land.naver.com/articles/2646981267", "매물Link")</f>
        <v/>
      </c>
      <c r="J1169" s="5">
        <f>HYPERLINK("https://map.naver.com/p/search/나성동 829", "지도Link")</f>
        <v/>
      </c>
      <c r="K1169" s="5">
        <f>HYPERLINK("http://www.eum.go.kr/web/ar/lu/luLandDet.jsp?pnu=3611010700108290000&amp;isNoScr=script&amp;mode=search", "토지이음")</f>
        <v/>
      </c>
      <c r="L1169" s="3" t="inlineStr">
        <is>
          <t>채움</t>
        </is>
      </c>
      <c r="M1169" s="3" t="n">
        <v>1</v>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3" t="inlineStr">
        <is>
          <t>청주시 가덕면 계산리 단재고등학교인근 삼거리접 토지급매</t>
        </is>
      </c>
      <c r="I1170" s="5">
        <f>HYPERLINK("https://fin.land.naver.com/articles/2646081913", "매물Link")</f>
        <v/>
      </c>
      <c r="J1170" s="5">
        <f>HYPERLINK("https://map.naver.com/p/search/나성동 829", "지도Link")</f>
        <v/>
      </c>
      <c r="K1170" s="5">
        <f>HYPERLINK("http://www.eum.go.kr/web/ar/lu/luLandDet.jsp?pnu=3611010700108290000&amp;isNoScr=script&amp;mode=search", "토지이음")</f>
        <v/>
      </c>
      <c r="L1170" s="3" t="inlineStr">
        <is>
          <t>땅야박영수사무소</t>
        </is>
      </c>
      <c r="M1170" s="3" t="n">
        <v>1</v>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3" t="inlineStr">
        <is>
          <t>nan</t>
        </is>
      </c>
      <c r="I1171" s="5">
        <f>HYPERLINK("https://fin.land.naver.com/articles/2645823459", "매물Link")</f>
        <v/>
      </c>
      <c r="J1171" s="5">
        <f>HYPERLINK("https://map.naver.com/p/search/나성동 829", "지도Link")</f>
        <v/>
      </c>
      <c r="K1171" s="5">
        <f>HYPERLINK("http://www.eum.go.kr/web/ar/lu/luLandDet.jsp?pnu=3611010700108290000&amp;isNoScr=script&amp;mode=search", "토지이음")</f>
        <v/>
      </c>
      <c r="L1171" s="3" t="inlineStr">
        <is>
          <t>청설</t>
        </is>
      </c>
      <c r="M1171" s="3" t="n">
        <v>1</v>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3" t="inlineStr">
        <is>
          <t>nan</t>
        </is>
      </c>
      <c r="I1172" s="5">
        <f>HYPERLINK("https://fin.land.naver.com/articles/2645591580", "매물Link")</f>
        <v/>
      </c>
      <c r="J1172" s="5">
        <f>HYPERLINK("https://map.naver.com/p/search/나성동 829", "지도Link")</f>
        <v/>
      </c>
      <c r="K1172" s="5">
        <f>HYPERLINK("http://www.eum.go.kr/web/ar/lu/luLandDet.jsp?pnu=3611010700108290000&amp;isNoScr=script&amp;mode=search", "토지이음")</f>
        <v/>
      </c>
      <c r="L1172" s="3" t="inlineStr">
        <is>
          <t>빅토리아</t>
        </is>
      </c>
      <c r="M1172" s="3" t="n">
        <v>1</v>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3" t="inlineStr">
        <is>
          <t>nan</t>
        </is>
      </c>
      <c r="I1173" s="5">
        <f>HYPERLINK("https://fin.land.naver.com/articles/2645479165", "매물Link")</f>
        <v/>
      </c>
      <c r="J1173" s="5">
        <f>HYPERLINK("https://map.naver.com/p/search/나성동 829", "지도Link")</f>
        <v/>
      </c>
      <c r="K1173" s="5">
        <f>HYPERLINK("http://www.eum.go.kr/web/ar/lu/luLandDet.jsp?pnu=3611010700108290000&amp;isNoScr=script&amp;mode=search", "토지이음")</f>
        <v/>
      </c>
      <c r="L1173" s="3" t="inlineStr">
        <is>
          <t>규담무소</t>
        </is>
      </c>
      <c r="M1173" s="3" t="n">
        <v>1</v>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3" t="inlineStr">
        <is>
          <t>청주시 가덕면 노동리 2차선 도로접,도시지역 생산녹지</t>
        </is>
      </c>
      <c r="I1174" s="5">
        <f>HYPERLINK("https://fin.land.naver.com/articles/2644492241", "매물Link")</f>
        <v/>
      </c>
      <c r="J1174" s="5">
        <f>HYPERLINK("https://map.naver.com/p/search/나성동 829", "지도Link")</f>
        <v/>
      </c>
      <c r="K1174" s="5">
        <f>HYPERLINK("http://www.eum.go.kr/web/ar/lu/luLandDet.jsp?pnu=3611010700108290000&amp;isNoScr=script&amp;mode=search", "토지이음")</f>
        <v/>
      </c>
      <c r="L1174" s="3" t="inlineStr">
        <is>
          <t>좋은선택</t>
        </is>
      </c>
      <c r="M1174" s="3" t="n">
        <v>1</v>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3" t="inlineStr">
        <is>
          <t>가덕면사무소 인근 공장허가 용지 매매</t>
        </is>
      </c>
      <c r="I1175" s="5">
        <f>HYPERLINK("https://fin.land.naver.com/articles/2644355543", "매물Link")</f>
        <v/>
      </c>
      <c r="J1175" s="5">
        <f>HYPERLINK("https://map.naver.com/p/search/나성동 829", "지도Link")</f>
        <v/>
      </c>
      <c r="K1175" s="5">
        <f>HYPERLINK("http://www.eum.go.kr/web/ar/lu/luLandDet.jsp?pnu=3611010700108290000&amp;isNoScr=script&amp;mode=search", "토지이음")</f>
        <v/>
      </c>
      <c r="L1175" s="3" t="inlineStr">
        <is>
          <t>대한</t>
        </is>
      </c>
      <c r="M1175" s="3" t="n">
        <v>1</v>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3" t="inlineStr">
        <is>
          <t>가덕면 한계리 토지매매</t>
        </is>
      </c>
      <c r="I1176" s="5">
        <f>HYPERLINK("https://fin.land.naver.com/articles/2644337741", "매물Link")</f>
        <v/>
      </c>
      <c r="J1176" s="5">
        <f>HYPERLINK("https://map.naver.com/p/search/나성동 829", "지도Link")</f>
        <v/>
      </c>
      <c r="K1176" s="5">
        <f>HYPERLINK("http://www.eum.go.kr/web/ar/lu/luLandDet.jsp?pnu=3611010700108290000&amp;isNoScr=script&amp;mode=search", "토지이음")</f>
        <v/>
      </c>
      <c r="L1176" s="3" t="inlineStr">
        <is>
          <t>세원</t>
        </is>
      </c>
      <c r="M1176" s="3" t="n">
        <v>1</v>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3" t="inlineStr">
        <is>
          <t>내암리 전 매매,과실수 있음,콘테이너,주말 농장추천</t>
        </is>
      </c>
      <c r="I1177" s="5">
        <f>HYPERLINK("https://fin.land.naver.com/articles/2644217139", "매물Link")</f>
        <v/>
      </c>
      <c r="J1177" s="5">
        <f>HYPERLINK("https://map.naver.com/p/search/나성동 829", "지도Link")</f>
        <v/>
      </c>
      <c r="K1177" s="5">
        <f>HYPERLINK("http://www.eum.go.kr/web/ar/lu/luLandDet.jsp?pnu=3611010700108290000&amp;isNoScr=script&amp;mode=search", "토지이음")</f>
        <v/>
      </c>
      <c r="L1177" s="3" t="inlineStr">
        <is>
          <t>금탑</t>
        </is>
      </c>
      <c r="M1177" s="3" t="n">
        <v>1</v>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3" t="inlineStr">
        <is>
          <t>충북과학고부근으로  주택을 지어도되고 농막.주말쉼터적합.전망좋아요</t>
        </is>
      </c>
      <c r="I1178" s="5">
        <f>HYPERLINK("https://fin.land.naver.com/articles/2649501697", "매물Link")</f>
        <v/>
      </c>
      <c r="J1178" s="5">
        <f>HYPERLINK("https://map.naver.com/p/search/나성동 829", "지도Link")</f>
        <v/>
      </c>
      <c r="K1178" s="5">
        <f>HYPERLINK("http://www.eum.go.kr/web/ar/lu/luLandDet.jsp?pnu=3611010700108290000&amp;isNoScr=script&amp;mode=search", "토지이음")</f>
        <v/>
      </c>
      <c r="L1178" s="3" t="inlineStr">
        <is>
          <t>사랑</t>
        </is>
      </c>
      <c r="M1178" s="3" t="n">
        <v>1</v>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3" t="inlineStr">
        <is>
          <t>가좌삼거리에 1.8km 청주시내권 접근성 좋은 위치의 전원주택지</t>
        </is>
      </c>
      <c r="I1179" s="5">
        <f>HYPERLINK("https://fin.land.naver.com/articles/2649683543", "매물Link")</f>
        <v/>
      </c>
      <c r="J1179" s="5">
        <f>HYPERLINK("https://map.naver.com/p/search/나성동 829", "지도Link")</f>
        <v/>
      </c>
      <c r="K1179" s="5">
        <f>HYPERLINK("http://www.eum.go.kr/web/ar/lu/luLandDet.jsp?pnu=3611010700108290000&amp;isNoScr=script&amp;mode=search", "토지이음")</f>
        <v/>
      </c>
      <c r="L1179" s="3" t="inlineStr">
        <is>
          <t>더원</t>
        </is>
      </c>
      <c r="M1179" s="3" t="n">
        <v>1</v>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3" t="inlineStr">
        <is>
          <t>청주 3순환로 인근 자연취락지구내 토지</t>
        </is>
      </c>
      <c r="I1180" s="5">
        <f>HYPERLINK("https://fin.land.naver.com/articles/2647794225", "매물Link")</f>
        <v/>
      </c>
      <c r="J1180" s="5">
        <f>HYPERLINK("https://map.naver.com/p/search/나성동 829", "지도Link")</f>
        <v/>
      </c>
      <c r="K1180" s="5">
        <f>HYPERLINK("http://www.eum.go.kr/web/ar/lu/luLandDet.jsp?pnu=3611010700108290000&amp;isNoScr=script&amp;mode=search", "토지이음")</f>
        <v/>
      </c>
      <c r="L1180" s="3" t="inlineStr">
        <is>
          <t>좋은</t>
        </is>
      </c>
      <c r="M1180" s="3" t="n">
        <v>1</v>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3" t="inlineStr">
        <is>
          <t>청주 상당구청 인근 3순환로 진출입로 근접한 토지</t>
        </is>
      </c>
      <c r="I1181" s="5">
        <f>HYPERLINK("https://fin.land.naver.com/articles/2647772594", "매물Link")</f>
        <v/>
      </c>
      <c r="J1181" s="5">
        <f>HYPERLINK("https://map.naver.com/p/search/나성동 829", "지도Link")</f>
        <v/>
      </c>
      <c r="K1181" s="5">
        <f>HYPERLINK("http://www.eum.go.kr/web/ar/lu/luLandDet.jsp?pnu=3611010700108290000&amp;isNoScr=script&amp;mode=search", "토지이음")</f>
        <v/>
      </c>
      <c r="L1181" s="3" t="inlineStr">
        <is>
          <t>좋은</t>
        </is>
      </c>
      <c r="M1181" s="3" t="n">
        <v>1</v>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3" t="inlineStr">
        <is>
          <t>효촌고은삼거리방향 단재302로 인근 자연녹지</t>
        </is>
      </c>
      <c r="I1182" s="5">
        <f>HYPERLINK("https://fin.land.naver.com/articles/2647769360", "매물Link")</f>
        <v/>
      </c>
      <c r="J1182" s="5">
        <f>HYPERLINK("https://map.naver.com/p/search/나성동 829", "지도Link")</f>
        <v/>
      </c>
      <c r="K1182" s="5">
        <f>HYPERLINK("http://www.eum.go.kr/web/ar/lu/luLandDet.jsp?pnu=3611010700108290000&amp;isNoScr=script&amp;mode=search", "토지이음")</f>
        <v/>
      </c>
      <c r="L1182" s="3" t="inlineStr">
        <is>
          <t>좋은</t>
        </is>
      </c>
      <c r="M1182" s="3" t="n">
        <v>1</v>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3" t="inlineStr">
        <is>
          <t>nan</t>
        </is>
      </c>
      <c r="I1183" s="5">
        <f>HYPERLINK("https://fin.land.naver.com/articles/2647420717", "매물Link")</f>
        <v/>
      </c>
      <c r="J1183" s="5">
        <f>HYPERLINK("https://map.naver.com/p/search/나성동 829", "지도Link")</f>
        <v/>
      </c>
      <c r="K1183" s="5">
        <f>HYPERLINK("http://www.eum.go.kr/web/ar/lu/luLandDet.jsp?pnu=3611010700108290000&amp;isNoScr=script&amp;mode=search", "토지이음")</f>
        <v/>
      </c>
      <c r="L1183" s="3" t="inlineStr">
        <is>
          <t>명문</t>
        </is>
      </c>
      <c r="M1183" s="3" t="n">
        <v>1</v>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3" t="inlineStr">
        <is>
          <t>nan</t>
        </is>
      </c>
      <c r="I1184" s="5">
        <f>HYPERLINK("https://fin.land.naver.com/articles/2646980672", "매물Link")</f>
        <v/>
      </c>
      <c r="J1184" s="5">
        <f>HYPERLINK("https://map.naver.com/p/search/나성동 829", "지도Link")</f>
        <v/>
      </c>
      <c r="K1184" s="5">
        <f>HYPERLINK("http://www.eum.go.kr/web/ar/lu/luLandDet.jsp?pnu=3611010700108290000&amp;isNoScr=script&amp;mode=search", "토지이음")</f>
        <v/>
      </c>
      <c r="L1184" s="3" t="inlineStr">
        <is>
          <t>명품 사무소</t>
        </is>
      </c>
      <c r="M1184" s="3" t="n">
        <v>1</v>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3" t="inlineStr">
        <is>
          <t>4차선대로변 광고효과 좋음 소규모 창고 소매점등 추천</t>
        </is>
      </c>
      <c r="I1185" s="5">
        <f>HYPERLINK("https://fin.land.naver.com/articles/2646670229", "매물Link")</f>
        <v/>
      </c>
      <c r="J1185" s="5">
        <f>HYPERLINK("https://map.naver.com/p/search/나성동 829", "지도Link")</f>
        <v/>
      </c>
      <c r="K1185" s="5">
        <f>HYPERLINK("http://www.eum.go.kr/web/ar/lu/luLandDet.jsp?pnu=3611010700108290000&amp;isNoScr=script&amp;mode=search", "토지이음")</f>
        <v/>
      </c>
      <c r="L1185" s="3" t="inlineStr">
        <is>
          <t>더원</t>
        </is>
      </c>
      <c r="M1185" s="3" t="n">
        <v>1</v>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3" t="inlineStr">
        <is>
          <t>현2차선 접, 4차선 확장예정 보상완료</t>
        </is>
      </c>
      <c r="I1186" s="5">
        <f>HYPERLINK("https://fin.land.naver.com/articles/2646139161", "매물Link")</f>
        <v/>
      </c>
      <c r="J1186" s="5">
        <f>HYPERLINK("https://map.naver.com/p/search/나성동 829", "지도Link")</f>
        <v/>
      </c>
      <c r="K1186" s="5">
        <f>HYPERLINK("http://www.eum.go.kr/web/ar/lu/luLandDet.jsp?pnu=3611010700108290000&amp;isNoScr=script&amp;mode=search", "토지이음")</f>
        <v/>
      </c>
      <c r="L1186" s="3" t="inlineStr">
        <is>
          <t>좋은터</t>
        </is>
      </c>
      <c r="M1186" s="3" t="n">
        <v>1</v>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3" t="inlineStr">
        <is>
          <t>현2차선, 바로 4차선 확장예정 유명 음식점 밀집</t>
        </is>
      </c>
      <c r="I1187" s="5">
        <f>HYPERLINK("https://fin.land.naver.com/articles/2646137870", "매물Link")</f>
        <v/>
      </c>
      <c r="J1187" s="5">
        <f>HYPERLINK("https://map.naver.com/p/search/나성동 829", "지도Link")</f>
        <v/>
      </c>
      <c r="K1187" s="5">
        <f>HYPERLINK("http://www.eum.go.kr/web/ar/lu/luLandDet.jsp?pnu=3611010700108290000&amp;isNoScr=script&amp;mode=search", "토지이음")</f>
        <v/>
      </c>
      <c r="L1187" s="3" t="inlineStr">
        <is>
          <t>좋은터</t>
        </is>
      </c>
      <c r="M1187" s="3" t="n">
        <v>1</v>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3" t="inlineStr">
        <is>
          <t>1282 충북과학고등학교인근, 밭으로이용중, 주말농장가능</t>
        </is>
      </c>
      <c r="I1188" s="5">
        <f>HYPERLINK("https://fin.land.naver.com/articles/2648135384", "매물Link")</f>
        <v/>
      </c>
      <c r="J1188" s="5">
        <f>HYPERLINK("https://map.naver.com/p/search/나성동 829", "지도Link")</f>
        <v/>
      </c>
      <c r="K1188" s="5">
        <f>HYPERLINK("http://www.eum.go.kr/web/ar/lu/luLandDet.jsp?pnu=3611010700108290000&amp;isNoScr=script&amp;mode=search", "토지이음")</f>
        <v/>
      </c>
      <c r="L1188" s="3" t="inlineStr">
        <is>
          <t>길</t>
        </is>
      </c>
      <c r="M1188" s="3" t="n">
        <v>1</v>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3" t="inlineStr">
        <is>
          <t>nan</t>
        </is>
      </c>
      <c r="I1189" s="5">
        <f>HYPERLINK("https://fin.land.naver.com/articles/2648165694", "매물Link")</f>
        <v/>
      </c>
      <c r="J1189" s="5">
        <f>HYPERLINK("https://map.naver.com/p/search/나성동 829", "지도Link")</f>
        <v/>
      </c>
      <c r="K1189" s="5">
        <f>HYPERLINK("http://www.eum.go.kr/web/ar/lu/luLandDet.jsp?pnu=3611010700108290000&amp;isNoScr=script&amp;mode=search", "토지이음")</f>
        <v/>
      </c>
      <c r="L1189" s="3" t="inlineStr">
        <is>
          <t>주성</t>
        </is>
      </c>
      <c r="M1189" s="3" t="n">
        <v>1</v>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3" t="inlineStr">
        <is>
          <t>nan</t>
        </is>
      </c>
      <c r="I1190" s="5">
        <f>HYPERLINK("https://fin.land.naver.com/articles/2648519688", "매물Link")</f>
        <v/>
      </c>
      <c r="J1190" s="5">
        <f>HYPERLINK("https://map.naver.com/p/search/나성동 829", "지도Link")</f>
        <v/>
      </c>
      <c r="K1190" s="5">
        <f>HYPERLINK("http://www.eum.go.kr/web/ar/lu/luLandDet.jsp?pnu=3611010700108290000&amp;isNoScr=script&amp;mode=search", "토지이음")</f>
        <v/>
      </c>
      <c r="L1190" s="3" t="inlineStr">
        <is>
          <t>용암탑 사무소</t>
        </is>
      </c>
      <c r="M1190" s="3" t="n">
        <v>1</v>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3" t="inlineStr">
        <is>
          <t>2차선근접,주말농장,산소자리</t>
        </is>
      </c>
      <c r="I1191" s="5">
        <f>HYPERLINK("https://fin.land.naver.com/articles/2648595983", "매물Link")</f>
        <v/>
      </c>
      <c r="J1191" s="5">
        <f>HYPERLINK("https://map.naver.com/p/search/나성동 829", "지도Link")</f>
        <v/>
      </c>
      <c r="K1191" s="5">
        <f>HYPERLINK("http://www.eum.go.kr/web/ar/lu/luLandDet.jsp?pnu=3611010700108290000&amp;isNoScr=script&amp;mode=search", "토지이음")</f>
        <v/>
      </c>
      <c r="L1191" s="3" t="inlineStr">
        <is>
          <t>창조</t>
        </is>
      </c>
      <c r="M1191" s="3" t="n">
        <v>1</v>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3" t="inlineStr">
        <is>
          <t>투자용 평지 전으로 사용중</t>
        </is>
      </c>
      <c r="I1192" s="5">
        <f>HYPERLINK("https://fin.land.naver.com/articles/2646480692", "매물Link")</f>
        <v/>
      </c>
      <c r="J1192" s="5">
        <f>HYPERLINK("https://map.naver.com/p/search/나성동 829", "지도Link")</f>
        <v/>
      </c>
      <c r="K1192" s="5">
        <f>HYPERLINK("http://www.eum.go.kr/web/ar/lu/luLandDet.jsp?pnu=3611010700108290000&amp;isNoScr=script&amp;mode=search", "토지이음")</f>
        <v/>
      </c>
      <c r="L1192" s="3" t="inlineStr">
        <is>
          <t>열린호반  사무소</t>
        </is>
      </c>
      <c r="M1192" s="3" t="n">
        <v>1</v>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3" t="inlineStr">
        <is>
          <t>앞쪽 옥화대 물줄기 ~ 귀농, 팬션등 투자하실분 경관좋아요</t>
        </is>
      </c>
      <c r="I1193" s="5">
        <f>HYPERLINK("https://fin.land.naver.com/articles/2646312581", "매물Link")</f>
        <v/>
      </c>
      <c r="J1193" s="5">
        <f>HYPERLINK("https://map.naver.com/p/search/나성동 829", "지도Link")</f>
        <v/>
      </c>
      <c r="K1193" s="5">
        <f>HYPERLINK("http://www.eum.go.kr/web/ar/lu/luLandDet.jsp?pnu=3611010700108290000&amp;isNoScr=script&amp;mode=search", "토지이음")</f>
        <v/>
      </c>
      <c r="L1193" s="3" t="inlineStr">
        <is>
          <t>신두꺼비</t>
        </is>
      </c>
      <c r="M1193" s="3" t="n">
        <v>1</v>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3" t="inlineStr">
        <is>
          <t>계획관리지역으로 땅모양이쁨 주말농장 ,주택지로추천 도로에 접함</t>
        </is>
      </c>
      <c r="I1194" s="5">
        <f>HYPERLINK("https://fin.land.naver.com/articles/2646191506", "매물Link")</f>
        <v/>
      </c>
      <c r="J1194" s="5">
        <f>HYPERLINK("https://map.naver.com/p/search/나성동 829", "지도Link")</f>
        <v/>
      </c>
      <c r="K1194" s="5">
        <f>HYPERLINK("http://www.eum.go.kr/web/ar/lu/luLandDet.jsp?pnu=3611010700108290000&amp;isNoScr=script&amp;mode=search", "토지이음")</f>
        <v/>
      </c>
      <c r="L1194" s="3" t="inlineStr">
        <is>
          <t>더존</t>
        </is>
      </c>
      <c r="M1194" s="3" t="n">
        <v>1</v>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3" t="inlineStr">
        <is>
          <t>토지매매</t>
        </is>
      </c>
      <c r="I1195" s="5">
        <f>HYPERLINK("https://fin.land.naver.com/articles/2646188325", "매물Link")</f>
        <v/>
      </c>
      <c r="J1195" s="5">
        <f>HYPERLINK("https://map.naver.com/p/search/나성동 829", "지도Link")</f>
        <v/>
      </c>
      <c r="K1195" s="5">
        <f>HYPERLINK("http://www.eum.go.kr/web/ar/lu/luLandDet.jsp?pnu=3611010700108290000&amp;isNoScr=script&amp;mode=search", "토지이음")</f>
        <v/>
      </c>
      <c r="L1195" s="3" t="inlineStr">
        <is>
          <t>봄날</t>
        </is>
      </c>
      <c r="M1195" s="3" t="n">
        <v>1</v>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3" t="inlineStr">
        <is>
          <t>청정지역 임야</t>
        </is>
      </c>
      <c r="I1196" s="5">
        <f>HYPERLINK("https://fin.land.naver.com/articles/2646185954", "매물Link")</f>
        <v/>
      </c>
      <c r="J1196" s="5">
        <f>HYPERLINK("https://map.naver.com/p/search/나성동 829", "지도Link")</f>
        <v/>
      </c>
      <c r="K1196" s="5">
        <f>HYPERLINK("http://www.eum.go.kr/web/ar/lu/luLandDet.jsp?pnu=3611010700108290000&amp;isNoScr=script&amp;mode=search", "토지이음")</f>
        <v/>
      </c>
      <c r="L1196" s="3" t="inlineStr">
        <is>
          <t>봄날</t>
        </is>
      </c>
      <c r="M1196" s="3" t="n">
        <v>1</v>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3" t="inlineStr">
        <is>
          <t>농촌체류형쉼터(농막),양봉추천 농지</t>
        </is>
      </c>
      <c r="I1197" s="5">
        <f>HYPERLINK("https://fin.land.naver.com/articles/2645840258", "매물Link")</f>
        <v/>
      </c>
      <c r="J1197" s="5">
        <f>HYPERLINK("https://map.naver.com/p/search/나성동 829", "지도Link")</f>
        <v/>
      </c>
      <c r="K1197" s="5">
        <f>HYPERLINK("http://www.eum.go.kr/web/ar/lu/luLandDet.jsp?pnu=3611010700108290000&amp;isNoScr=script&amp;mode=search", "토지이음")</f>
        <v/>
      </c>
      <c r="L1197" s="3" t="inlineStr">
        <is>
          <t>금동산</t>
        </is>
      </c>
      <c r="M1197" s="3" t="n">
        <v>1</v>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3" t="inlineStr">
        <is>
          <t>주위에 축사없음,농지원부승계가능  평당30만원</t>
        </is>
      </c>
      <c r="I1198" s="5">
        <f>HYPERLINK("https://fin.land.naver.com/articles/2645791239", "매물Link")</f>
        <v/>
      </c>
      <c r="J1198" s="5">
        <f>HYPERLINK("https://map.naver.com/p/search/나성동 829", "지도Link")</f>
        <v/>
      </c>
      <c r="K1198" s="5">
        <f>HYPERLINK("http://www.eum.go.kr/web/ar/lu/luLandDet.jsp?pnu=3611010700108290000&amp;isNoScr=script&amp;mode=search", "토지이음")</f>
        <v/>
      </c>
      <c r="L1198" s="3" t="inlineStr">
        <is>
          <t>정은경</t>
        </is>
      </c>
      <c r="M1198" s="3" t="n">
        <v>1</v>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3" t="inlineStr">
        <is>
          <t>옥화대 입구 전원주택지 입니다. 계획관리</t>
        </is>
      </c>
      <c r="I1199" s="5">
        <f>HYPERLINK("https://fin.land.naver.com/articles/2645694945", "매물Link")</f>
        <v/>
      </c>
      <c r="J1199" s="5">
        <f>HYPERLINK("https://map.naver.com/p/search/나성동 829", "지도Link")</f>
        <v/>
      </c>
      <c r="K1199" s="5">
        <f>HYPERLINK("http://www.eum.go.kr/web/ar/lu/luLandDet.jsp?pnu=3611010700108290000&amp;isNoScr=script&amp;mode=search", "토지이음")</f>
        <v/>
      </c>
      <c r="L1199" s="3" t="inlineStr">
        <is>
          <t>굿모닝합동</t>
        </is>
      </c>
      <c r="M1199" s="3" t="n">
        <v>1</v>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3" t="inlineStr">
        <is>
          <t>농막,지하수 설치,전원생활,주말농장</t>
        </is>
      </c>
      <c r="I1200" s="5">
        <f>HYPERLINK("https://fin.land.naver.com/articles/2644981978", "매물Link")</f>
        <v/>
      </c>
      <c r="J1200" s="5">
        <f>HYPERLINK("https://map.naver.com/p/search/나성동 829", "지도Link")</f>
        <v/>
      </c>
      <c r="K1200" s="5">
        <f>HYPERLINK("http://www.eum.go.kr/web/ar/lu/luLandDet.jsp?pnu=3611010700108290000&amp;isNoScr=script&amp;mode=search", "토지이음")</f>
        <v/>
      </c>
      <c r="L1200" s="3" t="inlineStr">
        <is>
          <t>두진하트</t>
        </is>
      </c>
      <c r="M1200" s="3" t="n">
        <v>1</v>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3" t="inlineStr">
        <is>
          <t>중리저수지 전망좋은곳(위치 최상)</t>
        </is>
      </c>
      <c r="I1201" s="5">
        <f>HYPERLINK("https://fin.land.naver.com/articles/2644882264", "매물Link")</f>
        <v/>
      </c>
      <c r="J1201" s="5">
        <f>HYPERLINK("https://map.naver.com/p/search/나성동 829", "지도Link")</f>
        <v/>
      </c>
      <c r="K1201" s="5">
        <f>HYPERLINK("http://www.eum.go.kr/web/ar/lu/luLandDet.jsp?pnu=3611010700108290000&amp;isNoScr=script&amp;mode=search", "토지이음")</f>
        <v/>
      </c>
      <c r="L1201" s="3" t="inlineStr">
        <is>
          <t>문광</t>
        </is>
      </c>
      <c r="M1201" s="3" t="n">
        <v>1</v>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3" t="inlineStr">
        <is>
          <t>마을 인근으로 주택지로 적합</t>
        </is>
      </c>
      <c r="I1202" s="5">
        <f>HYPERLINK("https://fin.land.naver.com/articles/2644791203", "매물Link")</f>
        <v/>
      </c>
      <c r="J1202" s="5">
        <f>HYPERLINK("https://map.naver.com/p/search/나성동 829", "지도Link")</f>
        <v/>
      </c>
      <c r="K1202" s="5">
        <f>HYPERLINK("http://www.eum.go.kr/web/ar/lu/luLandDet.jsp?pnu=3611010700108290000&amp;isNoScr=script&amp;mode=search", "토지이음")</f>
        <v/>
      </c>
      <c r="L1202" s="3" t="inlineStr">
        <is>
          <t>태평</t>
        </is>
      </c>
      <c r="M1202" s="3" t="n">
        <v>1</v>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3" t="inlineStr">
        <is>
          <t>포장도로에 접한 저렴한 토지, 뒷쪽에 나지막한 야산으로 활용성 좋은땅</t>
        </is>
      </c>
      <c r="I1203" s="5">
        <f>HYPERLINK("https://fin.land.naver.com/articles/2644619690", "매물Link")</f>
        <v/>
      </c>
      <c r="J1203" s="5">
        <f>HYPERLINK("https://map.naver.com/p/search/나성동 829", "지도Link")</f>
        <v/>
      </c>
      <c r="K1203" s="5">
        <f>HYPERLINK("http://www.eum.go.kr/web/ar/lu/luLandDet.jsp?pnu=3611010700108290000&amp;isNoScr=script&amp;mode=search", "토지이음")</f>
        <v/>
      </c>
      <c r="L1203" s="3" t="inlineStr">
        <is>
          <t>굿모닝  사무소</t>
        </is>
      </c>
      <c r="M1203" s="3" t="n">
        <v>1</v>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3" t="inlineStr">
        <is>
          <t>2차선포장도로접 귀한 농지 절충가능 농막 농촌체류형쉼터및 대지로변경가능</t>
        </is>
      </c>
      <c r="I1204" s="5">
        <f>HYPERLINK("https://fin.land.naver.com/articles/2644518549", "매물Link")</f>
        <v/>
      </c>
      <c r="J1204" s="5">
        <f>HYPERLINK("https://map.naver.com/p/search/나성동 829", "지도Link")</f>
        <v/>
      </c>
      <c r="K1204" s="5">
        <f>HYPERLINK("http://www.eum.go.kr/web/ar/lu/luLandDet.jsp?pnu=3611010700108290000&amp;isNoScr=script&amp;mode=search", "토지이음")</f>
        <v/>
      </c>
      <c r="L1204" s="3" t="inlineStr">
        <is>
          <t>미래</t>
        </is>
      </c>
      <c r="M1204" s="3" t="n">
        <v>1</v>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3" t="inlineStr">
        <is>
          <t>nan</t>
        </is>
      </c>
      <c r="I1205" s="5">
        <f>HYPERLINK("https://fin.land.naver.com/articles/2644354340", "매물Link")</f>
        <v/>
      </c>
      <c r="J1205" s="5">
        <f>HYPERLINK("https://map.naver.com/p/search/나성동 829", "지도Link")</f>
        <v/>
      </c>
      <c r="K1205" s="5">
        <f>HYPERLINK("http://www.eum.go.kr/web/ar/lu/luLandDet.jsp?pnu=3611010700108290000&amp;isNoScr=script&amp;mode=search", "토지이음")</f>
        <v/>
      </c>
      <c r="L1205" s="3" t="inlineStr">
        <is>
          <t>대한</t>
        </is>
      </c>
      <c r="M1205" s="3" t="n">
        <v>1</v>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3" t="inlineStr">
        <is>
          <t>탁트인전망 도로접 전원주택 건축하면 조용하고 좋은곳</t>
        </is>
      </c>
      <c r="I1206" s="5">
        <f>HYPERLINK("https://fin.land.naver.com/articles/2645534980", "매물Link")</f>
        <v/>
      </c>
      <c r="J1206" s="5">
        <f>HYPERLINK("https://map.naver.com/p/search/나성동 829", "지도Link")</f>
        <v/>
      </c>
      <c r="K1206" s="5">
        <f>HYPERLINK("http://www.eum.go.kr/web/ar/lu/luLandDet.jsp?pnu=3611010700108290000&amp;isNoScr=script&amp;mode=search", "토지이음")</f>
        <v/>
      </c>
      <c r="L1206" s="3" t="inlineStr">
        <is>
          <t>신두꺼비</t>
        </is>
      </c>
      <c r="M1206" s="3" t="n">
        <v>1</v>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3" t="inlineStr">
        <is>
          <t>공기좋은곳,주말농장,주말쉼터  추천해요.</t>
        </is>
      </c>
      <c r="I1207" s="5">
        <f>HYPERLINK("https://fin.land.naver.com/articles/2645310058", "매물Link")</f>
        <v/>
      </c>
      <c r="J1207" s="5">
        <f>HYPERLINK("https://map.naver.com/p/search/나성동 829", "지도Link")</f>
        <v/>
      </c>
      <c r="K1207" s="5">
        <f>HYPERLINK("http://www.eum.go.kr/web/ar/lu/luLandDet.jsp?pnu=3611010700108290000&amp;isNoScr=script&amp;mode=search", "토지이음")</f>
        <v/>
      </c>
      <c r="L1207" s="3" t="inlineStr">
        <is>
          <t>동남다온</t>
        </is>
      </c>
      <c r="M1207" s="3" t="n">
        <v>1</v>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3" t="inlineStr">
        <is>
          <t>계획관리지역 잡종지에 지은 철근콘크리트 구조 2층 단독주택</t>
        </is>
      </c>
      <c r="I1208" s="5">
        <f>HYPERLINK("https://fin.land.naver.com/articles/2647309666", "매물Link")</f>
        <v/>
      </c>
      <c r="J1208" s="5">
        <f>HYPERLINK("https://map.naver.com/p/search/나성동 829", "지도Link")</f>
        <v/>
      </c>
      <c r="K1208" s="5">
        <f>HYPERLINK("http://www.eum.go.kr/web/ar/lu/luLandDet.jsp?pnu=3611010700108290000&amp;isNoScr=script&amp;mode=search", "토지이음")</f>
        <v/>
      </c>
      <c r="L1208" s="3" t="inlineStr">
        <is>
          <t>정직한한국</t>
        </is>
      </c>
      <c r="M1208" s="3" t="n">
        <v>1</v>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3" t="inlineStr">
        <is>
          <t>접근성이 용이한 지역에 농막설차까지 다되어있는 토지</t>
        </is>
      </c>
      <c r="I1209" s="5">
        <f>HYPERLINK("https://fin.land.naver.com/articles/2646909492", "매물Link")</f>
        <v/>
      </c>
      <c r="J1209" s="5">
        <f>HYPERLINK("https://map.naver.com/p/search/나성동 829", "지도Link")</f>
        <v/>
      </c>
      <c r="K1209" s="5">
        <f>HYPERLINK("http://www.eum.go.kr/web/ar/lu/luLandDet.jsp?pnu=3611010700108290000&amp;isNoScr=script&amp;mode=search", "토지이음")</f>
        <v/>
      </c>
      <c r="L1209" s="3" t="inlineStr">
        <is>
          <t>부엉이</t>
        </is>
      </c>
      <c r="M1209" s="3" t="n">
        <v>1</v>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3" t="inlineStr">
        <is>
          <t>가덕면 병암리 토지</t>
        </is>
      </c>
      <c r="I1210" s="5">
        <f>HYPERLINK("https://fin.land.naver.com/articles/2646892007", "매물Link")</f>
        <v/>
      </c>
      <c r="J1210" s="5">
        <f>HYPERLINK("https://map.naver.com/p/search/나성동 829", "지도Link")</f>
        <v/>
      </c>
      <c r="K1210" s="5">
        <f>HYPERLINK("http://www.eum.go.kr/web/ar/lu/luLandDet.jsp?pnu=3611010700108290000&amp;isNoScr=script&amp;mode=search", "토지이음")</f>
        <v/>
      </c>
      <c r="L1210" s="3" t="inlineStr">
        <is>
          <t>어반에스테이트</t>
        </is>
      </c>
      <c r="M1210" s="3" t="n">
        <v>1</v>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3" t="inlineStr">
        <is>
          <t>가덕면 전원주택지용 토지</t>
        </is>
      </c>
      <c r="I1211" s="5">
        <f>HYPERLINK("https://fin.land.naver.com/articles/2646730475", "매물Link")</f>
        <v/>
      </c>
      <c r="J1211" s="5">
        <f>HYPERLINK("https://map.naver.com/p/search/나성동 829", "지도Link")</f>
        <v/>
      </c>
      <c r="K1211" s="5">
        <f>HYPERLINK("http://www.eum.go.kr/web/ar/lu/luLandDet.jsp?pnu=3611010700108290000&amp;isNoScr=script&amp;mode=search", "토지이음")</f>
        <v/>
      </c>
      <c r="L1211" s="3" t="inlineStr">
        <is>
          <t>대한</t>
        </is>
      </c>
      <c r="M1211" s="3" t="n">
        <v>1</v>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3" t="inlineStr">
        <is>
          <t>전원,주말농장용 토지</t>
        </is>
      </c>
      <c r="I1212" s="5">
        <f>HYPERLINK("https://fin.land.naver.com/articles/2646726339", "매물Link")</f>
        <v/>
      </c>
      <c r="J1212" s="5">
        <f>HYPERLINK("https://map.naver.com/p/search/나성동 829", "지도Link")</f>
        <v/>
      </c>
      <c r="K1212" s="5">
        <f>HYPERLINK("http://www.eum.go.kr/web/ar/lu/luLandDet.jsp?pnu=3611010700108290000&amp;isNoScr=script&amp;mode=search", "토지이음")</f>
        <v/>
      </c>
      <c r="L1212" s="3" t="inlineStr">
        <is>
          <t>대한</t>
        </is>
      </c>
      <c r="M1212" s="3" t="n">
        <v>1</v>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3" t="inlineStr">
        <is>
          <t>가덕면 길옆 붙은 모양 좋은 밭</t>
        </is>
      </c>
      <c r="I1213" s="5">
        <f>HYPERLINK("https://fin.land.naver.com/articles/2645668180", "매물Link")</f>
        <v/>
      </c>
      <c r="J1213" s="5">
        <f>HYPERLINK("https://map.naver.com/p/search/나성동 829", "지도Link")</f>
        <v/>
      </c>
      <c r="K1213" s="5">
        <f>HYPERLINK("http://www.eum.go.kr/web/ar/lu/luLandDet.jsp?pnu=3611010700108290000&amp;isNoScr=script&amp;mode=search", "토지이음")</f>
        <v/>
      </c>
      <c r="L1213" s="3" t="inlineStr">
        <is>
          <t>반석</t>
        </is>
      </c>
      <c r="M1213" s="3" t="n">
        <v>1</v>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3" t="inlineStr">
        <is>
          <t>길가에 붙은 모양 좋은 답 가격조율가능</t>
        </is>
      </c>
      <c r="I1214" s="5">
        <f>HYPERLINK("https://fin.land.naver.com/articles/2645667417", "매물Link")</f>
        <v/>
      </c>
      <c r="J1214" s="5">
        <f>HYPERLINK("https://map.naver.com/p/search/나성동 829", "지도Link")</f>
        <v/>
      </c>
      <c r="K1214" s="5">
        <f>HYPERLINK("http://www.eum.go.kr/web/ar/lu/luLandDet.jsp?pnu=3611010700108290000&amp;isNoScr=script&amp;mode=search", "토지이음")</f>
        <v/>
      </c>
      <c r="L1214" s="3" t="inlineStr">
        <is>
          <t>반석</t>
        </is>
      </c>
      <c r="M1214" s="3" t="n">
        <v>1</v>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3" t="inlineStr">
        <is>
          <t>즉시 건축 가능한 전원주택용 택지.평탄화 완료.</t>
        </is>
      </c>
      <c r="I1215" s="5">
        <f>HYPERLINK("https://fin.land.naver.com/articles/2644959287", "매물Link")</f>
        <v/>
      </c>
      <c r="J1215" s="5">
        <f>HYPERLINK("https://map.naver.com/p/search/나성동 829", "지도Link")</f>
        <v/>
      </c>
      <c r="K1215" s="5">
        <f>HYPERLINK("http://www.eum.go.kr/web/ar/lu/luLandDet.jsp?pnu=3611010700108290000&amp;isNoScr=script&amp;mode=search", "토지이음")</f>
        <v/>
      </c>
      <c r="L1215" s="3" t="inlineStr">
        <is>
          <t>터</t>
        </is>
      </c>
      <c r="M1215" s="3" t="n">
        <v>1</v>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3" t="inlineStr">
        <is>
          <t>넓고 위치좋은 토지로 주변시세 대비 저렴한 가격에 나온 매물이예요</t>
        </is>
      </c>
      <c r="I1216" s="5">
        <f>HYPERLINK("https://fin.land.naver.com/articles/2644707592", "매물Link")</f>
        <v/>
      </c>
      <c r="J1216" s="5">
        <f>HYPERLINK("https://map.naver.com/p/search/나성동 829", "지도Link")</f>
        <v/>
      </c>
      <c r="K1216" s="5">
        <f>HYPERLINK("http://www.eum.go.kr/web/ar/lu/luLandDet.jsp?pnu=3611010700108290000&amp;isNoScr=script&amp;mode=search", "토지이음")</f>
        <v/>
      </c>
      <c r="L1216" s="3" t="inlineStr">
        <is>
          <t>4989명품</t>
        </is>
      </c>
      <c r="M1216" s="3" t="n">
        <v>1</v>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3" t="inlineStr">
        <is>
          <t>계획관리 지역 
주말농장지 전원주택지추천</t>
        </is>
      </c>
      <c r="I1217" s="5">
        <f>HYPERLINK("https://fin.land.naver.com/articles/2649931701", "매물Link")</f>
        <v/>
      </c>
      <c r="J1217" s="5">
        <f>HYPERLINK("https://map.naver.com/p/search/나성동 829", "지도Link")</f>
        <v/>
      </c>
      <c r="K1217" s="5">
        <f>HYPERLINK("http://www.eum.go.kr/web/ar/lu/luLandDet.jsp?pnu=3611010700108290000&amp;isNoScr=script&amp;mode=search", "토지이음")</f>
        <v/>
      </c>
      <c r="L1217" s="3" t="inlineStr">
        <is>
          <t>새여울</t>
        </is>
      </c>
      <c r="M1217" s="3" t="n">
        <v>1</v>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3" t="inlineStr">
        <is>
          <t>nan</t>
        </is>
      </c>
      <c r="I1218" s="5">
        <f>HYPERLINK("https://fin.land.naver.com/articles/2649847847", "매물Link")</f>
        <v/>
      </c>
      <c r="J1218" s="5">
        <f>HYPERLINK("https://map.naver.com/p/search/나성동 829", "지도Link")</f>
        <v/>
      </c>
      <c r="K1218" s="5">
        <f>HYPERLINK("http://www.eum.go.kr/web/ar/lu/luLandDet.jsp?pnu=3611010700108290000&amp;isNoScr=script&amp;mode=search", "토지이음")</f>
        <v/>
      </c>
      <c r="L1218" s="3" t="inlineStr">
        <is>
          <t>도깨비</t>
        </is>
      </c>
      <c r="M1218" s="3" t="n">
        <v>1</v>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3" t="inlineStr">
        <is>
          <t>면사무소 뒷편 포장도로 양방향접 대토,농산물사업하실분 추천~</t>
        </is>
      </c>
      <c r="I1219" s="5">
        <f>HYPERLINK("https://fin.land.naver.com/articles/2649291894", "매물Link")</f>
        <v/>
      </c>
      <c r="J1219" s="5">
        <f>HYPERLINK("https://map.naver.com/p/search/나성동 829", "지도Link")</f>
        <v/>
      </c>
      <c r="K1219" s="5">
        <f>HYPERLINK("http://www.eum.go.kr/web/ar/lu/luLandDet.jsp?pnu=3611010700108290000&amp;isNoScr=script&amp;mode=search", "토지이음")</f>
        <v/>
      </c>
      <c r="L1219" s="3" t="inlineStr">
        <is>
          <t>신두꺼비</t>
        </is>
      </c>
      <c r="M1219" s="3" t="n">
        <v>1</v>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3" t="inlineStr">
        <is>
          <t>nan</t>
        </is>
      </c>
      <c r="I1220" s="5">
        <f>HYPERLINK("https://fin.land.naver.com/articles/2649191700", "매물Link")</f>
        <v/>
      </c>
      <c r="J1220" s="5">
        <f>HYPERLINK("https://map.naver.com/p/search/나성동 829", "지도Link")</f>
        <v/>
      </c>
      <c r="K1220" s="5">
        <f>HYPERLINK("http://www.eum.go.kr/web/ar/lu/luLandDet.jsp?pnu=3611010700108290000&amp;isNoScr=script&amp;mode=search", "토지이음")</f>
        <v/>
      </c>
      <c r="L1220" s="3" t="inlineStr">
        <is>
          <t>양지푸르지오</t>
        </is>
      </c>
      <c r="M1220" s="3" t="n">
        <v>1</v>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3" t="inlineStr">
        <is>
          <t>nan</t>
        </is>
      </c>
      <c r="I1221" s="5">
        <f>HYPERLINK("https://fin.land.naver.com/articles/2648785143", "매물Link")</f>
        <v/>
      </c>
      <c r="J1221" s="5">
        <f>HYPERLINK("https://map.naver.com/p/search/나성동 829", "지도Link")</f>
        <v/>
      </c>
      <c r="K1221" s="5">
        <f>HYPERLINK("http://www.eum.go.kr/web/ar/lu/luLandDet.jsp?pnu=3611010700108290000&amp;isNoScr=script&amp;mode=search", "토지이음")</f>
        <v/>
      </c>
      <c r="L1221" s="3" t="inlineStr">
        <is>
          <t>세원</t>
        </is>
      </c>
      <c r="M1221" s="3" t="n">
        <v>1</v>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3" t="inlineStr">
        <is>
          <t>농막이 설치되어 있어 주말농장으로 추천</t>
        </is>
      </c>
      <c r="I1222" s="5">
        <f>HYPERLINK("https://fin.land.naver.com/articles/2647532975", "매물Link")</f>
        <v/>
      </c>
      <c r="J1222" s="5">
        <f>HYPERLINK("https://map.naver.com/p/search/나성동 829", "지도Link")</f>
        <v/>
      </c>
      <c r="K1222" s="5">
        <f>HYPERLINK("http://www.eum.go.kr/web/ar/lu/luLandDet.jsp?pnu=3611010700108290000&amp;isNoScr=script&amp;mode=search", "토지이음")</f>
        <v/>
      </c>
      <c r="L1222" s="3" t="inlineStr">
        <is>
          <t>산들</t>
        </is>
      </c>
      <c r="M1222" s="3" t="n">
        <v>1</v>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3" t="inlineStr">
        <is>
          <t>nan</t>
        </is>
      </c>
      <c r="I1223" s="5">
        <f>HYPERLINK("https://fin.land.naver.com/articles/2648694768", "매물Link")</f>
        <v/>
      </c>
      <c r="J1223" s="5">
        <f>HYPERLINK("https://map.naver.com/p/search/나성동 829", "지도Link")</f>
        <v/>
      </c>
      <c r="K1223" s="5">
        <f>HYPERLINK("http://www.eum.go.kr/web/ar/lu/luLandDet.jsp?pnu=3611010700108290000&amp;isNoScr=script&amp;mode=search", "토지이음")</f>
        <v/>
      </c>
      <c r="L1223" s="3" t="inlineStr">
        <is>
          <t>상생</t>
        </is>
      </c>
      <c r="M1223" s="3" t="n">
        <v>1</v>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3" t="inlineStr">
        <is>
          <t>조망최상</t>
        </is>
      </c>
      <c r="I1224" s="5">
        <f>HYPERLINK("https://fin.land.naver.com/articles/2649481602", "매물Link")</f>
        <v/>
      </c>
      <c r="J1224" s="5">
        <f>HYPERLINK("https://map.naver.com/p/search/나성동 829", "지도Link")</f>
        <v/>
      </c>
      <c r="K1224" s="5">
        <f>HYPERLINK("http://www.eum.go.kr/web/ar/lu/luLandDet.jsp?pnu=3611010700108290000&amp;isNoScr=script&amp;mode=search", "토지이음")</f>
        <v/>
      </c>
      <c r="L1224" s="3" t="inlineStr">
        <is>
          <t>LBA행운</t>
        </is>
      </c>
      <c r="M1224" s="3" t="n">
        <v>1</v>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3" t="inlineStr">
        <is>
          <t>nan</t>
        </is>
      </c>
      <c r="I1225" s="5">
        <f>HYPERLINK("https://fin.land.naver.com/articles/2648704052", "매물Link")</f>
        <v/>
      </c>
      <c r="J1225" s="5">
        <f>HYPERLINK("https://map.naver.com/p/search/나성동 829", "지도Link")</f>
        <v/>
      </c>
      <c r="K1225" s="5">
        <f>HYPERLINK("http://www.eum.go.kr/web/ar/lu/luLandDet.jsp?pnu=3611010700108290000&amp;isNoScr=script&amp;mode=search", "토지이음")</f>
        <v/>
      </c>
      <c r="L1225" s="3" t="inlineStr">
        <is>
          <t>해뜨는  사무소</t>
        </is>
      </c>
      <c r="M1225" s="3" t="n">
        <v>1</v>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3" t="inlineStr">
        <is>
          <t>코너각지  투자 과수원 농막 추천</t>
        </is>
      </c>
      <c r="I1226" s="5">
        <f>HYPERLINK("https://fin.land.naver.com/articles/2646091608", "매물Link")</f>
        <v/>
      </c>
      <c r="J1226" s="5">
        <f>HYPERLINK("https://map.naver.com/p/search/나성동 829", "지도Link")</f>
        <v/>
      </c>
      <c r="K1226" s="5">
        <f>HYPERLINK("http://www.eum.go.kr/web/ar/lu/luLandDet.jsp?pnu=3611010700108290000&amp;isNoScr=script&amp;mode=search", "토지이음")</f>
        <v/>
      </c>
      <c r="L1226" s="3" t="inlineStr">
        <is>
          <t>우리동네</t>
        </is>
      </c>
      <c r="M1226" s="3" t="n">
        <v>1</v>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3" t="inlineStr">
        <is>
          <t>건축 가능한 대지 매매 도로접 청주10분 신탄진10분</t>
        </is>
      </c>
      <c r="I1227" s="5">
        <f>HYPERLINK("https://fin.land.naver.com/articles/2646091286", "매물Link")</f>
        <v/>
      </c>
      <c r="J1227" s="5">
        <f>HYPERLINK("https://map.naver.com/p/search/나성동 829", "지도Link")</f>
        <v/>
      </c>
      <c r="K1227" s="5">
        <f>HYPERLINK("http://www.eum.go.kr/web/ar/lu/luLandDet.jsp?pnu=3611010700108290000&amp;isNoScr=script&amp;mode=search", "토지이음")</f>
        <v/>
      </c>
      <c r="L1227" s="3" t="inlineStr">
        <is>
          <t>우리동네</t>
        </is>
      </c>
      <c r="M1227" s="3" t="n">
        <v>1</v>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3" t="inlineStr">
        <is>
          <t>농막, 투자등</t>
        </is>
      </c>
      <c r="I1228" s="5">
        <f>HYPERLINK("https://fin.land.naver.com/articles/2646089772", "매물Link")</f>
        <v/>
      </c>
      <c r="J1228" s="5">
        <f>HYPERLINK("https://map.naver.com/p/search/나성동 829", "지도Link")</f>
        <v/>
      </c>
      <c r="K1228" s="5">
        <f>HYPERLINK("http://www.eum.go.kr/web/ar/lu/luLandDet.jsp?pnu=3611010700108290000&amp;isNoScr=script&amp;mode=search", "토지이음")</f>
        <v/>
      </c>
      <c r="L1228" s="3" t="inlineStr">
        <is>
          <t>우리동네</t>
        </is>
      </c>
      <c r="M1228" s="3" t="n">
        <v>1</v>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3" t="inlineStr">
        <is>
          <t>전기 농수 컨테이너 확보된 주말농장</t>
        </is>
      </c>
      <c r="I1229" s="5">
        <f>HYPERLINK("https://fin.land.naver.com/articles/2646089471", "매물Link")</f>
        <v/>
      </c>
      <c r="J1229" s="5">
        <f>HYPERLINK("https://map.naver.com/p/search/나성동 829", "지도Link")</f>
        <v/>
      </c>
      <c r="K1229" s="5">
        <f>HYPERLINK("http://www.eum.go.kr/web/ar/lu/luLandDet.jsp?pnu=3611010700108290000&amp;isNoScr=script&amp;mode=search", "토지이음")</f>
        <v/>
      </c>
      <c r="L1229" s="3" t="inlineStr">
        <is>
          <t>우리동네</t>
        </is>
      </c>
      <c r="M1229" s="3" t="n">
        <v>1</v>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3" t="inlineStr">
        <is>
          <t>양봉추천</t>
        </is>
      </c>
      <c r="I1230" s="5">
        <f>HYPERLINK("https://fin.land.naver.com/articles/2646089093", "매물Link")</f>
        <v/>
      </c>
      <c r="J1230" s="5">
        <f>HYPERLINK("https://map.naver.com/p/search/나성동 829", "지도Link")</f>
        <v/>
      </c>
      <c r="K1230" s="5">
        <f>HYPERLINK("http://www.eum.go.kr/web/ar/lu/luLandDet.jsp?pnu=3611010700108290000&amp;isNoScr=script&amp;mode=search", "토지이음")</f>
        <v/>
      </c>
      <c r="L1230" s="3" t="inlineStr">
        <is>
          <t>우리동네</t>
        </is>
      </c>
      <c r="M1230" s="3" t="n">
        <v>1</v>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3" t="inlineStr">
        <is>
          <t>주말농장 묘목식재 구거 포장도로 접</t>
        </is>
      </c>
      <c r="I1231" s="5">
        <f>HYPERLINK("https://fin.land.naver.com/articles/2646088791", "매물Link")</f>
        <v/>
      </c>
      <c r="J1231" s="5">
        <f>HYPERLINK("https://map.naver.com/p/search/나성동 829", "지도Link")</f>
        <v/>
      </c>
      <c r="K1231" s="5">
        <f>HYPERLINK("http://www.eum.go.kr/web/ar/lu/luLandDet.jsp?pnu=3611010700108290000&amp;isNoScr=script&amp;mode=search", "토지이음")</f>
        <v/>
      </c>
      <c r="L1231" s="3" t="inlineStr">
        <is>
          <t>우리동네</t>
        </is>
      </c>
      <c r="M1231" s="3" t="n">
        <v>1</v>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3" t="inlineStr">
        <is>
          <t>휴일 주말텃밭 적지</t>
        </is>
      </c>
      <c r="I1232" s="5">
        <f>HYPERLINK("https://fin.land.naver.com/articles/2646088209", "매물Link")</f>
        <v/>
      </c>
      <c r="J1232" s="5">
        <f>HYPERLINK("https://map.naver.com/p/search/나성동 829", "지도Link")</f>
        <v/>
      </c>
      <c r="K1232" s="5">
        <f>HYPERLINK("http://www.eum.go.kr/web/ar/lu/luLandDet.jsp?pnu=3611010700108290000&amp;isNoScr=script&amp;mode=search", "토지이음")</f>
        <v/>
      </c>
      <c r="L1232" s="3" t="inlineStr">
        <is>
          <t>우리동네</t>
        </is>
      </c>
      <c r="M1232" s="3" t="n">
        <v>1</v>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3" t="inlineStr">
        <is>
          <t>지목 대, 현황도로 접, 땅모양 좋음</t>
        </is>
      </c>
      <c r="I1233" s="5">
        <f>HYPERLINK("https://fin.land.naver.com/articles/2645947718", "매물Link")</f>
        <v/>
      </c>
      <c r="J1233" s="5">
        <f>HYPERLINK("https://map.naver.com/p/search/나성동 829", "지도Link")</f>
        <v/>
      </c>
      <c r="K1233" s="5">
        <f>HYPERLINK("http://www.eum.go.kr/web/ar/lu/luLandDet.jsp?pnu=3611010700108290000&amp;isNoScr=script&amp;mode=search", "토지이음")</f>
        <v/>
      </c>
      <c r="L1233" s="3" t="inlineStr">
        <is>
          <t>하경</t>
        </is>
      </c>
      <c r="M1233" s="3" t="n">
        <v>1</v>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3" t="inlineStr">
        <is>
          <t>자연인으로 사실분 추천, 계곡이 옆에 있고 산 아래 밭</t>
        </is>
      </c>
      <c r="I1234" s="5">
        <f>HYPERLINK("https://fin.land.naver.com/articles/2645916090", "매물Link")</f>
        <v/>
      </c>
      <c r="J1234" s="5">
        <f>HYPERLINK("https://map.naver.com/p/search/나성동 829", "지도Link")</f>
        <v/>
      </c>
      <c r="K1234" s="5">
        <f>HYPERLINK("http://www.eum.go.kr/web/ar/lu/luLandDet.jsp?pnu=3611010700108290000&amp;isNoScr=script&amp;mode=search", "토지이음")</f>
        <v/>
      </c>
      <c r="L1234" s="3" t="inlineStr">
        <is>
          <t>하경</t>
        </is>
      </c>
      <c r="M1234" s="3" t="n">
        <v>1</v>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3" t="inlineStr">
        <is>
          <t>주말텃밭 접근용이</t>
        </is>
      </c>
      <c r="I1235" s="5">
        <f>HYPERLINK("https://fin.land.naver.com/articles/2644659559", "매물Link")</f>
        <v/>
      </c>
      <c r="J1235" s="5">
        <f>HYPERLINK("https://map.naver.com/p/search/나성동 829", "지도Link")</f>
        <v/>
      </c>
      <c r="K1235" s="5">
        <f>HYPERLINK("http://www.eum.go.kr/web/ar/lu/luLandDet.jsp?pnu=3611010700108290000&amp;isNoScr=script&amp;mode=search", "토지이음")</f>
        <v/>
      </c>
      <c r="L1235" s="3" t="inlineStr">
        <is>
          <t>우리동네</t>
        </is>
      </c>
      <c r="M1235" s="3" t="n">
        <v>1</v>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3" t="inlineStr">
        <is>
          <t>대청호 근처에 자리하고있는 무릉도원이라 해도 과언이아닌 자연농원</t>
        </is>
      </c>
      <c r="I1236" s="5">
        <f>HYPERLINK("https://fin.land.naver.com/articles/2644135331", "매물Link")</f>
        <v/>
      </c>
      <c r="J1236" s="5">
        <f>HYPERLINK("https://map.naver.com/p/search/나성동 829", "지도Link")</f>
        <v/>
      </c>
      <c r="K1236" s="5">
        <f>HYPERLINK("http://www.eum.go.kr/web/ar/lu/luLandDet.jsp?pnu=3611010700108290000&amp;isNoScr=script&amp;mode=search", "토지이음")</f>
        <v/>
      </c>
      <c r="L1236" s="3" t="inlineStr">
        <is>
          <t>부엉이</t>
        </is>
      </c>
      <c r="M1236" s="3" t="n">
        <v>1</v>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3" t="inlineStr">
        <is>
          <t>nan</t>
        </is>
      </c>
      <c r="I1237" s="5">
        <f>HYPERLINK("https://fin.land.naver.com/articles/2644049926", "매물Link")</f>
        <v/>
      </c>
      <c r="J1237" s="5">
        <f>HYPERLINK("https://map.naver.com/p/search/나성동 829", "지도Link")</f>
        <v/>
      </c>
      <c r="K1237" s="5">
        <f>HYPERLINK("http://www.eum.go.kr/web/ar/lu/luLandDet.jsp?pnu=3611010700108290000&amp;isNoScr=script&amp;mode=search", "토지이음")</f>
        <v/>
      </c>
      <c r="L1237" s="3" t="inlineStr">
        <is>
          <t>우리동네</t>
        </is>
      </c>
      <c r="M1237" s="3" t="n">
        <v>1</v>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3" t="inlineStr">
        <is>
          <t>저렴한 임야매매</t>
        </is>
      </c>
      <c r="I1238" s="5">
        <f>HYPERLINK("https://fin.land.naver.com/articles/2649756438", "매물Link")</f>
        <v/>
      </c>
      <c r="J1238" s="5">
        <f>HYPERLINK("https://map.naver.com/p/search/나성동 829", "지도Link")</f>
        <v/>
      </c>
      <c r="K1238" s="5">
        <f>HYPERLINK("http://www.eum.go.kr/web/ar/lu/luLandDet.jsp?pnu=3611010700108290000&amp;isNoScr=script&amp;mode=search", "토지이음")</f>
        <v/>
      </c>
      <c r="L1238" s="3" t="inlineStr">
        <is>
          <t>온나라</t>
        </is>
      </c>
      <c r="M1238" s="3" t="n">
        <v>1</v>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3" t="inlineStr">
        <is>
          <t>산소자리적합</t>
        </is>
      </c>
      <c r="I1239" s="5">
        <f>HYPERLINK("https://fin.land.naver.com/articles/2649630661", "매물Link")</f>
        <v/>
      </c>
      <c r="J1239" s="5">
        <f>HYPERLINK("https://map.naver.com/p/search/나성동 829", "지도Link")</f>
        <v/>
      </c>
      <c r="K1239" s="5">
        <f>HYPERLINK("http://www.eum.go.kr/web/ar/lu/luLandDet.jsp?pnu=3611010700108290000&amp;isNoScr=script&amp;mode=search", "토지이음")</f>
        <v/>
      </c>
      <c r="L1239" s="3" t="inlineStr">
        <is>
          <t>모범</t>
        </is>
      </c>
      <c r="M1239" s="3" t="n">
        <v>1</v>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3" t="inlineStr">
        <is>
          <t>포장도로접 , 조용하고 한적한곳 주말농장하실분 추천~~</t>
        </is>
      </c>
      <c r="I1240" s="5">
        <f>HYPERLINK("https://fin.land.naver.com/articles/2649292308", "매물Link")</f>
        <v/>
      </c>
      <c r="J1240" s="5">
        <f>HYPERLINK("https://map.naver.com/p/search/나성동 829", "지도Link")</f>
        <v/>
      </c>
      <c r="K1240" s="5">
        <f>HYPERLINK("http://www.eum.go.kr/web/ar/lu/luLandDet.jsp?pnu=3611010700108290000&amp;isNoScr=script&amp;mode=search", "토지이음")</f>
        <v/>
      </c>
      <c r="L1240" s="3" t="inlineStr">
        <is>
          <t>신두꺼비</t>
        </is>
      </c>
      <c r="M1240" s="3" t="n">
        <v>1</v>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3" t="inlineStr">
        <is>
          <t>nan</t>
        </is>
      </c>
      <c r="I1241" s="5">
        <f>HYPERLINK("https://fin.land.naver.com/articles/2648273493", "매물Link")</f>
        <v/>
      </c>
      <c r="J1241" s="5">
        <f>HYPERLINK("https://map.naver.com/p/search/나성동 829", "지도Link")</f>
        <v/>
      </c>
      <c r="K1241" s="5">
        <f>HYPERLINK("http://www.eum.go.kr/web/ar/lu/luLandDet.jsp?pnu=3611010700108290000&amp;isNoScr=script&amp;mode=search", "토지이음")</f>
        <v/>
      </c>
      <c r="L1241" s="3" t="inlineStr">
        <is>
          <t>신영</t>
        </is>
      </c>
      <c r="M1241" s="3" t="n">
        <v>1</v>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3" t="inlineStr">
        <is>
          <t>주말농장 추천합니다.</t>
        </is>
      </c>
      <c r="I1242" s="5">
        <f>HYPERLINK("https://fin.land.naver.com/articles/2648268046", "매물Link")</f>
        <v/>
      </c>
      <c r="J1242" s="5">
        <f>HYPERLINK("https://map.naver.com/p/search/나성동 829", "지도Link")</f>
        <v/>
      </c>
      <c r="K1242" s="5">
        <f>HYPERLINK("http://www.eum.go.kr/web/ar/lu/luLandDet.jsp?pnu=3611010700108290000&amp;isNoScr=script&amp;mode=search", "토지이음")</f>
        <v/>
      </c>
      <c r="L1242" s="3" t="inlineStr">
        <is>
          <t>상금</t>
        </is>
      </c>
      <c r="M1242" s="3" t="n">
        <v>1</v>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3" t="inlineStr">
        <is>
          <t>약초재배나 투자용으로 적합</t>
        </is>
      </c>
      <c r="I1243" s="5">
        <f>HYPERLINK("https://fin.land.naver.com/articles/2647755128", "매물Link")</f>
        <v/>
      </c>
      <c r="J1243" s="5">
        <f>HYPERLINK("https://map.naver.com/p/search/나성동 829", "지도Link")</f>
        <v/>
      </c>
      <c r="K1243" s="5">
        <f>HYPERLINK("http://www.eum.go.kr/web/ar/lu/luLandDet.jsp?pnu=3611010700108290000&amp;isNoScr=script&amp;mode=search", "토지이음")</f>
        <v/>
      </c>
      <c r="L1243" s="3" t="inlineStr">
        <is>
          <t>굿모닝  사무소</t>
        </is>
      </c>
      <c r="M1243" s="3" t="n">
        <v>1</v>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3" t="inlineStr">
        <is>
          <t>약초재배, 투자하기 좋은땅. 초입에 차량진입이 가능한 임야입니다.</t>
        </is>
      </c>
      <c r="I1244" s="5">
        <f>HYPERLINK("https://fin.land.naver.com/articles/2647754969", "매물Link")</f>
        <v/>
      </c>
      <c r="J1244" s="5">
        <f>HYPERLINK("https://map.naver.com/p/search/나성동 829", "지도Link")</f>
        <v/>
      </c>
      <c r="K1244" s="5">
        <f>HYPERLINK("http://www.eum.go.kr/web/ar/lu/luLandDet.jsp?pnu=3611010700108290000&amp;isNoScr=script&amp;mode=search", "토지이음")</f>
        <v/>
      </c>
      <c r="L1244" s="3" t="inlineStr">
        <is>
          <t>굿모닝  사무소</t>
        </is>
      </c>
      <c r="M1244" s="3" t="n">
        <v>1</v>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3" t="inlineStr">
        <is>
          <t>구거에 접한 저렴하게 나온 농지</t>
        </is>
      </c>
      <c r="I1245" s="5">
        <f>HYPERLINK("https://fin.land.naver.com/articles/2647751752", "매물Link")</f>
        <v/>
      </c>
      <c r="J1245" s="5">
        <f>HYPERLINK("https://map.naver.com/p/search/나성동 829", "지도Link")</f>
        <v/>
      </c>
      <c r="K1245" s="5">
        <f>HYPERLINK("http://www.eum.go.kr/web/ar/lu/luLandDet.jsp?pnu=3611010700108290000&amp;isNoScr=script&amp;mode=search", "토지이음")</f>
        <v/>
      </c>
      <c r="L1245" s="3" t="inlineStr">
        <is>
          <t>굿모닝  사무소</t>
        </is>
      </c>
      <c r="M1245" s="3" t="n">
        <v>1</v>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3" t="inlineStr">
        <is>
          <t>2차선에 근접한 포장도로에 접한농지임</t>
        </is>
      </c>
      <c r="I1246" s="5">
        <f>HYPERLINK("https://fin.land.naver.com/articles/2647416403", "매물Link")</f>
        <v/>
      </c>
      <c r="J1246" s="5">
        <f>HYPERLINK("https://map.naver.com/p/search/나성동 829", "지도Link")</f>
        <v/>
      </c>
      <c r="K1246" s="5">
        <f>HYPERLINK("http://www.eum.go.kr/web/ar/lu/luLandDet.jsp?pnu=3611010700108290000&amp;isNoScr=script&amp;mode=search", "토지이음")</f>
        <v/>
      </c>
      <c r="L1246" s="3" t="inlineStr">
        <is>
          <t>새온누리</t>
        </is>
      </c>
      <c r="M1246" s="3" t="n">
        <v>1</v>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3" t="inlineStr">
        <is>
          <t>청남대 가는 길 위쪽에 있는 물가가 보이는 언덕에 있는 과수원</t>
        </is>
      </c>
      <c r="I1247" s="5">
        <f>HYPERLINK("https://fin.land.naver.com/articles/2647369372", "매물Link")</f>
        <v/>
      </c>
      <c r="J1247" s="5">
        <f>HYPERLINK("https://map.naver.com/p/search/나성동 829", "지도Link")</f>
        <v/>
      </c>
      <c r="K1247" s="5">
        <f>HYPERLINK("http://www.eum.go.kr/web/ar/lu/luLandDet.jsp?pnu=3611010700108290000&amp;isNoScr=script&amp;mode=search", "토지이음")</f>
        <v/>
      </c>
      <c r="L1247" s="3" t="inlineStr">
        <is>
          <t>새온누리</t>
        </is>
      </c>
      <c r="M1247" s="3" t="n">
        <v>1</v>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3" t="inlineStr">
        <is>
          <t>nan</t>
        </is>
      </c>
      <c r="I1248" s="5">
        <f>HYPERLINK("https://fin.land.naver.com/articles/2646480641", "매물Link")</f>
        <v/>
      </c>
      <c r="J1248" s="5">
        <f>HYPERLINK("https://map.naver.com/p/search/나성동 829", "지도Link")</f>
        <v/>
      </c>
      <c r="K1248" s="5">
        <f>HYPERLINK("http://www.eum.go.kr/web/ar/lu/luLandDet.jsp?pnu=3611010700108290000&amp;isNoScr=script&amp;mode=search", "토지이음")</f>
        <v/>
      </c>
      <c r="L1248" s="3" t="inlineStr">
        <is>
          <t>열린호반  사무소</t>
        </is>
      </c>
      <c r="M1248" s="3" t="n">
        <v>1</v>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3" t="inlineStr">
        <is>
          <t>주말 농장용추천</t>
        </is>
      </c>
      <c r="I1249" s="5">
        <f>HYPERLINK("https://fin.land.naver.com/articles/2646379876", "매물Link")</f>
        <v/>
      </c>
      <c r="J1249" s="5">
        <f>HYPERLINK("https://map.naver.com/p/search/나성동 829", "지도Link")</f>
        <v/>
      </c>
      <c r="K1249" s="5">
        <f>HYPERLINK("http://www.eum.go.kr/web/ar/lu/luLandDet.jsp?pnu=3611010700108290000&amp;isNoScr=script&amp;mode=search", "토지이음")</f>
        <v/>
      </c>
      <c r="L1249" s="3" t="inlineStr">
        <is>
          <t>신성</t>
        </is>
      </c>
      <c r="M1249" s="3" t="n">
        <v>1</v>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3" t="inlineStr">
        <is>
          <t>양쪽포장도로접 땅모양 좋음 주말농장하실분~경영채등록하실분~~</t>
        </is>
      </c>
      <c r="I1250" s="5">
        <f>HYPERLINK("https://fin.land.naver.com/articles/2646313229", "매물Link")</f>
        <v/>
      </c>
      <c r="J1250" s="5">
        <f>HYPERLINK("https://map.naver.com/p/search/나성동 829", "지도Link")</f>
        <v/>
      </c>
      <c r="K1250" s="5">
        <f>HYPERLINK("http://www.eum.go.kr/web/ar/lu/luLandDet.jsp?pnu=3611010700108290000&amp;isNoScr=script&amp;mode=search", "토지이음")</f>
        <v/>
      </c>
      <c r="L1250" s="3" t="inlineStr">
        <is>
          <t>신두꺼비</t>
        </is>
      </c>
      <c r="M1250" s="3" t="n">
        <v>1</v>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3" t="inlineStr">
        <is>
          <t>완전청정지역으로 마을에서 떨어져있어조용하고 기도원으로 적합하며배과수원있음</t>
        </is>
      </c>
      <c r="I1251" s="5">
        <f>HYPERLINK("https://fin.land.naver.com/articles/2644330443", "매물Link")</f>
        <v/>
      </c>
      <c r="J1251" s="5">
        <f>HYPERLINK("https://map.naver.com/p/search/나성동 829", "지도Link")</f>
        <v/>
      </c>
      <c r="K1251" s="5">
        <f>HYPERLINK("http://www.eum.go.kr/web/ar/lu/luLandDet.jsp?pnu=3611010700108290000&amp;isNoScr=script&amp;mode=search", "토지이음")</f>
        <v/>
      </c>
      <c r="L1251" s="3" t="inlineStr">
        <is>
          <t>나비가하이플러스</t>
        </is>
      </c>
      <c r="M1251" s="3" t="n">
        <v>1</v>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3" t="inlineStr">
        <is>
          <t>도로에 접하고 있으며 각종 사무실의 용도 사용하기 좋은 위치이예요</t>
        </is>
      </c>
      <c r="I1252" s="5">
        <f>HYPERLINK("https://fin.land.naver.com/articles/2647511399", "매물Link")</f>
        <v/>
      </c>
      <c r="J1252" s="5">
        <f>HYPERLINK("https://map.naver.com/p/search/나성동 829", "지도Link")</f>
        <v/>
      </c>
      <c r="K1252" s="5">
        <f>HYPERLINK("http://www.eum.go.kr/web/ar/lu/luLandDet.jsp?pnu=3611010700108290000&amp;isNoScr=script&amp;mode=search", "토지이음")</f>
        <v/>
      </c>
      <c r="L1252" s="3" t="inlineStr">
        <is>
          <t>4989명품</t>
        </is>
      </c>
      <c r="M1252" s="3" t="n">
        <v>1</v>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3" t="inlineStr">
        <is>
          <t>Point 농로 접하고 주변 환경 좋은 토지</t>
        </is>
      </c>
      <c r="I1253" s="5">
        <f>HYPERLINK("https://fin.land.naver.com/articles/2646508050", "매물Link")</f>
        <v/>
      </c>
      <c r="J1253" s="5">
        <f>HYPERLINK("https://map.naver.com/p/search/나성동 829", "지도Link")</f>
        <v/>
      </c>
      <c r="K1253" s="5">
        <f>HYPERLINK("http://www.eum.go.kr/web/ar/lu/luLandDet.jsp?pnu=3611010700108290000&amp;isNoScr=script&amp;mode=search", "토지이음")</f>
        <v/>
      </c>
      <c r="L1253" s="3" t="inlineStr">
        <is>
          <t>도마호반</t>
        </is>
      </c>
      <c r="M1253" s="3" t="n">
        <v>1</v>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3" t="inlineStr">
        <is>
          <t>하우스 5동 버섯 재배하실분 및 관련된 업종하실분</t>
        </is>
      </c>
      <c r="I1254" s="5">
        <f>HYPERLINK("https://fin.land.naver.com/articles/2647676933", "매물Link")</f>
        <v/>
      </c>
      <c r="J1254" s="5">
        <f>HYPERLINK("https://map.naver.com/p/search/나성동 829", "지도Link")</f>
        <v/>
      </c>
      <c r="K1254" s="5">
        <f>HYPERLINK("http://www.eum.go.kr/web/ar/lu/luLandDet.jsp?pnu=3611010700108290000&amp;isNoScr=script&amp;mode=search", "토지이음")</f>
        <v/>
      </c>
      <c r="L1254" s="3" t="inlineStr">
        <is>
          <t>열린호반</t>
        </is>
      </c>
      <c r="M1254" s="3" t="n">
        <v>1</v>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3" t="inlineStr">
        <is>
          <t>Point 구옥 있음, 도로 접근성 좋음, 대전세종청주 근교</t>
        </is>
      </c>
      <c r="I1255" s="5">
        <f>HYPERLINK("https://fin.land.naver.com/articles/2647899737", "매물Link")</f>
        <v/>
      </c>
      <c r="J1255" s="5">
        <f>HYPERLINK("https://map.naver.com/p/search/나성동 829", "지도Link")</f>
        <v/>
      </c>
      <c r="K1255" s="5">
        <f>HYPERLINK("http://www.eum.go.kr/web/ar/lu/luLandDet.jsp?pnu=3611010700108290000&amp;isNoScr=script&amp;mode=search", "토지이음")</f>
        <v/>
      </c>
      <c r="L1255" s="3" t="inlineStr">
        <is>
          <t>도마호반</t>
        </is>
      </c>
      <c r="M1255" s="3" t="n">
        <v>1</v>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3" t="inlineStr">
        <is>
          <t>시세대비 저렴한 밭신탄10분</t>
        </is>
      </c>
      <c r="I1256" s="5">
        <f>HYPERLINK("https://fin.land.naver.com/articles/2648123019", "매물Link")</f>
        <v/>
      </c>
      <c r="J1256" s="5">
        <f>HYPERLINK("https://map.naver.com/p/search/나성동 829", "지도Link")</f>
        <v/>
      </c>
      <c r="K1256" s="5">
        <f>HYPERLINK("http://www.eum.go.kr/web/ar/lu/luLandDet.jsp?pnu=3611010700108290000&amp;isNoScr=script&amp;mode=search", "토지이음")</f>
        <v/>
      </c>
      <c r="L1256" s="3" t="inlineStr">
        <is>
          <t>우리동네</t>
        </is>
      </c>
      <c r="M1256" s="3" t="n">
        <v>1</v>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3" t="inlineStr">
        <is>
          <t>3면도로 접,교통,공공편의시설 굿, 향후 개발가능성 높음.전원주택타운강추</t>
        </is>
      </c>
      <c r="I1257" s="5">
        <f>HYPERLINK("https://fin.land.naver.com/articles/2648441238", "매물Link")</f>
        <v/>
      </c>
      <c r="J1257" s="5">
        <f>HYPERLINK("https://map.naver.com/p/search/나성동 829", "지도Link")</f>
        <v/>
      </c>
      <c r="K1257" s="5">
        <f>HYPERLINK("http://www.eum.go.kr/web/ar/lu/luLandDet.jsp?pnu=3611010700108290000&amp;isNoScr=script&amp;mode=search", "토지이음")</f>
        <v/>
      </c>
      <c r="L1257" s="3" t="inlineStr">
        <is>
          <t>랜드마크</t>
        </is>
      </c>
      <c r="M1257" s="3" t="n">
        <v>1</v>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3" t="inlineStr">
        <is>
          <t>nan</t>
        </is>
      </c>
      <c r="I1258" s="5">
        <f>HYPERLINK("https://fin.land.naver.com/articles/2648271964", "매물Link")</f>
        <v/>
      </c>
      <c r="J1258" s="5">
        <f>HYPERLINK("https://map.naver.com/p/search/나성동 829", "지도Link")</f>
        <v/>
      </c>
      <c r="K1258" s="5">
        <f>HYPERLINK("http://www.eum.go.kr/web/ar/lu/luLandDet.jsp?pnu=3611010700108290000&amp;isNoScr=script&amp;mode=search", "토지이음")</f>
        <v/>
      </c>
      <c r="L1258" s="3" t="inlineStr">
        <is>
          <t>신영</t>
        </is>
      </c>
      <c r="M1258" s="3" t="n">
        <v>1</v>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3" t="inlineStr">
        <is>
          <t>청주 도심 10분 거리에서 누리는 완벽한 전원생활</t>
        </is>
      </c>
      <c r="I1259" s="5">
        <f>HYPERLINK("https://fin.land.naver.com/articles/2648269899", "매물Link")</f>
        <v/>
      </c>
      <c r="J1259" s="5">
        <f>HYPERLINK("https://map.naver.com/p/search/나성동 829", "지도Link")</f>
        <v/>
      </c>
      <c r="K1259" s="5">
        <f>HYPERLINK("http://www.eum.go.kr/web/ar/lu/luLandDet.jsp?pnu=3611010700108290000&amp;isNoScr=script&amp;mode=search", "토지이음")</f>
        <v/>
      </c>
      <c r="L1259" s="3" t="inlineStr">
        <is>
          <t>신영</t>
        </is>
      </c>
      <c r="M1259" s="3" t="n">
        <v>1</v>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3" t="inlineStr">
        <is>
          <t>6m마을도로 접함,주위에 모두 전원주택임.</t>
        </is>
      </c>
      <c r="I1260" s="5">
        <f>HYPERLINK("https://fin.land.naver.com/articles/2648234513", "매물Link")</f>
        <v/>
      </c>
      <c r="J1260" s="5">
        <f>HYPERLINK("https://map.naver.com/p/search/나성동 829", "지도Link")</f>
        <v/>
      </c>
      <c r="K1260" s="5">
        <f>HYPERLINK("http://www.eum.go.kr/web/ar/lu/luLandDet.jsp?pnu=3611010700108290000&amp;isNoScr=script&amp;mode=search", "토지이음")</f>
        <v/>
      </c>
      <c r="L1260" s="3" t="inlineStr">
        <is>
          <t>청와대합동사무소</t>
        </is>
      </c>
      <c r="M1260" s="3" t="n">
        <v>2</v>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3" t="inlineStr">
        <is>
          <t>nan</t>
        </is>
      </c>
      <c r="I1261" s="5">
        <f>HYPERLINK("https://fin.land.naver.com/articles/2647919052", "매물Link")</f>
        <v/>
      </c>
      <c r="J1261" s="5">
        <f>HYPERLINK("https://map.naver.com/p/search/나성동 829", "지도Link")</f>
        <v/>
      </c>
      <c r="K1261" s="5">
        <f>HYPERLINK("http://www.eum.go.kr/web/ar/lu/luLandDet.jsp?pnu=3611010700108290000&amp;isNoScr=script&amp;mode=search", "토지이음")</f>
        <v/>
      </c>
      <c r="L1261" s="3" t="inlineStr">
        <is>
          <t>명문</t>
        </is>
      </c>
      <c r="M1261" s="3" t="n">
        <v>1</v>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3" t="inlineStr">
        <is>
          <t>청주 시내에 근접, 4미터 도로에 접한 평탄한 토지임.</t>
        </is>
      </c>
      <c r="I1262" s="5">
        <f>HYPERLINK("https://fin.land.naver.com/articles/2647908248", "매물Link")</f>
        <v/>
      </c>
      <c r="J1262" s="5">
        <f>HYPERLINK("https://map.naver.com/p/search/나성동 829", "지도Link")</f>
        <v/>
      </c>
      <c r="K1262" s="5">
        <f>HYPERLINK("http://www.eum.go.kr/web/ar/lu/luLandDet.jsp?pnu=3611010700108290000&amp;isNoScr=script&amp;mode=search", "토지이음")</f>
        <v/>
      </c>
      <c r="L1262" s="3" t="inlineStr">
        <is>
          <t>하당</t>
        </is>
      </c>
      <c r="M1262" s="3" t="n">
        <v>1</v>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3" t="inlineStr">
        <is>
          <t>6m도로의 코너에 위치한 모양도 이쁜땅, 현재 축사로 사용중,절충가능</t>
        </is>
      </c>
      <c r="I1263" s="5">
        <f>HYPERLINK("https://fin.land.naver.com/articles/2647755604", "매물Link")</f>
        <v/>
      </c>
      <c r="J1263" s="5">
        <f>HYPERLINK("https://map.naver.com/p/search/나성동 829", "지도Link")</f>
        <v/>
      </c>
      <c r="K1263" s="5">
        <f>HYPERLINK("http://www.eum.go.kr/web/ar/lu/luLandDet.jsp?pnu=3611010700108290000&amp;isNoScr=script&amp;mode=search", "토지이음")</f>
        <v/>
      </c>
      <c r="L1263" s="3" t="inlineStr">
        <is>
          <t>굿모닝  사무소</t>
        </is>
      </c>
      <c r="M1263" s="3" t="n">
        <v>1</v>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3" t="inlineStr">
        <is>
          <t>지대가 타주택보다 높은 남향의 전원주택지
남향의 전원주택지 적합</t>
        </is>
      </c>
      <c r="I1264" s="5">
        <f>HYPERLINK("https://fin.land.naver.com/articles/2647622698", "매물Link")</f>
        <v/>
      </c>
      <c r="J1264" s="5">
        <f>HYPERLINK("https://map.naver.com/p/search/나성동 829", "지도Link")</f>
        <v/>
      </c>
      <c r="K1264" s="5">
        <f>HYPERLINK("http://www.eum.go.kr/web/ar/lu/luLandDet.jsp?pnu=3611010700108290000&amp;isNoScr=script&amp;mode=search", "토지이음")</f>
        <v/>
      </c>
      <c r="L1264" s="3" t="inlineStr">
        <is>
          <t>가가</t>
        </is>
      </c>
      <c r="M1264" s="3" t="n">
        <v>1</v>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3" t="inlineStr">
        <is>
          <t>공군사관학교 안쪽 자연녹지인 전원주택용지</t>
        </is>
      </c>
      <c r="I1265" s="5">
        <f>HYPERLINK("https://fin.land.naver.com/articles/2647595336", "매물Link")</f>
        <v/>
      </c>
      <c r="J1265" s="5">
        <f>HYPERLINK("https://map.naver.com/p/search/나성동 829", "지도Link")</f>
        <v/>
      </c>
      <c r="K1265" s="5">
        <f>HYPERLINK("http://www.eum.go.kr/web/ar/lu/luLandDet.jsp?pnu=3611010700108290000&amp;isNoScr=script&amp;mode=search", "토지이음")</f>
        <v/>
      </c>
      <c r="L1265" s="3" t="inlineStr">
        <is>
          <t>토마토</t>
        </is>
      </c>
      <c r="M1265" s="3" t="n">
        <v>1</v>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3" t="inlineStr">
        <is>
          <t>nan</t>
        </is>
      </c>
      <c r="I1266" s="5">
        <f>HYPERLINK("https://fin.land.naver.com/articles/2647283003", "매물Link")</f>
        <v/>
      </c>
      <c r="J1266" s="5">
        <f>HYPERLINK("https://map.naver.com/p/search/나성동 829", "지도Link")</f>
        <v/>
      </c>
      <c r="K1266" s="5">
        <f>HYPERLINK("http://www.eum.go.kr/web/ar/lu/luLandDet.jsp?pnu=3611010700108290000&amp;isNoScr=script&amp;mode=search", "토지이음")</f>
        <v/>
      </c>
      <c r="L1266" s="3" t="inlineStr">
        <is>
          <t>공상배</t>
        </is>
      </c>
      <c r="M1266" s="3" t="n">
        <v>1</v>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3" t="inlineStr">
        <is>
          <t>nan</t>
        </is>
      </c>
      <c r="I1267" s="5">
        <f>HYPERLINK("https://fin.land.naver.com/articles/2647281095", "매물Link")</f>
        <v/>
      </c>
      <c r="J1267" s="5">
        <f>HYPERLINK("https://map.naver.com/p/search/나성동 829", "지도Link")</f>
        <v/>
      </c>
      <c r="K1267" s="5">
        <f>HYPERLINK("http://www.eum.go.kr/web/ar/lu/luLandDet.jsp?pnu=3611010700108290000&amp;isNoScr=script&amp;mode=search", "토지이음")</f>
        <v/>
      </c>
      <c r="L1267" s="3" t="inlineStr">
        <is>
          <t>공상배</t>
        </is>
      </c>
      <c r="M1267" s="3" t="n">
        <v>1</v>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3" t="inlineStr">
        <is>
          <t>2차선변, 복토, 전으로사용</t>
        </is>
      </c>
      <c r="I1268" s="5">
        <f>HYPERLINK("https://fin.land.naver.com/articles/2647100794", "매물Link")</f>
        <v/>
      </c>
      <c r="J1268" s="5">
        <f>HYPERLINK("https://map.naver.com/p/search/나성동 829", "지도Link")</f>
        <v/>
      </c>
      <c r="K1268" s="5">
        <f>HYPERLINK("http://www.eum.go.kr/web/ar/lu/luLandDet.jsp?pnu=3611010700108290000&amp;isNoScr=script&amp;mode=search", "토지이음")</f>
        <v/>
      </c>
      <c r="L1268" s="3" t="inlineStr">
        <is>
          <t>창조</t>
        </is>
      </c>
      <c r="M1268" s="3" t="n">
        <v>1</v>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3" t="inlineStr">
        <is>
          <t>맹지임</t>
        </is>
      </c>
      <c r="I1269" s="5">
        <f>HYPERLINK("https://fin.land.naver.com/articles/2646947506", "매물Link")</f>
        <v/>
      </c>
      <c r="J1269" s="5">
        <f>HYPERLINK("https://map.naver.com/p/search/나성동 829", "지도Link")</f>
        <v/>
      </c>
      <c r="K1269" s="5">
        <f>HYPERLINK("http://www.eum.go.kr/web/ar/lu/luLandDet.jsp?pnu=3611010700108290000&amp;isNoScr=script&amp;mode=search", "토지이음")</f>
        <v/>
      </c>
      <c r="L1269" s="3" t="inlineStr">
        <is>
          <t>강남</t>
        </is>
      </c>
      <c r="M1269" s="3" t="n">
        <v>1</v>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3" t="inlineStr">
        <is>
          <t>상당구청인근 최고의전원주택용지 매매 정남향의 토지</t>
        </is>
      </c>
      <c r="I1270" s="5">
        <f>HYPERLINK("https://fin.land.naver.com/articles/2646728960", "매물Link")</f>
        <v/>
      </c>
      <c r="J1270" s="5">
        <f>HYPERLINK("https://map.naver.com/p/search/나성동 829", "지도Link")</f>
        <v/>
      </c>
      <c r="K1270" s="5">
        <f>HYPERLINK("http://www.eum.go.kr/web/ar/lu/luLandDet.jsp?pnu=3611010700108290000&amp;isNoScr=script&amp;mode=search", "토지이음")</f>
        <v/>
      </c>
      <c r="L1270" s="3" t="inlineStr">
        <is>
          <t>유쾌한</t>
        </is>
      </c>
      <c r="M1270" s="3" t="n">
        <v>1</v>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3" t="inlineStr">
        <is>
          <t>고은별마을 전원주택지 매매 고은리 전원주택지</t>
        </is>
      </c>
      <c r="I1271" s="5">
        <f>HYPERLINK("https://fin.land.naver.com/articles/2649047753", "매물Link")</f>
        <v/>
      </c>
      <c r="J1271" s="5">
        <f>HYPERLINK("https://map.naver.com/p/search/나성동 829", "지도Link")</f>
        <v/>
      </c>
      <c r="K1271" s="5">
        <f>HYPERLINK("http://www.eum.go.kr/web/ar/lu/luLandDet.jsp?pnu=3611010700108290000&amp;isNoScr=script&amp;mode=search", "토지이음")</f>
        <v/>
      </c>
      <c r="L1271" s="3" t="inlineStr">
        <is>
          <t>나인</t>
        </is>
      </c>
      <c r="M1271" s="3" t="n">
        <v>1</v>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3" t="inlineStr">
        <is>
          <t>청주시 상당구청 가까운 투자용 토지(하우스설치)</t>
        </is>
      </c>
      <c r="I1272" s="5">
        <f>HYPERLINK("https://fin.land.naver.com/articles/2646637139", "매물Link")</f>
        <v/>
      </c>
      <c r="J1272" s="5">
        <f>HYPERLINK("https://map.naver.com/p/search/나성동 829", "지도Link")</f>
        <v/>
      </c>
      <c r="K1272" s="5">
        <f>HYPERLINK("http://www.eum.go.kr/web/ar/lu/luLandDet.jsp?pnu=3611010700108290000&amp;isNoScr=script&amp;mode=search", "토지이음")</f>
        <v/>
      </c>
      <c r="L1272" s="3" t="inlineStr">
        <is>
          <t>청주114</t>
        </is>
      </c>
      <c r="M1272" s="3" t="n">
        <v>1</v>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3" t="inlineStr">
        <is>
          <t>양쪽도로접 농사지으실분 대토구하시는분, 투자하실분 추천~~</t>
        </is>
      </c>
      <c r="I1273" s="5">
        <f>HYPERLINK("https://fin.land.naver.com/articles/2646314361", "매물Link")</f>
        <v/>
      </c>
      <c r="J1273" s="5">
        <f>HYPERLINK("https://map.naver.com/p/search/나성동 829", "지도Link")</f>
        <v/>
      </c>
      <c r="K1273" s="5">
        <f>HYPERLINK("http://www.eum.go.kr/web/ar/lu/luLandDet.jsp?pnu=3611010700108290000&amp;isNoScr=script&amp;mode=search", "토지이음")</f>
        <v/>
      </c>
      <c r="L1273" s="3" t="inlineStr">
        <is>
          <t>신두꺼비</t>
        </is>
      </c>
      <c r="M1273" s="3" t="n">
        <v>1</v>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3" t="inlineStr">
        <is>
          <t>청주시 남일면 단재대로접 토지매매 16.5억</t>
        </is>
      </c>
      <c r="I1274" s="5">
        <f>HYPERLINK("https://fin.land.naver.com/articles/2646083102", "매물Link")</f>
        <v/>
      </c>
      <c r="J1274" s="5">
        <f>HYPERLINK("https://map.naver.com/p/search/나성동 829", "지도Link")</f>
        <v/>
      </c>
      <c r="K1274" s="5">
        <f>HYPERLINK("http://www.eum.go.kr/web/ar/lu/luLandDet.jsp?pnu=3611010700108290000&amp;isNoScr=script&amp;mode=search", "토지이음")</f>
        <v/>
      </c>
      <c r="L1274" s="3" t="inlineStr">
        <is>
          <t>땅야박영수사무소</t>
        </is>
      </c>
      <c r="M1274" s="3" t="n">
        <v>1</v>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3" t="inlineStr">
        <is>
          <t>토목공사완료. 건축허가득. 상하수도.오폐수시설, 전기시설완비</t>
        </is>
      </c>
      <c r="I1275" s="5">
        <f>HYPERLINK("https://fin.land.naver.com/articles/2645313460", "매물Link")</f>
        <v/>
      </c>
      <c r="J1275" s="5">
        <f>HYPERLINK("https://map.naver.com/p/search/나성동 829", "지도Link")</f>
        <v/>
      </c>
      <c r="K1275" s="5">
        <f>HYPERLINK("http://www.eum.go.kr/web/ar/lu/luLandDet.jsp?pnu=3611010700108290000&amp;isNoScr=script&amp;mode=search", "토지이음")</f>
        <v/>
      </c>
      <c r="L1275" s="3" t="inlineStr">
        <is>
          <t>사랑</t>
        </is>
      </c>
      <c r="M1275" s="3" t="n">
        <v>1</v>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3" t="inlineStr">
        <is>
          <t>토지 상가 일괄매매 월수익 380</t>
        </is>
      </c>
      <c r="I1276" s="5">
        <f>HYPERLINK("https://fin.land.naver.com/articles/2645033032", "매물Link")</f>
        <v/>
      </c>
      <c r="J1276" s="5">
        <f>HYPERLINK("https://map.naver.com/p/search/나성동 829", "지도Link")</f>
        <v/>
      </c>
      <c r="K1276" s="5">
        <f>HYPERLINK("http://www.eum.go.kr/web/ar/lu/luLandDet.jsp?pnu=3611010700108290000&amp;isNoScr=script&amp;mode=search", "토지이음")</f>
        <v/>
      </c>
      <c r="L1276" s="3" t="inlineStr">
        <is>
          <t>두리</t>
        </is>
      </c>
      <c r="M1276" s="3" t="n">
        <v>1</v>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3" t="inlineStr">
        <is>
          <t>자연취락지구로 지정되어 건폐율 60%임</t>
        </is>
      </c>
      <c r="I1277" s="5">
        <f>HYPERLINK("https://fin.land.naver.com/articles/2644695473", "매물Link")</f>
        <v/>
      </c>
      <c r="J1277" s="5">
        <f>HYPERLINK("https://map.naver.com/p/search/나성동 829", "지도Link")</f>
        <v/>
      </c>
      <c r="K1277" s="5">
        <f>HYPERLINK("http://www.eum.go.kr/web/ar/lu/luLandDet.jsp?pnu=3611010700108290000&amp;isNoScr=script&amp;mode=search", "토지이음")</f>
        <v/>
      </c>
      <c r="L1277" s="3" t="inlineStr">
        <is>
          <t>산성</t>
        </is>
      </c>
      <c r="M1277" s="3" t="n">
        <v>1</v>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3" t="inlineStr">
        <is>
          <t>nan</t>
        </is>
      </c>
      <c r="I1278" s="5">
        <f>HYPERLINK("https://fin.land.naver.com/articles/2644357090", "매물Link")</f>
        <v/>
      </c>
      <c r="J1278" s="5">
        <f>HYPERLINK("https://map.naver.com/p/search/나성동 829", "지도Link")</f>
        <v/>
      </c>
      <c r="K1278" s="5">
        <f>HYPERLINK("http://www.eum.go.kr/web/ar/lu/luLandDet.jsp?pnu=3611010700108290000&amp;isNoScr=script&amp;mode=search", "토지이음")</f>
        <v/>
      </c>
      <c r="L1278" s="3" t="inlineStr">
        <is>
          <t>대한</t>
        </is>
      </c>
      <c r="M1278" s="3" t="n">
        <v>1</v>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3" t="inlineStr">
        <is>
          <t>nan</t>
        </is>
      </c>
      <c r="I1279" s="5">
        <f>HYPERLINK("https://fin.land.naver.com/articles/2644356372", "매물Link")</f>
        <v/>
      </c>
      <c r="J1279" s="5">
        <f>HYPERLINK("https://map.naver.com/p/search/나성동 829", "지도Link")</f>
        <v/>
      </c>
      <c r="K1279" s="5">
        <f>HYPERLINK("http://www.eum.go.kr/web/ar/lu/luLandDet.jsp?pnu=3611010700108290000&amp;isNoScr=script&amp;mode=search", "토지이음")</f>
        <v/>
      </c>
      <c r="L1279" s="3" t="inlineStr">
        <is>
          <t>대한</t>
        </is>
      </c>
      <c r="M1279" s="3" t="n">
        <v>1</v>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3" t="inlineStr">
        <is>
          <t>nan</t>
        </is>
      </c>
      <c r="I1280" s="5">
        <f>HYPERLINK("https://fin.land.naver.com/articles/2644356108", "매물Link")</f>
        <v/>
      </c>
      <c r="J1280" s="5">
        <f>HYPERLINK("https://map.naver.com/p/search/나성동 829", "지도Link")</f>
        <v/>
      </c>
      <c r="K1280" s="5">
        <f>HYPERLINK("http://www.eum.go.kr/web/ar/lu/luLandDet.jsp?pnu=3611010700108290000&amp;isNoScr=script&amp;mode=search", "토지이음")</f>
        <v/>
      </c>
      <c r="L1280" s="3" t="inlineStr">
        <is>
          <t>대한</t>
        </is>
      </c>
      <c r="M1280" s="3" t="n">
        <v>1</v>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3" t="inlineStr">
        <is>
          <t>nan</t>
        </is>
      </c>
      <c r="I1281" s="5">
        <f>HYPERLINK("https://fin.land.naver.com/articles/2650155062", "매물Link")</f>
        <v/>
      </c>
      <c r="J1281" s="5">
        <f>HYPERLINK("https://map.naver.com/p/search/나성동 829", "지도Link")</f>
        <v/>
      </c>
      <c r="K1281" s="5">
        <f>HYPERLINK("http://www.eum.go.kr/web/ar/lu/luLandDet.jsp?pnu=3611010700108290000&amp;isNoScr=script&amp;mode=search", "토지이음")</f>
        <v/>
      </c>
      <c r="L1281" s="3" t="inlineStr">
        <is>
          <t>복대시원</t>
        </is>
      </c>
      <c r="M1281" s="3" t="n">
        <v>1</v>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3" t="inlineStr">
        <is>
          <t>경관좋은 남향 도로접 평탄한 토지</t>
        </is>
      </c>
      <c r="I1282" s="5">
        <f>HYPERLINK("https://fin.land.naver.com/articles/2649544547", "매물Link")</f>
        <v/>
      </c>
      <c r="J1282" s="5">
        <f>HYPERLINK("https://map.naver.com/p/search/나성동 829", "지도Link")</f>
        <v/>
      </c>
      <c r="K1282" s="5">
        <f>HYPERLINK("http://www.eum.go.kr/web/ar/lu/luLandDet.jsp?pnu=3611010700108290000&amp;isNoScr=script&amp;mode=search", "토지이음")</f>
        <v/>
      </c>
      <c r="L1282" s="3" t="inlineStr">
        <is>
          <t>우리동네</t>
        </is>
      </c>
      <c r="M1282" s="3" t="n">
        <v>1</v>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3" t="inlineStr">
        <is>
          <t>nan</t>
        </is>
      </c>
      <c r="I1283" s="5">
        <f>HYPERLINK("https://fin.land.naver.com/articles/2649092313", "매물Link")</f>
        <v/>
      </c>
      <c r="J1283" s="5">
        <f>HYPERLINK("https://map.naver.com/p/search/나성동 829", "지도Link")</f>
        <v/>
      </c>
      <c r="K1283" s="5">
        <f>HYPERLINK("http://www.eum.go.kr/web/ar/lu/luLandDet.jsp?pnu=3611010700108290000&amp;isNoScr=script&amp;mode=search", "토지이음")</f>
        <v/>
      </c>
      <c r="L1283" s="3" t="inlineStr">
        <is>
          <t>우리동네</t>
        </is>
      </c>
      <c r="M1283" s="3" t="n">
        <v>1</v>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3" t="inlineStr">
        <is>
          <t>현 답으로 사용 하우스 농사, 대토 추천</t>
        </is>
      </c>
      <c r="I1284" s="5">
        <f>HYPERLINK("https://fin.land.naver.com/articles/2648937355", "매물Link")</f>
        <v/>
      </c>
      <c r="J1284" s="5">
        <f>HYPERLINK("https://map.naver.com/p/search/나성동 829", "지도Link")</f>
        <v/>
      </c>
      <c r="K1284" s="5">
        <f>HYPERLINK("http://www.eum.go.kr/web/ar/lu/luLandDet.jsp?pnu=3611010700108290000&amp;isNoScr=script&amp;mode=search", "토지이음")</f>
        <v/>
      </c>
      <c r="L1284" s="3" t="inlineStr">
        <is>
          <t>우리동네</t>
        </is>
      </c>
      <c r="M1284" s="3" t="n">
        <v>1</v>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3" t="inlineStr">
        <is>
          <t>nan</t>
        </is>
      </c>
      <c r="I1285" s="5">
        <f>HYPERLINK("https://fin.land.naver.com/articles/2648123930", "매물Link")</f>
        <v/>
      </c>
      <c r="J1285" s="5">
        <f>HYPERLINK("https://map.naver.com/p/search/나성동 829", "지도Link")</f>
        <v/>
      </c>
      <c r="K1285" s="5">
        <f>HYPERLINK("http://www.eum.go.kr/web/ar/lu/luLandDet.jsp?pnu=3611010700108290000&amp;isNoScr=script&amp;mode=search", "토지이음")</f>
        <v/>
      </c>
      <c r="L1285" s="3" t="inlineStr">
        <is>
          <t>우리동네</t>
        </is>
      </c>
      <c r="M1285" s="3" t="n">
        <v>1</v>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3" t="inlineStr">
        <is>
          <t>도로접 코너각지  농막가능 주말쉼터 추천</t>
        </is>
      </c>
      <c r="I1286" s="5">
        <f>HYPERLINK("https://fin.land.naver.com/articles/2648123574", "매물Link")</f>
        <v/>
      </c>
      <c r="J1286" s="5">
        <f>HYPERLINK("https://map.naver.com/p/search/나성동 829", "지도Link")</f>
        <v/>
      </c>
      <c r="K1286" s="5">
        <f>HYPERLINK("http://www.eum.go.kr/web/ar/lu/luLandDet.jsp?pnu=3611010700108290000&amp;isNoScr=script&amp;mode=search", "토지이음")</f>
        <v/>
      </c>
      <c r="L1286" s="3" t="inlineStr">
        <is>
          <t>우리동네</t>
        </is>
      </c>
      <c r="M1286" s="3" t="n">
        <v>1</v>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3" t="inlineStr">
        <is>
          <t>저렴한가격 전원주택 지으실분 환영 도로 66m2 포함</t>
        </is>
      </c>
      <c r="I1287" s="5">
        <f>HYPERLINK("https://fin.land.naver.com/articles/2646480795", "매물Link")</f>
        <v/>
      </c>
      <c r="J1287" s="5">
        <f>HYPERLINK("https://map.naver.com/p/search/나성동 829", "지도Link")</f>
        <v/>
      </c>
      <c r="K1287" s="5">
        <f>HYPERLINK("http://www.eum.go.kr/web/ar/lu/luLandDet.jsp?pnu=3611010700108290000&amp;isNoScr=script&amp;mode=search", "토지이음")</f>
        <v/>
      </c>
      <c r="L1287" s="3" t="inlineStr">
        <is>
          <t>열린호반  사무소</t>
        </is>
      </c>
      <c r="M1287" s="3" t="n">
        <v>1</v>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3" t="inlineStr">
        <is>
          <t>nan</t>
        </is>
      </c>
      <c r="I1288" s="5">
        <f>HYPERLINK("https://fin.land.naver.com/articles/2649918515", "매물Link")</f>
        <v/>
      </c>
      <c r="J1288" s="5">
        <f>HYPERLINK("https://map.naver.com/p/search/나성동 829", "지도Link")</f>
        <v/>
      </c>
      <c r="K1288" s="5">
        <f>HYPERLINK("http://www.eum.go.kr/web/ar/lu/luLandDet.jsp?pnu=3611010700108290000&amp;isNoScr=script&amp;mode=search", "토지이음")</f>
        <v/>
      </c>
      <c r="L1288" s="3" t="inlineStr">
        <is>
          <t>바로</t>
        </is>
      </c>
      <c r="M1288" s="3" t="n">
        <v>1</v>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3" t="inlineStr">
        <is>
          <t>공장이나 창고 요양원시설 기타 사옥이나 연수원등 가능함</t>
        </is>
      </c>
      <c r="I1289" s="5">
        <f>HYPERLINK("https://fin.land.naver.com/articles/2647416396", "매물Link")</f>
        <v/>
      </c>
      <c r="J1289" s="5">
        <f>HYPERLINK("https://map.naver.com/p/search/나성동 829", "지도Link")</f>
        <v/>
      </c>
      <c r="K1289" s="5">
        <f>HYPERLINK("http://www.eum.go.kr/web/ar/lu/luLandDet.jsp?pnu=3611010700108290000&amp;isNoScr=script&amp;mode=search", "토지이음")</f>
        <v/>
      </c>
      <c r="L1289" s="3" t="inlineStr">
        <is>
          <t>새온누리</t>
        </is>
      </c>
      <c r="M1289" s="3" t="n">
        <v>1</v>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3" t="inlineStr">
        <is>
          <t>nan</t>
        </is>
      </c>
      <c r="I1290" s="5">
        <f>HYPERLINK("https://fin.land.naver.com/articles/2649792825", "매물Link")</f>
        <v/>
      </c>
      <c r="J1290" s="5">
        <f>HYPERLINK("https://map.naver.com/p/search/나성동 829", "지도Link")</f>
        <v/>
      </c>
      <c r="K1290" s="5">
        <f>HYPERLINK("http://www.eum.go.kr/web/ar/lu/luLandDet.jsp?pnu=3611010700108290000&amp;isNoScr=script&amp;mode=search", "토지이음")</f>
        <v/>
      </c>
      <c r="L1290" s="3" t="inlineStr">
        <is>
          <t>바로</t>
        </is>
      </c>
      <c r="M1290" s="3" t="n">
        <v>1</v>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3" t="inlineStr">
        <is>
          <t>시내인접하여 저온창고 일반창고용지 등으로 최적</t>
        </is>
      </c>
      <c r="I1291" s="5">
        <f>HYPERLINK("https://fin.land.naver.com/articles/2649763146", "매물Link")</f>
        <v/>
      </c>
      <c r="J1291" s="5">
        <f>HYPERLINK("https://map.naver.com/p/search/나성동 829", "지도Link")</f>
        <v/>
      </c>
      <c r="K1291" s="5">
        <f>HYPERLINK("http://www.eum.go.kr/web/ar/lu/luLandDet.jsp?pnu=3611010700108290000&amp;isNoScr=script&amp;mode=search", "토지이음")</f>
        <v/>
      </c>
      <c r="L1291" s="3" t="inlineStr">
        <is>
          <t>재형</t>
        </is>
      </c>
      <c r="M1291" s="3" t="n">
        <v>1</v>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3" t="inlineStr">
        <is>
          <t>관촉사도보로10분 주차공간용이. 허가건축물1개.무허가창고2개.텃밭있음</t>
        </is>
      </c>
      <c r="I1292" s="5">
        <f>HYPERLINK("https://fin.land.naver.com/articles/2645924445", "매물Link")</f>
        <v/>
      </c>
      <c r="J1292" s="5">
        <f>HYPERLINK("https://map.naver.com/p/search/나성동 829", "지도Link")</f>
        <v/>
      </c>
      <c r="K1292" s="5">
        <f>HYPERLINK("http://www.eum.go.kr/web/ar/lu/luLandDet.jsp?pnu=3611010700108290000&amp;isNoScr=script&amp;mode=search", "토지이음")</f>
        <v/>
      </c>
      <c r="L1292" s="3" t="inlineStr">
        <is>
          <t>현대</t>
        </is>
      </c>
      <c r="M1292" s="3" t="n">
        <v>1</v>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3" t="inlineStr">
        <is>
          <t>제1종 일반주거지역 및 자연녹지지역 관촉사근처 가격조정가능</t>
        </is>
      </c>
      <c r="I1293" s="5">
        <f>HYPERLINK("https://fin.land.naver.com/articles/2645929487", "매물Link")</f>
        <v/>
      </c>
      <c r="J1293" s="5">
        <f>HYPERLINK("https://map.naver.com/p/search/나성동 829", "지도Link")</f>
        <v/>
      </c>
      <c r="K1293" s="5">
        <f>HYPERLINK("http://www.eum.go.kr/web/ar/lu/luLandDet.jsp?pnu=3611010700108290000&amp;isNoScr=script&amp;mode=search", "토지이음")</f>
        <v/>
      </c>
      <c r="L1293" s="3" t="inlineStr">
        <is>
          <t>현대</t>
        </is>
      </c>
      <c r="M1293" s="3" t="n">
        <v>1</v>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3" t="inlineStr">
        <is>
          <t>관촉동 지분등기로 분할가능 도로인접 지목변경가능 카페나식당적합</t>
        </is>
      </c>
      <c r="I1294" s="5">
        <f>HYPERLINK("https://fin.land.naver.com/articles/2646143965", "매물Link")</f>
        <v/>
      </c>
      <c r="J1294" s="5">
        <f>HYPERLINK("https://map.naver.com/p/search/나성동 829", "지도Link")</f>
        <v/>
      </c>
      <c r="K1294" s="5">
        <f>HYPERLINK("http://www.eum.go.kr/web/ar/lu/luLandDet.jsp?pnu=3611010700108290000&amp;isNoScr=script&amp;mode=search", "토지이음")</f>
        <v/>
      </c>
      <c r="L1294" s="3" t="inlineStr">
        <is>
          <t>현대</t>
        </is>
      </c>
      <c r="M1294" s="3" t="n">
        <v>1</v>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3" t="inlineStr">
        <is>
          <t>그루뫼산뒤 전원주택지추천</t>
        </is>
      </c>
      <c r="I1295" s="5">
        <f>HYPERLINK("https://fin.land.naver.com/articles/2644862943", "매물Link")</f>
        <v/>
      </c>
      <c r="J1295" s="5">
        <f>HYPERLINK("https://map.naver.com/p/search/나성동 829", "지도Link")</f>
        <v/>
      </c>
      <c r="K1295" s="5">
        <f>HYPERLINK("http://www.eum.go.kr/web/ar/lu/luLandDet.jsp?pnu=3611010700108290000&amp;isNoScr=script&amp;mode=search", "토지이음")</f>
        <v/>
      </c>
      <c r="L1295" s="3" t="inlineStr">
        <is>
          <t>큰나무공인증개사사무소</t>
        </is>
      </c>
      <c r="M1295" s="3" t="n">
        <v>1</v>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3" t="inlineStr">
        <is>
          <t>자연녹지, 취락지구, 농막있음</t>
        </is>
      </c>
      <c r="I1296" s="5">
        <f>HYPERLINK("https://fin.land.naver.com/articles/2645527274", "매물Link")</f>
        <v/>
      </c>
      <c r="J1296" s="5">
        <f>HYPERLINK("https://map.naver.com/p/search/나성동 829", "지도Link")</f>
        <v/>
      </c>
      <c r="K1296" s="5">
        <f>HYPERLINK("http://www.eum.go.kr/web/ar/lu/luLandDet.jsp?pnu=3611010700108290000&amp;isNoScr=script&amp;mode=search", "토지이음")</f>
        <v/>
      </c>
      <c r="L1296" s="3" t="inlineStr">
        <is>
          <t>스마트  사무소</t>
        </is>
      </c>
      <c r="M1296" s="3" t="n">
        <v>1</v>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3" t="inlineStr">
        <is>
          <t>충남 논산 연무읍 계획관리지역 투자용 전 매매</t>
        </is>
      </c>
      <c r="I1297" s="5">
        <f>HYPERLINK("https://fin.land.naver.com/articles/2649836558", "매물Link")</f>
        <v/>
      </c>
      <c r="J1297" s="5">
        <f>HYPERLINK("https://map.naver.com/p/search/나성동 829", "지도Link")</f>
        <v/>
      </c>
      <c r="K1297" s="5">
        <f>HYPERLINK("http://www.eum.go.kr/web/ar/lu/luLandDet.jsp?pnu=3611010700108290000&amp;isNoScr=script&amp;mode=search", "토지이음")</f>
        <v/>
      </c>
      <c r="L1297" s="3" t="inlineStr">
        <is>
          <t>더나은</t>
        </is>
      </c>
      <c r="M1297" s="3" t="n">
        <v>1</v>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3" t="inlineStr">
        <is>
          <t>전원생활 주택지로 추천 함.</t>
        </is>
      </c>
      <c r="I1298" s="5">
        <f>HYPERLINK("https://fin.land.naver.com/articles/2648680938", "매물Link")</f>
        <v/>
      </c>
      <c r="J1298" s="5">
        <f>HYPERLINK("https://map.naver.com/p/search/나성동 829", "지도Link")</f>
        <v/>
      </c>
      <c r="K1298" s="5">
        <f>HYPERLINK("http://www.eum.go.kr/web/ar/lu/luLandDet.jsp?pnu=3611010700108290000&amp;isNoScr=script&amp;mode=search", "토지이음")</f>
        <v/>
      </c>
      <c r="L1298" s="3" t="inlineStr">
        <is>
          <t>신광호</t>
        </is>
      </c>
      <c r="M1298" s="3" t="n">
        <v>1</v>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3" t="inlineStr">
        <is>
          <t>강산동 자연녹지지역</t>
        </is>
      </c>
      <c r="I1299" s="5">
        <f>HYPERLINK("https://fin.land.naver.com/articles/2645927372", "매물Link")</f>
        <v/>
      </c>
      <c r="J1299" s="5">
        <f>HYPERLINK("https://map.naver.com/p/search/나성동 829", "지도Link")</f>
        <v/>
      </c>
      <c r="K1299" s="5">
        <f>HYPERLINK("http://www.eum.go.kr/web/ar/lu/luLandDet.jsp?pnu=3611010700108290000&amp;isNoScr=script&amp;mode=search", "토지이음")</f>
        <v/>
      </c>
      <c r="L1299" s="3" t="inlineStr">
        <is>
          <t>현대</t>
        </is>
      </c>
      <c r="M1299" s="3" t="n">
        <v>1</v>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3" t="inlineStr">
        <is>
          <t>구르뫼산 밑 토지로 자연녹지 국유지 일부 사용가능</t>
        </is>
      </c>
      <c r="I1300" s="5">
        <f>HYPERLINK("https://fin.land.naver.com/articles/2649757013", "매물Link")</f>
        <v/>
      </c>
      <c r="J1300" s="5">
        <f>HYPERLINK("https://map.naver.com/p/search/나성동 829", "지도Link")</f>
        <v/>
      </c>
      <c r="K1300" s="5">
        <f>HYPERLINK("http://www.eum.go.kr/web/ar/lu/luLandDet.jsp?pnu=3611010700108290000&amp;isNoScr=script&amp;mode=search", "토지이음")</f>
        <v/>
      </c>
      <c r="L1300" s="3" t="inlineStr">
        <is>
          <t>재형</t>
        </is>
      </c>
      <c r="M1300" s="3" t="n">
        <v>1</v>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3" t="inlineStr">
        <is>
          <t>농막있으며 텃밭으로 각종유실수 재배 자연취락지구 도로접</t>
        </is>
      </c>
      <c r="I1301" s="5">
        <f>HYPERLINK("https://fin.land.naver.com/articles/2649757418", "매물Link")</f>
        <v/>
      </c>
      <c r="J1301" s="5">
        <f>HYPERLINK("https://map.naver.com/p/search/나성동 829", "지도Link")</f>
        <v/>
      </c>
      <c r="K1301" s="5">
        <f>HYPERLINK("http://www.eum.go.kr/web/ar/lu/luLandDet.jsp?pnu=3611010700108290000&amp;isNoScr=script&amp;mode=search", "토지이음")</f>
        <v/>
      </c>
      <c r="L1301" s="3" t="inlineStr">
        <is>
          <t>재형</t>
        </is>
      </c>
      <c r="M1301" s="3" t="n">
        <v>2</v>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3" t="inlineStr">
        <is>
          <t>개발기대투자</t>
        </is>
      </c>
      <c r="I1302" s="5">
        <f>HYPERLINK("https://fin.land.naver.com/articles/2644869515", "매물Link")</f>
        <v/>
      </c>
      <c r="J1302" s="5">
        <f>HYPERLINK("https://map.naver.com/p/search/나성동 829", "지도Link")</f>
        <v/>
      </c>
      <c r="K1302" s="5">
        <f>HYPERLINK("http://www.eum.go.kr/web/ar/lu/luLandDet.jsp?pnu=3611010700108290000&amp;isNoScr=script&amp;mode=search", "토지이음")</f>
        <v/>
      </c>
      <c r="L1302" s="3" t="inlineStr">
        <is>
          <t>큰나무공인증개사사무소</t>
        </is>
      </c>
      <c r="M1302" s="3" t="n">
        <v>1</v>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3" t="inlineStr">
        <is>
          <t>시민공원부근  주택지</t>
        </is>
      </c>
      <c r="I1303" s="5">
        <f>HYPERLINK("https://fin.land.naver.com/articles/2645309644", "매물Link")</f>
        <v/>
      </c>
      <c r="J1303" s="5">
        <f>HYPERLINK("https://map.naver.com/p/search/나성동 829", "지도Link")</f>
        <v/>
      </c>
      <c r="K1303" s="5">
        <f>HYPERLINK("http://www.eum.go.kr/web/ar/lu/luLandDet.jsp?pnu=3611010700108290000&amp;isNoScr=script&amp;mode=search", "토지이음")</f>
        <v/>
      </c>
      <c r="L1303" s="3" t="inlineStr">
        <is>
          <t>에이플러스</t>
        </is>
      </c>
      <c r="M1303" s="3" t="n">
        <v>1</v>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3" t="inlineStr">
        <is>
          <t>시내권,관촉사 부근  전원주택지, 허가필, 토목공사 완료</t>
        </is>
      </c>
      <c r="I1304" s="5">
        <f>HYPERLINK("https://fin.land.naver.com/articles/2648153735", "매물Link")</f>
        <v/>
      </c>
      <c r="J1304" s="5">
        <f>HYPERLINK("https://map.naver.com/p/search/나성동 829", "지도Link")</f>
        <v/>
      </c>
      <c r="K1304" s="5">
        <f>HYPERLINK("http://www.eum.go.kr/web/ar/lu/luLandDet.jsp?pnu=3611010700108290000&amp;isNoScr=script&amp;mode=search", "토지이음")</f>
        <v/>
      </c>
      <c r="L1304" s="3" t="inlineStr">
        <is>
          <t>에이플러스</t>
        </is>
      </c>
      <c r="M1304" s="3" t="n">
        <v>1</v>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3" t="inlineStr">
        <is>
          <t>시내인근 깔끔하게 잘 관리되고 있는 물건으로 주말농장 등의 용도로 최적</t>
        </is>
      </c>
      <c r="I1305" s="5">
        <f>HYPERLINK("https://fin.land.naver.com/articles/2645729785", "매물Link")</f>
        <v/>
      </c>
      <c r="J1305" s="5">
        <f>HYPERLINK("https://map.naver.com/p/search/나성동 829", "지도Link")</f>
        <v/>
      </c>
      <c r="K1305" s="5">
        <f>HYPERLINK("http://www.eum.go.kr/web/ar/lu/luLandDet.jsp?pnu=3611010700108290000&amp;isNoScr=script&amp;mode=search", "토지이음")</f>
        <v/>
      </c>
      <c r="L1305" s="3" t="inlineStr">
        <is>
          <t>에이스</t>
        </is>
      </c>
      <c r="M1305" s="3" t="n">
        <v>1</v>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3" t="inlineStr">
        <is>
          <t>백운산구름의 산 앞 이차선 도로옆 경관지구안에서 건축물 가능</t>
        </is>
      </c>
      <c r="I1306" s="5">
        <f>HYPERLINK("https://fin.land.naver.com/articles/2645927147", "매물Link")</f>
        <v/>
      </c>
      <c r="J1306" s="5">
        <f>HYPERLINK("https://map.naver.com/p/search/나성동 829", "지도Link")</f>
        <v/>
      </c>
      <c r="K1306" s="5">
        <f>HYPERLINK("http://www.eum.go.kr/web/ar/lu/luLandDet.jsp?pnu=3611010700108290000&amp;isNoScr=script&amp;mode=search", "토지이음")</f>
        <v/>
      </c>
      <c r="L1306" s="3" t="inlineStr">
        <is>
          <t>현대</t>
        </is>
      </c>
      <c r="M1306" s="3" t="n">
        <v>1</v>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3" t="inlineStr">
        <is>
          <t>2차선 접하고 계획관리지역 공장 창고 등 입지좋음</t>
        </is>
      </c>
      <c r="I1307" s="5">
        <f>HYPERLINK("https://fin.land.naver.com/articles/2649755884", "매물Link")</f>
        <v/>
      </c>
      <c r="J1307" s="5">
        <f>HYPERLINK("https://map.naver.com/p/search/나성동 829", "지도Link")</f>
        <v/>
      </c>
      <c r="K1307" s="5">
        <f>HYPERLINK("http://www.eum.go.kr/web/ar/lu/luLandDet.jsp?pnu=3611010700108290000&amp;isNoScr=script&amp;mode=search", "토지이음")</f>
        <v/>
      </c>
      <c r="L1307" s="3" t="inlineStr">
        <is>
          <t>재형</t>
        </is>
      </c>
      <c r="M1307" s="3" t="n">
        <v>1</v>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3" t="inlineStr">
        <is>
          <t>대지 구옥 철거함 연무음 봉동리 일원</t>
        </is>
      </c>
      <c r="I1308" s="5">
        <f>HYPERLINK("https://fin.land.naver.com/articles/2649248558", "매물Link")</f>
        <v/>
      </c>
      <c r="J1308" s="5">
        <f>HYPERLINK("https://map.naver.com/p/search/나성동 829", "지도Link")</f>
        <v/>
      </c>
      <c r="K1308" s="5">
        <f>HYPERLINK("http://www.eum.go.kr/web/ar/lu/luLandDet.jsp?pnu=3611010700108290000&amp;isNoScr=script&amp;mode=search", "토지이음")</f>
        <v/>
      </c>
      <c r="L1308" s="3" t="inlineStr">
        <is>
          <t>큰복</t>
        </is>
      </c>
      <c r="M1308" s="3" t="n">
        <v>1</v>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3" t="inlineStr">
        <is>
          <t>급매, 절충, 땅모양예쁨, 현,공터로바로건물지을수있음, 주위 인프라 굿</t>
        </is>
      </c>
      <c r="I1309" s="5">
        <f>HYPERLINK("https://fin.land.naver.com/articles/2648014683", "매물Link")</f>
        <v/>
      </c>
      <c r="J1309" s="5">
        <f>HYPERLINK("https://map.naver.com/p/search/나성동 829", "지도Link")</f>
        <v/>
      </c>
      <c r="K1309" s="5">
        <f>HYPERLINK("http://www.eum.go.kr/web/ar/lu/luLandDet.jsp?pnu=3611010700108290000&amp;isNoScr=script&amp;mode=search", "토지이음")</f>
        <v/>
      </c>
      <c r="L1309" s="3" t="inlineStr">
        <is>
          <t>세종한울</t>
        </is>
      </c>
      <c r="M1309" s="3" t="n">
        <v>1</v>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3" t="inlineStr">
        <is>
          <t>4차선접, 진출입가능, 창고 주택용지</t>
        </is>
      </c>
      <c r="I1310" s="5">
        <f>HYPERLINK("https://fin.land.naver.com/articles/2648142025", "매물Link")</f>
        <v/>
      </c>
      <c r="J1310" s="5">
        <f>HYPERLINK("https://map.naver.com/p/search/나성동 829", "지도Link")</f>
        <v/>
      </c>
      <c r="K1310" s="5">
        <f>HYPERLINK("http://www.eum.go.kr/web/ar/lu/luLandDet.jsp?pnu=3611010700108290000&amp;isNoScr=script&amp;mode=search", "토지이음")</f>
        <v/>
      </c>
      <c r="L1310" s="3" t="inlineStr">
        <is>
          <t>에이플러스</t>
        </is>
      </c>
      <c r="M1310" s="3" t="n">
        <v>1</v>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3" t="inlineStr">
        <is>
          <t>교통좋은 하우스부지</t>
        </is>
      </c>
      <c r="I1311" s="5">
        <f>HYPERLINK("https://fin.land.naver.com/articles/2648142927", "매물Link")</f>
        <v/>
      </c>
      <c r="J1311" s="5">
        <f>HYPERLINK("https://map.naver.com/p/search/나성동 829", "지도Link")</f>
        <v/>
      </c>
      <c r="K1311" s="5">
        <f>HYPERLINK("http://www.eum.go.kr/web/ar/lu/luLandDet.jsp?pnu=3611010700108290000&amp;isNoScr=script&amp;mode=search", "토지이음")</f>
        <v/>
      </c>
      <c r="L1311" s="3" t="inlineStr">
        <is>
          <t>에이플러스</t>
        </is>
      </c>
      <c r="M1311" s="3" t="n">
        <v>1</v>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3" t="inlineStr">
        <is>
          <t>연무사거리 인근 4차선변 자연녹지</t>
        </is>
      </c>
      <c r="I1312" s="5">
        <f>HYPERLINK("https://fin.land.naver.com/articles/2648143966", "매물Link")</f>
        <v/>
      </c>
      <c r="J1312" s="5">
        <f>HYPERLINK("https://map.naver.com/p/search/나성동 829", "지도Link")</f>
        <v/>
      </c>
      <c r="K1312" s="5">
        <f>HYPERLINK("http://www.eum.go.kr/web/ar/lu/luLandDet.jsp?pnu=3611010700108290000&amp;isNoScr=script&amp;mode=search", "토지이음")</f>
        <v/>
      </c>
      <c r="L1312" s="3" t="inlineStr">
        <is>
          <t>에이플러스</t>
        </is>
      </c>
      <c r="M1312" s="3" t="n">
        <v>1</v>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3" t="inlineStr">
        <is>
          <t>연무사거리 인근 4차선변 자연녹지</t>
        </is>
      </c>
      <c r="I1313" s="5">
        <f>HYPERLINK("https://fin.land.naver.com/articles/2648144454", "매물Link")</f>
        <v/>
      </c>
      <c r="J1313" s="5">
        <f>HYPERLINK("https://map.naver.com/p/search/나성동 829", "지도Link")</f>
        <v/>
      </c>
      <c r="K1313" s="5">
        <f>HYPERLINK("http://www.eum.go.kr/web/ar/lu/luLandDet.jsp?pnu=3611010700108290000&amp;isNoScr=script&amp;mode=search", "토지이음")</f>
        <v/>
      </c>
      <c r="L1313" s="3" t="inlineStr">
        <is>
          <t>에이플러스</t>
        </is>
      </c>
      <c r="M1313" s="3" t="n">
        <v>1</v>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3" t="inlineStr">
        <is>
          <t>건축허가 필.</t>
        </is>
      </c>
      <c r="I1314" s="5">
        <f>HYPERLINK("https://fin.land.naver.com/articles/2648419941", "매물Link")</f>
        <v/>
      </c>
      <c r="J1314" s="5">
        <f>HYPERLINK("https://map.naver.com/p/search/나성동 829", "지도Link")</f>
        <v/>
      </c>
      <c r="K1314" s="5">
        <f>HYPERLINK("http://www.eum.go.kr/web/ar/lu/luLandDet.jsp?pnu=3611010700108290000&amp;isNoScr=script&amp;mode=search", "토지이음")</f>
        <v/>
      </c>
      <c r="L1314" s="3" t="inlineStr">
        <is>
          <t>신화  사무소</t>
        </is>
      </c>
      <c r="M1314" s="3" t="n">
        <v>1</v>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3" t="inlineStr">
        <is>
          <t>연무읍내 조용한곳에 위치하여 정주여건이 좋은곳임.</t>
        </is>
      </c>
      <c r="I1315" s="5">
        <f>HYPERLINK("https://fin.land.naver.com/articles/2648682128", "매물Link")</f>
        <v/>
      </c>
      <c r="J1315" s="5">
        <f>HYPERLINK("https://map.naver.com/p/search/나성동 829", "지도Link")</f>
        <v/>
      </c>
      <c r="K1315" s="5">
        <f>HYPERLINK("http://www.eum.go.kr/web/ar/lu/luLandDet.jsp?pnu=3611010700108290000&amp;isNoScr=script&amp;mode=search", "토지이음")</f>
        <v/>
      </c>
      <c r="L1315" s="3" t="inlineStr">
        <is>
          <t>신광호</t>
        </is>
      </c>
      <c r="M1315" s="3" t="n">
        <v>1</v>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3" t="inlineStr">
        <is>
          <t>2차선에 접한 토지로 전원(농가)주택지로 추천 함,</t>
        </is>
      </c>
      <c r="I1316" s="5">
        <f>HYPERLINK("https://fin.land.naver.com/articles/2648683169", "매물Link")</f>
        <v/>
      </c>
      <c r="J1316" s="5">
        <f>HYPERLINK("https://map.naver.com/p/search/나성동 829", "지도Link")</f>
        <v/>
      </c>
      <c r="K1316" s="5">
        <f>HYPERLINK("http://www.eum.go.kr/web/ar/lu/luLandDet.jsp?pnu=3611010700108290000&amp;isNoScr=script&amp;mode=search", "토지이음")</f>
        <v/>
      </c>
      <c r="L1316" s="3" t="inlineStr">
        <is>
          <t>신광호</t>
        </is>
      </c>
      <c r="M1316" s="3" t="n">
        <v>1</v>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3" t="inlineStr">
        <is>
          <t>물류창고 음식점 요도다양 대도로접 자연녹지</t>
        </is>
      </c>
      <c r="I1317" s="5">
        <f>HYPERLINK("https://fin.land.naver.com/articles/2649136380", "매물Link")</f>
        <v/>
      </c>
      <c r="J1317" s="5">
        <f>HYPERLINK("https://map.naver.com/p/search/나성동 829", "지도Link")</f>
        <v/>
      </c>
      <c r="K1317" s="5">
        <f>HYPERLINK("http://www.eum.go.kr/web/ar/lu/luLandDet.jsp?pnu=3611010700108290000&amp;isNoScr=script&amp;mode=search", "토지이음")</f>
        <v/>
      </c>
      <c r="L1317" s="3" t="inlineStr">
        <is>
          <t>평원</t>
        </is>
      </c>
      <c r="M1317" s="3" t="n">
        <v>1</v>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3" t="inlineStr">
        <is>
          <t>nan</t>
        </is>
      </c>
      <c r="I1318" s="5">
        <f>HYPERLINK("https://fin.land.naver.com/articles/2650164116", "매물Link")</f>
        <v/>
      </c>
      <c r="J1318" s="5">
        <f>HYPERLINK("https://map.naver.com/p/search/나성동 829", "지도Link")</f>
        <v/>
      </c>
      <c r="K1318" s="5">
        <f>HYPERLINK("http://www.eum.go.kr/web/ar/lu/luLandDet.jsp?pnu=3611010700108290000&amp;isNoScr=script&amp;mode=search", "토지이음")</f>
        <v/>
      </c>
      <c r="L1318" s="3" t="inlineStr">
        <is>
          <t>베스트</t>
        </is>
      </c>
      <c r="M1318" s="3" t="n">
        <v>1</v>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3" t="inlineStr">
        <is>
          <t>무허가 주택 있음 포장도로 접한 삼거리 코너 알짜배기 땅 급매</t>
        </is>
      </c>
      <c r="I1319" s="5">
        <f>HYPERLINK("https://fin.land.naver.com/articles/2645322683", "매물Link")</f>
        <v/>
      </c>
      <c r="J1319" s="5">
        <f>HYPERLINK("https://map.naver.com/p/search/나성동 829", "지도Link")</f>
        <v/>
      </c>
      <c r="K1319" s="5">
        <f>HYPERLINK("http://www.eum.go.kr/web/ar/lu/luLandDet.jsp?pnu=3611010700108290000&amp;isNoScr=script&amp;mode=search", "토지이음")</f>
        <v/>
      </c>
      <c r="L1319" s="3" t="inlineStr">
        <is>
          <t>귀빈</t>
        </is>
      </c>
      <c r="M1319" s="3" t="n">
        <v>1</v>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3" t="inlineStr">
        <is>
          <t>연무IC10분,공장용지,허가완료,설계완료,토목완료,개발비용완납,대형차진입</t>
        </is>
      </c>
      <c r="I1320" s="5">
        <f>HYPERLINK("https://fin.land.naver.com/articles/2648417688", "매물Link")</f>
        <v/>
      </c>
      <c r="J1320" s="5">
        <f>HYPERLINK("https://map.naver.com/p/search/나성동 829", "지도Link")</f>
        <v/>
      </c>
      <c r="K1320" s="5">
        <f>HYPERLINK("http://www.eum.go.kr/web/ar/lu/luLandDet.jsp?pnu=3611010700108290000&amp;isNoScr=script&amp;mode=search", "토지이음")</f>
        <v/>
      </c>
      <c r="L1320" s="3" t="inlineStr">
        <is>
          <t>OK허니</t>
        </is>
      </c>
      <c r="M1320" s="3" t="n">
        <v>1</v>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3" t="inlineStr">
        <is>
          <t>마전리,계획관리지역,공장,창고,투자용 토지매매.</t>
        </is>
      </c>
      <c r="I1321" s="5">
        <f>HYPERLINK("https://fin.land.naver.com/articles/2648557589", "매물Link")</f>
        <v/>
      </c>
      <c r="J1321" s="5">
        <f>HYPERLINK("https://map.naver.com/p/search/나성동 829", "지도Link")</f>
        <v/>
      </c>
      <c r="K1321" s="5">
        <f>HYPERLINK("http://www.eum.go.kr/web/ar/lu/luLandDet.jsp?pnu=3611010700108290000&amp;isNoScr=script&amp;mode=search", "토지이음")</f>
        <v/>
      </c>
      <c r="L1321" s="3" t="inlineStr">
        <is>
          <t>세종강산</t>
        </is>
      </c>
      <c r="M1321" s="3" t="n">
        <v>1</v>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3" t="inlineStr">
        <is>
          <t>지적상 4필이나 연접되어 있어 1필지로 사용하고 있음</t>
        </is>
      </c>
      <c r="I1322" s="5">
        <f>HYPERLINK("https://fin.land.naver.com/articles/2648711072", "매물Link")</f>
        <v/>
      </c>
      <c r="J1322" s="5">
        <f>HYPERLINK("https://map.naver.com/p/search/나성동 829", "지도Link")</f>
        <v/>
      </c>
      <c r="K1322" s="5">
        <f>HYPERLINK("http://www.eum.go.kr/web/ar/lu/luLandDet.jsp?pnu=3611010700108290000&amp;isNoScr=script&amp;mode=search", "토지이음")</f>
        <v/>
      </c>
      <c r="L1322" s="3" t="inlineStr">
        <is>
          <t>신광호</t>
        </is>
      </c>
      <c r="M1322" s="3" t="n">
        <v>1</v>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3" t="inlineStr">
        <is>
          <t>nan</t>
        </is>
      </c>
      <c r="I1323" s="5">
        <f>HYPERLINK("https://fin.land.naver.com/articles/2647808654", "매물Link")</f>
        <v/>
      </c>
      <c r="J1323" s="5">
        <f>HYPERLINK("https://map.naver.com/p/search/나성동 829", "지도Link")</f>
        <v/>
      </c>
      <c r="K1323" s="5">
        <f>HYPERLINK("http://www.eum.go.kr/web/ar/lu/luLandDet.jsp?pnu=3611010700108290000&amp;isNoScr=script&amp;mode=search", "토지이음")</f>
        <v/>
      </c>
      <c r="L1323" s="3" t="inlineStr">
        <is>
          <t>뉴미래로</t>
        </is>
      </c>
      <c r="M1323" s="3" t="n">
        <v>1</v>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3" t="inlineStr">
        <is>
          <t>4차선 접한 직사각형 토지</t>
        </is>
      </c>
      <c r="I1324" s="5">
        <f>HYPERLINK("https://fin.land.naver.com/articles/2649761222", "매물Link")</f>
        <v/>
      </c>
      <c r="J1324" s="5">
        <f>HYPERLINK("https://map.naver.com/p/search/나성동 829", "지도Link")</f>
        <v/>
      </c>
      <c r="K1324" s="5">
        <f>HYPERLINK("http://www.eum.go.kr/web/ar/lu/luLandDet.jsp?pnu=3611010700108290000&amp;isNoScr=script&amp;mode=search", "토지이음")</f>
        <v/>
      </c>
      <c r="L1324" s="3" t="inlineStr">
        <is>
          <t>재형</t>
        </is>
      </c>
      <c r="M1324" s="3" t="n">
        <v>1</v>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3" t="inlineStr">
        <is>
          <t>코너부지이며 용도다양 상가주택건축추천</t>
        </is>
      </c>
      <c r="I1325" s="5">
        <f>HYPERLINK("https://fin.land.naver.com/articles/2646974980", "매물Link")</f>
        <v/>
      </c>
      <c r="J1325" s="5">
        <f>HYPERLINK("https://map.naver.com/p/search/나성동 829", "지도Link")</f>
        <v/>
      </c>
      <c r="K1325" s="5">
        <f>HYPERLINK("http://www.eum.go.kr/web/ar/lu/luLandDet.jsp?pnu=3611010700108290000&amp;isNoScr=script&amp;mode=search", "토지이음")</f>
        <v/>
      </c>
      <c r="L1325" s="3" t="inlineStr">
        <is>
          <t>논산팔구사구</t>
        </is>
      </c>
      <c r="M1325" s="3" t="n">
        <v>1</v>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3" t="inlineStr">
        <is>
          <t>nan</t>
        </is>
      </c>
      <c r="I1326" s="5">
        <f>HYPERLINK("https://fin.land.naver.com/articles/2645106691", "매물Link")</f>
        <v/>
      </c>
      <c r="J1326" s="5">
        <f>HYPERLINK("https://map.naver.com/p/search/나성동 829", "지도Link")</f>
        <v/>
      </c>
      <c r="K1326" s="5">
        <f>HYPERLINK("http://www.eum.go.kr/web/ar/lu/luLandDet.jsp?pnu=3611010700108290000&amp;isNoScr=script&amp;mode=search", "토지이음")</f>
        <v/>
      </c>
      <c r="L1326" s="3" t="inlineStr">
        <is>
          <t>명성</t>
        </is>
      </c>
      <c r="M1326" s="3" t="n">
        <v>1</v>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3" t="inlineStr">
        <is>
          <t>자연품은 힐링공간, 공주사곡 신영리 전원주택지 급매</t>
        </is>
      </c>
      <c r="I1327" s="5">
        <f>HYPERLINK("https://fin.land.naver.com/articles/2645526670", "매물Link")</f>
        <v/>
      </c>
      <c r="J1327" s="5">
        <f>HYPERLINK("https://map.naver.com/p/search/나성동 829", "지도Link")</f>
        <v/>
      </c>
      <c r="K1327" s="5">
        <f>HYPERLINK("http://www.eum.go.kr/web/ar/lu/luLandDet.jsp?pnu=3611010700108290000&amp;isNoScr=script&amp;mode=search", "토지이음")</f>
        <v/>
      </c>
      <c r="L1327" s="3" t="inlineStr">
        <is>
          <t>랜드맥스</t>
        </is>
      </c>
      <c r="M1327" s="3" t="n">
        <v>1</v>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3" t="inlineStr">
        <is>
          <t>nan</t>
        </is>
      </c>
      <c r="I1328" s="5">
        <f>HYPERLINK("https://fin.land.naver.com/articles/2645600795", "매물Link")</f>
        <v/>
      </c>
      <c r="J1328" s="5">
        <f>HYPERLINK("https://map.naver.com/p/search/나성동 829", "지도Link")</f>
        <v/>
      </c>
      <c r="K1328" s="5">
        <f>HYPERLINK("http://www.eum.go.kr/web/ar/lu/luLandDet.jsp?pnu=3611010700108290000&amp;isNoScr=script&amp;mode=search", "토지이음")</f>
        <v/>
      </c>
      <c r="L1328" s="3" t="inlineStr">
        <is>
          <t>대동</t>
        </is>
      </c>
      <c r="M1328" s="3" t="n">
        <v>1</v>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3" t="inlineStr">
        <is>
          <t>nan</t>
        </is>
      </c>
      <c r="I1329" s="5">
        <f>HYPERLINK("https://fin.land.naver.com/articles/2646602823", "매물Link")</f>
        <v/>
      </c>
      <c r="J1329" s="5">
        <f>HYPERLINK("https://map.naver.com/p/search/나성동 829", "지도Link")</f>
        <v/>
      </c>
      <c r="K1329" s="5">
        <f>HYPERLINK("http://www.eum.go.kr/web/ar/lu/luLandDet.jsp?pnu=3611010700108290000&amp;isNoScr=script&amp;mode=search", "토지이음")</f>
        <v/>
      </c>
      <c r="L1329" s="3" t="inlineStr">
        <is>
          <t>스마트 사무소</t>
        </is>
      </c>
      <c r="M1329" s="3" t="n">
        <v>1</v>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3" t="inlineStr">
        <is>
          <t>마곡사인 근 체류형 쉼터 및 농막지 전원주택지</t>
        </is>
      </c>
      <c r="I1330" s="5">
        <f>HYPERLINK("https://fin.land.naver.com/articles/2647204967", "매물Link")</f>
        <v/>
      </c>
      <c r="J1330" s="5">
        <f>HYPERLINK("https://map.naver.com/p/search/나성동 829", "지도Link")</f>
        <v/>
      </c>
      <c r="K1330" s="5">
        <f>HYPERLINK("http://www.eum.go.kr/web/ar/lu/luLandDet.jsp?pnu=3611010700108290000&amp;isNoScr=script&amp;mode=search", "토지이음")</f>
        <v/>
      </c>
      <c r="L1330" s="3" t="inlineStr">
        <is>
          <t>태성</t>
        </is>
      </c>
      <c r="M1330" s="3" t="n">
        <v>1</v>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3" t="inlineStr">
        <is>
          <t>마을 상단 위치 계곡접보를 막아 항상 물마르지않음</t>
        </is>
      </c>
      <c r="I1331" s="5">
        <f>HYPERLINK("https://fin.land.naver.com/articles/2647205159", "매물Link")</f>
        <v/>
      </c>
      <c r="J1331" s="5">
        <f>HYPERLINK("https://map.naver.com/p/search/나성동 829", "지도Link")</f>
        <v/>
      </c>
      <c r="K1331" s="5">
        <f>HYPERLINK("http://www.eum.go.kr/web/ar/lu/luLandDet.jsp?pnu=3611010700108290000&amp;isNoScr=script&amp;mode=search", "토지이음")</f>
        <v/>
      </c>
      <c r="L1331" s="3" t="inlineStr">
        <is>
          <t>태성</t>
        </is>
      </c>
      <c r="M1331" s="3" t="n">
        <v>1</v>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3" t="inlineStr">
        <is>
          <t>전원 주택지 최적 전면 시야 확트임 동네와 적당거리</t>
        </is>
      </c>
      <c r="I1332" s="5">
        <f>HYPERLINK("https://fin.land.naver.com/articles/2647205226", "매물Link")</f>
        <v/>
      </c>
      <c r="J1332" s="5">
        <f>HYPERLINK("https://map.naver.com/p/search/나성동 829", "지도Link")</f>
        <v/>
      </c>
      <c r="K1332" s="5">
        <f>HYPERLINK("http://www.eum.go.kr/web/ar/lu/luLandDet.jsp?pnu=3611010700108290000&amp;isNoScr=script&amp;mode=search", "토지이음")</f>
        <v/>
      </c>
      <c r="L1332" s="3" t="inlineStr">
        <is>
          <t>태성</t>
        </is>
      </c>
      <c r="M1332" s="3" t="n">
        <v>1</v>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3" t="inlineStr">
        <is>
          <t>nan</t>
        </is>
      </c>
      <c r="I1333" s="5">
        <f>HYPERLINK("https://fin.land.naver.com/articles/2645106122", "매물Link")</f>
        <v/>
      </c>
      <c r="J1333" s="5">
        <f>HYPERLINK("https://map.naver.com/p/search/나성동 829", "지도Link")</f>
        <v/>
      </c>
      <c r="K1333" s="5">
        <f>HYPERLINK("http://www.eum.go.kr/web/ar/lu/luLandDet.jsp?pnu=3611010700108290000&amp;isNoScr=script&amp;mode=search", "토지이음")</f>
        <v/>
      </c>
      <c r="L1333" s="3" t="inlineStr">
        <is>
          <t>명성</t>
        </is>
      </c>
      <c r="M1333" s="3" t="n">
        <v>1</v>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3" t="inlineStr">
        <is>
          <t>휴계용쉼터 전면 시야 좋음 남향 전원 지도 최적 개울접</t>
        </is>
      </c>
      <c r="I1334" s="5">
        <f>HYPERLINK("https://fin.land.naver.com/articles/2647205245", "매물Link")</f>
        <v/>
      </c>
      <c r="J1334" s="5">
        <f>HYPERLINK("https://map.naver.com/p/search/나성동 829", "지도Link")</f>
        <v/>
      </c>
      <c r="K1334" s="5">
        <f>HYPERLINK("http://www.eum.go.kr/web/ar/lu/luLandDet.jsp?pnu=3611010700108290000&amp;isNoScr=script&amp;mode=search", "토지이음")</f>
        <v/>
      </c>
      <c r="L1334" s="3" t="inlineStr">
        <is>
          <t>태성</t>
        </is>
      </c>
      <c r="M1334" s="3" t="n">
        <v>1</v>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3" t="inlineStr">
        <is>
          <t>전원주택,펜션추천</t>
        </is>
      </c>
      <c r="I1335" s="5">
        <f>HYPERLINK("https://fin.land.naver.com/articles/2647602603", "매물Link")</f>
        <v/>
      </c>
      <c r="J1335" s="5">
        <f>HYPERLINK("https://map.naver.com/p/search/나성동 829", "지도Link")</f>
        <v/>
      </c>
      <c r="K1335" s="5">
        <f>HYPERLINK("http://www.eum.go.kr/web/ar/lu/luLandDet.jsp?pnu=3611010700108290000&amp;isNoScr=script&amp;mode=search", "토지이음")</f>
        <v/>
      </c>
      <c r="L1335" s="3" t="inlineStr">
        <is>
          <t>미르</t>
        </is>
      </c>
      <c r="M1335" s="3" t="n">
        <v>1</v>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3" t="inlineStr">
        <is>
          <t>무성산 너머 10승지 토지로 주변 실거래가 35만원 보다 저렴한 가격임.</t>
        </is>
      </c>
      <c r="I1336" s="5">
        <f>HYPERLINK("https://fin.land.naver.com/articles/2647839885", "매물Link")</f>
        <v/>
      </c>
      <c r="J1336" s="5">
        <f>HYPERLINK("https://map.naver.com/p/search/나성동 829", "지도Link")</f>
        <v/>
      </c>
      <c r="K1336" s="5">
        <f>HYPERLINK("http://www.eum.go.kr/web/ar/lu/luLandDet.jsp?pnu=3611010700108290000&amp;isNoScr=script&amp;mode=search", "토지이음")</f>
        <v/>
      </c>
      <c r="L1336" s="3" t="inlineStr">
        <is>
          <t>스마트 사무소</t>
        </is>
      </c>
      <c r="M1336" s="3" t="n">
        <v>1</v>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3" t="inlineStr">
        <is>
          <t>산세가 이쁘고 남향이며 풍수적으로 좋은 입지임.</t>
        </is>
      </c>
      <c r="I1337" s="5">
        <f>HYPERLINK("https://fin.land.naver.com/articles/2647908262", "매물Link")</f>
        <v/>
      </c>
      <c r="J1337" s="5">
        <f>HYPERLINK("https://map.naver.com/p/search/나성동 829", "지도Link")</f>
        <v/>
      </c>
      <c r="K1337" s="5">
        <f>HYPERLINK("http://www.eum.go.kr/web/ar/lu/luLandDet.jsp?pnu=3611010700108290000&amp;isNoScr=script&amp;mode=search", "토지이음")</f>
        <v/>
      </c>
      <c r="L1337" s="3" t="inlineStr">
        <is>
          <t>하당</t>
        </is>
      </c>
      <c r="M1337" s="3" t="n">
        <v>1</v>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3" t="inlineStr">
        <is>
          <t>nan</t>
        </is>
      </c>
      <c r="I1338" s="5">
        <f>HYPERLINK("https://fin.land.naver.com/articles/2648597139", "매물Link")</f>
        <v/>
      </c>
      <c r="J1338" s="5">
        <f>HYPERLINK("https://map.naver.com/p/search/나성동 829", "지도Link")</f>
        <v/>
      </c>
      <c r="K1338" s="5">
        <f>HYPERLINK("http://www.eum.go.kr/web/ar/lu/luLandDet.jsp?pnu=3611010700108290000&amp;isNoScr=script&amp;mode=search", "토지이음")</f>
        <v/>
      </c>
      <c r="L1338" s="3" t="inlineStr">
        <is>
          <t>명성</t>
        </is>
      </c>
      <c r="M1338" s="3" t="n">
        <v>1</v>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3" t="inlineStr">
        <is>
          <t>nan</t>
        </is>
      </c>
      <c r="I1339" s="5">
        <f>HYPERLINK("https://fin.land.naver.com/articles/2648597225", "매물Link")</f>
        <v/>
      </c>
      <c r="J1339" s="5">
        <f>HYPERLINK("https://map.naver.com/p/search/나성동 829", "지도Link")</f>
        <v/>
      </c>
      <c r="K1339" s="5">
        <f>HYPERLINK("http://www.eum.go.kr/web/ar/lu/luLandDet.jsp?pnu=3611010700108290000&amp;isNoScr=script&amp;mode=search", "토지이음")</f>
        <v/>
      </c>
      <c r="L1339" s="3" t="inlineStr">
        <is>
          <t>명성</t>
        </is>
      </c>
      <c r="M1339" s="3" t="n">
        <v>1</v>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3" t="inlineStr">
        <is>
          <t>평탄작업한 대지로 즉시 건축 가능하니다.</t>
        </is>
      </c>
      <c r="I1340" s="5">
        <f>HYPERLINK("https://fin.land.naver.com/articles/2649844893", "매물Link")</f>
        <v/>
      </c>
      <c r="J1340" s="5">
        <f>HYPERLINK("https://map.naver.com/p/search/나성동 829", "지도Link")</f>
        <v/>
      </c>
      <c r="K1340" s="5">
        <f>HYPERLINK("http://www.eum.go.kr/web/ar/lu/luLandDet.jsp?pnu=3611010700108290000&amp;isNoScr=script&amp;mode=search", "토지이음")</f>
        <v/>
      </c>
      <c r="L1340" s="3" t="inlineStr">
        <is>
          <t>스마트 사무소</t>
        </is>
      </c>
      <c r="M1340" s="3" t="n">
        <v>1</v>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3" t="inlineStr">
        <is>
          <t>4m아스콘포장도로접,전원주택지</t>
        </is>
      </c>
      <c r="I1341" s="5">
        <f>HYPERLINK("https://fin.land.naver.com/articles/2650204167", "매물Link")</f>
        <v/>
      </c>
      <c r="J1341" s="5">
        <f>HYPERLINK("https://map.naver.com/p/search/나성동 829", "지도Link")</f>
        <v/>
      </c>
      <c r="K1341" s="5">
        <f>HYPERLINK("http://www.eum.go.kr/web/ar/lu/luLandDet.jsp?pnu=3611010700108290000&amp;isNoScr=script&amp;mode=search", "토지이음")</f>
        <v/>
      </c>
      <c r="L1341" s="3" t="inlineStr">
        <is>
          <t>세종힐데스</t>
        </is>
      </c>
      <c r="M1341" s="3" t="n">
        <v>1</v>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3" t="inlineStr">
        <is>
          <t>공주시 사곡면 운암리  토지매매,전원주택지 매매(나대지 매매)</t>
        </is>
      </c>
      <c r="I1342" s="5">
        <f>HYPERLINK("https://fin.land.naver.com/articles/2647314637", "매물Link")</f>
        <v/>
      </c>
      <c r="J1342" s="5">
        <f>HYPERLINK("https://map.naver.com/p/search/나성동 829", "지도Link")</f>
        <v/>
      </c>
      <c r="K1342" s="5">
        <f>HYPERLINK("http://www.eum.go.kr/web/ar/lu/luLandDet.jsp?pnu=3611010700108290000&amp;isNoScr=script&amp;mode=search", "토지이음")</f>
        <v/>
      </c>
      <c r="L1342" s="3" t="inlineStr">
        <is>
          <t>(주)가가</t>
        </is>
      </c>
      <c r="M1342" s="3" t="n">
        <v>1</v>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3" t="inlineStr">
        <is>
          <t>nan</t>
        </is>
      </c>
      <c r="I1343" s="5">
        <f>HYPERLINK("https://fin.land.naver.com/articles/2649882845", "매물Link")</f>
        <v/>
      </c>
      <c r="J1343" s="5">
        <f>HYPERLINK("https://map.naver.com/p/search/나성동 829", "지도Link")</f>
        <v/>
      </c>
      <c r="K1343" s="5">
        <f>HYPERLINK("http://www.eum.go.kr/web/ar/lu/luLandDet.jsp?pnu=3611010700108290000&amp;isNoScr=script&amp;mode=search", "토지이음")</f>
        <v/>
      </c>
      <c r="L1343" s="3" t="inlineStr">
        <is>
          <t>흙사랑</t>
        </is>
      </c>
      <c r="M1343" s="3" t="n">
        <v>1</v>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3" t="inlineStr">
        <is>
          <t>마을끝자락 상단부에 물소리가 들리는 조용한 환경의 2단의 답</t>
        </is>
      </c>
      <c r="I1344" s="5">
        <f>HYPERLINK("https://fin.land.naver.com/articles/2649851252", "매물Link")</f>
        <v/>
      </c>
      <c r="J1344" s="5">
        <f>HYPERLINK("https://map.naver.com/p/search/나성동 829", "지도Link")</f>
        <v/>
      </c>
      <c r="K1344" s="5">
        <f>HYPERLINK("http://www.eum.go.kr/web/ar/lu/luLandDet.jsp?pnu=3611010700108290000&amp;isNoScr=script&amp;mode=search", "토지이음")</f>
        <v/>
      </c>
      <c r="L1344" s="3" t="inlineStr">
        <is>
          <t>흙사랑</t>
        </is>
      </c>
      <c r="M1344" s="3" t="n">
        <v>1</v>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3" t="inlineStr">
        <is>
          <t>마을 끝부분의 언덕 위 전망좋은 계획관리지역 토지</t>
        </is>
      </c>
      <c r="I1345" s="5">
        <f>HYPERLINK("https://fin.land.naver.com/articles/2649847855", "매물Link")</f>
        <v/>
      </c>
      <c r="J1345" s="5">
        <f>HYPERLINK("https://map.naver.com/p/search/나성동 829", "지도Link")</f>
        <v/>
      </c>
      <c r="K1345" s="5">
        <f>HYPERLINK("http://www.eum.go.kr/web/ar/lu/luLandDet.jsp?pnu=3611010700108290000&amp;isNoScr=script&amp;mode=search", "토지이음")</f>
        <v/>
      </c>
      <c r="L1345" s="3" t="inlineStr">
        <is>
          <t>흙사랑</t>
        </is>
      </c>
      <c r="M1345" s="3" t="n">
        <v>1</v>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3" t="inlineStr">
        <is>
          <t>공설운동장 주변 대지</t>
        </is>
      </c>
      <c r="I1346" s="5">
        <f>HYPERLINK("https://fin.land.naver.com/articles/2648142435", "매물Link")</f>
        <v/>
      </c>
      <c r="J1346" s="5">
        <f>HYPERLINK("https://map.naver.com/p/search/나성동 829", "지도Link")</f>
        <v/>
      </c>
      <c r="K1346" s="5">
        <f>HYPERLINK("http://www.eum.go.kr/web/ar/lu/luLandDet.jsp?pnu=3611010700108290000&amp;isNoScr=script&amp;mode=search", "토지이음")</f>
        <v/>
      </c>
      <c r="L1346" s="3" t="inlineStr">
        <is>
          <t>에이플러스</t>
        </is>
      </c>
      <c r="M1346" s="3" t="n">
        <v>1</v>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3" t="inlineStr">
        <is>
          <t>급매물</t>
        </is>
      </c>
      <c r="I1347" s="5">
        <f>HYPERLINK("https://fin.land.naver.com/articles/2647109464", "매물Link")</f>
        <v/>
      </c>
      <c r="J1347" s="5">
        <f>HYPERLINK("https://map.naver.com/p/search/나성동 829", "지도Link")</f>
        <v/>
      </c>
      <c r="K1347" s="5">
        <f>HYPERLINK("http://www.eum.go.kr/web/ar/lu/luLandDet.jsp?pnu=3611010700108290000&amp;isNoScr=script&amp;mode=search", "토지이음")</f>
        <v/>
      </c>
      <c r="L1347" s="3" t="inlineStr">
        <is>
          <t>스마트</t>
        </is>
      </c>
      <c r="M1347" s="3" t="n">
        <v>1</v>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3" t="inlineStr">
        <is>
          <t>부창동일원 나대지로 2차선 접하고 접근성 좋고, 투자가치 눞은 땅</t>
        </is>
      </c>
      <c r="I1348" s="5">
        <f>HYPERLINK("https://fin.land.naver.com/articles/2645209244", "매물Link")</f>
        <v/>
      </c>
      <c r="J1348" s="5">
        <f>HYPERLINK("https://map.naver.com/p/search/나성동 829", "지도Link")</f>
        <v/>
      </c>
      <c r="K1348" s="5">
        <f>HYPERLINK("http://www.eum.go.kr/web/ar/lu/luLandDet.jsp?pnu=3611010700108290000&amp;isNoScr=script&amp;mode=search", "토지이음")</f>
        <v/>
      </c>
      <c r="L1348" s="3" t="inlineStr">
        <is>
          <t>초심</t>
        </is>
      </c>
      <c r="M1348" s="3" t="n">
        <v>1</v>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3" t="inlineStr">
        <is>
          <t>정남향 소형토지.농막 추천</t>
        </is>
      </c>
      <c r="I1349" s="5">
        <f>HYPERLINK("https://fin.land.naver.com/articles/2647021262", "매물Link")</f>
        <v/>
      </c>
      <c r="J1349" s="5">
        <f>HYPERLINK("https://map.naver.com/p/search/나성동 829", "지도Link")</f>
        <v/>
      </c>
      <c r="K1349" s="5">
        <f>HYPERLINK("http://www.eum.go.kr/web/ar/lu/luLandDet.jsp?pnu=3611010700108290000&amp;isNoScr=script&amp;mode=search", "토지이음")</f>
        <v/>
      </c>
      <c r="L1349" s="3" t="inlineStr">
        <is>
          <t>동행 공인중개 사무소</t>
        </is>
      </c>
      <c r="M1349" s="3" t="n">
        <v>1</v>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3" t="inlineStr">
        <is>
          <t>전망 좋은 잔원 주택지</t>
        </is>
      </c>
      <c r="I1350" s="5">
        <f>HYPERLINK("https://fin.land.naver.com/articles/2647021821", "매물Link")</f>
        <v/>
      </c>
      <c r="J1350" s="5">
        <f>HYPERLINK("https://map.naver.com/p/search/나성동 829", "지도Link")</f>
        <v/>
      </c>
      <c r="K1350" s="5">
        <f>HYPERLINK("http://www.eum.go.kr/web/ar/lu/luLandDet.jsp?pnu=3611010700108290000&amp;isNoScr=script&amp;mode=search", "토지이음")</f>
        <v/>
      </c>
      <c r="L1350" s="3" t="inlineStr">
        <is>
          <t>동행 공인중개 사무소</t>
        </is>
      </c>
      <c r="M1350" s="3" t="n">
        <v>1</v>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3" t="inlineStr">
        <is>
          <t>nan</t>
        </is>
      </c>
      <c r="I1351" s="5">
        <f>HYPERLINK("https://fin.land.naver.com/articles/2647175459", "매물Link")</f>
        <v/>
      </c>
      <c r="J1351" s="5">
        <f>HYPERLINK("https://map.naver.com/p/search/나성동 829", "지도Link")</f>
        <v/>
      </c>
      <c r="K1351" s="5">
        <f>HYPERLINK("http://www.eum.go.kr/web/ar/lu/luLandDet.jsp?pnu=3611010700108290000&amp;isNoScr=script&amp;mode=search", "토지이음")</f>
        <v/>
      </c>
      <c r="L1351" s="3" t="inlineStr">
        <is>
          <t>진솔한</t>
        </is>
      </c>
      <c r="M1351" s="3" t="n">
        <v>1</v>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3" t="inlineStr">
        <is>
          <t>nan</t>
        </is>
      </c>
      <c r="I1352" s="5">
        <f>HYPERLINK("https://fin.land.naver.com/articles/2647176836", "매물Link")</f>
        <v/>
      </c>
      <c r="J1352" s="5">
        <f>HYPERLINK("https://map.naver.com/p/search/나성동 829", "지도Link")</f>
        <v/>
      </c>
      <c r="K1352" s="5">
        <f>HYPERLINK("http://www.eum.go.kr/web/ar/lu/luLandDet.jsp?pnu=3611010700108290000&amp;isNoScr=script&amp;mode=search", "토지이음")</f>
        <v/>
      </c>
      <c r="L1352" s="3" t="inlineStr">
        <is>
          <t>진솔한</t>
        </is>
      </c>
      <c r="M1352" s="3" t="n">
        <v>1</v>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3" t="inlineStr">
        <is>
          <t>대지 정리작업완료했어요 계획관리지역이구요</t>
        </is>
      </c>
      <c r="I1353" s="5">
        <f>HYPERLINK("https://fin.land.naver.com/articles/2647824222", "매물Link")</f>
        <v/>
      </c>
      <c r="J1353" s="5">
        <f>HYPERLINK("https://map.naver.com/p/search/나성동 829", "지도Link")</f>
        <v/>
      </c>
      <c r="K1353" s="5">
        <f>HYPERLINK("http://www.eum.go.kr/web/ar/lu/luLandDet.jsp?pnu=3611010700108290000&amp;isNoScr=script&amp;mode=search", "토지이음")</f>
        <v/>
      </c>
      <c r="L1353" s="3" t="inlineStr">
        <is>
          <t>다온</t>
        </is>
      </c>
      <c r="M1353" s="3" t="n">
        <v>1</v>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3" t="inlineStr">
        <is>
          <t>외2필지</t>
        </is>
      </c>
      <c r="I1354" s="5">
        <f>HYPERLINK("https://fin.land.naver.com/articles/2649241274", "매물Link")</f>
        <v/>
      </c>
      <c r="J1354" s="5">
        <f>HYPERLINK("https://map.naver.com/p/search/나성동 829", "지도Link")</f>
        <v/>
      </c>
      <c r="K1354" s="5">
        <f>HYPERLINK("http://www.eum.go.kr/web/ar/lu/luLandDet.jsp?pnu=3611010700108290000&amp;isNoScr=script&amp;mode=search", "토지이음")</f>
        <v/>
      </c>
      <c r="L1354" s="3" t="inlineStr">
        <is>
          <t>공주114</t>
        </is>
      </c>
      <c r="M1354" s="3" t="n">
        <v>1</v>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3" t="inlineStr">
        <is>
          <t>도로 접해 있고, 농업경영체 등록 및 조합원 가입 가능합니다.</t>
        </is>
      </c>
      <c r="I1355" s="5">
        <f>HYPERLINK("https://fin.land.naver.com/articles/2649845702", "매물Link")</f>
        <v/>
      </c>
      <c r="J1355" s="5">
        <f>HYPERLINK("https://map.naver.com/p/search/나성동 829", "지도Link")</f>
        <v/>
      </c>
      <c r="K1355" s="5">
        <f>HYPERLINK("http://www.eum.go.kr/web/ar/lu/luLandDet.jsp?pnu=3611010700108290000&amp;isNoScr=script&amp;mode=search", "토지이음")</f>
        <v/>
      </c>
      <c r="L1355" s="3" t="inlineStr">
        <is>
          <t>스마트 사무소</t>
        </is>
      </c>
      <c r="M1355" s="3" t="n">
        <v>1</v>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3" t="inlineStr">
        <is>
          <t>조망좋은 전원주택지, 현 감나무묘목식재</t>
        </is>
      </c>
      <c r="I1356" s="5">
        <f>HYPERLINK("https://fin.land.naver.com/articles/2650205549", "매물Link")</f>
        <v/>
      </c>
      <c r="J1356" s="5">
        <f>HYPERLINK("https://map.naver.com/p/search/나성동 829", "지도Link")</f>
        <v/>
      </c>
      <c r="K1356" s="5">
        <f>HYPERLINK("http://www.eum.go.kr/web/ar/lu/luLandDet.jsp?pnu=3611010700108290000&amp;isNoScr=script&amp;mode=search", "토지이음")</f>
        <v/>
      </c>
      <c r="L1356" s="3" t="inlineStr">
        <is>
          <t>세종힐데스</t>
        </is>
      </c>
      <c r="M1356" s="3" t="n">
        <v>1</v>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3" t="inlineStr">
        <is>
          <t>건물1동(노인복지시설)</t>
        </is>
      </c>
      <c r="I1357" s="5">
        <f>HYPERLINK("https://fin.land.naver.com/articles/2650205995", "매물Link")</f>
        <v/>
      </c>
      <c r="J1357" s="5">
        <f>HYPERLINK("https://map.naver.com/p/search/나성동 829", "지도Link")</f>
        <v/>
      </c>
      <c r="K1357" s="5">
        <f>HYPERLINK("http://www.eum.go.kr/web/ar/lu/luLandDet.jsp?pnu=3611010700108290000&amp;isNoScr=script&amp;mode=search", "토지이음")</f>
        <v/>
      </c>
      <c r="L1357" s="3" t="inlineStr">
        <is>
          <t>세종힐데스</t>
        </is>
      </c>
      <c r="M1357" s="3" t="n">
        <v>1</v>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3" t="inlineStr">
        <is>
          <t>신풍면 산정리 도로접 계획관리 토지매매</t>
        </is>
      </c>
      <c r="I1358" s="5">
        <f>HYPERLINK("https://fin.land.naver.com/articles/2649240672", "매물Link")</f>
        <v/>
      </c>
      <c r="J1358" s="5">
        <f>HYPERLINK("https://map.naver.com/p/search/나성동 829", "지도Link")</f>
        <v/>
      </c>
      <c r="K1358" s="5">
        <f>HYPERLINK("http://www.eum.go.kr/web/ar/lu/luLandDet.jsp?pnu=3611010700108290000&amp;isNoScr=script&amp;mode=search", "토지이음")</f>
        <v/>
      </c>
      <c r="L1358" s="3" t="inlineStr">
        <is>
          <t>재화</t>
        </is>
      </c>
      <c r="M1358" s="3" t="n">
        <v>1</v>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3" t="inlineStr">
        <is>
          <t>조평리 마을 끝부분 외지인이 들어오는 한적한 환경의 주말주택</t>
        </is>
      </c>
      <c r="I1359" s="5">
        <f>HYPERLINK("https://fin.land.naver.com/articles/2649834657", "매물Link")</f>
        <v/>
      </c>
      <c r="J1359" s="5">
        <f>HYPERLINK("https://map.naver.com/p/search/나성동 829", "지도Link")</f>
        <v/>
      </c>
      <c r="K1359" s="5">
        <f>HYPERLINK("http://www.eum.go.kr/web/ar/lu/luLandDet.jsp?pnu=3611010700108290000&amp;isNoScr=script&amp;mode=search", "토지이음")</f>
        <v/>
      </c>
      <c r="L1359" s="3" t="inlineStr">
        <is>
          <t>흙사랑</t>
        </is>
      </c>
      <c r="M1359" s="3" t="n">
        <v>1</v>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3" t="inlineStr">
        <is>
          <t>nan</t>
        </is>
      </c>
      <c r="I1360" s="5">
        <f>HYPERLINK("https://fin.land.naver.com/articles/2649835641", "매물Link")</f>
        <v/>
      </c>
      <c r="J1360" s="5">
        <f>HYPERLINK("https://map.naver.com/p/search/나성동 829", "지도Link")</f>
        <v/>
      </c>
      <c r="K1360" s="5">
        <f>HYPERLINK("http://www.eum.go.kr/web/ar/lu/luLandDet.jsp?pnu=3611010700108290000&amp;isNoScr=script&amp;mode=search", "토지이음")</f>
        <v/>
      </c>
      <c r="L1360" s="3" t="inlineStr">
        <is>
          <t>흙사랑</t>
        </is>
      </c>
      <c r="M1360" s="3" t="n">
        <v>1</v>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3" t="inlineStr">
        <is>
          <t>등화동 토지 매매</t>
        </is>
      </c>
      <c r="I1361" s="5">
        <f>HYPERLINK("https://fin.land.naver.com/articles/2650167263", "매물Link")</f>
        <v/>
      </c>
      <c r="J1361" s="5">
        <f>HYPERLINK("https://map.naver.com/p/search/나성동 829", "지도Link")</f>
        <v/>
      </c>
      <c r="K1361" s="5">
        <f>HYPERLINK("http://www.eum.go.kr/web/ar/lu/luLandDet.jsp?pnu=3611010700108290000&amp;isNoScr=script&amp;mode=search", "토지이음")</f>
        <v/>
      </c>
      <c r="L1361" s="3" t="inlineStr">
        <is>
          <t>하나</t>
        </is>
      </c>
      <c r="M1361" s="3" t="n">
        <v>1</v>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3" t="inlineStr">
        <is>
          <t>대전, 계룡에서 접근이 편리한 영농 및 주말농지</t>
        </is>
      </c>
      <c r="I1362" s="5">
        <f>HYPERLINK("https://fin.land.naver.com/articles/2648284822", "매물Link")</f>
        <v/>
      </c>
      <c r="J1362" s="5">
        <f>HYPERLINK("https://map.naver.com/p/search/나성동 829", "지도Link")</f>
        <v/>
      </c>
      <c r="K1362" s="5">
        <f>HYPERLINK("http://www.eum.go.kr/web/ar/lu/luLandDet.jsp?pnu=3611010700108290000&amp;isNoScr=script&amp;mode=search", "토지이음")</f>
        <v/>
      </c>
      <c r="L1362" s="3" t="inlineStr">
        <is>
          <t>세종사무소</t>
        </is>
      </c>
      <c r="M1362" s="3" t="n">
        <v>1</v>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3" t="inlineStr">
        <is>
          <t>농지원부 등</t>
        </is>
      </c>
      <c r="I1363" s="5">
        <f>HYPERLINK("https://fin.land.naver.com/articles/2648424472", "매물Link")</f>
        <v/>
      </c>
      <c r="J1363" s="5">
        <f>HYPERLINK("https://map.naver.com/p/search/나성동 829", "지도Link")</f>
        <v/>
      </c>
      <c r="K1363" s="5">
        <f>HYPERLINK("http://www.eum.go.kr/web/ar/lu/luLandDet.jsp?pnu=3611010700108290000&amp;isNoScr=script&amp;mode=search", "토지이음")</f>
        <v/>
      </c>
      <c r="L1363" s="3" t="inlineStr">
        <is>
          <t>신화  사무소</t>
        </is>
      </c>
      <c r="M1363" s="3" t="n">
        <v>1</v>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3" t="inlineStr">
        <is>
          <t>계룡산 아래 위치한 전원주택지</t>
        </is>
      </c>
      <c r="I1364" s="5">
        <f>HYPERLINK("https://fin.land.naver.com/articles/2645204871", "매물Link")</f>
        <v/>
      </c>
      <c r="J1364" s="5">
        <f>HYPERLINK("https://map.naver.com/p/search/나성동 829", "지도Link")</f>
        <v/>
      </c>
      <c r="K1364" s="5">
        <f>HYPERLINK("http://www.eum.go.kr/web/ar/lu/luLandDet.jsp?pnu=3611010700108290000&amp;isNoScr=script&amp;mode=search", "토지이음")</f>
        <v/>
      </c>
      <c r="L1364" s="3" t="inlineStr">
        <is>
          <t>초심</t>
        </is>
      </c>
      <c r="M1364" s="3" t="n">
        <v>1</v>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3" t="inlineStr">
        <is>
          <t>아늑하고 가치 높은 단독주택, 전원주택 부지 매매</t>
        </is>
      </c>
      <c r="I1365" s="5">
        <f>HYPERLINK("https://fin.land.naver.com/articles/2648284569", "매물Link")</f>
        <v/>
      </c>
      <c r="J1365" s="5">
        <f>HYPERLINK("https://map.naver.com/p/search/나성동 829", "지도Link")</f>
        <v/>
      </c>
      <c r="K1365" s="5">
        <f>HYPERLINK("http://www.eum.go.kr/web/ar/lu/luLandDet.jsp?pnu=3611010700108290000&amp;isNoScr=script&amp;mode=search", "토지이음")</f>
        <v/>
      </c>
      <c r="L1365" s="3" t="inlineStr">
        <is>
          <t>세종사무소</t>
        </is>
      </c>
      <c r="M1365" s="3" t="n">
        <v>1</v>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3" t="inlineStr">
        <is>
          <t>하우스용지</t>
        </is>
      </c>
      <c r="I1366" s="5">
        <f>HYPERLINK("https://fin.land.naver.com/articles/2649759848", "매물Link")</f>
        <v/>
      </c>
      <c r="J1366" s="5">
        <f>HYPERLINK("https://map.naver.com/p/search/나성동 829", "지도Link")</f>
        <v/>
      </c>
      <c r="K1366" s="5">
        <f>HYPERLINK("http://www.eum.go.kr/web/ar/lu/luLandDet.jsp?pnu=3611010700108290000&amp;isNoScr=script&amp;mode=search", "토지이음")</f>
        <v/>
      </c>
      <c r="L1366" s="3" t="inlineStr">
        <is>
          <t>재형</t>
        </is>
      </c>
      <c r="M1366" s="3" t="n">
        <v>1</v>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3" t="inlineStr">
        <is>
          <t>대전 근교 저렴한 임야</t>
        </is>
      </c>
      <c r="I1367" s="5">
        <f>HYPERLINK("https://fin.land.naver.com/articles/2648147539", "매물Link")</f>
        <v/>
      </c>
      <c r="J1367" s="5">
        <f>HYPERLINK("https://map.naver.com/p/search/나성동 829", "지도Link")</f>
        <v/>
      </c>
      <c r="K1367" s="5">
        <f>HYPERLINK("http://www.eum.go.kr/web/ar/lu/luLandDet.jsp?pnu=3611010700108290000&amp;isNoScr=script&amp;mode=search", "토지이음")</f>
        <v/>
      </c>
      <c r="L1367" s="3" t="inlineStr">
        <is>
          <t>한별</t>
        </is>
      </c>
      <c r="M1367" s="3" t="n">
        <v>1</v>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3" t="inlineStr">
        <is>
          <t>노성면 두사리 2차선 도로에 접한 계획관리지역의 지목은 대,전</t>
        </is>
      </c>
      <c r="I1368" s="5">
        <f>HYPERLINK("https://fin.land.naver.com/articles/2645202344", "매물Link")</f>
        <v/>
      </c>
      <c r="J1368" s="5">
        <f>HYPERLINK("https://map.naver.com/p/search/나성동 829", "지도Link")</f>
        <v/>
      </c>
      <c r="K1368" s="5">
        <f>HYPERLINK("http://www.eum.go.kr/web/ar/lu/luLandDet.jsp?pnu=3611010700108290000&amp;isNoScr=script&amp;mode=search", "토지이음")</f>
        <v/>
      </c>
      <c r="L1368" s="3" t="inlineStr">
        <is>
          <t>초심</t>
        </is>
      </c>
      <c r="M1368" s="3" t="n">
        <v>1</v>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3" t="inlineStr">
        <is>
          <t>노성면 송당리 보전관리지역</t>
        </is>
      </c>
      <c r="I1369" s="5">
        <f>HYPERLINK("https://fin.land.naver.com/articles/2645925939", "매물Link")</f>
        <v/>
      </c>
      <c r="J1369" s="5">
        <f>HYPERLINK("https://map.naver.com/p/search/나성동 829", "지도Link")</f>
        <v/>
      </c>
      <c r="K1369" s="5">
        <f>HYPERLINK("http://www.eum.go.kr/web/ar/lu/luLandDet.jsp?pnu=3611010700108290000&amp;isNoScr=script&amp;mode=search", "토지이음")</f>
        <v/>
      </c>
      <c r="L1369" s="3" t="inlineStr">
        <is>
          <t>현대</t>
        </is>
      </c>
      <c r="M1369" s="3" t="n">
        <v>1</v>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3" t="inlineStr">
        <is>
          <t>계획관리 도접로 접도</t>
        </is>
      </c>
      <c r="I1370" s="5">
        <f>HYPERLINK("https://fin.land.naver.com/articles/2649239348", "매물Link")</f>
        <v/>
      </c>
      <c r="J1370" s="5">
        <f>HYPERLINK("https://map.naver.com/p/search/나성동 829", "지도Link")</f>
        <v/>
      </c>
      <c r="K1370" s="5">
        <f>HYPERLINK("http://www.eum.go.kr/web/ar/lu/luLandDet.jsp?pnu=3611010700108290000&amp;isNoScr=script&amp;mode=search", "토지이음")</f>
        <v/>
      </c>
      <c r="L1370" s="3" t="inlineStr">
        <is>
          <t>스마트</t>
        </is>
      </c>
      <c r="M1370" s="3" t="n">
        <v>1</v>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3" t="inlineStr">
        <is>
          <t>2차선 접하고 사용 가치가 매우 용이함</t>
        </is>
      </c>
      <c r="I1371" s="5">
        <f>HYPERLINK("https://fin.land.naver.com/articles/2649754987", "매물Link")</f>
        <v/>
      </c>
      <c r="J1371" s="5">
        <f>HYPERLINK("https://map.naver.com/p/search/나성동 829", "지도Link")</f>
        <v/>
      </c>
      <c r="K1371" s="5">
        <f>HYPERLINK("http://www.eum.go.kr/web/ar/lu/luLandDet.jsp?pnu=3611010700108290000&amp;isNoScr=script&amp;mode=search", "토지이음")</f>
        <v/>
      </c>
      <c r="L1371" s="3" t="inlineStr">
        <is>
          <t>재형</t>
        </is>
      </c>
      <c r="M1371" s="3" t="n">
        <v>1</v>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3" t="inlineStr">
        <is>
          <t>뒤에 야산으로 전원 주택지로  아주좋습니다.</t>
        </is>
      </c>
      <c r="I1372" s="5">
        <f>HYPERLINK("https://fin.land.naver.com/articles/2649758191", "매물Link")</f>
        <v/>
      </c>
      <c r="J1372" s="5">
        <f>HYPERLINK("https://map.naver.com/p/search/나성동 829", "지도Link")</f>
        <v/>
      </c>
      <c r="K1372" s="5">
        <f>HYPERLINK("http://www.eum.go.kr/web/ar/lu/luLandDet.jsp?pnu=3611010700108290000&amp;isNoScr=script&amp;mode=search", "토지이음")</f>
        <v/>
      </c>
      <c r="L1372" s="3" t="inlineStr">
        <is>
          <t>재형</t>
        </is>
      </c>
      <c r="M1372" s="3" t="n">
        <v>1</v>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3" t="inlineStr">
        <is>
          <t>계룡산이 한눈에 들어오며 토지높이가 도로보다 높음.</t>
        </is>
      </c>
      <c r="I1373" s="5">
        <f>HYPERLINK("https://fin.land.naver.com/articles/2647302549", "매물Link")</f>
        <v/>
      </c>
      <c r="J1373" s="5">
        <f>HYPERLINK("https://map.naver.com/p/search/나성동 829", "지도Link")</f>
        <v/>
      </c>
      <c r="K1373" s="5">
        <f>HYPERLINK("http://www.eum.go.kr/web/ar/lu/luLandDet.jsp?pnu=3611010700108290000&amp;isNoScr=script&amp;mode=search", "토지이음")</f>
        <v/>
      </c>
      <c r="L1373" s="3" t="inlineStr">
        <is>
          <t>황해</t>
        </is>
      </c>
      <c r="M1373" s="3" t="n">
        <v>1</v>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3" t="inlineStr">
        <is>
          <t>nan</t>
        </is>
      </c>
      <c r="I1374" s="5">
        <f>HYPERLINK("https://fin.land.naver.com/articles/2647177144", "매물Link")</f>
        <v/>
      </c>
      <c r="J1374" s="5">
        <f>HYPERLINK("https://map.naver.com/p/search/나성동 829", "지도Link")</f>
        <v/>
      </c>
      <c r="K1374" s="5">
        <f>HYPERLINK("http://www.eum.go.kr/web/ar/lu/luLandDet.jsp?pnu=3611010700108290000&amp;isNoScr=script&amp;mode=search", "토지이음")</f>
        <v/>
      </c>
      <c r="L1374" s="3" t="inlineStr">
        <is>
          <t>진솔한</t>
        </is>
      </c>
      <c r="M1374" s="3" t="n">
        <v>1</v>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3" t="inlineStr">
        <is>
          <t>2차선도로변땅</t>
        </is>
      </c>
      <c r="I1375" s="5">
        <f>HYPERLINK("https://fin.land.naver.com/articles/2645894799", "매물Link")</f>
        <v/>
      </c>
      <c r="J1375" s="5">
        <f>HYPERLINK("https://map.naver.com/p/search/나성동 829", "지도Link")</f>
        <v/>
      </c>
      <c r="K1375" s="5">
        <f>HYPERLINK("http://www.eum.go.kr/web/ar/lu/luLandDet.jsp?pnu=3611010700108290000&amp;isNoScr=script&amp;mode=search", "토지이음")</f>
        <v/>
      </c>
      <c r="L1375" s="3" t="inlineStr">
        <is>
          <t>가락</t>
        </is>
      </c>
      <c r="M1375" s="3" t="n">
        <v>1</v>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3" t="inlineStr">
        <is>
          <t>Point 분할 가능, 모양 좋음, 도로 접하고 위치 최적임</t>
        </is>
      </c>
      <c r="I1376" s="5">
        <f>HYPERLINK("https://fin.land.naver.com/articles/2644664892", "매물Link")</f>
        <v/>
      </c>
      <c r="J1376" s="5">
        <f>HYPERLINK("https://map.naver.com/p/search/나성동 829", "지도Link")</f>
        <v/>
      </c>
      <c r="K1376" s="5">
        <f>HYPERLINK("http://www.eum.go.kr/web/ar/lu/luLandDet.jsp?pnu=3611010700108290000&amp;isNoScr=script&amp;mode=search", "토지이음")</f>
        <v/>
      </c>
      <c r="L1376" s="3" t="inlineStr">
        <is>
          <t>도마호반</t>
        </is>
      </c>
      <c r="M1376" s="3" t="n">
        <v>1</v>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3" t="inlineStr">
        <is>
          <t>다양한 용도로 활용 가능한 만능 토지</t>
        </is>
      </c>
      <c r="I1377" s="5">
        <f>HYPERLINK("https://fin.land.naver.com/articles/2647423522", "매물Link")</f>
        <v/>
      </c>
      <c r="J1377" s="5">
        <f>HYPERLINK("https://map.naver.com/p/search/나성동 829", "지도Link")</f>
        <v/>
      </c>
      <c r="K1377" s="5">
        <f>HYPERLINK("http://www.eum.go.kr/web/ar/lu/luLandDet.jsp?pnu=3611010700108290000&amp;isNoScr=script&amp;mode=search", "토지이음")</f>
        <v/>
      </c>
      <c r="L1377" s="3" t="inlineStr">
        <is>
          <t>왕중왕기업</t>
        </is>
      </c>
      <c r="M1377" s="3" t="n">
        <v>1</v>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3" t="inlineStr">
        <is>
          <t>부적면소재지에 위치한 계획관리지역</t>
        </is>
      </c>
      <c r="I1378" s="5">
        <f>HYPERLINK("https://fin.land.naver.com/articles/2648389080", "매물Link")</f>
        <v/>
      </c>
      <c r="J1378" s="5">
        <f>HYPERLINK("https://map.naver.com/p/search/나성동 829", "지도Link")</f>
        <v/>
      </c>
      <c r="K1378" s="5">
        <f>HYPERLINK("http://www.eum.go.kr/web/ar/lu/luLandDet.jsp?pnu=3611010700108290000&amp;isNoScr=script&amp;mode=search", "토지이음")</f>
        <v/>
      </c>
      <c r="L1378" s="3" t="inlineStr">
        <is>
          <t>초심</t>
        </is>
      </c>
      <c r="M1378" s="3" t="n">
        <v>1</v>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3" t="inlineStr">
        <is>
          <t>시세저렴 부적면 외성리 일원 주말농장 적합</t>
        </is>
      </c>
      <c r="I1379" s="5">
        <f>HYPERLINK("https://fin.land.naver.com/articles/2649242494", "매물Link")</f>
        <v/>
      </c>
      <c r="J1379" s="5">
        <f>HYPERLINK("https://map.naver.com/p/search/나성동 829", "지도Link")</f>
        <v/>
      </c>
      <c r="K1379" s="5">
        <f>HYPERLINK("http://www.eum.go.kr/web/ar/lu/luLandDet.jsp?pnu=3611010700108290000&amp;isNoScr=script&amp;mode=search", "토지이음")</f>
        <v/>
      </c>
      <c r="L1379" s="3" t="inlineStr">
        <is>
          <t>큰복</t>
        </is>
      </c>
      <c r="M1379" s="3" t="n">
        <v>1</v>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3" t="inlineStr">
        <is>
          <t>부적면 일원  대지 매매 접근성 좋음</t>
        </is>
      </c>
      <c r="I1380" s="5">
        <f>HYPERLINK("https://fin.land.naver.com/articles/2649246755", "매물Link")</f>
        <v/>
      </c>
      <c r="J1380" s="5">
        <f>HYPERLINK("https://map.naver.com/p/search/나성동 829", "지도Link")</f>
        <v/>
      </c>
      <c r="K1380" s="5">
        <f>HYPERLINK("http://www.eum.go.kr/web/ar/lu/luLandDet.jsp?pnu=3611010700108290000&amp;isNoScr=script&amp;mode=search", "토지이음")</f>
        <v/>
      </c>
      <c r="L1380" s="3" t="inlineStr">
        <is>
          <t>큰복</t>
        </is>
      </c>
      <c r="M1380" s="3" t="n">
        <v>1</v>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3" t="inlineStr">
        <is>
          <t>하우스등 적합  부적면  농지 매매 접근성 좋음</t>
        </is>
      </c>
      <c r="I1381" s="5">
        <f>HYPERLINK("https://fin.land.naver.com/articles/2649248066", "매물Link")</f>
        <v/>
      </c>
      <c r="J1381" s="5">
        <f>HYPERLINK("https://map.naver.com/p/search/나성동 829", "지도Link")</f>
        <v/>
      </c>
      <c r="K1381" s="5">
        <f>HYPERLINK("http://www.eum.go.kr/web/ar/lu/luLandDet.jsp?pnu=3611010700108290000&amp;isNoScr=script&amp;mode=search", "토지이음")</f>
        <v/>
      </c>
      <c r="L1381" s="3" t="inlineStr">
        <is>
          <t>큰복</t>
        </is>
      </c>
      <c r="M1381" s="3" t="n">
        <v>1</v>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3" t="inlineStr">
        <is>
          <t>국도변 도로보다 낮은 농지로 현재 전으로 사용중이예요</t>
        </is>
      </c>
      <c r="I1382" s="5">
        <f>HYPERLINK("https://fin.land.naver.com/articles/2649706874", "매물Link")</f>
        <v/>
      </c>
      <c r="J1382" s="5">
        <f>HYPERLINK("https://map.naver.com/p/search/나성동 829", "지도Link")</f>
        <v/>
      </c>
      <c r="K1382" s="5">
        <f>HYPERLINK("http://www.eum.go.kr/web/ar/lu/luLandDet.jsp?pnu=3611010700108290000&amp;isNoScr=script&amp;mode=search", "토지이음")</f>
        <v/>
      </c>
      <c r="L1382" s="3" t="inlineStr">
        <is>
          <t>에이스</t>
        </is>
      </c>
      <c r="M1382" s="3" t="n">
        <v>1</v>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3" t="inlineStr">
        <is>
          <t>도로접 계획관리지역 전원주택지 주말농장 등</t>
        </is>
      </c>
      <c r="I1383" s="5">
        <f>HYPERLINK("https://fin.land.naver.com/articles/2649759251", "매물Link")</f>
        <v/>
      </c>
      <c r="J1383" s="5">
        <f>HYPERLINK("https://map.naver.com/p/search/나성동 829", "지도Link")</f>
        <v/>
      </c>
      <c r="K1383" s="5">
        <f>HYPERLINK("http://www.eum.go.kr/web/ar/lu/luLandDet.jsp?pnu=3611010700108290000&amp;isNoScr=script&amp;mode=search", "토지이음")</f>
        <v/>
      </c>
      <c r="L1383" s="3" t="inlineStr">
        <is>
          <t>재형</t>
        </is>
      </c>
      <c r="M1383" s="3" t="n">
        <v>1</v>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3" t="inlineStr">
        <is>
          <t>탑정호부근 도로접 전원주택지</t>
        </is>
      </c>
      <c r="I1384" s="5">
        <f>HYPERLINK("https://fin.land.naver.com/articles/2649761522", "매물Link")</f>
        <v/>
      </c>
      <c r="J1384" s="5">
        <f>HYPERLINK("https://map.naver.com/p/search/나성동 829", "지도Link")</f>
        <v/>
      </c>
      <c r="K1384" s="5">
        <f>HYPERLINK("http://www.eum.go.kr/web/ar/lu/luLandDet.jsp?pnu=3611010700108290000&amp;isNoScr=script&amp;mode=search", "토지이음")</f>
        <v/>
      </c>
      <c r="L1384" s="3" t="inlineStr">
        <is>
          <t>재형</t>
        </is>
      </c>
      <c r="M1384" s="3" t="n">
        <v>1</v>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3" t="inlineStr">
        <is>
          <t>현재 인삼밭으로 사용중,10월중 수확,폭5m정도 도로확보 해주는 조건</t>
        </is>
      </c>
      <c r="I1385" s="5">
        <f>HYPERLINK("https://fin.land.naver.com/articles/2644565226", "매물Link")</f>
        <v/>
      </c>
      <c r="J1385" s="5">
        <f>HYPERLINK("https://map.naver.com/p/search/나성동 829", "지도Link")</f>
        <v/>
      </c>
      <c r="K1385" s="5">
        <f>HYPERLINK("http://www.eum.go.kr/web/ar/lu/luLandDet.jsp?pnu=3611010700108290000&amp;isNoScr=script&amp;mode=search", "토지이음")</f>
        <v/>
      </c>
      <c r="L1385" s="3" t="inlineStr">
        <is>
          <t>에이스</t>
        </is>
      </c>
      <c r="M1385" s="3" t="n">
        <v>1</v>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3" t="inlineStr">
        <is>
          <t>농로접</t>
        </is>
      </c>
      <c r="I1386" s="5">
        <f>HYPERLINK("https://fin.land.naver.com/articles/2644698681", "매물Link")</f>
        <v/>
      </c>
      <c r="J1386" s="5">
        <f>HYPERLINK("https://map.naver.com/p/search/나성동 829", "지도Link")</f>
        <v/>
      </c>
      <c r="K1386" s="5">
        <f>HYPERLINK("http://www.eum.go.kr/web/ar/lu/luLandDet.jsp?pnu=3611010700108290000&amp;isNoScr=script&amp;mode=search", "토지이음")</f>
        <v/>
      </c>
      <c r="L1386" s="3" t="inlineStr">
        <is>
          <t>세종114</t>
        </is>
      </c>
      <c r="M1386" s="3" t="n">
        <v>1</v>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3" t="inlineStr">
        <is>
          <t>소나무 및 은행나무등 조정되어 있는 경제적투자 가치가 큰 임야 (급매)</t>
        </is>
      </c>
      <c r="I1387" s="5">
        <f>HYPERLINK("https://fin.land.naver.com/articles/2644915151", "매물Link")</f>
        <v/>
      </c>
      <c r="J1387" s="5">
        <f>HYPERLINK("https://map.naver.com/p/search/나성동 829", "지도Link")</f>
        <v/>
      </c>
      <c r="K1387" s="5">
        <f>HYPERLINK("http://www.eum.go.kr/web/ar/lu/luLandDet.jsp?pnu=3611010700108290000&amp;isNoScr=script&amp;mode=search", "토지이음")</f>
        <v/>
      </c>
      <c r="L1387" s="3" t="inlineStr">
        <is>
          <t>로또</t>
        </is>
      </c>
      <c r="M1387" s="3" t="n">
        <v>1</v>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3" t="inlineStr">
        <is>
          <t>급매 3.3m2 당 43.3만원. 신원사 근거리, 계룡산 전경 뷰</t>
        </is>
      </c>
      <c r="I1388" s="5">
        <f>HYPERLINK("https://fin.land.naver.com/articles/2645276538", "매물Link")</f>
        <v/>
      </c>
      <c r="J1388" s="5">
        <f>HYPERLINK("https://map.naver.com/p/search/나성동 829", "지도Link")</f>
        <v/>
      </c>
      <c r="K1388" s="5">
        <f>HYPERLINK("http://www.eum.go.kr/web/ar/lu/luLandDet.jsp?pnu=3611010700108290000&amp;isNoScr=script&amp;mode=search", "토지이음")</f>
        <v/>
      </c>
      <c r="L1388" s="3" t="inlineStr">
        <is>
          <t>대복</t>
        </is>
      </c>
      <c r="M1388" s="3" t="n">
        <v>1</v>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3" t="inlineStr">
        <is>
          <t>하우스용지</t>
        </is>
      </c>
      <c r="I1389" s="5">
        <f>HYPERLINK("https://fin.land.naver.com/articles/2649757854", "매물Link")</f>
        <v/>
      </c>
      <c r="J1389" s="5">
        <f>HYPERLINK("https://map.naver.com/p/search/나성동 829", "지도Link")</f>
        <v/>
      </c>
      <c r="K1389" s="5">
        <f>HYPERLINK("http://www.eum.go.kr/web/ar/lu/luLandDet.jsp?pnu=3611010700108290000&amp;isNoScr=script&amp;mode=search", "토지이음")</f>
        <v/>
      </c>
      <c r="L1389" s="3" t="inlineStr">
        <is>
          <t>재형</t>
        </is>
      </c>
      <c r="M1389" s="3" t="n">
        <v>1</v>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3" t="inlineStr">
        <is>
          <t>노성우체국 부근으로 미등기 구 건물 존재함</t>
        </is>
      </c>
      <c r="I1390" s="5">
        <f>HYPERLINK("https://fin.land.naver.com/articles/2649761866", "매물Link")</f>
        <v/>
      </c>
      <c r="J1390" s="5">
        <f>HYPERLINK("https://map.naver.com/p/search/나성동 829", "지도Link")</f>
        <v/>
      </c>
      <c r="K1390" s="5">
        <f>HYPERLINK("http://www.eum.go.kr/web/ar/lu/luLandDet.jsp?pnu=3611010700108290000&amp;isNoScr=script&amp;mode=search", "토지이음")</f>
        <v/>
      </c>
      <c r="L1390" s="3" t="inlineStr">
        <is>
          <t>재형</t>
        </is>
      </c>
      <c r="M1390" s="3" t="n">
        <v>1</v>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3" t="inlineStr">
        <is>
          <t>시골마을 주택지 도로접 계획관리</t>
        </is>
      </c>
      <c r="I1391" s="5">
        <f>HYPERLINK("https://fin.land.naver.com/articles/2649762241", "매물Link")</f>
        <v/>
      </c>
      <c r="J1391" s="5">
        <f>HYPERLINK("https://map.naver.com/p/search/나성동 829", "지도Link")</f>
        <v/>
      </c>
      <c r="K1391" s="5">
        <f>HYPERLINK("http://www.eum.go.kr/web/ar/lu/luLandDet.jsp?pnu=3611010700108290000&amp;isNoScr=script&amp;mode=search", "토지이음")</f>
        <v/>
      </c>
      <c r="L1391" s="3" t="inlineStr">
        <is>
          <t>재형</t>
        </is>
      </c>
      <c r="M1391" s="3" t="n">
        <v>1</v>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3" t="inlineStr">
        <is>
          <t>노성산 애향탑 부근 전원생활 최고임</t>
        </is>
      </c>
      <c r="I1392" s="5">
        <f>HYPERLINK("https://fin.land.naver.com/articles/2649762682", "매물Link")</f>
        <v/>
      </c>
      <c r="J1392" s="5">
        <f>HYPERLINK("https://map.naver.com/p/search/나성동 829", "지도Link")</f>
        <v/>
      </c>
      <c r="K1392" s="5">
        <f>HYPERLINK("http://www.eum.go.kr/web/ar/lu/luLandDet.jsp?pnu=3611010700108290000&amp;isNoScr=script&amp;mode=search", "토지이음")</f>
        <v/>
      </c>
      <c r="L1392" s="3" t="inlineStr">
        <is>
          <t>재형</t>
        </is>
      </c>
      <c r="M1392" s="3" t="n">
        <v>1</v>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3" t="inlineStr">
        <is>
          <t>보전관리지역 농지 급매</t>
        </is>
      </c>
      <c r="I1393" s="5">
        <f>HYPERLINK("https://fin.land.naver.com/articles/2647302747", "매물Link")</f>
        <v/>
      </c>
      <c r="J1393" s="5">
        <f>HYPERLINK("https://map.naver.com/p/search/나성동 829", "지도Link")</f>
        <v/>
      </c>
      <c r="K1393" s="5">
        <f>HYPERLINK("http://www.eum.go.kr/web/ar/lu/luLandDet.jsp?pnu=3611010700108290000&amp;isNoScr=script&amp;mode=search", "토지이음")</f>
        <v/>
      </c>
      <c r="L1393" s="3" t="inlineStr">
        <is>
          <t>황해</t>
        </is>
      </c>
      <c r="M1393" s="3" t="n">
        <v>1</v>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3" t="inlineStr">
        <is>
          <t>nan</t>
        </is>
      </c>
      <c r="I1394" s="5">
        <f>HYPERLINK("https://fin.land.naver.com/articles/2647303026", "매물Link")</f>
        <v/>
      </c>
      <c r="J1394" s="5">
        <f>HYPERLINK("https://map.naver.com/p/search/나성동 829", "지도Link")</f>
        <v/>
      </c>
      <c r="K1394" s="5">
        <f>HYPERLINK("http://www.eum.go.kr/web/ar/lu/luLandDet.jsp?pnu=3611010700108290000&amp;isNoScr=script&amp;mode=search", "토지이음")</f>
        <v/>
      </c>
      <c r="L1394" s="3" t="inlineStr">
        <is>
          <t>황해</t>
        </is>
      </c>
      <c r="M1394" s="3" t="n">
        <v>1</v>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3" t="inlineStr">
        <is>
          <t>접근 용이 한 위치, 네모 반듯한 토지</t>
        </is>
      </c>
      <c r="I1395" s="5">
        <f>HYPERLINK("https://fin.land.naver.com/articles/2647303260", "매물Link")</f>
        <v/>
      </c>
      <c r="J1395" s="5">
        <f>HYPERLINK("https://map.naver.com/p/search/나성동 829", "지도Link")</f>
        <v/>
      </c>
      <c r="K1395" s="5">
        <f>HYPERLINK("http://www.eum.go.kr/web/ar/lu/luLandDet.jsp?pnu=3611010700108290000&amp;isNoScr=script&amp;mode=search", "토지이음")</f>
        <v/>
      </c>
      <c r="L1395" s="3" t="inlineStr">
        <is>
          <t>황해</t>
        </is>
      </c>
      <c r="M1395" s="3" t="n">
        <v>1</v>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3" t="inlineStr">
        <is>
          <t>농막있음 계획관리 지역</t>
        </is>
      </c>
      <c r="I1396" s="5">
        <f>HYPERLINK("https://fin.land.naver.com/articles/2649109933", "매물Link")</f>
        <v/>
      </c>
      <c r="J1396" s="5">
        <f>HYPERLINK("https://map.naver.com/p/search/나성동 829", "지도Link")</f>
        <v/>
      </c>
      <c r="K1396" s="5">
        <f>HYPERLINK("http://www.eum.go.kr/web/ar/lu/luLandDet.jsp?pnu=3611010700108290000&amp;isNoScr=script&amp;mode=search", "토지이음")</f>
        <v/>
      </c>
      <c r="L1396" s="3" t="inlineStr">
        <is>
          <t>스마트  사무소</t>
        </is>
      </c>
      <c r="M1396" s="3" t="n">
        <v>1</v>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3" t="inlineStr">
        <is>
          <t>농지원부용 추천</t>
        </is>
      </c>
      <c r="I1397" s="5">
        <f>HYPERLINK("https://fin.land.naver.com/articles/2649118318", "매물Link")</f>
        <v/>
      </c>
      <c r="J1397" s="5">
        <f>HYPERLINK("https://map.naver.com/p/search/나성동 829", "지도Link")</f>
        <v/>
      </c>
      <c r="K1397" s="5">
        <f>HYPERLINK("http://www.eum.go.kr/web/ar/lu/luLandDet.jsp?pnu=3611010700108290000&amp;isNoScr=script&amp;mode=search", "토지이음")</f>
        <v/>
      </c>
      <c r="L1397" s="3" t="inlineStr">
        <is>
          <t>행복한</t>
        </is>
      </c>
      <c r="M1397" s="3" t="n">
        <v>1</v>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3" t="inlineStr">
        <is>
          <t>2차선 도로를 접한 계획관리지역 토지. 창고, 공장, 단독주택으로 추천함</t>
        </is>
      </c>
      <c r="I1398" s="5">
        <f>HYPERLINK("https://fin.land.naver.com/articles/2649592398", "매물Link")</f>
        <v/>
      </c>
      <c r="J1398" s="5">
        <f>HYPERLINK("https://map.naver.com/p/search/나성동 829", "지도Link")</f>
        <v/>
      </c>
      <c r="K1398" s="5">
        <f>HYPERLINK("http://www.eum.go.kr/web/ar/lu/luLandDet.jsp?pnu=3611010700108290000&amp;isNoScr=script&amp;mode=search", "토지이음")</f>
        <v/>
      </c>
      <c r="L1398" s="3" t="inlineStr">
        <is>
          <t>삼보</t>
        </is>
      </c>
      <c r="M1398" s="3" t="n">
        <v>1</v>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3" t="inlineStr">
        <is>
          <t>시세보다 낮은 매매가</t>
        </is>
      </c>
      <c r="I1399" s="5">
        <f>HYPERLINK("https://fin.land.naver.com/articles/2645201760", "매물Link")</f>
        <v/>
      </c>
      <c r="J1399" s="5">
        <f>HYPERLINK("https://map.naver.com/p/search/나성동 829", "지도Link")</f>
        <v/>
      </c>
      <c r="K1399" s="5">
        <f>HYPERLINK("http://www.eum.go.kr/web/ar/lu/luLandDet.jsp?pnu=3611010700108290000&amp;isNoScr=script&amp;mode=search", "토지이음")</f>
        <v/>
      </c>
      <c r="L1399" s="3" t="inlineStr">
        <is>
          <t>초심</t>
        </is>
      </c>
      <c r="M1399" s="3" t="n">
        <v>1</v>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3" t="inlineStr">
        <is>
          <t>나대지  신축주택 입지  주위 경치 좋음</t>
        </is>
      </c>
      <c r="I1400" s="5">
        <f>HYPERLINK("https://fin.land.naver.com/articles/2645626183", "매물Link")</f>
        <v/>
      </c>
      <c r="J1400" s="5">
        <f>HYPERLINK("https://map.naver.com/p/search/나성동 829", "지도Link")</f>
        <v/>
      </c>
      <c r="K1400" s="5">
        <f>HYPERLINK("http://www.eum.go.kr/web/ar/lu/luLandDet.jsp?pnu=3611010700108290000&amp;isNoScr=script&amp;mode=search", "토지이음")</f>
        <v/>
      </c>
      <c r="L1400" s="3" t="inlineStr">
        <is>
          <t>스마트</t>
        </is>
      </c>
      <c r="M1400" s="3" t="n">
        <v>1</v>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3" t="inlineStr">
        <is>
          <t>하우스용지</t>
        </is>
      </c>
      <c r="I1401" s="5">
        <f>HYPERLINK("https://fin.land.naver.com/articles/2647809556", "매물Link")</f>
        <v/>
      </c>
      <c r="J1401" s="5">
        <f>HYPERLINK("https://map.naver.com/p/search/나성동 829", "지도Link")</f>
        <v/>
      </c>
      <c r="K1401" s="5">
        <f>HYPERLINK("http://www.eum.go.kr/web/ar/lu/luLandDet.jsp?pnu=3611010700108290000&amp;isNoScr=script&amp;mode=search", "토지이음")</f>
        <v/>
      </c>
      <c r="L1401" s="3" t="inlineStr">
        <is>
          <t>재형</t>
        </is>
      </c>
      <c r="M1401" s="3" t="n">
        <v>1</v>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3" t="inlineStr">
        <is>
          <t>2차선 붙고 평평하 계획관리지역으로 땅모양이 좋아 창고 공장 등 적극추천</t>
        </is>
      </c>
      <c r="I1402" s="5">
        <f>HYPERLINK("https://fin.land.naver.com/articles/2647815239", "매물Link")</f>
        <v/>
      </c>
      <c r="J1402" s="5">
        <f>HYPERLINK("https://map.naver.com/p/search/나성동 829", "지도Link")</f>
        <v/>
      </c>
      <c r="K1402" s="5">
        <f>HYPERLINK("http://www.eum.go.kr/web/ar/lu/luLandDet.jsp?pnu=3611010700108290000&amp;isNoScr=script&amp;mode=search", "토지이음")</f>
        <v/>
      </c>
      <c r="L1402" s="3" t="inlineStr">
        <is>
          <t>재형</t>
        </is>
      </c>
      <c r="M1402" s="3" t="n">
        <v>1</v>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3" t="inlineStr">
        <is>
          <t>시설하우스4동 포함 매매</t>
        </is>
      </c>
      <c r="I1403" s="5">
        <f>HYPERLINK("https://fin.land.naver.com/articles/2647820679", "매물Link")</f>
        <v/>
      </c>
      <c r="J1403" s="5">
        <f>HYPERLINK("https://map.naver.com/p/search/나성동 829", "지도Link")</f>
        <v/>
      </c>
      <c r="K1403" s="5">
        <f>HYPERLINK("http://www.eum.go.kr/web/ar/lu/luLandDet.jsp?pnu=3611010700108290000&amp;isNoScr=script&amp;mode=search", "토지이음")</f>
        <v/>
      </c>
      <c r="L1403" s="3" t="inlineStr">
        <is>
          <t>재형</t>
        </is>
      </c>
      <c r="M1403" s="3" t="n">
        <v>1</v>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3" t="inlineStr">
        <is>
          <t>투자,전원주택,주말농장</t>
        </is>
      </c>
      <c r="I1404" s="5">
        <f>HYPERLINK("https://fin.land.naver.com/articles/2648935682", "매물Link")</f>
        <v/>
      </c>
      <c r="J1404" s="5">
        <f>HYPERLINK("https://map.naver.com/p/search/나성동 829", "지도Link")</f>
        <v/>
      </c>
      <c r="K1404" s="5">
        <f>HYPERLINK("http://www.eum.go.kr/web/ar/lu/luLandDet.jsp?pnu=3611010700108290000&amp;isNoScr=script&amp;mode=search", "토지이음")</f>
        <v/>
      </c>
      <c r="L1404" s="3" t="inlineStr">
        <is>
          <t>우리동네</t>
        </is>
      </c>
      <c r="M1404" s="3" t="n">
        <v>1</v>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3" t="inlineStr">
        <is>
          <t>서논산IC2분, 창고용지,대지, 건축허가있음, 용도다양, 트레일러진입</t>
        </is>
      </c>
      <c r="I1405" s="5">
        <f>HYPERLINK("https://fin.land.naver.com/articles/2649576372", "매물Link")</f>
        <v/>
      </c>
      <c r="J1405" s="5">
        <f>HYPERLINK("https://map.naver.com/p/search/나성동 829", "지도Link")</f>
        <v/>
      </c>
      <c r="K1405" s="5">
        <f>HYPERLINK("http://www.eum.go.kr/web/ar/lu/luLandDet.jsp?pnu=3611010700108290000&amp;isNoScr=script&amp;mode=search", "토지이음")</f>
        <v/>
      </c>
      <c r="L1405" s="3" t="inlineStr">
        <is>
          <t>OK허니</t>
        </is>
      </c>
      <c r="M1405" s="3" t="n">
        <v>1</v>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3" t="inlineStr">
        <is>
          <t>마곡사 공연장  바로 옆 대지    카페  최적</t>
        </is>
      </c>
      <c r="I1406" s="5">
        <f>HYPERLINK("https://fin.land.naver.com/articles/2645414966", "매물Link")</f>
        <v/>
      </c>
      <c r="J1406" s="5">
        <f>HYPERLINK("https://map.naver.com/p/search/나성동 829", "지도Link")</f>
        <v/>
      </c>
      <c r="K1406" s="5">
        <f>HYPERLINK("http://www.eum.go.kr/web/ar/lu/luLandDet.jsp?pnu=3611010700108290000&amp;isNoScr=script&amp;mode=search", "토지이음")</f>
        <v/>
      </c>
      <c r="L1406" s="3" t="inlineStr">
        <is>
          <t>그래그</t>
        </is>
      </c>
      <c r="M1406" s="3" t="n">
        <v>1</v>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3" t="inlineStr">
        <is>
          <t>토마토 최신식 고설하우스 9동포함 각 부대시설 전부</t>
        </is>
      </c>
      <c r="I1407" s="5">
        <f>HYPERLINK("https://fin.land.naver.com/articles/2649749372", "매물Link")</f>
        <v/>
      </c>
      <c r="J1407" s="5">
        <f>HYPERLINK("https://map.naver.com/p/search/나성동 829", "지도Link")</f>
        <v/>
      </c>
      <c r="K1407" s="5">
        <f>HYPERLINK("http://www.eum.go.kr/web/ar/lu/luLandDet.jsp?pnu=3611010700108290000&amp;isNoScr=script&amp;mode=search", "토지이음")</f>
        <v/>
      </c>
      <c r="L1407" s="3" t="inlineStr">
        <is>
          <t>재형</t>
        </is>
      </c>
      <c r="M1407" s="3" t="n">
        <v>1</v>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3" t="inlineStr">
        <is>
          <t>논산시내 차량10분거리, 도로 바로 접한 토지</t>
        </is>
      </c>
      <c r="I1408" s="5">
        <f>HYPERLINK("https://fin.land.naver.com/articles/2644814399", "매물Link")</f>
        <v/>
      </c>
      <c r="J1408" s="5">
        <f>HYPERLINK("https://map.naver.com/p/search/나성동 829", "지도Link")</f>
        <v/>
      </c>
      <c r="K1408" s="5">
        <f>HYPERLINK("http://www.eum.go.kr/web/ar/lu/luLandDet.jsp?pnu=3611010700108290000&amp;isNoScr=script&amp;mode=search", "토지이음")</f>
        <v/>
      </c>
      <c r="L1408" s="3" t="inlineStr">
        <is>
          <t>우리</t>
        </is>
      </c>
      <c r="M1408" s="3" t="n">
        <v>1</v>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3" t="inlineStr">
        <is>
          <t>전374 답2215 농지원부 필요하신분추천</t>
        </is>
      </c>
      <c r="I1409" s="5">
        <f>HYPERLINK("https://fin.land.naver.com/articles/2644863284", "매물Link")</f>
        <v/>
      </c>
      <c r="J1409" s="5">
        <f>HYPERLINK("https://map.naver.com/p/search/나성동 829", "지도Link")</f>
        <v/>
      </c>
      <c r="K1409" s="5">
        <f>HYPERLINK("http://www.eum.go.kr/web/ar/lu/luLandDet.jsp?pnu=3611010700108290000&amp;isNoScr=script&amp;mode=search", "토지이음")</f>
        <v/>
      </c>
      <c r="L1409" s="3" t="inlineStr">
        <is>
          <t>큰나무공인증개사사무소</t>
        </is>
      </c>
      <c r="M1409" s="3" t="n">
        <v>1</v>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3" t="inlineStr">
        <is>
          <t>.계획관리 지역
.토지 용도 다양하게 활용 가능</t>
        </is>
      </c>
      <c r="I1410" s="5">
        <f>HYPERLINK("https://fin.land.naver.com/articles/2645682487", "매물Link")</f>
        <v/>
      </c>
      <c r="J1410" s="5">
        <f>HYPERLINK("https://map.naver.com/p/search/나성동 829", "지도Link")</f>
        <v/>
      </c>
      <c r="K1410" s="5">
        <f>HYPERLINK("http://www.eum.go.kr/web/ar/lu/luLandDet.jsp?pnu=3611010700108290000&amp;isNoScr=script&amp;mode=search", "토지이음")</f>
        <v/>
      </c>
      <c r="L1410" s="3" t="inlineStr">
        <is>
          <t>스마트  사무소</t>
        </is>
      </c>
      <c r="M1410" s="3" t="n">
        <v>1</v>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3" t="inlineStr">
        <is>
          <t>nan</t>
        </is>
      </c>
      <c r="I1411" s="5">
        <f>HYPERLINK("https://fin.land.naver.com/articles/2648075552", "매물Link")</f>
        <v/>
      </c>
      <c r="J1411" s="5">
        <f>HYPERLINK("https://map.naver.com/p/search/나성동 829", "지도Link")</f>
        <v/>
      </c>
      <c r="K1411" s="5">
        <f>HYPERLINK("http://www.eum.go.kr/web/ar/lu/luLandDet.jsp?pnu=3611010700108290000&amp;isNoScr=script&amp;mode=search", "토지이음")</f>
        <v/>
      </c>
      <c r="L1411" s="3" t="inlineStr">
        <is>
          <t>대덕</t>
        </is>
      </c>
      <c r="M1411" s="3" t="n">
        <v>1</v>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3" t="inlineStr">
        <is>
          <t>2차선접, 주택,창고용지</t>
        </is>
      </c>
      <c r="I1412" s="5">
        <f>HYPERLINK("https://fin.land.naver.com/articles/2648149103", "매물Link")</f>
        <v/>
      </c>
      <c r="J1412" s="5">
        <f>HYPERLINK("https://map.naver.com/p/search/나성동 829", "지도Link")</f>
        <v/>
      </c>
      <c r="K1412" s="5">
        <f>HYPERLINK("http://www.eum.go.kr/web/ar/lu/luLandDet.jsp?pnu=3611010700108290000&amp;isNoScr=script&amp;mode=search", "토지이음")</f>
        <v/>
      </c>
      <c r="L1412" s="3" t="inlineStr">
        <is>
          <t>에이플러스</t>
        </is>
      </c>
      <c r="M1412" s="3" t="n">
        <v>1</v>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3" t="inlineStr">
        <is>
          <t>nan</t>
        </is>
      </c>
      <c r="I1413" s="5">
        <f>HYPERLINK("https://fin.land.naver.com/articles/2648315075", "매물Link")</f>
        <v/>
      </c>
      <c r="J1413" s="5">
        <f>HYPERLINK("https://map.naver.com/p/search/나성동 829", "지도Link")</f>
        <v/>
      </c>
      <c r="K1413" s="5">
        <f>HYPERLINK("http://www.eum.go.kr/web/ar/lu/luLandDet.jsp?pnu=3611010700108290000&amp;isNoScr=script&amp;mode=search", "토지이음")</f>
        <v/>
      </c>
      <c r="L1413" s="3" t="inlineStr">
        <is>
          <t>탑</t>
        </is>
      </c>
      <c r="M1413" s="3" t="n">
        <v>1</v>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3" t="inlineStr">
        <is>
          <t>nan</t>
        </is>
      </c>
      <c r="I1414" s="5">
        <f>HYPERLINK("https://fin.land.naver.com/articles/2648826642", "매물Link")</f>
        <v/>
      </c>
      <c r="J1414" s="5">
        <f>HYPERLINK("https://map.naver.com/p/search/나성동 829", "지도Link")</f>
        <v/>
      </c>
      <c r="K1414" s="5">
        <f>HYPERLINK("http://www.eum.go.kr/web/ar/lu/luLandDet.jsp?pnu=3611010700108290000&amp;isNoScr=script&amp;mode=search", "토지이음")</f>
        <v/>
      </c>
      <c r="L1414" s="3" t="inlineStr">
        <is>
          <t>태영</t>
        </is>
      </c>
      <c r="M1414" s="3" t="n">
        <v>1</v>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3" t="inlineStr">
        <is>
          <t>주말농장 또는 농업용창고,대토용 적합한 전밭,계획,농립지역</t>
        </is>
      </c>
      <c r="I1415" s="5">
        <f>HYPERLINK("https://fin.land.naver.com/articles/2645207030", "매물Link")</f>
        <v/>
      </c>
      <c r="J1415" s="5">
        <f>HYPERLINK("https://map.naver.com/p/search/나성동 829", "지도Link")</f>
        <v/>
      </c>
      <c r="K1415" s="5">
        <f>HYPERLINK("http://www.eum.go.kr/web/ar/lu/luLandDet.jsp?pnu=3611010700108290000&amp;isNoScr=script&amp;mode=search", "토지이음")</f>
        <v/>
      </c>
      <c r="L1415" s="3" t="inlineStr">
        <is>
          <t>초심</t>
        </is>
      </c>
      <c r="M1415" s="3" t="n">
        <v>1</v>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3" t="inlineStr">
        <is>
          <t>갈산리 뜰 광선평야 경지정리 잘 된 농지 매매</t>
        </is>
      </c>
      <c r="I1416" s="5">
        <f>HYPERLINK("https://fin.land.naver.com/articles/2645904900", "매물Link")</f>
        <v/>
      </c>
      <c r="J1416" s="5">
        <f>HYPERLINK("https://map.naver.com/p/search/나성동 829", "지도Link")</f>
        <v/>
      </c>
      <c r="K1416" s="5">
        <f>HYPERLINK("http://www.eum.go.kr/web/ar/lu/luLandDet.jsp?pnu=3611010700108290000&amp;isNoScr=script&amp;mode=search", "토지이음")</f>
        <v/>
      </c>
      <c r="L1416" s="3" t="inlineStr">
        <is>
          <t>미래</t>
        </is>
      </c>
      <c r="M1416" s="3" t="n">
        <v>1</v>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3" t="inlineStr">
        <is>
          <t>광석면 산동리 농림지역 총 4필지 가격조정가능</t>
        </is>
      </c>
      <c r="I1417" s="5">
        <f>HYPERLINK("https://fin.land.naver.com/articles/2645924725", "매물Link")</f>
        <v/>
      </c>
      <c r="J1417" s="5">
        <f>HYPERLINK("https://map.naver.com/p/search/나성동 829", "지도Link")</f>
        <v/>
      </c>
      <c r="K1417" s="5">
        <f>HYPERLINK("http://www.eum.go.kr/web/ar/lu/luLandDet.jsp?pnu=3611010700108290000&amp;isNoScr=script&amp;mode=search", "토지이음")</f>
        <v/>
      </c>
      <c r="L1417" s="3" t="inlineStr">
        <is>
          <t>현대</t>
        </is>
      </c>
      <c r="M1417" s="3" t="n">
        <v>1</v>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3" t="inlineStr">
        <is>
          <t>광석면 산동리 총 4필지 농림지역</t>
        </is>
      </c>
      <c r="I1418" s="5">
        <f>HYPERLINK("https://fin.land.naver.com/articles/2645925187", "매물Link")</f>
        <v/>
      </c>
      <c r="J1418" s="5">
        <f>HYPERLINK("https://map.naver.com/p/search/나성동 829", "지도Link")</f>
        <v/>
      </c>
      <c r="K1418" s="5">
        <f>HYPERLINK("http://www.eum.go.kr/web/ar/lu/luLandDet.jsp?pnu=3611010700108290000&amp;isNoScr=script&amp;mode=search", "토지이음")</f>
        <v/>
      </c>
      <c r="L1418" s="3" t="inlineStr">
        <is>
          <t>현대</t>
        </is>
      </c>
      <c r="M1418" s="3" t="n">
        <v>1</v>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3" t="inlineStr">
        <is>
          <t>광석면 천동리 농림지역</t>
        </is>
      </c>
      <c r="I1419" s="5">
        <f>HYPERLINK("https://fin.land.naver.com/articles/2645929307", "매물Link")</f>
        <v/>
      </c>
      <c r="J1419" s="5">
        <f>HYPERLINK("https://map.naver.com/p/search/나성동 829", "지도Link")</f>
        <v/>
      </c>
      <c r="K1419" s="5">
        <f>HYPERLINK("http://www.eum.go.kr/web/ar/lu/luLandDet.jsp?pnu=3611010700108290000&amp;isNoScr=script&amp;mode=search", "토지이음")</f>
        <v/>
      </c>
      <c r="L1419" s="3" t="inlineStr">
        <is>
          <t>현대</t>
        </is>
      </c>
      <c r="M1419" s="3" t="n">
        <v>1</v>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3" t="inlineStr">
        <is>
          <t>2차선접 광석 로타리부근으로 입지조건 좋음</t>
        </is>
      </c>
      <c r="I1420" s="5">
        <f>HYPERLINK("https://fin.land.naver.com/articles/2647819260", "매물Link")</f>
        <v/>
      </c>
      <c r="J1420" s="5">
        <f>HYPERLINK("https://map.naver.com/p/search/나성동 829", "지도Link")</f>
        <v/>
      </c>
      <c r="K1420" s="5">
        <f>HYPERLINK("http://www.eum.go.kr/web/ar/lu/luLandDet.jsp?pnu=3611010700108290000&amp;isNoScr=script&amp;mode=search", "토지이음")</f>
        <v/>
      </c>
      <c r="L1420" s="3" t="inlineStr">
        <is>
          <t>재형</t>
        </is>
      </c>
      <c r="M1420" s="3" t="n">
        <v>1</v>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3" t="inlineStr">
        <is>
          <t>nan</t>
        </is>
      </c>
      <c r="I1421" s="5">
        <f>HYPERLINK("https://fin.land.naver.com/articles/2647821645", "매물Link")</f>
        <v/>
      </c>
      <c r="J1421" s="5">
        <f>HYPERLINK("https://map.naver.com/p/search/나성동 829", "지도Link")</f>
        <v/>
      </c>
      <c r="K1421" s="5">
        <f>HYPERLINK("http://www.eum.go.kr/web/ar/lu/luLandDet.jsp?pnu=3611010700108290000&amp;isNoScr=script&amp;mode=search", "토지이음")</f>
        <v/>
      </c>
      <c r="L1421" s="3" t="inlineStr">
        <is>
          <t>재형</t>
        </is>
      </c>
      <c r="M1421" s="3" t="n">
        <v>1</v>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3" t="inlineStr">
        <is>
          <t>미등기구옥 존재하는 대지와 계획관리지역 토지로 구성,용도 다양,교통 좋음</t>
        </is>
      </c>
      <c r="I1422" s="5">
        <f>HYPERLINK("https://fin.land.naver.com/articles/2648939751", "매물Link")</f>
        <v/>
      </c>
      <c r="J1422" s="5">
        <f>HYPERLINK("https://map.naver.com/p/search/나성동 829", "지도Link")</f>
        <v/>
      </c>
      <c r="K1422" s="5">
        <f>HYPERLINK("http://www.eum.go.kr/web/ar/lu/luLandDet.jsp?pnu=3611010700108290000&amp;isNoScr=script&amp;mode=search", "토지이음")</f>
        <v/>
      </c>
      <c r="L1422" s="3" t="inlineStr">
        <is>
          <t>신평</t>
        </is>
      </c>
      <c r="M1422" s="3" t="n">
        <v>1</v>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3" t="inlineStr">
        <is>
          <t>도로접도  계획관리</t>
        </is>
      </c>
      <c r="I1423" s="5">
        <f>HYPERLINK("https://fin.land.naver.com/articles/2649237629", "매물Link")</f>
        <v/>
      </c>
      <c r="J1423" s="5">
        <f>HYPERLINK("https://map.naver.com/p/search/나성동 829", "지도Link")</f>
        <v/>
      </c>
      <c r="K1423" s="5">
        <f>HYPERLINK("http://www.eum.go.kr/web/ar/lu/luLandDet.jsp?pnu=3611010700108290000&amp;isNoScr=script&amp;mode=search", "토지이음")</f>
        <v/>
      </c>
      <c r="L1423" s="3" t="inlineStr">
        <is>
          <t>스마트</t>
        </is>
      </c>
      <c r="M1423" s="3" t="n">
        <v>1</v>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3" t="inlineStr">
        <is>
          <t>축사 매매 접근성 좋음 논산시 광석면 일원</t>
        </is>
      </c>
      <c r="I1424" s="5">
        <f>HYPERLINK("https://fin.land.naver.com/articles/2649242816", "매물Link")</f>
        <v/>
      </c>
      <c r="J1424" s="5">
        <f>HYPERLINK("https://map.naver.com/p/search/나성동 829", "지도Link")</f>
        <v/>
      </c>
      <c r="K1424" s="5">
        <f>HYPERLINK("http://www.eum.go.kr/web/ar/lu/luLandDet.jsp?pnu=3611010700108290000&amp;isNoScr=script&amp;mode=search", "토지이음")</f>
        <v/>
      </c>
      <c r="L1424" s="3" t="inlineStr">
        <is>
          <t>큰복</t>
        </is>
      </c>
      <c r="M1424" s="3" t="n">
        <v>1</v>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3" t="inlineStr">
        <is>
          <t>nan</t>
        </is>
      </c>
      <c r="I1425" s="5">
        <f>HYPERLINK("https://fin.land.naver.com/articles/2649760699", "매물Link")</f>
        <v/>
      </c>
      <c r="J1425" s="5">
        <f>HYPERLINK("https://map.naver.com/p/search/나성동 829", "지도Link")</f>
        <v/>
      </c>
      <c r="K1425" s="5">
        <f>HYPERLINK("http://www.eum.go.kr/web/ar/lu/luLandDet.jsp?pnu=3611010700108290000&amp;isNoScr=script&amp;mode=search", "토지이음")</f>
        <v/>
      </c>
      <c r="L1425" s="3" t="inlineStr">
        <is>
          <t>재형</t>
        </is>
      </c>
      <c r="M1425" s="3" t="n">
        <v>1</v>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3" t="inlineStr">
        <is>
          <t>상가부지 전기 수도 하수도 구획정리 완료 마곡사 공연장 옆 대지</t>
        </is>
      </c>
      <c r="I1426" s="5">
        <f>HYPERLINK("https://fin.land.naver.com/articles/2645415572", "매물Link")</f>
        <v/>
      </c>
      <c r="J1426" s="5">
        <f>HYPERLINK("https://map.naver.com/p/search/나성동 829", "지도Link")</f>
        <v/>
      </c>
      <c r="K1426" s="5">
        <f>HYPERLINK("http://www.eum.go.kr/web/ar/lu/luLandDet.jsp?pnu=3611010700108290000&amp;isNoScr=script&amp;mode=search", "토지이음")</f>
        <v/>
      </c>
      <c r="L1426" s="3" t="inlineStr">
        <is>
          <t>그래그</t>
        </is>
      </c>
      <c r="M1426" s="3" t="n">
        <v>1</v>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3" t="inlineStr">
        <is>
          <t>유실수,염소목장 등 주말전원생활 가능한 토지</t>
        </is>
      </c>
      <c r="I1427" s="5">
        <f>HYPERLINK("https://fin.land.naver.com/articles/2649419624", "매물Link")</f>
        <v/>
      </c>
      <c r="J1427" s="5">
        <f>HYPERLINK("https://map.naver.com/p/search/나성동 829", "지도Link")</f>
        <v/>
      </c>
      <c r="K1427" s="5">
        <f>HYPERLINK("http://www.eum.go.kr/web/ar/lu/luLandDet.jsp?pnu=3611010700108290000&amp;isNoScr=script&amp;mode=search", "토지이음")</f>
        <v/>
      </c>
      <c r="L1427" s="3" t="inlineStr">
        <is>
          <t>음봉1번지</t>
        </is>
      </c>
      <c r="M1427" s="3" t="n">
        <v>1</v>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3" t="inlineStr">
        <is>
          <t>nan</t>
        </is>
      </c>
      <c r="I1428" s="5">
        <f>HYPERLINK("https://fin.land.naver.com/articles/2647389587", "매물Link")</f>
        <v/>
      </c>
      <c r="J1428" s="5">
        <f>HYPERLINK("https://map.naver.com/p/search/나성동 829", "지도Link")</f>
        <v/>
      </c>
      <c r="K1428" s="5">
        <f>HYPERLINK("http://www.eum.go.kr/web/ar/lu/luLandDet.jsp?pnu=3611010700108290000&amp;isNoScr=script&amp;mode=search", "토지이음")</f>
        <v/>
      </c>
      <c r="L1428" s="3" t="inlineStr">
        <is>
          <t>월정</t>
        </is>
      </c>
      <c r="M1428" s="3" t="n">
        <v>1</v>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3" t="inlineStr">
        <is>
          <t>왕복4차선 접한 계획관리 밭</t>
        </is>
      </c>
      <c r="I1429" s="5">
        <f>HYPERLINK("https://fin.land.naver.com/articles/2644554518", "매물Link")</f>
        <v/>
      </c>
      <c r="J1429" s="5">
        <f>HYPERLINK("https://map.naver.com/p/search/나성동 829", "지도Link")</f>
        <v/>
      </c>
      <c r="K1429" s="5">
        <f>HYPERLINK("http://www.eum.go.kr/web/ar/lu/luLandDet.jsp?pnu=3611010700108290000&amp;isNoScr=script&amp;mode=search", "토지이음")</f>
        <v/>
      </c>
      <c r="L1429" s="3" t="inlineStr">
        <is>
          <t>거성  사무소</t>
        </is>
      </c>
      <c r="M1429" s="3" t="n">
        <v>1</v>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3" t="inlineStr">
        <is>
          <t>nan</t>
        </is>
      </c>
      <c r="I1430" s="5">
        <f>HYPERLINK("https://fin.land.naver.com/articles/2644554637", "매물Link")</f>
        <v/>
      </c>
      <c r="J1430" s="5">
        <f>HYPERLINK("https://map.naver.com/p/search/나성동 829", "지도Link")</f>
        <v/>
      </c>
      <c r="K1430" s="5">
        <f>HYPERLINK("http://www.eum.go.kr/web/ar/lu/luLandDet.jsp?pnu=3611010700108290000&amp;isNoScr=script&amp;mode=search", "토지이음")</f>
        <v/>
      </c>
      <c r="L1430" s="3" t="inlineStr">
        <is>
          <t>거성  사무소</t>
        </is>
      </c>
      <c r="M1430" s="3" t="n">
        <v>1</v>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3" t="inlineStr">
        <is>
          <t>nan</t>
        </is>
      </c>
      <c r="I1431" s="5">
        <f>HYPERLINK("https://fin.land.naver.com/articles/2645105367", "매물Link")</f>
        <v/>
      </c>
      <c r="J1431" s="5">
        <f>HYPERLINK("https://map.naver.com/p/search/나성동 829", "지도Link")</f>
        <v/>
      </c>
      <c r="K1431" s="5">
        <f>HYPERLINK("http://www.eum.go.kr/web/ar/lu/luLandDet.jsp?pnu=3611010700108290000&amp;isNoScr=script&amp;mode=search", "토지이음")</f>
        <v/>
      </c>
      <c r="L1431" s="3" t="inlineStr">
        <is>
          <t>명성</t>
        </is>
      </c>
      <c r="M1431" s="3" t="n">
        <v>1</v>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3" t="inlineStr">
        <is>
          <t>nan</t>
        </is>
      </c>
      <c r="I1432" s="5">
        <f>HYPERLINK("https://fin.land.naver.com/articles/2645582146", "매물Link")</f>
        <v/>
      </c>
      <c r="J1432" s="5">
        <f>HYPERLINK("https://map.naver.com/p/search/나성동 829", "지도Link")</f>
        <v/>
      </c>
      <c r="K1432" s="5">
        <f>HYPERLINK("http://www.eum.go.kr/web/ar/lu/luLandDet.jsp?pnu=3611010700108290000&amp;isNoScr=script&amp;mode=search", "토지이음")</f>
        <v/>
      </c>
      <c r="L1432" s="3" t="inlineStr">
        <is>
          <t>대복</t>
        </is>
      </c>
      <c r="M1432" s="3" t="n">
        <v>1</v>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3" t="inlineStr">
        <is>
          <t>전망좋은 카페, 전원주택 등 추천</t>
        </is>
      </c>
      <c r="I1433" s="5">
        <f>HYPERLINK("https://fin.land.naver.com/articles/2645583557", "매물Link")</f>
        <v/>
      </c>
      <c r="J1433" s="5">
        <f>HYPERLINK("https://map.naver.com/p/search/나성동 829", "지도Link")</f>
        <v/>
      </c>
      <c r="K1433" s="5">
        <f>HYPERLINK("http://www.eum.go.kr/web/ar/lu/luLandDet.jsp?pnu=3611010700108290000&amp;isNoScr=script&amp;mode=search", "토지이음")</f>
        <v/>
      </c>
      <c r="L1433" s="3" t="inlineStr">
        <is>
          <t>대복</t>
        </is>
      </c>
      <c r="M1433" s="3" t="n">
        <v>1</v>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3" t="inlineStr">
        <is>
          <t>전원주택 최적지, 대전세종15분거리 , 정남향</t>
        </is>
      </c>
      <c r="I1434" s="5">
        <f>HYPERLINK("https://fin.land.naver.com/articles/2645712502", "매물Link")</f>
        <v/>
      </c>
      <c r="J1434" s="5">
        <f>HYPERLINK("https://map.naver.com/p/search/나성동 829", "지도Link")</f>
        <v/>
      </c>
      <c r="K1434" s="5">
        <f>HYPERLINK("http://www.eum.go.kr/web/ar/lu/luLandDet.jsp?pnu=3611010700108290000&amp;isNoScr=script&amp;mode=search", "토지이음")</f>
        <v/>
      </c>
      <c r="L1434" s="3" t="inlineStr">
        <is>
          <t>시장</t>
        </is>
      </c>
      <c r="M1434" s="3" t="n">
        <v>1</v>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3" t="inlineStr">
        <is>
          <t>nan</t>
        </is>
      </c>
      <c r="I1435" s="5">
        <f>HYPERLINK("https://fin.land.naver.com/articles/2645759003", "매물Link")</f>
        <v/>
      </c>
      <c r="J1435" s="5">
        <f>HYPERLINK("https://map.naver.com/p/search/나성동 829", "지도Link")</f>
        <v/>
      </c>
      <c r="K1435" s="5">
        <f>HYPERLINK("http://www.eum.go.kr/web/ar/lu/luLandDet.jsp?pnu=3611010700108290000&amp;isNoScr=script&amp;mode=search", "토지이음")</f>
        <v/>
      </c>
      <c r="L1435" s="3" t="inlineStr">
        <is>
          <t>한빛타운</t>
        </is>
      </c>
      <c r="M1435" s="3" t="n">
        <v>1</v>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3" t="inlineStr">
        <is>
          <t>nan</t>
        </is>
      </c>
      <c r="I1436" s="5">
        <f>HYPERLINK("https://fin.land.naver.com/articles/2644554048", "매물Link")</f>
        <v/>
      </c>
      <c r="J1436" s="5">
        <f>HYPERLINK("https://map.naver.com/p/search/나성동 829", "지도Link")</f>
        <v/>
      </c>
      <c r="K1436" s="5">
        <f>HYPERLINK("http://www.eum.go.kr/web/ar/lu/luLandDet.jsp?pnu=3611010700108290000&amp;isNoScr=script&amp;mode=search", "토지이음")</f>
        <v/>
      </c>
      <c r="L1436" s="3" t="inlineStr">
        <is>
          <t>거성  사무소</t>
        </is>
      </c>
      <c r="M1436" s="3" t="n">
        <v>1</v>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3" t="inlineStr">
        <is>
          <t>소하천접, 그린벨트, 급매, 하천옆 포장길접.투자나 비닐하우스 영농적합.</t>
        </is>
      </c>
      <c r="I1437" s="5">
        <f>HYPERLINK("https://fin.land.naver.com/articles/2646355786", "매물Link")</f>
        <v/>
      </c>
      <c r="J1437" s="5">
        <f>HYPERLINK("https://map.naver.com/p/search/나성동 829", "지도Link")</f>
        <v/>
      </c>
      <c r="K1437" s="5">
        <f>HYPERLINK("http://www.eum.go.kr/web/ar/lu/luLandDet.jsp?pnu=3611010700108290000&amp;isNoScr=script&amp;mode=search", "토지이음")</f>
        <v/>
      </c>
      <c r="L1437" s="3" t="inlineStr">
        <is>
          <t>뉴탑</t>
        </is>
      </c>
      <c r="M1437" s="3" t="n">
        <v>1</v>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3" t="inlineStr">
        <is>
          <t>펜션이나 전원주택건축지로 최적합.</t>
        </is>
      </c>
      <c r="I1438" s="5">
        <f>HYPERLINK("https://fin.land.naver.com/articles/2646356102", "매물Link")</f>
        <v/>
      </c>
      <c r="J1438" s="5">
        <f>HYPERLINK("https://map.naver.com/p/search/나성동 829", "지도Link")</f>
        <v/>
      </c>
      <c r="K1438" s="5">
        <f>HYPERLINK("http://www.eum.go.kr/web/ar/lu/luLandDet.jsp?pnu=3611010700108290000&amp;isNoScr=script&amp;mode=search", "토지이음")</f>
        <v/>
      </c>
      <c r="L1438" s="3" t="inlineStr">
        <is>
          <t>뉴탑</t>
        </is>
      </c>
      <c r="M1438" s="3" t="n">
        <v>1</v>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3" t="inlineStr">
        <is>
          <t>가격조정가, 마암천에 접하여 진입 용이, 공주에서 15분</t>
        </is>
      </c>
      <c r="I1439" s="5">
        <f>HYPERLINK("https://fin.land.naver.com/articles/2646692132", "매물Link")</f>
        <v/>
      </c>
      <c r="J1439" s="5">
        <f>HYPERLINK("https://map.naver.com/p/search/나성동 829", "지도Link")</f>
        <v/>
      </c>
      <c r="K1439" s="5">
        <f>HYPERLINK("http://www.eum.go.kr/web/ar/lu/luLandDet.jsp?pnu=3611010700108290000&amp;isNoScr=script&amp;mode=search", "토지이음")</f>
        <v/>
      </c>
      <c r="L1439" s="3" t="inlineStr">
        <is>
          <t>물댄동산</t>
        </is>
      </c>
      <c r="M1439" s="3" t="n">
        <v>1</v>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3" t="inlineStr">
        <is>
          <t>동학사 교차로 초입.산69도로와 산 70구거에 접함. 글램핑적지</t>
        </is>
      </c>
      <c r="I1440" s="5">
        <f>HYPERLINK("https://fin.land.naver.com/articles/2646993246", "매물Link")</f>
        <v/>
      </c>
      <c r="J1440" s="5">
        <f>HYPERLINK("https://map.naver.com/p/search/나성동 829", "지도Link")</f>
        <v/>
      </c>
      <c r="K1440" s="5">
        <f>HYPERLINK("http://www.eum.go.kr/web/ar/lu/luLandDet.jsp?pnu=3611010700108290000&amp;isNoScr=script&amp;mode=search", "토지이음")</f>
        <v/>
      </c>
      <c r="L1440" s="3" t="inlineStr">
        <is>
          <t>믿음</t>
        </is>
      </c>
      <c r="M1440" s="3" t="n">
        <v>1</v>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3" t="inlineStr">
        <is>
          <t>자연취락지구. 집 짓고 살기에 좋은땅.  교통좋고 경치좋고 .</t>
        </is>
      </c>
      <c r="I1441" s="5">
        <f>HYPERLINK("https://fin.land.naver.com/articles/2647726111", "매물Link")</f>
        <v/>
      </c>
      <c r="J1441" s="5">
        <f>HYPERLINK("https://map.naver.com/p/search/나성동 829", "지도Link")</f>
        <v/>
      </c>
      <c r="K1441" s="5">
        <f>HYPERLINK("http://www.eum.go.kr/web/ar/lu/luLandDet.jsp?pnu=3611010700108290000&amp;isNoScr=script&amp;mode=search", "토지이음")</f>
        <v/>
      </c>
      <c r="L1441" s="3" t="inlineStr">
        <is>
          <t>토지</t>
        </is>
      </c>
      <c r="M1441" s="3" t="n">
        <v>1</v>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3" t="inlineStr">
        <is>
          <t>2차선접,물류및창고용지,접근성및개발호재지</t>
        </is>
      </c>
      <c r="I1442" s="5">
        <f>HYPERLINK("https://fin.land.naver.com/articles/2648023523", "매물Link")</f>
        <v/>
      </c>
      <c r="J1442" s="5">
        <f>HYPERLINK("https://map.naver.com/p/search/나성동 829", "지도Link")</f>
        <v/>
      </c>
      <c r="K1442" s="5">
        <f>HYPERLINK("http://www.eum.go.kr/web/ar/lu/luLandDet.jsp?pnu=3611010700108290000&amp;isNoScr=script&amp;mode=search", "토지이음")</f>
        <v/>
      </c>
      <c r="L1442" s="3" t="inlineStr">
        <is>
          <t>백억사사무소</t>
        </is>
      </c>
      <c r="M1442" s="3" t="n">
        <v>1</v>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3" t="inlineStr">
        <is>
          <t>면소재지인접,계룡산조망,4필지분할매매</t>
        </is>
      </c>
      <c r="I1443" s="5">
        <f>HYPERLINK("https://fin.land.naver.com/articles/2648024033", "매물Link")</f>
        <v/>
      </c>
      <c r="J1443" s="5">
        <f>HYPERLINK("https://map.naver.com/p/search/나성동 829", "지도Link")</f>
        <v/>
      </c>
      <c r="K1443" s="5">
        <f>HYPERLINK("http://www.eum.go.kr/web/ar/lu/luLandDet.jsp?pnu=3611010700108290000&amp;isNoScr=script&amp;mode=search", "토지이음")</f>
        <v/>
      </c>
      <c r="L1443" s="3" t="inlineStr">
        <is>
          <t>백억사사무소</t>
        </is>
      </c>
      <c r="M1443" s="3" t="n">
        <v>1</v>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3" t="inlineStr">
        <is>
          <t>소하천접,가격조절가능, 세종시 인접하여 투자용도나 다용도건축.</t>
        </is>
      </c>
      <c r="I1444" s="5">
        <f>HYPERLINK("https://fin.land.naver.com/articles/2646355941", "매물Link")</f>
        <v/>
      </c>
      <c r="J1444" s="5">
        <f>HYPERLINK("https://map.naver.com/p/search/나성동 829", "지도Link")</f>
        <v/>
      </c>
      <c r="K1444" s="5">
        <f>HYPERLINK("http://www.eum.go.kr/web/ar/lu/luLandDet.jsp?pnu=3611010700108290000&amp;isNoScr=script&amp;mode=search", "토지이음")</f>
        <v/>
      </c>
      <c r="L1444" s="3" t="inlineStr">
        <is>
          <t>뉴탑</t>
        </is>
      </c>
      <c r="M1444" s="3" t="n">
        <v>1</v>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3" t="inlineStr">
        <is>
          <t>nan</t>
        </is>
      </c>
      <c r="I1445" s="5">
        <f>HYPERLINK("https://fin.land.naver.com/articles/2644463153", "매물Link")</f>
        <v/>
      </c>
      <c r="J1445" s="5">
        <f>HYPERLINK("https://map.naver.com/p/search/나성동 829", "지도Link")</f>
        <v/>
      </c>
      <c r="K1445" s="5">
        <f>HYPERLINK("http://www.eum.go.kr/web/ar/lu/luLandDet.jsp?pnu=3611010700108290000&amp;isNoScr=script&amp;mode=search", "토지이음")</f>
        <v/>
      </c>
      <c r="L1445" s="3" t="inlineStr">
        <is>
          <t>더파크</t>
        </is>
      </c>
      <c r="M1445" s="3" t="n">
        <v>1</v>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3" t="inlineStr">
        <is>
          <t>공주, 세종 접근성 좋은 2차선 도로 옆 한옥지원금 나오는 토지</t>
        </is>
      </c>
      <c r="I1446" s="5">
        <f>HYPERLINK("https://fin.land.naver.com/articles/2649888524", "매물Link")</f>
        <v/>
      </c>
      <c r="J1446" s="5">
        <f>HYPERLINK("https://map.naver.com/p/search/나성동 829", "지도Link")</f>
        <v/>
      </c>
      <c r="K1446" s="5">
        <f>HYPERLINK("http://www.eum.go.kr/web/ar/lu/luLandDet.jsp?pnu=3611010700108290000&amp;isNoScr=script&amp;mode=search", "토지이음")</f>
        <v/>
      </c>
      <c r="L1446" s="3" t="inlineStr">
        <is>
          <t>흙사랑</t>
        </is>
      </c>
      <c r="M1446" s="3" t="n">
        <v>1</v>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3" t="inlineStr">
        <is>
          <t>한옥지원금 1억5천 공주시내 5분 세종 15분</t>
        </is>
      </c>
      <c r="I1447" s="5">
        <f>HYPERLINK("https://fin.land.naver.com/articles/2649881425", "매물Link")</f>
        <v/>
      </c>
      <c r="J1447" s="5">
        <f>HYPERLINK("https://map.naver.com/p/search/나성동 829", "지도Link")</f>
        <v/>
      </c>
      <c r="K1447" s="5">
        <f>HYPERLINK("http://www.eum.go.kr/web/ar/lu/luLandDet.jsp?pnu=3611010700108290000&amp;isNoScr=script&amp;mode=search", "토지이음")</f>
        <v/>
      </c>
      <c r="L1447" s="3" t="inlineStr">
        <is>
          <t>흙사랑</t>
        </is>
      </c>
      <c r="M1447" s="3" t="n">
        <v>1</v>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3" t="inlineStr">
        <is>
          <t>nan</t>
        </is>
      </c>
      <c r="I1448" s="5">
        <f>HYPERLINK("https://fin.land.naver.com/articles/2649185877", "매물Link")</f>
        <v/>
      </c>
      <c r="J1448" s="5">
        <f>HYPERLINK("https://map.naver.com/p/search/나성동 829", "지도Link")</f>
        <v/>
      </c>
      <c r="K1448" s="5">
        <f>HYPERLINK("http://www.eum.go.kr/web/ar/lu/luLandDet.jsp?pnu=3611010700108290000&amp;isNoScr=script&amp;mode=search", "토지이음")</f>
        <v/>
      </c>
      <c r="L1448" s="3" t="inlineStr">
        <is>
          <t>나래</t>
        </is>
      </c>
      <c r="M1448" s="3" t="n">
        <v>1</v>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3" t="inlineStr">
        <is>
          <t>비닐하우스용 으로 적합</t>
        </is>
      </c>
      <c r="I1449" s="5">
        <f>HYPERLINK("https://fin.land.naver.com/articles/2649539631", "매물Link")</f>
        <v/>
      </c>
      <c r="J1449" s="5">
        <f>HYPERLINK("https://map.naver.com/p/search/나성동 829", "지도Link")</f>
        <v/>
      </c>
      <c r="K1449" s="5">
        <f>HYPERLINK("http://www.eum.go.kr/web/ar/lu/luLandDet.jsp?pnu=3611010700108290000&amp;isNoScr=script&amp;mode=search", "토지이음")</f>
        <v/>
      </c>
      <c r="L1449" s="3" t="inlineStr">
        <is>
          <t>마당발</t>
        </is>
      </c>
      <c r="M1449" s="3" t="n">
        <v>1</v>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3" t="inlineStr">
        <is>
          <t>전원주택 2가구용 (분할가능)</t>
        </is>
      </c>
      <c r="I1450" s="5">
        <f>HYPERLINK("https://fin.land.naver.com/articles/2649539891", "매물Link")</f>
        <v/>
      </c>
      <c r="J1450" s="5">
        <f>HYPERLINK("https://map.naver.com/p/search/나성동 829", "지도Link")</f>
        <v/>
      </c>
      <c r="K1450" s="5">
        <f>HYPERLINK("http://www.eum.go.kr/web/ar/lu/luLandDet.jsp?pnu=3611010700108290000&amp;isNoScr=script&amp;mode=search", "토지이음")</f>
        <v/>
      </c>
      <c r="L1450" s="3" t="inlineStr">
        <is>
          <t>마당발</t>
        </is>
      </c>
      <c r="M1450" s="3" t="n">
        <v>1</v>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3" t="inlineStr">
        <is>
          <t>정부종합청사 대전광역시 인근,산밑 정남향 전원주택 별장 부지</t>
        </is>
      </c>
      <c r="I1451" s="5">
        <f>HYPERLINK("https://fin.land.naver.com/articles/2643972630", "매물Link")</f>
        <v/>
      </c>
      <c r="J1451" s="5">
        <f>HYPERLINK("https://map.naver.com/p/search/나성동 829", "지도Link")</f>
        <v/>
      </c>
      <c r="K1451" s="5">
        <f>HYPERLINK("http://www.eum.go.kr/web/ar/lu/luLandDet.jsp?pnu=3611010700108290000&amp;isNoScr=script&amp;mode=search", "토지이음")</f>
        <v/>
      </c>
      <c r="L1451" s="3" t="inlineStr">
        <is>
          <t>딸기(02-848-2300단지내)</t>
        </is>
      </c>
      <c r="M1451" s="3" t="n">
        <v>1</v>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3" t="inlineStr">
        <is>
          <t>세종시에 입접한 토지입니다</t>
        </is>
      </c>
      <c r="I1452" s="5">
        <f>HYPERLINK("https://fin.land.naver.com/articles/2643988266", "매물Link")</f>
        <v/>
      </c>
      <c r="J1452" s="5">
        <f>HYPERLINK("https://map.naver.com/p/search/나성동 829", "지도Link")</f>
        <v/>
      </c>
      <c r="K1452" s="5">
        <f>HYPERLINK("http://www.eum.go.kr/web/ar/lu/luLandDet.jsp?pnu=3611010700108290000&amp;isNoScr=script&amp;mode=search", "토지이음")</f>
        <v/>
      </c>
      <c r="L1452" s="3" t="inlineStr">
        <is>
          <t>늘푸른</t>
        </is>
      </c>
      <c r="M1452" s="3" t="n">
        <v>1</v>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3" t="inlineStr">
        <is>
          <t>사진, 정안IC5분거리, 야적장, 주차장 임대, 진입로좋음, 네모반듯</t>
        </is>
      </c>
      <c r="I1453" s="5">
        <f>HYPERLINK("https://fin.land.naver.com/articles/2645492726", "매물Link")</f>
        <v/>
      </c>
      <c r="J1453" s="5">
        <f>HYPERLINK("https://map.naver.com/p/search/나성동 829", "지도Link")</f>
        <v/>
      </c>
      <c r="K1453" s="5">
        <f>HYPERLINK("http://www.eum.go.kr/web/ar/lu/luLandDet.jsp?pnu=3611010700108290000&amp;isNoScr=script&amp;mode=search", "토지이음")</f>
        <v/>
      </c>
      <c r="L1453" s="3" t="inlineStr">
        <is>
          <t>OK허니</t>
        </is>
      </c>
      <c r="M1453" s="3" t="n">
        <v>1</v>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3" t="inlineStr">
        <is>
          <t>전원주택지.가족묘.수목장 적지</t>
        </is>
      </c>
      <c r="I1454" s="5">
        <f>HYPERLINK("https://fin.land.naver.com/articles/2646937814", "매물Link")</f>
        <v/>
      </c>
      <c r="J1454" s="5">
        <f>HYPERLINK("https://map.naver.com/p/search/나성동 829", "지도Link")</f>
        <v/>
      </c>
      <c r="K1454" s="5">
        <f>HYPERLINK("http://www.eum.go.kr/web/ar/lu/luLandDet.jsp?pnu=3611010700108290000&amp;isNoScr=script&amp;mode=search", "토지이음")</f>
        <v/>
      </c>
      <c r="L1454" s="3" t="inlineStr">
        <is>
          <t>청운</t>
        </is>
      </c>
      <c r="M1454" s="3" t="n">
        <v>1</v>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3" t="inlineStr">
        <is>
          <t>nan</t>
        </is>
      </c>
      <c r="I1455" s="5">
        <f>HYPERLINK("https://fin.land.naver.com/articles/2647296942", "매물Link")</f>
        <v/>
      </c>
      <c r="J1455" s="5">
        <f>HYPERLINK("https://map.naver.com/p/search/나성동 829", "지도Link")</f>
        <v/>
      </c>
      <c r="K1455" s="5">
        <f>HYPERLINK("http://www.eum.go.kr/web/ar/lu/luLandDet.jsp?pnu=3611010700108290000&amp;isNoScr=script&amp;mode=search", "토지이음")</f>
        <v/>
      </c>
      <c r="L1455" s="3" t="inlineStr">
        <is>
          <t>딸기(02-848-2300단지내)</t>
        </is>
      </c>
      <c r="M1455" s="3" t="n">
        <v>1</v>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3" t="inlineStr">
        <is>
          <t>nan</t>
        </is>
      </c>
      <c r="I1456" s="5">
        <f>HYPERLINK("https://fin.land.naver.com/articles/2648312111", "매물Link")</f>
        <v/>
      </c>
      <c r="J1456" s="5">
        <f>HYPERLINK("https://map.naver.com/p/search/나성동 829", "지도Link")</f>
        <v/>
      </c>
      <c r="K1456" s="5">
        <f>HYPERLINK("http://www.eum.go.kr/web/ar/lu/luLandDet.jsp?pnu=3611010700108290000&amp;isNoScr=script&amp;mode=search", "토지이음")</f>
        <v/>
      </c>
      <c r="L1456" s="3" t="inlineStr">
        <is>
          <t>딸기(02-848-2300단지내)</t>
        </is>
      </c>
      <c r="M1456" s="3" t="n">
        <v>1</v>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3" t="inlineStr">
        <is>
          <t>Point 관리지역 농막 포함가, 땅 모양, 입지 최적, 지적상 도로</t>
        </is>
      </c>
      <c r="I1457" s="5">
        <f>HYPERLINK("https://fin.land.naver.com/articles/2648339222", "매물Link")</f>
        <v/>
      </c>
      <c r="J1457" s="5">
        <f>HYPERLINK("https://map.naver.com/p/search/나성동 829", "지도Link")</f>
        <v/>
      </c>
      <c r="K1457" s="5">
        <f>HYPERLINK("http://www.eum.go.kr/web/ar/lu/luLandDet.jsp?pnu=3611010700108290000&amp;isNoScr=script&amp;mode=search", "토지이음")</f>
        <v/>
      </c>
      <c r="L1457" s="3" t="inlineStr">
        <is>
          <t>도마호반</t>
        </is>
      </c>
      <c r="M1457" s="3" t="n">
        <v>1</v>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3" t="inlineStr">
        <is>
          <t>도로접한개발하기좋은토지,덕학리교차로,근생가능</t>
        </is>
      </c>
      <c r="I1458" s="5">
        <f>HYPERLINK("https://fin.land.naver.com/articles/2647873945", "매물Link")</f>
        <v/>
      </c>
      <c r="J1458" s="5">
        <f>HYPERLINK("https://map.naver.com/p/search/나성동 829", "지도Link")</f>
        <v/>
      </c>
      <c r="K1458" s="5">
        <f>HYPERLINK("http://www.eum.go.kr/web/ar/lu/luLandDet.jsp?pnu=3611010700108290000&amp;isNoScr=script&amp;mode=search", "토지이음")</f>
        <v/>
      </c>
      <c r="L1458" s="3" t="inlineStr">
        <is>
          <t>고운햇살</t>
        </is>
      </c>
      <c r="M1458" s="3" t="n">
        <v>1</v>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3" t="inlineStr">
        <is>
          <t>공주시내와 세종과 인접한 마을 가생이의 전망 좋은 전원주택지</t>
        </is>
      </c>
      <c r="I1459" s="5">
        <f>HYPERLINK("https://fin.land.naver.com/articles/2649834348", "매물Link")</f>
        <v/>
      </c>
      <c r="J1459" s="5">
        <f>HYPERLINK("https://map.naver.com/p/search/나성동 829", "지도Link")</f>
        <v/>
      </c>
      <c r="K1459" s="5">
        <f>HYPERLINK("http://www.eum.go.kr/web/ar/lu/luLandDet.jsp?pnu=3611010700108290000&amp;isNoScr=script&amp;mode=search", "토지이음")</f>
        <v/>
      </c>
      <c r="L1459" s="3" t="inlineStr">
        <is>
          <t>흙사랑</t>
        </is>
      </c>
      <c r="M1459" s="3" t="n">
        <v>1</v>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3" t="inlineStr">
        <is>
          <t>세종과 공주시내와 인접한 접근성과 생활환경 좋은 계획관리 토지</t>
        </is>
      </c>
      <c r="I1460" s="5">
        <f>HYPERLINK("https://fin.land.naver.com/articles/2649839276", "매물Link")</f>
        <v/>
      </c>
      <c r="J1460" s="5">
        <f>HYPERLINK("https://map.naver.com/p/search/나성동 829", "지도Link")</f>
        <v/>
      </c>
      <c r="K1460" s="5">
        <f>HYPERLINK("http://www.eum.go.kr/web/ar/lu/luLandDet.jsp?pnu=3611010700108290000&amp;isNoScr=script&amp;mode=search", "토지이음")</f>
        <v/>
      </c>
      <c r="L1460" s="3" t="inlineStr">
        <is>
          <t>흙사랑</t>
        </is>
      </c>
      <c r="M1460" s="3" t="n">
        <v>1</v>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3" t="inlineStr">
        <is>
          <t>공주, 세종 인근생활권과 접근성 모두 좋은 전원 주택지</t>
        </is>
      </c>
      <c r="I1461" s="5">
        <f>HYPERLINK("https://fin.land.naver.com/articles/2649852003", "매물Link")</f>
        <v/>
      </c>
      <c r="J1461" s="5">
        <f>HYPERLINK("https://map.naver.com/p/search/나성동 829", "지도Link")</f>
        <v/>
      </c>
      <c r="K1461" s="5">
        <f>HYPERLINK("http://www.eum.go.kr/web/ar/lu/luLandDet.jsp?pnu=3611010700108290000&amp;isNoScr=script&amp;mode=search", "토지이음")</f>
        <v/>
      </c>
      <c r="L1461" s="3" t="inlineStr">
        <is>
          <t>흙사랑</t>
        </is>
      </c>
      <c r="M1461" s="3" t="n">
        <v>1</v>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3" t="inlineStr">
        <is>
          <t>세종과 인접, 공주시내 10분거리의 생활권 좋은 토지</t>
        </is>
      </c>
      <c r="I1462" s="5">
        <f>HYPERLINK("https://fin.land.naver.com/articles/2649856345", "매물Link")</f>
        <v/>
      </c>
      <c r="J1462" s="5">
        <f>HYPERLINK("https://map.naver.com/p/search/나성동 829", "지도Link")</f>
        <v/>
      </c>
      <c r="K1462" s="5">
        <f>HYPERLINK("http://www.eum.go.kr/web/ar/lu/luLandDet.jsp?pnu=3611010700108290000&amp;isNoScr=script&amp;mode=search", "토지이음")</f>
        <v/>
      </c>
      <c r="L1462" s="3" t="inlineStr">
        <is>
          <t>흙사랑</t>
        </is>
      </c>
      <c r="M1462" s="3" t="n">
        <v>1</v>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3" t="inlineStr">
        <is>
          <t>세종 20분 1억으로 시작 가능한 작은 토지</t>
        </is>
      </c>
      <c r="I1463" s="5">
        <f>HYPERLINK("https://fin.land.naver.com/articles/2649858520", "매물Link")</f>
        <v/>
      </c>
      <c r="J1463" s="5">
        <f>HYPERLINK("https://map.naver.com/p/search/나성동 829", "지도Link")</f>
        <v/>
      </c>
      <c r="K1463" s="5">
        <f>HYPERLINK("http://www.eum.go.kr/web/ar/lu/luLandDet.jsp?pnu=3611010700108290000&amp;isNoScr=script&amp;mode=search", "토지이음")</f>
        <v/>
      </c>
      <c r="L1463" s="3" t="inlineStr">
        <is>
          <t>흙사랑</t>
        </is>
      </c>
      <c r="M1463" s="3" t="n">
        <v>1</v>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3" t="inlineStr">
        <is>
          <t>nan</t>
        </is>
      </c>
      <c r="I1464" s="5">
        <f>HYPERLINK("https://fin.land.naver.com/articles/2649872168", "매물Link")</f>
        <v/>
      </c>
      <c r="J1464" s="5">
        <f>HYPERLINK("https://map.naver.com/p/search/나성동 829", "지도Link")</f>
        <v/>
      </c>
      <c r="K1464" s="5">
        <f>HYPERLINK("http://www.eum.go.kr/web/ar/lu/luLandDet.jsp?pnu=3611010700108290000&amp;isNoScr=script&amp;mode=search", "토지이음")</f>
        <v/>
      </c>
      <c r="L1464" s="3" t="inlineStr">
        <is>
          <t>흙사랑</t>
        </is>
      </c>
      <c r="M1464" s="3" t="n">
        <v>1</v>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3" t="inlineStr">
        <is>
          <t>농업보호구역,건축가능,조망양호,세종접근성</t>
        </is>
      </c>
      <c r="I1465" s="5">
        <f>HYPERLINK("https://fin.land.naver.com/articles/2648024600", "매물Link")</f>
        <v/>
      </c>
      <c r="J1465" s="5">
        <f>HYPERLINK("https://map.naver.com/p/search/나성동 829", "지도Link")</f>
        <v/>
      </c>
      <c r="K1465" s="5">
        <f>HYPERLINK("http://www.eum.go.kr/web/ar/lu/luLandDet.jsp?pnu=3611010700108290000&amp;isNoScr=script&amp;mode=search", "토지이음")</f>
        <v/>
      </c>
      <c r="L1465" s="3" t="inlineStr">
        <is>
          <t>백억사사무소</t>
        </is>
      </c>
      <c r="M1465" s="3" t="n">
        <v>1</v>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3" t="inlineStr">
        <is>
          <t>성토완료,진입로조성,대토용지</t>
        </is>
      </c>
      <c r="I1466" s="5">
        <f>HYPERLINK("https://fin.land.naver.com/articles/2648025020", "매물Link")</f>
        <v/>
      </c>
      <c r="J1466" s="5">
        <f>HYPERLINK("https://map.naver.com/p/search/나성동 829", "지도Link")</f>
        <v/>
      </c>
      <c r="K1466" s="5">
        <f>HYPERLINK("http://www.eum.go.kr/web/ar/lu/luLandDet.jsp?pnu=3611010700108290000&amp;isNoScr=script&amp;mode=search", "토지이음")</f>
        <v/>
      </c>
      <c r="L1466" s="3" t="inlineStr">
        <is>
          <t>백억사사무소</t>
        </is>
      </c>
      <c r="M1466" s="3" t="n">
        <v>1</v>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3" t="inlineStr">
        <is>
          <t>카페및 전원주택지</t>
        </is>
      </c>
      <c r="I1467" s="5">
        <f>HYPERLINK("https://fin.land.naver.com/articles/2648025835", "매물Link")</f>
        <v/>
      </c>
      <c r="J1467" s="5">
        <f>HYPERLINK("https://map.naver.com/p/search/나성동 829", "지도Link")</f>
        <v/>
      </c>
      <c r="K1467" s="5">
        <f>HYPERLINK("http://www.eum.go.kr/web/ar/lu/luLandDet.jsp?pnu=3611010700108290000&amp;isNoScr=script&amp;mode=search", "토지이음")</f>
        <v/>
      </c>
      <c r="L1467" s="3" t="inlineStr">
        <is>
          <t>백억사사무소</t>
        </is>
      </c>
      <c r="M1467" s="3" t="n">
        <v>1</v>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3" t="inlineStr">
        <is>
          <t>반포행정복지센터, 초등학교 인근으로 주택지로 가능</t>
        </is>
      </c>
      <c r="I1468" s="5">
        <f>HYPERLINK("https://fin.land.naver.com/articles/2648145736", "매물Link")</f>
        <v/>
      </c>
      <c r="J1468" s="5">
        <f>HYPERLINK("https://map.naver.com/p/search/나성동 829", "지도Link")</f>
        <v/>
      </c>
      <c r="K1468" s="5">
        <f>HYPERLINK("http://www.eum.go.kr/web/ar/lu/luLandDet.jsp?pnu=3611010700108290000&amp;isNoScr=script&amp;mode=search", "토지이음")</f>
        <v/>
      </c>
      <c r="L1468" s="3" t="inlineStr">
        <is>
          <t>물댄동산</t>
        </is>
      </c>
      <c r="M1468" s="3" t="n">
        <v>1</v>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3" t="inlineStr">
        <is>
          <t>숲세권 체류형쉼터부지</t>
        </is>
      </c>
      <c r="I1469" s="5">
        <f>HYPERLINK("https://fin.land.naver.com/articles/2645322927", "매물Link")</f>
        <v/>
      </c>
      <c r="J1469" s="5">
        <f>HYPERLINK("https://map.naver.com/p/search/나성동 829", "지도Link")</f>
        <v/>
      </c>
      <c r="K1469" s="5">
        <f>HYPERLINK("http://www.eum.go.kr/web/ar/lu/luLandDet.jsp?pnu=3611010700108290000&amp;isNoScr=script&amp;mode=search", "토지이음")</f>
        <v/>
      </c>
      <c r="L1469" s="3" t="inlineStr">
        <is>
          <t>북세종</t>
        </is>
      </c>
      <c r="M1469" s="3" t="n">
        <v>1</v>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3" t="inlineStr">
        <is>
          <t>세종, 대전에서 계룡산(갑사) 가는 조용한 마을</t>
        </is>
      </c>
      <c r="I1470" s="5">
        <f>HYPERLINK("https://fin.land.naver.com/articles/2646618355", "매물Link")</f>
        <v/>
      </c>
      <c r="J1470" s="5">
        <f>HYPERLINK("https://map.naver.com/p/search/나성동 829", "지도Link")</f>
        <v/>
      </c>
      <c r="K1470" s="5">
        <f>HYPERLINK("http://www.eum.go.kr/web/ar/lu/luLandDet.jsp?pnu=3611010700108290000&amp;isNoScr=script&amp;mode=search", "토지이음")</f>
        <v/>
      </c>
      <c r="L1470" s="3" t="inlineStr">
        <is>
          <t>거성  사무소</t>
        </is>
      </c>
      <c r="M1470" s="3" t="n">
        <v>1</v>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3" t="inlineStr">
        <is>
          <t>경작중인 토지</t>
        </is>
      </c>
      <c r="I1471" s="5">
        <f>HYPERLINK("https://fin.land.naver.com/articles/2646618402", "매물Link")</f>
        <v/>
      </c>
      <c r="J1471" s="5">
        <f>HYPERLINK("https://map.naver.com/p/search/나성동 829", "지도Link")</f>
        <v/>
      </c>
      <c r="K1471" s="5">
        <f>HYPERLINK("http://www.eum.go.kr/web/ar/lu/luLandDet.jsp?pnu=3611010700108290000&amp;isNoScr=script&amp;mode=search", "토지이음")</f>
        <v/>
      </c>
      <c r="L1471" s="3" t="inlineStr">
        <is>
          <t>LG</t>
        </is>
      </c>
      <c r="M1471" s="3" t="n">
        <v>1</v>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3" t="inlineStr">
        <is>
          <t>nan</t>
        </is>
      </c>
      <c r="I1472" s="5">
        <f>HYPERLINK("https://fin.land.naver.com/articles/2646618422", "매물Link")</f>
        <v/>
      </c>
      <c r="J1472" s="5">
        <f>HYPERLINK("https://map.naver.com/p/search/나성동 829", "지도Link")</f>
        <v/>
      </c>
      <c r="K1472" s="5">
        <f>HYPERLINK("http://www.eum.go.kr/web/ar/lu/luLandDet.jsp?pnu=3611010700108290000&amp;isNoScr=script&amp;mode=search", "토지이음")</f>
        <v/>
      </c>
      <c r="L1472" s="3" t="inlineStr">
        <is>
          <t>거성  사무소</t>
        </is>
      </c>
      <c r="M1472" s="3" t="n">
        <v>1</v>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3" t="inlineStr">
        <is>
          <t>기반 시설 되있는 부지로</t>
        </is>
      </c>
      <c r="I1473" s="5">
        <f>HYPERLINK("https://fin.land.naver.com/articles/2646620263", "매물Link")</f>
        <v/>
      </c>
      <c r="J1473" s="5">
        <f>HYPERLINK("https://map.naver.com/p/search/나성동 829", "지도Link")</f>
        <v/>
      </c>
      <c r="K1473" s="5">
        <f>HYPERLINK("http://www.eum.go.kr/web/ar/lu/luLandDet.jsp?pnu=3611010700108290000&amp;isNoScr=script&amp;mode=search", "토지이음")</f>
        <v/>
      </c>
      <c r="L1473" s="3" t="inlineStr">
        <is>
          <t>LG</t>
        </is>
      </c>
      <c r="M1473" s="3" t="n">
        <v>1</v>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3" t="inlineStr">
        <is>
          <t>2개필지 도로있는 계획관리지역으로 성장관리구역 투자가치있음</t>
        </is>
      </c>
      <c r="I1474" s="5">
        <f>HYPERLINK("https://fin.land.naver.com/articles/2647185957", "매물Link")</f>
        <v/>
      </c>
      <c r="J1474" s="5">
        <f>HYPERLINK("https://map.naver.com/p/search/나성동 829", "지도Link")</f>
        <v/>
      </c>
      <c r="K1474" s="5">
        <f>HYPERLINK("http://www.eum.go.kr/web/ar/lu/luLandDet.jsp?pnu=3611010700108290000&amp;isNoScr=script&amp;mode=search", "토지이음")</f>
        <v/>
      </c>
      <c r="L1474" s="3" t="inlineStr">
        <is>
          <t>중흥</t>
        </is>
      </c>
      <c r="M1474" s="3" t="n">
        <v>1</v>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3" t="inlineStr">
        <is>
          <t>보전관리 도로접한 정방형 대지</t>
        </is>
      </c>
      <c r="I1475" s="5">
        <f>HYPERLINK("https://fin.land.naver.com/articles/2647222408", "매물Link")</f>
        <v/>
      </c>
      <c r="J1475" s="5">
        <f>HYPERLINK("https://map.naver.com/p/search/나성동 829", "지도Link")</f>
        <v/>
      </c>
      <c r="K1475" s="5">
        <f>HYPERLINK("http://www.eum.go.kr/web/ar/lu/luLandDet.jsp?pnu=3611010700108290000&amp;isNoScr=script&amp;mode=search", "토지이음")</f>
        <v/>
      </c>
      <c r="L1475" s="3" t="inlineStr">
        <is>
          <t>광장(프라자)</t>
        </is>
      </c>
      <c r="M1475" s="3" t="n">
        <v>1</v>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3" t="inlineStr">
        <is>
          <t>공주에서 논산쪽으로 10분 우측 임립미수관 입구</t>
        </is>
      </c>
      <c r="I1476" s="5">
        <f>HYPERLINK("https://fin.land.naver.com/articles/2647742883", "매물Link")</f>
        <v/>
      </c>
      <c r="J1476" s="5">
        <f>HYPERLINK("https://map.naver.com/p/search/나성동 829", "지도Link")</f>
        <v/>
      </c>
      <c r="K1476" s="5">
        <f>HYPERLINK("http://www.eum.go.kr/web/ar/lu/luLandDet.jsp?pnu=3611010700108290000&amp;isNoScr=script&amp;mode=search", "토지이음")</f>
        <v/>
      </c>
      <c r="L1476" s="3" t="inlineStr">
        <is>
          <t>한서</t>
        </is>
      </c>
      <c r="M1476" s="3" t="n">
        <v>1</v>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3" t="inlineStr">
        <is>
          <t>nan</t>
        </is>
      </c>
      <c r="I1477" s="5">
        <f>HYPERLINK("https://fin.land.naver.com/articles/2648047826", "매물Link")</f>
        <v/>
      </c>
      <c r="J1477" s="5">
        <f>HYPERLINK("https://map.naver.com/p/search/나성동 829", "지도Link")</f>
        <v/>
      </c>
      <c r="K1477" s="5">
        <f>HYPERLINK("http://www.eum.go.kr/web/ar/lu/luLandDet.jsp?pnu=3611010700108290000&amp;isNoScr=script&amp;mode=search", "토지이음")</f>
        <v/>
      </c>
      <c r="L1477" s="3" t="inlineStr">
        <is>
          <t>프라자</t>
        </is>
      </c>
      <c r="M1477" s="3" t="n">
        <v>2</v>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3" t="inlineStr">
        <is>
          <t>nan</t>
        </is>
      </c>
      <c r="I1478" s="5">
        <f>HYPERLINK("https://fin.land.naver.com/articles/2648068776", "매물Link")</f>
        <v/>
      </c>
      <c r="J1478" s="5">
        <f>HYPERLINK("https://map.naver.com/p/search/나성동 829", "지도Link")</f>
        <v/>
      </c>
      <c r="K1478" s="5">
        <f>HYPERLINK("http://www.eum.go.kr/web/ar/lu/luLandDet.jsp?pnu=3611010700108290000&amp;isNoScr=script&amp;mode=search", "토지이음")</f>
        <v/>
      </c>
      <c r="L1478" s="3" t="inlineStr">
        <is>
          <t>백제</t>
        </is>
      </c>
      <c r="M1478" s="3" t="n">
        <v>1</v>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3" t="inlineStr">
        <is>
          <t>세종20분거리 주말농장이용하기 좋아요. 농막도 예쁘게 되어있어요.</t>
        </is>
      </c>
      <c r="I1479" s="5">
        <f>HYPERLINK("https://fin.land.naver.com/articles/2648339443", "매물Link")</f>
        <v/>
      </c>
      <c r="J1479" s="5">
        <f>HYPERLINK("https://map.naver.com/p/search/나성동 829", "지도Link")</f>
        <v/>
      </c>
      <c r="K1479" s="5">
        <f>HYPERLINK("http://www.eum.go.kr/web/ar/lu/luLandDet.jsp?pnu=3611010700108290000&amp;isNoScr=script&amp;mode=search", "토지이음")</f>
        <v/>
      </c>
      <c r="L1479" s="3" t="inlineStr">
        <is>
          <t>스마트랜드</t>
        </is>
      </c>
      <c r="M1479" s="3" t="n">
        <v>1</v>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3" t="inlineStr">
        <is>
          <t>nan</t>
        </is>
      </c>
      <c r="I1480" s="5">
        <f>HYPERLINK("https://fin.land.naver.com/articles/2648596734", "매물Link")</f>
        <v/>
      </c>
      <c r="J1480" s="5">
        <f>HYPERLINK("https://map.naver.com/p/search/나성동 829", "지도Link")</f>
        <v/>
      </c>
      <c r="K1480" s="5">
        <f>HYPERLINK("http://www.eum.go.kr/web/ar/lu/luLandDet.jsp?pnu=3611010700108290000&amp;isNoScr=script&amp;mode=search", "토지이음")</f>
        <v/>
      </c>
      <c r="L1480" s="3" t="inlineStr">
        <is>
          <t>명성</t>
        </is>
      </c>
      <c r="M1480" s="3" t="n">
        <v>1</v>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3" t="inlineStr">
        <is>
          <t>계룡산 국립공원 주변토지</t>
        </is>
      </c>
      <c r="I1481" s="5">
        <f>HYPERLINK("https://fin.land.naver.com/articles/2648951533", "매물Link")</f>
        <v/>
      </c>
      <c r="J1481" s="5">
        <f>HYPERLINK("https://map.naver.com/p/search/나성동 829", "지도Link")</f>
        <v/>
      </c>
      <c r="K1481" s="5">
        <f>HYPERLINK("http://www.eum.go.kr/web/ar/lu/luLandDet.jsp?pnu=3611010700108290000&amp;isNoScr=script&amp;mode=search", "토지이음")</f>
        <v/>
      </c>
      <c r="L1481" s="3" t="inlineStr">
        <is>
          <t>신라</t>
        </is>
      </c>
      <c r="M1481" s="3" t="n">
        <v>1</v>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3" t="inlineStr">
        <is>
          <t>nan</t>
        </is>
      </c>
      <c r="I1482" s="5">
        <f>HYPERLINK("https://fin.land.naver.com/articles/2649507976", "매물Link")</f>
        <v/>
      </c>
      <c r="J1482" s="5">
        <f>HYPERLINK("https://map.naver.com/p/search/나성동 829", "지도Link")</f>
        <v/>
      </c>
      <c r="K1482" s="5">
        <f>HYPERLINK("http://www.eum.go.kr/web/ar/lu/luLandDet.jsp?pnu=3611010700108290000&amp;isNoScr=script&amp;mode=search", "토지이음")</f>
        <v/>
      </c>
      <c r="L1482" s="3" t="inlineStr">
        <is>
          <t>김창덕</t>
        </is>
      </c>
      <c r="M1482" s="3" t="n">
        <v>1</v>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3" t="inlineStr">
        <is>
          <t>농막있고, 개천이 흐르는 낭만이 있는 곳</t>
        </is>
      </c>
      <c r="I1483" s="5">
        <f>HYPERLINK("https://fin.land.naver.com/articles/2649946772", "매물Link")</f>
        <v/>
      </c>
      <c r="J1483" s="5">
        <f>HYPERLINK("https://map.naver.com/p/search/나성동 829", "지도Link")</f>
        <v/>
      </c>
      <c r="K1483" s="5">
        <f>HYPERLINK("http://www.eum.go.kr/web/ar/lu/luLandDet.jsp?pnu=3611010700108290000&amp;isNoScr=script&amp;mode=search", "토지이음")</f>
        <v/>
      </c>
      <c r="L1483" s="3" t="inlineStr">
        <is>
          <t>하이스트정원</t>
        </is>
      </c>
      <c r="M1483" s="3" t="n">
        <v>1</v>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3" t="inlineStr">
        <is>
          <t>전원주택,공장,창고,특용작물등 용도다양</t>
        </is>
      </c>
      <c r="I1484" s="5">
        <f>HYPERLINK("https://fin.land.naver.com/articles/2650204975", "매물Link")</f>
        <v/>
      </c>
      <c r="J1484" s="5">
        <f>HYPERLINK("https://map.naver.com/p/search/나성동 829", "지도Link")</f>
        <v/>
      </c>
      <c r="K1484" s="5">
        <f>HYPERLINK("http://www.eum.go.kr/web/ar/lu/luLandDet.jsp?pnu=3611010700108290000&amp;isNoScr=script&amp;mode=search", "토지이음")</f>
        <v/>
      </c>
      <c r="L1484" s="3" t="inlineStr">
        <is>
          <t>세종힐데스</t>
        </is>
      </c>
      <c r="M1484" s="3" t="n">
        <v>1</v>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3" t="inlineStr">
        <is>
          <t>nan</t>
        </is>
      </c>
      <c r="I1485" s="5">
        <f>HYPERLINK("https://fin.land.naver.com/articles/2644556025", "매물Link")</f>
        <v/>
      </c>
      <c r="J1485" s="5">
        <f>HYPERLINK("https://map.naver.com/p/search/나성동 829", "지도Link")</f>
        <v/>
      </c>
      <c r="K1485" s="5">
        <f>HYPERLINK("http://www.eum.go.kr/web/ar/lu/luLandDet.jsp?pnu=3611010700108290000&amp;isNoScr=script&amp;mode=search", "토지이음")</f>
        <v/>
      </c>
      <c r="L1485" s="3" t="inlineStr">
        <is>
          <t>거성  사무소</t>
        </is>
      </c>
      <c r="M1485" s="3" t="n">
        <v>1</v>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3" t="inlineStr">
        <is>
          <t>계획관리 공장부지. 공주휴게소 인근. 위치최고</t>
        </is>
      </c>
      <c r="I1486" s="5">
        <f>HYPERLINK("https://fin.land.naver.com/articles/2648510462", "매물Link")</f>
        <v/>
      </c>
      <c r="J1486" s="5">
        <f>HYPERLINK("https://map.naver.com/p/search/나성동 829", "지도Link")</f>
        <v/>
      </c>
      <c r="K1486" s="5">
        <f>HYPERLINK("http://www.eum.go.kr/web/ar/lu/luLandDet.jsp?pnu=3611010700108290000&amp;isNoScr=script&amp;mode=search", "토지이음")</f>
        <v/>
      </c>
      <c r="L1486" s="3" t="inlineStr">
        <is>
          <t>세종금밭</t>
        </is>
      </c>
      <c r="M1486" s="3" t="n">
        <v>1</v>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3" t="inlineStr">
        <is>
          <t>nan</t>
        </is>
      </c>
      <c r="I1487" s="5">
        <f>HYPERLINK("https://fin.land.naver.com/articles/2644555613", "매물Link")</f>
        <v/>
      </c>
      <c r="J1487" s="5">
        <f>HYPERLINK("https://map.naver.com/p/search/나성동 829", "지도Link")</f>
        <v/>
      </c>
      <c r="K1487" s="5">
        <f>HYPERLINK("http://www.eum.go.kr/web/ar/lu/luLandDet.jsp?pnu=3611010700108290000&amp;isNoScr=script&amp;mode=search", "토지이음")</f>
        <v/>
      </c>
      <c r="L1487" s="3" t="inlineStr">
        <is>
          <t>거성  사무소</t>
        </is>
      </c>
      <c r="M1487" s="3" t="n">
        <v>1</v>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3" t="inlineStr">
        <is>
          <t>nan</t>
        </is>
      </c>
      <c r="I1488" s="5">
        <f>HYPERLINK("https://fin.land.naver.com/articles/2644554799", "매물Link")</f>
        <v/>
      </c>
      <c r="J1488" s="5">
        <f>HYPERLINK("https://map.naver.com/p/search/나성동 829", "지도Link")</f>
        <v/>
      </c>
      <c r="K1488" s="5">
        <f>HYPERLINK("http://www.eum.go.kr/web/ar/lu/luLandDet.jsp?pnu=3611010700108290000&amp;isNoScr=script&amp;mode=search", "토지이음")</f>
        <v/>
      </c>
      <c r="L1488" s="3" t="inlineStr">
        <is>
          <t>거성  사무소</t>
        </is>
      </c>
      <c r="M1488" s="3" t="n">
        <v>1</v>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3" t="inlineStr">
        <is>
          <t>남향이며 전원주택용지로 용이함.대전에서 가깝고 교통이 편리함</t>
        </is>
      </c>
      <c r="I1489" s="5">
        <f>HYPERLINK("https://fin.land.naver.com/articles/2648189623", "매물Link")</f>
        <v/>
      </c>
      <c r="J1489" s="5">
        <f>HYPERLINK("https://map.naver.com/p/search/나성동 829", "지도Link")</f>
        <v/>
      </c>
      <c r="K1489" s="5">
        <f>HYPERLINK("http://www.eum.go.kr/web/ar/lu/luLandDet.jsp?pnu=3611010700108290000&amp;isNoScr=script&amp;mode=search", "토지이음")</f>
        <v/>
      </c>
      <c r="L1489" s="3" t="inlineStr">
        <is>
          <t>이은숙</t>
        </is>
      </c>
      <c r="M1489" s="3" t="n">
        <v>1</v>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3" t="inlineStr">
        <is>
          <t>4차선대로변 대전동학사근린지역 상업용건축지</t>
        </is>
      </c>
      <c r="I1490" s="5">
        <f>HYPERLINK("https://fin.land.naver.com/articles/2648760261", "매물Link")</f>
        <v/>
      </c>
      <c r="J1490" s="5">
        <f>HYPERLINK("https://map.naver.com/p/search/나성동 829", "지도Link")</f>
        <v/>
      </c>
      <c r="K1490" s="5">
        <f>HYPERLINK("http://www.eum.go.kr/web/ar/lu/luLandDet.jsp?pnu=3611010700108290000&amp;isNoScr=script&amp;mode=search", "토지이음")</f>
        <v/>
      </c>
      <c r="L1490" s="3" t="inlineStr">
        <is>
          <t>자연</t>
        </is>
      </c>
      <c r="M1490" s="3" t="n">
        <v>1</v>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3" t="inlineStr">
        <is>
          <t>공주시 반포면 온천리 일대 토지 매매.지목 ‘답’, 농지 이용 가능</t>
        </is>
      </c>
      <c r="I1491" s="5">
        <f>HYPERLINK("https://fin.land.naver.com/articles/2648804575", "매물Link")</f>
        <v/>
      </c>
      <c r="J1491" s="5">
        <f>HYPERLINK("https://map.naver.com/p/search/나성동 829", "지도Link")</f>
        <v/>
      </c>
      <c r="K1491" s="5">
        <f>HYPERLINK("http://www.eum.go.kr/web/ar/lu/luLandDet.jsp?pnu=3611010700108290000&amp;isNoScr=script&amp;mode=search", "토지이음")</f>
        <v/>
      </c>
      <c r="L1491" s="3" t="inlineStr">
        <is>
          <t>구암양지</t>
        </is>
      </c>
      <c r="M1491" s="3" t="n">
        <v>1</v>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3" t="inlineStr">
        <is>
          <t>도로 있어요. 집을 지어도 좋고 주말농장하셔도 좋아요</t>
        </is>
      </c>
      <c r="I1492" s="5">
        <f>HYPERLINK("https://fin.land.naver.com/articles/2649112052", "매물Link")</f>
        <v/>
      </c>
      <c r="J1492" s="5">
        <f>HYPERLINK("https://map.naver.com/p/search/나성동 829", "지도Link")</f>
        <v/>
      </c>
      <c r="K1492" s="5">
        <f>HYPERLINK("http://www.eum.go.kr/web/ar/lu/luLandDet.jsp?pnu=3611010700108290000&amp;isNoScr=script&amp;mode=search", "토지이음")</f>
        <v/>
      </c>
      <c r="L1492" s="3" t="inlineStr">
        <is>
          <t>키다리</t>
        </is>
      </c>
      <c r="M1492" s="3" t="n">
        <v>1</v>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3" t="inlineStr">
        <is>
          <t>전원주택지</t>
        </is>
      </c>
      <c r="I1493" s="5">
        <f>HYPERLINK("https://fin.land.naver.com/articles/2649140177", "매물Link")</f>
        <v/>
      </c>
      <c r="J1493" s="5">
        <f>HYPERLINK("https://map.naver.com/p/search/나성동 829", "지도Link")</f>
        <v/>
      </c>
      <c r="K1493" s="5">
        <f>HYPERLINK("http://www.eum.go.kr/web/ar/lu/luLandDet.jsp?pnu=3611010700108290000&amp;isNoScr=script&amp;mode=search", "토지이음")</f>
        <v/>
      </c>
      <c r="L1493" s="3" t="inlineStr">
        <is>
          <t>평원</t>
        </is>
      </c>
      <c r="M1493" s="3" t="n">
        <v>1</v>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3" t="inlineStr">
        <is>
          <t>주변환경이 좋은 주말농장및 투자용토지</t>
        </is>
      </c>
      <c r="I1494" s="5">
        <f>HYPERLINK("https://fin.land.naver.com/articles/2649852528", "매물Link")</f>
        <v/>
      </c>
      <c r="J1494" s="5">
        <f>HYPERLINK("https://map.naver.com/p/search/나성동 829", "지도Link")</f>
        <v/>
      </c>
      <c r="K1494" s="5">
        <f>HYPERLINK("http://www.eum.go.kr/web/ar/lu/luLandDet.jsp?pnu=3611010700108290000&amp;isNoScr=script&amp;mode=search", "토지이음")</f>
        <v/>
      </c>
      <c r="L1494" s="3" t="inlineStr">
        <is>
          <t>복댕이무소</t>
        </is>
      </c>
      <c r="M1494" s="3" t="n">
        <v>1</v>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3" t="inlineStr">
        <is>
          <t>탁월한 계룡산의 자연경관을 배경으로 전원주택단지가 조성됨.</t>
        </is>
      </c>
      <c r="I1495" s="5">
        <f>HYPERLINK("https://fin.land.naver.com/articles/2649955429", "매물Link")</f>
        <v/>
      </c>
      <c r="J1495" s="5">
        <f>HYPERLINK("https://map.naver.com/p/search/나성동 829", "지도Link")</f>
        <v/>
      </c>
      <c r="K1495" s="5">
        <f>HYPERLINK("http://www.eum.go.kr/web/ar/lu/luLandDet.jsp?pnu=3611010700108290000&amp;isNoScr=script&amp;mode=search", "토지이음")</f>
        <v/>
      </c>
      <c r="L1495" s="3" t="inlineStr">
        <is>
          <t>엄지사무소</t>
        </is>
      </c>
      <c r="M1495" s="3" t="n">
        <v>1</v>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3" t="inlineStr">
        <is>
          <t>조용하고 경치 좋은 전원 주택 용지 있습니다.</t>
        </is>
      </c>
      <c r="I1496" s="5">
        <f>HYPERLINK("https://fin.land.naver.com/articles/2644423185", "매물Link")</f>
        <v/>
      </c>
      <c r="J1496" s="5">
        <f>HYPERLINK("https://map.naver.com/p/search/나성동 829", "지도Link")</f>
        <v/>
      </c>
      <c r="K1496" s="5">
        <f>HYPERLINK("http://www.eum.go.kr/web/ar/lu/luLandDet.jsp?pnu=3611010700108290000&amp;isNoScr=script&amp;mode=search", "토지이음")</f>
        <v/>
      </c>
      <c r="L1496" s="3" t="inlineStr">
        <is>
          <t>티오피(주)</t>
        </is>
      </c>
      <c r="M1496" s="3" t="n">
        <v>1</v>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3" t="inlineStr">
        <is>
          <t>공기좋은 전원주택지, 고급스런식당,풍경이아름다운카페적지</t>
        </is>
      </c>
      <c r="I1497" s="5">
        <f>HYPERLINK("https://fin.land.naver.com/articles/2645349387", "매물Link")</f>
        <v/>
      </c>
      <c r="J1497" s="5">
        <f>HYPERLINK("https://map.naver.com/p/search/나성동 829", "지도Link")</f>
        <v/>
      </c>
      <c r="K1497" s="5">
        <f>HYPERLINK("http://www.eum.go.kr/web/ar/lu/luLandDet.jsp?pnu=3611010700108290000&amp;isNoScr=script&amp;mode=search", "토지이음")</f>
        <v/>
      </c>
      <c r="L1497" s="3" t="inlineStr">
        <is>
          <t>동성</t>
        </is>
      </c>
      <c r="M1497" s="3" t="n">
        <v>1</v>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3" t="inlineStr">
        <is>
          <t>동학사 도로변 펜션 카페 전원주택지 적지</t>
        </is>
      </c>
      <c r="I1498" s="5">
        <f>HYPERLINK("https://fin.land.naver.com/articles/2646126774", "매물Link")</f>
        <v/>
      </c>
      <c r="J1498" s="5">
        <f>HYPERLINK("https://map.naver.com/p/search/나성동 829", "지도Link")</f>
        <v/>
      </c>
      <c r="K1498" s="5">
        <f>HYPERLINK("http://www.eum.go.kr/web/ar/lu/luLandDet.jsp?pnu=3611010700108290000&amp;isNoScr=script&amp;mode=search", "토지이음")</f>
        <v/>
      </c>
      <c r="L1498" s="3" t="inlineStr">
        <is>
          <t>예스</t>
        </is>
      </c>
      <c r="M1498" s="3" t="n">
        <v>1</v>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3" t="inlineStr">
        <is>
          <t>4차선에서 진입 가능한 동학사 삼거리 부근 다양한 개발이 가능한 토지매매</t>
        </is>
      </c>
      <c r="I1499" s="5">
        <f>HYPERLINK("https://fin.land.naver.com/articles/2647098664", "매물Link")</f>
        <v/>
      </c>
      <c r="J1499" s="5">
        <f>HYPERLINK("https://map.naver.com/p/search/나성동 829", "지도Link")</f>
        <v/>
      </c>
      <c r="K1499" s="5">
        <f>HYPERLINK("http://www.eum.go.kr/web/ar/lu/luLandDet.jsp?pnu=3611010700108290000&amp;isNoScr=script&amp;mode=search", "토지이음")</f>
        <v/>
      </c>
      <c r="L1499" s="3" t="inlineStr">
        <is>
          <t>예스</t>
        </is>
      </c>
      <c r="M1499" s="3" t="n">
        <v>1</v>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3" t="inlineStr">
        <is>
          <t>대지, 임대매매, 2차선 대형차진입, 마당잡석, 전기,지하수있음</t>
        </is>
      </c>
      <c r="I1500" s="5">
        <f>HYPERLINK("https://fin.land.naver.com/articles/2645488423", "매물Link")</f>
        <v/>
      </c>
      <c r="J1500" s="5">
        <f>HYPERLINK("https://map.naver.com/p/search/나성동 829", "지도Link")</f>
        <v/>
      </c>
      <c r="K1500" s="5">
        <f>HYPERLINK("http://www.eum.go.kr/web/ar/lu/luLandDet.jsp?pnu=3611010700108290000&amp;isNoScr=script&amp;mode=search", "토지이음")</f>
        <v/>
      </c>
      <c r="L1500" s="3" t="inlineStr">
        <is>
          <t>OK허니</t>
        </is>
      </c>
      <c r="M1500" s="3" t="n">
        <v>1</v>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3" t="inlineStr">
        <is>
          <t>대지, 야적장 임대매매, 2차선 대형차진입, 마당잡석, 전기,지하수있음</t>
        </is>
      </c>
      <c r="I1501" s="5">
        <f>HYPERLINK("https://fin.land.naver.com/articles/2645488432", "매물Link")</f>
        <v/>
      </c>
      <c r="J1501" s="5">
        <f>HYPERLINK("https://map.naver.com/p/search/나성동 829", "지도Link")</f>
        <v/>
      </c>
      <c r="K1501" s="5">
        <f>HYPERLINK("http://www.eum.go.kr/web/ar/lu/luLandDet.jsp?pnu=3611010700108290000&amp;isNoScr=script&amp;mode=search", "토지이음")</f>
        <v/>
      </c>
      <c r="L1501" s="3" t="inlineStr">
        <is>
          <t>OK허니</t>
        </is>
      </c>
      <c r="M1501" s="3" t="n">
        <v>1</v>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3" t="inlineStr">
        <is>
          <t>정남향 넓은 대지 경관 수려 전원주택 명상센터 사찰 커피 용도 다양</t>
        </is>
      </c>
      <c r="I1502" s="5">
        <f>HYPERLINK("https://fin.land.naver.com/articles/2648458367", "매물Link")</f>
        <v/>
      </c>
      <c r="J1502" s="5">
        <f>HYPERLINK("https://map.naver.com/p/search/나성동 829", "지도Link")</f>
        <v/>
      </c>
      <c r="K1502" s="5">
        <f>HYPERLINK("http://www.eum.go.kr/web/ar/lu/luLandDet.jsp?pnu=3611010700108290000&amp;isNoScr=script&amp;mode=search", "토지이음")</f>
        <v/>
      </c>
      <c r="L1502" s="3" t="inlineStr">
        <is>
          <t>뉴태양</t>
        </is>
      </c>
      <c r="M1502" s="3" t="n">
        <v>1</v>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3" t="inlineStr">
        <is>
          <t>봉곡리 남향 전원주택지 매매</t>
        </is>
      </c>
      <c r="I1503" s="5">
        <f>HYPERLINK("https://fin.land.naver.com/articles/2649346238", "매물Link")</f>
        <v/>
      </c>
      <c r="J1503" s="5">
        <f>HYPERLINK("https://map.naver.com/p/search/나성동 829", "지도Link")</f>
        <v/>
      </c>
      <c r="K1503" s="5">
        <f>HYPERLINK("http://www.eum.go.kr/web/ar/lu/luLandDet.jsp?pnu=3611010700108290000&amp;isNoScr=script&amp;mode=search", "토지이음")</f>
        <v/>
      </c>
      <c r="L1503" s="3" t="inlineStr">
        <is>
          <t>청명</t>
        </is>
      </c>
      <c r="M1503" s="3" t="n">
        <v>1</v>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3" t="inlineStr">
        <is>
          <t>온천리 배산임수 갖춘 개발제한구역 토지 매매</t>
        </is>
      </c>
      <c r="I1504" s="5">
        <f>HYPERLINK("https://fin.land.naver.com/articles/2649647506", "매물Link")</f>
        <v/>
      </c>
      <c r="J1504" s="5">
        <f>HYPERLINK("https://map.naver.com/p/search/나성동 829", "지도Link")</f>
        <v/>
      </c>
      <c r="K1504" s="5">
        <f>HYPERLINK("http://www.eum.go.kr/web/ar/lu/luLandDet.jsp?pnu=3611010700108290000&amp;isNoScr=script&amp;mode=search", "토지이음")</f>
        <v/>
      </c>
      <c r="L1504" s="3" t="inlineStr">
        <is>
          <t>배롱나무주식회사</t>
        </is>
      </c>
      <c r="M1504" s="3" t="n">
        <v>1</v>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3" t="inlineStr">
        <is>
          <t>보전관리지역, 도로접함. 양지바른 위치</t>
        </is>
      </c>
      <c r="I1505" s="5">
        <f>HYPERLINK("https://fin.land.naver.com/articles/2644335721", "매물Link")</f>
        <v/>
      </c>
      <c r="J1505" s="5">
        <f>HYPERLINK("https://map.naver.com/p/search/나성동 829", "지도Link")</f>
        <v/>
      </c>
      <c r="K1505" s="5">
        <f>HYPERLINK("http://www.eum.go.kr/web/ar/lu/luLandDet.jsp?pnu=3611010700108290000&amp;isNoScr=script&amp;mode=search", "토지이음")</f>
        <v/>
      </c>
      <c r="L1505" s="3" t="inlineStr">
        <is>
          <t>향촌타운</t>
        </is>
      </c>
      <c r="M1505" s="3" t="n">
        <v>1</v>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3" t="inlineStr">
        <is>
          <t>nan</t>
        </is>
      </c>
      <c r="I1506" s="5">
        <f>HYPERLINK("https://fin.land.naver.com/articles/2644555299", "매물Link")</f>
        <v/>
      </c>
      <c r="J1506" s="5">
        <f>HYPERLINK("https://map.naver.com/p/search/나성동 829", "지도Link")</f>
        <v/>
      </c>
      <c r="K1506" s="5">
        <f>HYPERLINK("http://www.eum.go.kr/web/ar/lu/luLandDet.jsp?pnu=3611010700108290000&amp;isNoScr=script&amp;mode=search", "토지이음")</f>
        <v/>
      </c>
      <c r="L1506" s="3" t="inlineStr">
        <is>
          <t>거성  사무소</t>
        </is>
      </c>
      <c r="M1506" s="3" t="n">
        <v>1</v>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3" t="inlineStr">
        <is>
          <t>2차로 접한 나즈막한 야산임</t>
        </is>
      </c>
      <c r="I1507" s="5">
        <f>HYPERLINK("https://fin.land.naver.com/articles/2648111110", "매물Link")</f>
        <v/>
      </c>
      <c r="J1507" s="5">
        <f>HYPERLINK("https://map.naver.com/p/search/나성동 829", "지도Link")</f>
        <v/>
      </c>
      <c r="K1507" s="5">
        <f>HYPERLINK("http://www.eum.go.kr/web/ar/lu/luLandDet.jsp?pnu=3611010700108290000&amp;isNoScr=script&amp;mode=search", "토지이음")</f>
        <v/>
      </c>
      <c r="L1507" s="3" t="inlineStr">
        <is>
          <t>신안</t>
        </is>
      </c>
      <c r="M1507" s="3" t="n">
        <v>1</v>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3" t="inlineStr">
        <is>
          <t>nan</t>
        </is>
      </c>
      <c r="I1508" s="5">
        <f>HYPERLINK("https://fin.land.naver.com/articles/2647886723", "매물Link")</f>
        <v/>
      </c>
      <c r="J1508" s="5">
        <f>HYPERLINK("https://map.naver.com/p/search/나성동 829", "지도Link")</f>
        <v/>
      </c>
      <c r="K1508" s="5">
        <f>HYPERLINK("http://www.eum.go.kr/web/ar/lu/luLandDet.jsp?pnu=3611010700108290000&amp;isNoScr=script&amp;mode=search", "토지이음")</f>
        <v/>
      </c>
      <c r="L1508" s="3" t="inlineStr">
        <is>
          <t>땅사랑</t>
        </is>
      </c>
      <c r="M1508" s="3" t="n">
        <v>1</v>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3" t="inlineStr">
        <is>
          <t>도로인접 창고용도나 주말농장 추천 교통 굿 산새굿</t>
        </is>
      </c>
      <c r="I1509" s="5">
        <f>HYPERLINK("https://fin.land.naver.com/articles/2644974440", "매물Link")</f>
        <v/>
      </c>
      <c r="J1509" s="5">
        <f>HYPERLINK("https://map.naver.com/p/search/나성동 829", "지도Link")</f>
        <v/>
      </c>
      <c r="K1509" s="5">
        <f>HYPERLINK("http://www.eum.go.kr/web/ar/lu/luLandDet.jsp?pnu=3611010700108290000&amp;isNoScr=script&amp;mode=search", "토지이음")</f>
        <v/>
      </c>
      <c r="L1509" s="3" t="inlineStr">
        <is>
          <t>세종OK</t>
        </is>
      </c>
      <c r="M1509" s="3" t="n">
        <v>1</v>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3" t="inlineStr">
        <is>
          <t>요양병원시설로적지, 도로인접차량이용 용이함.</t>
        </is>
      </c>
      <c r="I1510" s="5">
        <f>HYPERLINK("https://fin.land.naver.com/articles/2648135820", "매물Link")</f>
        <v/>
      </c>
      <c r="J1510" s="5">
        <f>HYPERLINK("https://map.naver.com/p/search/나성동 829", "지도Link")</f>
        <v/>
      </c>
      <c r="K1510" s="5">
        <f>HYPERLINK("http://www.eum.go.kr/web/ar/lu/luLandDet.jsp?pnu=3611010700108290000&amp;isNoScr=script&amp;mode=search", "토지이음")</f>
        <v/>
      </c>
      <c r="L1510" s="3" t="inlineStr">
        <is>
          <t>인스빌</t>
        </is>
      </c>
      <c r="M1510" s="3" t="n">
        <v>1</v>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3" t="inlineStr">
        <is>
          <t>nan</t>
        </is>
      </c>
      <c r="I1511" s="5">
        <f>HYPERLINK("https://fin.land.naver.com/articles/2648262447", "매물Link")</f>
        <v/>
      </c>
      <c r="J1511" s="5">
        <f>HYPERLINK("https://map.naver.com/p/search/나성동 829", "지도Link")</f>
        <v/>
      </c>
      <c r="K1511" s="5">
        <f>HYPERLINK("http://www.eum.go.kr/web/ar/lu/luLandDet.jsp?pnu=3611010700108290000&amp;isNoScr=script&amp;mode=search", "토지이음")</f>
        <v/>
      </c>
      <c r="L1511" s="3" t="inlineStr">
        <is>
          <t>세종대평</t>
        </is>
      </c>
      <c r="M1511" s="3" t="n">
        <v>1</v>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3" t="inlineStr">
        <is>
          <t>공주시내 5분, 세종 20분 마을 초입의 계획관리지역 토지</t>
        </is>
      </c>
      <c r="I1512" s="5">
        <f>HYPERLINK("https://fin.land.naver.com/articles/2649833814", "매물Link")</f>
        <v/>
      </c>
      <c r="J1512" s="5">
        <f>HYPERLINK("https://map.naver.com/p/search/나성동 829", "지도Link")</f>
        <v/>
      </c>
      <c r="K1512" s="5">
        <f>HYPERLINK("http://www.eum.go.kr/web/ar/lu/luLandDet.jsp?pnu=3611010700108290000&amp;isNoScr=script&amp;mode=search", "토지이음")</f>
        <v/>
      </c>
      <c r="L1512" s="3" t="inlineStr">
        <is>
          <t>흙사랑</t>
        </is>
      </c>
      <c r="M1512" s="3" t="n">
        <v>1</v>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3" t="inlineStr">
        <is>
          <t>공주와 청양의 경계부분 2차선 도로 인근 언덕 위 생산관리 토지</t>
        </is>
      </c>
      <c r="I1513" s="5">
        <f>HYPERLINK("https://fin.land.naver.com/articles/2649844323", "매물Link")</f>
        <v/>
      </c>
      <c r="J1513" s="5">
        <f>HYPERLINK("https://map.naver.com/p/search/나성동 829", "지도Link")</f>
        <v/>
      </c>
      <c r="K1513" s="5">
        <f>HYPERLINK("http://www.eum.go.kr/web/ar/lu/luLandDet.jsp?pnu=3611010700108290000&amp;isNoScr=script&amp;mode=search", "토지이음")</f>
        <v/>
      </c>
      <c r="L1513" s="3" t="inlineStr">
        <is>
          <t>흙사랑</t>
        </is>
      </c>
      <c r="M1513" s="3" t="n">
        <v>1</v>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3" t="inlineStr">
        <is>
          <t>4차선 도로 인근 접근성과 영농여건 좋은 과수원</t>
        </is>
      </c>
      <c r="I1514" s="5">
        <f>HYPERLINK("https://fin.land.naver.com/articles/2649886504", "매물Link")</f>
        <v/>
      </c>
      <c r="J1514" s="5">
        <f>HYPERLINK("https://map.naver.com/p/search/나성동 829", "지도Link")</f>
        <v/>
      </c>
      <c r="K1514" s="5">
        <f>HYPERLINK("http://www.eum.go.kr/web/ar/lu/luLandDet.jsp?pnu=3611010700108290000&amp;isNoScr=script&amp;mode=search", "토지이음")</f>
        <v/>
      </c>
      <c r="L1514" s="3" t="inlineStr">
        <is>
          <t>흙사랑</t>
        </is>
      </c>
      <c r="M1514" s="3" t="n">
        <v>1</v>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3" t="inlineStr">
        <is>
          <t>급매,저수지 조망,공주시 우성면 안양리 토지매매,주택포함</t>
        </is>
      </c>
      <c r="I1515" s="5">
        <f>HYPERLINK("https://fin.land.naver.com/articles/2644125302", "매물Link")</f>
        <v/>
      </c>
      <c r="J1515" s="5">
        <f>HYPERLINK("https://map.naver.com/p/search/나성동 829", "지도Link")</f>
        <v/>
      </c>
      <c r="K1515" s="5">
        <f>HYPERLINK("http://www.eum.go.kr/web/ar/lu/luLandDet.jsp?pnu=3611010700108290000&amp;isNoScr=script&amp;mode=search", "토지이음")</f>
        <v/>
      </c>
      <c r="L1515" s="3" t="inlineStr">
        <is>
          <t>가가</t>
        </is>
      </c>
      <c r="M1515" s="3" t="n">
        <v>1</v>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3" t="inlineStr">
        <is>
          <t>공주시내 5분, 세종 20분 생활권 기반시설 완비 된 힐링 토지</t>
        </is>
      </c>
      <c r="I1516" s="5">
        <f>HYPERLINK("https://fin.land.naver.com/articles/2649894855", "매물Link")</f>
        <v/>
      </c>
      <c r="J1516" s="5">
        <f>HYPERLINK("https://map.naver.com/p/search/나성동 829", "지도Link")</f>
        <v/>
      </c>
      <c r="K1516" s="5">
        <f>HYPERLINK("http://www.eum.go.kr/web/ar/lu/luLandDet.jsp?pnu=3611010700108290000&amp;isNoScr=script&amp;mode=search", "토지이음")</f>
        <v/>
      </c>
      <c r="L1516" s="3" t="inlineStr">
        <is>
          <t>흙사랑</t>
        </is>
      </c>
      <c r="M1516" s="3" t="n">
        <v>1</v>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3" t="inlineStr">
        <is>
          <t>고성리 저수지 근처, 도로가 근접, 국유지사용</t>
        </is>
      </c>
      <c r="I1517" s="5">
        <f>HYPERLINK("https://fin.land.naver.com/articles/2644178054", "매물Link")</f>
        <v/>
      </c>
      <c r="J1517" s="5">
        <f>HYPERLINK("https://map.naver.com/p/search/나성동 829", "지도Link")</f>
        <v/>
      </c>
      <c r="K1517" s="5">
        <f>HYPERLINK("http://www.eum.go.kr/web/ar/lu/luLandDet.jsp?pnu=3611010700108290000&amp;isNoScr=script&amp;mode=search", "토지이음")</f>
        <v/>
      </c>
      <c r="L1517" s="3" t="inlineStr">
        <is>
          <t>최프로</t>
        </is>
      </c>
      <c r="M1517" s="3" t="n">
        <v>1</v>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3" t="inlineStr">
        <is>
          <t>세종시 행정수도 수혜지역 전망굿</t>
        </is>
      </c>
      <c r="I1518" s="5">
        <f>HYPERLINK("https://fin.land.naver.com/articles/2644499991", "매물Link")</f>
        <v/>
      </c>
      <c r="J1518" s="5">
        <f>HYPERLINK("https://map.naver.com/p/search/나성동 829", "지도Link")</f>
        <v/>
      </c>
      <c r="K1518" s="5">
        <f>HYPERLINK("http://www.eum.go.kr/web/ar/lu/luLandDet.jsp?pnu=3611010700108290000&amp;isNoScr=script&amp;mode=search", "토지이음")</f>
        <v/>
      </c>
      <c r="L1518" s="3" t="inlineStr">
        <is>
          <t>대명</t>
        </is>
      </c>
      <c r="M1518" s="3" t="n">
        <v>1</v>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3" t="inlineStr">
        <is>
          <t>계획관리지역이며. 전원주택부지로 추천합니다.</t>
        </is>
      </c>
      <c r="I1519" s="5">
        <f>HYPERLINK("https://fin.land.naver.com/articles/2645099638", "매물Link")</f>
        <v/>
      </c>
      <c r="J1519" s="5">
        <f>HYPERLINK("https://map.naver.com/p/search/나성동 829", "지도Link")</f>
        <v/>
      </c>
      <c r="K1519" s="5">
        <f>HYPERLINK("http://www.eum.go.kr/web/ar/lu/luLandDet.jsp?pnu=3611010700108290000&amp;isNoScr=script&amp;mode=search", "토지이음")</f>
        <v/>
      </c>
      <c r="L1519" s="3" t="inlineStr">
        <is>
          <t>광장</t>
        </is>
      </c>
      <c r="M1519" s="3" t="n">
        <v>1</v>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3" t="inlineStr">
        <is>
          <t>nan</t>
        </is>
      </c>
      <c r="I1520" s="5">
        <f>HYPERLINK("https://fin.land.naver.com/articles/2645346492", "매물Link")</f>
        <v/>
      </c>
      <c r="J1520" s="5">
        <f>HYPERLINK("https://map.naver.com/p/search/나성동 829", "지도Link")</f>
        <v/>
      </c>
      <c r="K1520" s="5">
        <f>HYPERLINK("http://www.eum.go.kr/web/ar/lu/luLandDet.jsp?pnu=3611010700108290000&amp;isNoScr=script&amp;mode=search", "토지이음")</f>
        <v/>
      </c>
      <c r="L1520" s="3" t="inlineStr">
        <is>
          <t>마당발</t>
        </is>
      </c>
      <c r="M1520" s="3" t="n">
        <v>1</v>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3" t="inlineStr">
        <is>
          <t>2필지  건축 연면적(845.17㎡) 층고 높아 크레인 운용가능</t>
        </is>
      </c>
      <c r="I1521" s="5">
        <f>HYPERLINK("https://fin.land.naver.com/articles/2646784960", "매물Link")</f>
        <v/>
      </c>
      <c r="J1521" s="5">
        <f>HYPERLINK("https://map.naver.com/p/search/나성동 829", "지도Link")</f>
        <v/>
      </c>
      <c r="K1521" s="5">
        <f>HYPERLINK("http://www.eum.go.kr/web/ar/lu/luLandDet.jsp?pnu=3611010700108290000&amp;isNoScr=script&amp;mode=search", "토지이음")</f>
        <v/>
      </c>
      <c r="L1521" s="3" t="inlineStr">
        <is>
          <t>도룡써브SK미소</t>
        </is>
      </c>
      <c r="M1521" s="3" t="n">
        <v>1</v>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3" t="inlineStr">
        <is>
          <t>흙을받아 전으로 사용중 4차선 인접 광고 효과 최상</t>
        </is>
      </c>
      <c r="I1522" s="5">
        <f>HYPERLINK("https://fin.land.naver.com/articles/2647204936", "매물Link")</f>
        <v/>
      </c>
      <c r="J1522" s="5">
        <f>HYPERLINK("https://map.naver.com/p/search/나성동 829", "지도Link")</f>
        <v/>
      </c>
      <c r="K1522" s="5">
        <f>HYPERLINK("http://www.eum.go.kr/web/ar/lu/luLandDet.jsp?pnu=3611010700108290000&amp;isNoScr=script&amp;mode=search", "토지이음")</f>
        <v/>
      </c>
      <c r="L1522" s="3" t="inlineStr">
        <is>
          <t>태성</t>
        </is>
      </c>
      <c r="M1522" s="3" t="n">
        <v>1</v>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3" t="inlineStr">
        <is>
          <t>시냇물접  4차선 다리 및 용도다양 차고지 창고 241㎡건축가</t>
        </is>
      </c>
      <c r="I1523" s="5">
        <f>HYPERLINK("https://fin.land.naver.com/articles/2647204945", "매물Link")</f>
        <v/>
      </c>
      <c r="J1523" s="5">
        <f>HYPERLINK("https://map.naver.com/p/search/나성동 829", "지도Link")</f>
        <v/>
      </c>
      <c r="K1523" s="5">
        <f>HYPERLINK("http://www.eum.go.kr/web/ar/lu/luLandDet.jsp?pnu=3611010700108290000&amp;isNoScr=script&amp;mode=search", "토지이음")</f>
        <v/>
      </c>
      <c r="L1523" s="3" t="inlineStr">
        <is>
          <t>태성</t>
        </is>
      </c>
      <c r="M1523" s="3" t="n">
        <v>1</v>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3" t="inlineStr">
        <is>
          <t>세종 20분 공주시내 인접한 접근성과 생활환경 좋은 계획관리토지</t>
        </is>
      </c>
      <c r="I1524" s="5">
        <f>HYPERLINK("https://fin.land.naver.com/articles/2649902139", "매물Link")</f>
        <v/>
      </c>
      <c r="J1524" s="5">
        <f>HYPERLINK("https://map.naver.com/p/search/나성동 829", "지도Link")</f>
        <v/>
      </c>
      <c r="K1524" s="5">
        <f>HYPERLINK("http://www.eum.go.kr/web/ar/lu/luLandDet.jsp?pnu=3611010700108290000&amp;isNoScr=script&amp;mode=search", "토지이음")</f>
        <v/>
      </c>
      <c r="L1524" s="3" t="inlineStr">
        <is>
          <t>흙사랑</t>
        </is>
      </c>
      <c r="M1524" s="3" t="n">
        <v>1</v>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3" t="inlineStr">
        <is>
          <t>임업,수종개량,전원주택,수련원,과수원등 용도다양</t>
        </is>
      </c>
      <c r="I1525" s="5">
        <f>HYPERLINK("https://fin.land.naver.com/articles/2650206502", "매물Link")</f>
        <v/>
      </c>
      <c r="J1525" s="5">
        <f>HYPERLINK("https://map.naver.com/p/search/나성동 829", "지도Link")</f>
        <v/>
      </c>
      <c r="K1525" s="5">
        <f>HYPERLINK("http://www.eum.go.kr/web/ar/lu/luLandDet.jsp?pnu=3611010700108290000&amp;isNoScr=script&amp;mode=search", "토지이음")</f>
        <v/>
      </c>
      <c r="L1525" s="3" t="inlineStr">
        <is>
          <t>세종힐데스</t>
        </is>
      </c>
      <c r="M1525" s="3" t="n">
        <v>1</v>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3" t="inlineStr">
        <is>
          <t>공장,창고,전원주택등 용도다양</t>
        </is>
      </c>
      <c r="I1526" s="5">
        <f>HYPERLINK("https://fin.land.naver.com/articles/2650204594", "매물Link")</f>
        <v/>
      </c>
      <c r="J1526" s="5">
        <f>HYPERLINK("https://map.naver.com/p/search/나성동 829", "지도Link")</f>
        <v/>
      </c>
      <c r="K1526" s="5">
        <f>HYPERLINK("http://www.eum.go.kr/web/ar/lu/luLandDet.jsp?pnu=3611010700108290000&amp;isNoScr=script&amp;mode=search", "토지이음")</f>
        <v/>
      </c>
      <c r="L1526" s="3" t="inlineStr">
        <is>
          <t>세종힐데스</t>
        </is>
      </c>
      <c r="M1526" s="3" t="n">
        <v>1</v>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3" t="inlineStr">
        <is>
          <t>nan</t>
        </is>
      </c>
      <c r="I1527" s="5">
        <f>HYPERLINK("https://fin.land.naver.com/articles/2649110691", "매물Link")</f>
        <v/>
      </c>
      <c r="J1527" s="5">
        <f>HYPERLINK("https://map.naver.com/p/search/나성동 829", "지도Link")</f>
        <v/>
      </c>
      <c r="K1527" s="5">
        <f>HYPERLINK("http://www.eum.go.kr/web/ar/lu/luLandDet.jsp?pnu=3611010700108290000&amp;isNoScr=script&amp;mode=search", "토지이음")</f>
        <v/>
      </c>
      <c r="L1527" s="3" t="inlineStr">
        <is>
          <t>삼하</t>
        </is>
      </c>
      <c r="M1527" s="3" t="n">
        <v>1</v>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3" t="inlineStr">
        <is>
          <t>산자락 아래 작은평수 저렴한 금액 관리지역 대지</t>
        </is>
      </c>
      <c r="I1528" s="5">
        <f>HYPERLINK("https://fin.land.naver.com/articles/2649890815", "매물Link")</f>
        <v/>
      </c>
      <c r="J1528" s="5">
        <f>HYPERLINK("https://map.naver.com/p/search/나성동 829", "지도Link")</f>
        <v/>
      </c>
      <c r="K1528" s="5">
        <f>HYPERLINK("http://www.eum.go.kr/web/ar/lu/luLandDet.jsp?pnu=3611010700108290000&amp;isNoScr=script&amp;mode=search", "토지이음")</f>
        <v/>
      </c>
      <c r="L1528" s="3" t="inlineStr">
        <is>
          <t>흙사랑</t>
        </is>
      </c>
      <c r="M1528" s="3" t="n">
        <v>1</v>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3" t="inlineStr">
        <is>
          <t>저렴급매세종시 20분 당진 영덕고속도로 인접 투자용.배과수원 밭 밤농장</t>
        </is>
      </c>
      <c r="I1529" s="5">
        <f>HYPERLINK("https://fin.land.naver.com/articles/2649729933", "매물Link")</f>
        <v/>
      </c>
      <c r="J1529" s="5">
        <f>HYPERLINK("https://map.naver.com/p/search/나성동 829", "지도Link")</f>
        <v/>
      </c>
      <c r="K1529" s="5">
        <f>HYPERLINK("http://www.eum.go.kr/web/ar/lu/luLandDet.jsp?pnu=3611010700108290000&amp;isNoScr=script&amp;mode=search", "토지이음")</f>
        <v/>
      </c>
      <c r="L1529" s="3" t="inlineStr">
        <is>
          <t>세종OK</t>
        </is>
      </c>
      <c r="M1529" s="3" t="n">
        <v>1</v>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3" t="inlineStr">
        <is>
          <t>nan</t>
        </is>
      </c>
      <c r="I1530" s="5">
        <f>HYPERLINK("https://fin.land.naver.com/articles/2645104943", "매물Link")</f>
        <v/>
      </c>
      <c r="J1530" s="5">
        <f>HYPERLINK("https://map.naver.com/p/search/나성동 829", "지도Link")</f>
        <v/>
      </c>
      <c r="K1530" s="5">
        <f>HYPERLINK("http://www.eum.go.kr/web/ar/lu/luLandDet.jsp?pnu=3611010700108290000&amp;isNoScr=script&amp;mode=search", "토지이음")</f>
        <v/>
      </c>
      <c r="L1530" s="3" t="inlineStr">
        <is>
          <t>명성</t>
        </is>
      </c>
      <c r="M1530" s="3" t="n">
        <v>1</v>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3" t="inlineStr">
        <is>
          <t>nan</t>
        </is>
      </c>
      <c r="I1531" s="5">
        <f>HYPERLINK("https://fin.land.naver.com/articles/2645105657", "매물Link")</f>
        <v/>
      </c>
      <c r="J1531" s="5">
        <f>HYPERLINK("https://map.naver.com/p/search/나성동 829", "지도Link")</f>
        <v/>
      </c>
      <c r="K1531" s="5">
        <f>HYPERLINK("http://www.eum.go.kr/web/ar/lu/luLandDet.jsp?pnu=3611010700108290000&amp;isNoScr=script&amp;mode=search", "토지이음")</f>
        <v/>
      </c>
      <c r="L1531" s="3" t="inlineStr">
        <is>
          <t>명성</t>
        </is>
      </c>
      <c r="M1531" s="3" t="n">
        <v>1</v>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3" t="inlineStr">
        <is>
          <t>nan</t>
        </is>
      </c>
      <c r="I1532" s="5">
        <f>HYPERLINK("https://fin.land.naver.com/articles/2645312681", "매물Link")</f>
        <v/>
      </c>
      <c r="J1532" s="5">
        <f>HYPERLINK("https://map.naver.com/p/search/나성동 829", "지도Link")</f>
        <v/>
      </c>
      <c r="K1532" s="5">
        <f>HYPERLINK("http://www.eum.go.kr/web/ar/lu/luLandDet.jsp?pnu=3611010700108290000&amp;isNoScr=script&amp;mode=search", "토지이음")</f>
        <v/>
      </c>
      <c r="L1532" s="3" t="inlineStr">
        <is>
          <t>마당발</t>
        </is>
      </c>
      <c r="M1532" s="3" t="n">
        <v>1</v>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3" t="inlineStr">
        <is>
          <t>우성면 소재지 위치, 동대외길 접, 현재는 텃밭사용</t>
        </is>
      </c>
      <c r="I1533" s="5">
        <f>HYPERLINK("https://fin.land.naver.com/articles/2646278925", "매물Link")</f>
        <v/>
      </c>
      <c r="J1533" s="5">
        <f>HYPERLINK("https://map.naver.com/p/search/나성동 829", "지도Link")</f>
        <v/>
      </c>
      <c r="K1533" s="5">
        <f>HYPERLINK("http://www.eum.go.kr/web/ar/lu/luLandDet.jsp?pnu=3611010700108290000&amp;isNoScr=script&amp;mode=search", "토지이음")</f>
        <v/>
      </c>
      <c r="L1533" s="3" t="inlineStr">
        <is>
          <t>물댄동산</t>
        </is>
      </c>
      <c r="M1533" s="3" t="n">
        <v>1</v>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3" t="inlineStr">
        <is>
          <t>nan</t>
        </is>
      </c>
      <c r="I1534" s="5">
        <f>HYPERLINK("https://fin.land.naver.com/articles/2646711091", "매물Link")</f>
        <v/>
      </c>
      <c r="J1534" s="5">
        <f>HYPERLINK("https://map.naver.com/p/search/나성동 829", "지도Link")</f>
        <v/>
      </c>
      <c r="K1534" s="5">
        <f>HYPERLINK("http://www.eum.go.kr/web/ar/lu/luLandDet.jsp?pnu=3611010700108290000&amp;isNoScr=script&amp;mode=search", "토지이음")</f>
        <v/>
      </c>
      <c r="L1534" s="3" t="inlineStr">
        <is>
          <t>빛나</t>
        </is>
      </c>
      <c r="M1534" s="3" t="n">
        <v>1</v>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3" t="inlineStr">
        <is>
          <t>nan</t>
        </is>
      </c>
      <c r="I1535" s="5">
        <f>HYPERLINK("https://fin.land.naver.com/articles/2647174870", "매물Link")</f>
        <v/>
      </c>
      <c r="J1535" s="5">
        <f>HYPERLINK("https://map.naver.com/p/search/나성동 829", "지도Link")</f>
        <v/>
      </c>
      <c r="K1535" s="5">
        <f>HYPERLINK("http://www.eum.go.kr/web/ar/lu/luLandDet.jsp?pnu=3611010700108290000&amp;isNoScr=script&amp;mode=search", "토지이음")</f>
        <v/>
      </c>
      <c r="L1535" s="3" t="inlineStr">
        <is>
          <t>진솔한</t>
        </is>
      </c>
      <c r="M1535" s="3" t="n">
        <v>1</v>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3" t="inlineStr">
        <is>
          <t>nan</t>
        </is>
      </c>
      <c r="I1536" s="5">
        <f>HYPERLINK("https://fin.land.naver.com/articles/2647425592", "매물Link")</f>
        <v/>
      </c>
      <c r="J1536" s="5">
        <f>HYPERLINK("https://map.naver.com/p/search/나성동 829", "지도Link")</f>
        <v/>
      </c>
      <c r="K1536" s="5">
        <f>HYPERLINK("http://www.eum.go.kr/web/ar/lu/luLandDet.jsp?pnu=3611010700108290000&amp;isNoScr=script&amp;mode=search", "토지이음")</f>
        <v/>
      </c>
      <c r="L1536" s="3" t="inlineStr">
        <is>
          <t>백제</t>
        </is>
      </c>
      <c r="M1536" s="3" t="n">
        <v>1</v>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3" t="inlineStr">
        <is>
          <t>nan</t>
        </is>
      </c>
      <c r="I1537" s="5">
        <f>HYPERLINK("https://fin.land.naver.com/articles/2647677477", "매물Link")</f>
        <v/>
      </c>
      <c r="J1537" s="5">
        <f>HYPERLINK("https://map.naver.com/p/search/나성동 829", "지도Link")</f>
        <v/>
      </c>
      <c r="K1537" s="5">
        <f>HYPERLINK("http://www.eum.go.kr/web/ar/lu/luLandDet.jsp?pnu=3611010700108290000&amp;isNoScr=script&amp;mode=search", "토지이음")</f>
        <v/>
      </c>
      <c r="L1537" s="3" t="inlineStr">
        <is>
          <t>백제</t>
        </is>
      </c>
      <c r="M1537" s="3" t="n">
        <v>1</v>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3" t="inlineStr">
        <is>
          <t>nan</t>
        </is>
      </c>
      <c r="I1538" s="5">
        <f>HYPERLINK("https://fin.land.naver.com/articles/2647677621", "매물Link")</f>
        <v/>
      </c>
      <c r="J1538" s="5">
        <f>HYPERLINK("https://map.naver.com/p/search/나성동 829", "지도Link")</f>
        <v/>
      </c>
      <c r="K1538" s="5">
        <f>HYPERLINK("http://www.eum.go.kr/web/ar/lu/luLandDet.jsp?pnu=3611010700108290000&amp;isNoScr=script&amp;mode=search", "토지이음")</f>
        <v/>
      </c>
      <c r="L1538" s="3" t="inlineStr">
        <is>
          <t>백제</t>
        </is>
      </c>
      <c r="M1538" s="3" t="n">
        <v>1</v>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3" t="inlineStr">
        <is>
          <t>nan</t>
        </is>
      </c>
      <c r="I1539" s="5">
        <f>HYPERLINK("https://fin.land.naver.com/articles/2647717718", "매물Link")</f>
        <v/>
      </c>
      <c r="J1539" s="5">
        <f>HYPERLINK("https://map.naver.com/p/search/나성동 829", "지도Link")</f>
        <v/>
      </c>
      <c r="K1539" s="5">
        <f>HYPERLINK("http://www.eum.go.kr/web/ar/lu/luLandDet.jsp?pnu=3611010700108290000&amp;isNoScr=script&amp;mode=search", "토지이음")</f>
        <v/>
      </c>
      <c r="L1539" s="3" t="inlineStr">
        <is>
          <t>미르</t>
        </is>
      </c>
      <c r="M1539" s="3" t="n">
        <v>1</v>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3" t="inlineStr">
        <is>
          <t>자연 속 힐링 라이프나 주말농장 최적의 입지</t>
        </is>
      </c>
      <c r="I1540" s="5">
        <f>HYPERLINK("https://fin.land.naver.com/articles/2647798413", "매물Link")</f>
        <v/>
      </c>
      <c r="J1540" s="5">
        <f>HYPERLINK("https://map.naver.com/p/search/나성동 829", "지도Link")</f>
        <v/>
      </c>
      <c r="K1540" s="5">
        <f>HYPERLINK("http://www.eum.go.kr/web/ar/lu/luLandDet.jsp?pnu=3611010700108290000&amp;isNoScr=script&amp;mode=search", "토지이음")</f>
        <v/>
      </c>
      <c r="L1540" s="3" t="inlineStr">
        <is>
          <t>태정</t>
        </is>
      </c>
      <c r="M1540" s="3" t="n">
        <v>1</v>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3" t="inlineStr">
        <is>
          <t>금강조망,2필지,도로점용허가,일부성토필요</t>
        </is>
      </c>
      <c r="I1541" s="5">
        <f>HYPERLINK("https://fin.land.naver.com/articles/2648026592", "매물Link")</f>
        <v/>
      </c>
      <c r="J1541" s="5">
        <f>HYPERLINK("https://map.naver.com/p/search/나성동 829", "지도Link")</f>
        <v/>
      </c>
      <c r="K1541" s="5">
        <f>HYPERLINK("http://www.eum.go.kr/web/ar/lu/luLandDet.jsp?pnu=3611010700108290000&amp;isNoScr=script&amp;mode=search", "토지이음")</f>
        <v/>
      </c>
      <c r="L1541" s="3" t="inlineStr">
        <is>
          <t>백억사사무소</t>
        </is>
      </c>
      <c r="M1541" s="3" t="n">
        <v>1</v>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3" t="inlineStr">
        <is>
          <t>6m아스콘포장도로접,하우스특용작물등 용도다양</t>
        </is>
      </c>
      <c r="I1542" s="5">
        <f>HYPERLINK("https://fin.land.naver.com/articles/2648518055", "매물Link")</f>
        <v/>
      </c>
      <c r="J1542" s="5">
        <f>HYPERLINK("https://map.naver.com/p/search/나성동 829", "지도Link")</f>
        <v/>
      </c>
      <c r="K1542" s="5">
        <f>HYPERLINK("http://www.eum.go.kr/web/ar/lu/luLandDet.jsp?pnu=3611010700108290000&amp;isNoScr=script&amp;mode=search", "토지이음")</f>
        <v/>
      </c>
      <c r="L1542" s="3" t="inlineStr">
        <is>
          <t>세종힐데스</t>
        </is>
      </c>
      <c r="M1542" s="3" t="n">
        <v>2</v>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3" t="inlineStr">
        <is>
          <t>nan</t>
        </is>
      </c>
      <c r="I1543" s="5">
        <f>HYPERLINK("https://fin.land.naver.com/articles/2648597055", "매물Link")</f>
        <v/>
      </c>
      <c r="J1543" s="5">
        <f>HYPERLINK("https://map.naver.com/p/search/나성동 829", "지도Link")</f>
        <v/>
      </c>
      <c r="K1543" s="5">
        <f>HYPERLINK("http://www.eum.go.kr/web/ar/lu/luLandDet.jsp?pnu=3611010700108290000&amp;isNoScr=script&amp;mode=search", "토지이음")</f>
        <v/>
      </c>
      <c r="L1543" s="3" t="inlineStr">
        <is>
          <t>명성</t>
        </is>
      </c>
      <c r="M1543" s="3" t="n">
        <v>1</v>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3" t="inlineStr">
        <is>
          <t>대도로 인근 굴다리지나 고속도 인근 소규모 창고 적지</t>
        </is>
      </c>
      <c r="I1544" s="5">
        <f>HYPERLINK("https://fin.land.naver.com/articles/2647204993", "매물Link")</f>
        <v/>
      </c>
      <c r="J1544" s="5">
        <f>HYPERLINK("https://map.naver.com/p/search/나성동 829", "지도Link")</f>
        <v/>
      </c>
      <c r="K1544" s="5">
        <f>HYPERLINK("http://www.eum.go.kr/web/ar/lu/luLandDet.jsp?pnu=3611010700108290000&amp;isNoScr=script&amp;mode=search", "토지이음")</f>
        <v/>
      </c>
      <c r="L1544" s="3" t="inlineStr">
        <is>
          <t>태성</t>
        </is>
      </c>
      <c r="M1544" s="3" t="n">
        <v>1</v>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3" t="inlineStr">
        <is>
          <t>도로 좋은  소규모농지용 내촌초등교 인근</t>
        </is>
      </c>
      <c r="I1545" s="5">
        <f>HYPERLINK("https://fin.land.naver.com/articles/2647205049", "매물Link")</f>
        <v/>
      </c>
      <c r="J1545" s="5">
        <f>HYPERLINK("https://map.naver.com/p/search/나성동 829", "지도Link")</f>
        <v/>
      </c>
      <c r="K1545" s="5">
        <f>HYPERLINK("http://www.eum.go.kr/web/ar/lu/luLandDet.jsp?pnu=3611010700108290000&amp;isNoScr=script&amp;mode=search", "토지이음")</f>
        <v/>
      </c>
      <c r="L1545" s="3" t="inlineStr">
        <is>
          <t>태성</t>
        </is>
      </c>
      <c r="M1545" s="3" t="n">
        <v>1</v>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3" t="inlineStr">
        <is>
          <t>광정 시내인근 도로 최상 대토용 최적 농지 원부용</t>
        </is>
      </c>
      <c r="I1546" s="5">
        <f>HYPERLINK("https://fin.land.naver.com/articles/2647205084", "매물Link")</f>
        <v/>
      </c>
      <c r="J1546" s="5">
        <f>HYPERLINK("https://map.naver.com/p/search/나성동 829", "지도Link")</f>
        <v/>
      </c>
      <c r="K1546" s="5">
        <f>HYPERLINK("http://www.eum.go.kr/web/ar/lu/luLandDet.jsp?pnu=3611010700108290000&amp;isNoScr=script&amp;mode=search", "토지이음")</f>
        <v/>
      </c>
      <c r="L1546" s="3" t="inlineStr">
        <is>
          <t>태성</t>
        </is>
      </c>
      <c r="M1546" s="3" t="n">
        <v>1</v>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3" t="inlineStr">
        <is>
          <t>정남향 전면 확트임 체류형 쉼터지 최적</t>
        </is>
      </c>
      <c r="I1547" s="5">
        <f>HYPERLINK("https://fin.land.naver.com/articles/2647205113", "매물Link")</f>
        <v/>
      </c>
      <c r="J1547" s="5">
        <f>HYPERLINK("https://map.naver.com/p/search/나성동 829", "지도Link")</f>
        <v/>
      </c>
      <c r="K1547" s="5">
        <f>HYPERLINK("http://www.eum.go.kr/web/ar/lu/luLandDet.jsp?pnu=3611010700108290000&amp;isNoScr=script&amp;mode=search", "토지이음")</f>
        <v/>
      </c>
      <c r="L1547" s="3" t="inlineStr">
        <is>
          <t>태성</t>
        </is>
      </c>
      <c r="M1547" s="3" t="n">
        <v>1</v>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3" t="inlineStr">
        <is>
          <t>면소재지 5분 거리. 세종, 대전 인접 계획관리지역 토지</t>
        </is>
      </c>
      <c r="I1548" s="5">
        <f>HYPERLINK("https://fin.land.naver.com/articles/2649846226", "매물Link")</f>
        <v/>
      </c>
      <c r="J1548" s="5">
        <f>HYPERLINK("https://map.naver.com/p/search/나성동 829", "지도Link")</f>
        <v/>
      </c>
      <c r="K1548" s="5">
        <f>HYPERLINK("http://www.eum.go.kr/web/ar/lu/luLandDet.jsp?pnu=3611010700108290000&amp;isNoScr=script&amp;mode=search", "토지이음")</f>
        <v/>
      </c>
      <c r="L1548" s="3" t="inlineStr">
        <is>
          <t>흙사랑</t>
        </is>
      </c>
      <c r="M1548" s="3" t="n">
        <v>1</v>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3" t="inlineStr">
        <is>
          <t>넓은 도로 옆 경작하기 좋고 농가주택 짓고 살기 좋은영농지</t>
        </is>
      </c>
      <c r="I1549" s="5">
        <f>HYPERLINK("https://fin.land.naver.com/articles/2649885229", "매물Link")</f>
        <v/>
      </c>
      <c r="J1549" s="5">
        <f>HYPERLINK("https://map.naver.com/p/search/나성동 829", "지도Link")</f>
        <v/>
      </c>
      <c r="K1549" s="5">
        <f>HYPERLINK("http://www.eum.go.kr/web/ar/lu/luLandDet.jsp?pnu=3611010700108290000&amp;isNoScr=script&amp;mode=search", "토지이음")</f>
        <v/>
      </c>
      <c r="L1549" s="3" t="inlineStr">
        <is>
          <t>흙사랑</t>
        </is>
      </c>
      <c r="M1549" s="3" t="n">
        <v>1</v>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3" t="inlineStr">
        <is>
          <t>컨테이너창고1개블루베리나무,저온창고등 가져가는조건,비닐하우스신설</t>
        </is>
      </c>
      <c r="I1550" s="5">
        <f>HYPERLINK("https://fin.land.naver.com/articles/2648231968", "매물Link")</f>
        <v/>
      </c>
      <c r="J1550" s="5">
        <f>HYPERLINK("https://map.naver.com/p/search/나성동 829", "지도Link")</f>
        <v/>
      </c>
      <c r="K1550" s="5">
        <f>HYPERLINK("http://www.eum.go.kr/web/ar/lu/luLandDet.jsp?pnu=3611010700108290000&amp;isNoScr=script&amp;mode=search", "토지이음")</f>
        <v/>
      </c>
      <c r="L1550" s="3" t="inlineStr">
        <is>
          <t>어반통</t>
        </is>
      </c>
      <c r="M1550" s="3" t="n">
        <v>1</v>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3" t="inlineStr">
        <is>
          <t>급매 대토용 주말농장 산새좋고 도로인접</t>
        </is>
      </c>
      <c r="I1551" s="5">
        <f>HYPERLINK("https://fin.land.naver.com/articles/2649347779", "매물Link")</f>
        <v/>
      </c>
      <c r="J1551" s="5">
        <f>HYPERLINK("https://map.naver.com/p/search/나성동 829", "지도Link")</f>
        <v/>
      </c>
      <c r="K1551" s="5">
        <f>HYPERLINK("http://www.eum.go.kr/web/ar/lu/luLandDet.jsp?pnu=3611010700108290000&amp;isNoScr=script&amp;mode=search", "토지이음")</f>
        <v/>
      </c>
      <c r="L1551" s="3" t="inlineStr">
        <is>
          <t>세종OK</t>
        </is>
      </c>
      <c r="M1551" s="3" t="n">
        <v>1</v>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3" t="inlineStr">
        <is>
          <t>nan</t>
        </is>
      </c>
      <c r="I1552" s="5">
        <f>HYPERLINK("https://fin.land.naver.com/articles/2645106450", "매물Link")</f>
        <v/>
      </c>
      <c r="J1552" s="5">
        <f>HYPERLINK("https://map.naver.com/p/search/나성동 829", "지도Link")</f>
        <v/>
      </c>
      <c r="K1552" s="5">
        <f>HYPERLINK("http://www.eum.go.kr/web/ar/lu/luLandDet.jsp?pnu=3611010700108290000&amp;isNoScr=script&amp;mode=search", "토지이음")</f>
        <v/>
      </c>
      <c r="L1552" s="3" t="inlineStr">
        <is>
          <t>명성</t>
        </is>
      </c>
      <c r="M1552" s="3" t="n">
        <v>1</v>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3" t="inlineStr">
        <is>
          <t>도로접한 모양좋은 토지, 주말농장, 전원주택 활용가능</t>
        </is>
      </c>
      <c r="I1553" s="5">
        <f>HYPERLINK("https://fin.land.naver.com/articles/2645278190", "매물Link")</f>
        <v/>
      </c>
      <c r="J1553" s="5">
        <f>HYPERLINK("https://map.naver.com/p/search/나성동 829", "지도Link")</f>
        <v/>
      </c>
      <c r="K1553" s="5">
        <f>HYPERLINK("http://www.eum.go.kr/web/ar/lu/luLandDet.jsp?pnu=3611010700108290000&amp;isNoScr=script&amp;mode=search", "토지이음")</f>
        <v/>
      </c>
      <c r="L1553" s="3" t="inlineStr">
        <is>
          <t>부엉이</t>
        </is>
      </c>
      <c r="M1553" s="3" t="n">
        <v>1</v>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3" t="inlineStr">
        <is>
          <t>nan</t>
        </is>
      </c>
      <c r="I1554" s="5">
        <f>HYPERLINK("https://fin.land.naver.com/articles/2645346559", "매물Link")</f>
        <v/>
      </c>
      <c r="J1554" s="5">
        <f>HYPERLINK("https://map.naver.com/p/search/나성동 829", "지도Link")</f>
        <v/>
      </c>
      <c r="K1554" s="5">
        <f>HYPERLINK("http://www.eum.go.kr/web/ar/lu/luLandDet.jsp?pnu=3611010700108290000&amp;isNoScr=script&amp;mode=search", "토지이음")</f>
        <v/>
      </c>
      <c r="L1554" s="3" t="inlineStr">
        <is>
          <t>마당발</t>
        </is>
      </c>
      <c r="M1554" s="3" t="n">
        <v>1</v>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3" t="inlineStr">
        <is>
          <t>nan</t>
        </is>
      </c>
      <c r="I1555" s="5">
        <f>HYPERLINK("https://fin.land.naver.com/articles/2645346642", "매물Link")</f>
        <v/>
      </c>
      <c r="J1555" s="5">
        <f>HYPERLINK("https://map.naver.com/p/search/나성동 829", "지도Link")</f>
        <v/>
      </c>
      <c r="K1555" s="5">
        <f>HYPERLINK("http://www.eum.go.kr/web/ar/lu/luLandDet.jsp?pnu=3611010700108290000&amp;isNoScr=script&amp;mode=search", "토지이음")</f>
        <v/>
      </c>
      <c r="L1555" s="3" t="inlineStr">
        <is>
          <t>마당발</t>
        </is>
      </c>
      <c r="M1555" s="3" t="n">
        <v>1</v>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3" t="inlineStr">
        <is>
          <t>추천. 산단 대토용 농림지역</t>
        </is>
      </c>
      <c r="I1556" s="5">
        <f>HYPERLINK("https://fin.land.naver.com/articles/2645473164", "매물Link")</f>
        <v/>
      </c>
      <c r="J1556" s="5">
        <f>HYPERLINK("https://map.naver.com/p/search/나성동 829", "지도Link")</f>
        <v/>
      </c>
      <c r="K1556" s="5">
        <f>HYPERLINK("http://www.eum.go.kr/web/ar/lu/luLandDet.jsp?pnu=3611010700108290000&amp;isNoScr=script&amp;mode=search", "토지이음")</f>
        <v/>
      </c>
      <c r="L1556" s="3" t="inlineStr">
        <is>
          <t>강아지풀</t>
        </is>
      </c>
      <c r="M1556" s="3" t="n">
        <v>1</v>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3" t="inlineStr">
        <is>
          <t>nan</t>
        </is>
      </c>
      <c r="I1557" s="5">
        <f>HYPERLINK("https://fin.land.naver.com/articles/2645600986", "매물Link")</f>
        <v/>
      </c>
      <c r="J1557" s="5">
        <f>HYPERLINK("https://map.naver.com/p/search/나성동 829", "지도Link")</f>
        <v/>
      </c>
      <c r="K1557" s="5">
        <f>HYPERLINK("http://www.eum.go.kr/web/ar/lu/luLandDet.jsp?pnu=3611010700108290000&amp;isNoScr=script&amp;mode=search", "토지이음")</f>
        <v/>
      </c>
      <c r="L1557" s="3" t="inlineStr">
        <is>
          <t>대동</t>
        </is>
      </c>
      <c r="M1557" s="3" t="n">
        <v>1</v>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3" t="inlineStr">
        <is>
          <t>계획관리 및 농림지역 개발 및 관광농원가능성</t>
        </is>
      </c>
      <c r="I1558" s="5">
        <f>HYPERLINK("https://fin.land.naver.com/articles/2645986920", "매물Link")</f>
        <v/>
      </c>
      <c r="J1558" s="5">
        <f>HYPERLINK("https://map.naver.com/p/search/나성동 829", "지도Link")</f>
        <v/>
      </c>
      <c r="K1558" s="5">
        <f>HYPERLINK("http://www.eum.go.kr/web/ar/lu/luLandDet.jsp?pnu=3611010700108290000&amp;isNoScr=script&amp;mode=search", "토지이음")</f>
        <v/>
      </c>
      <c r="L1558" s="3" t="inlineStr">
        <is>
          <t>남부</t>
        </is>
      </c>
      <c r="M1558" s="3" t="n">
        <v>1</v>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3" t="inlineStr">
        <is>
          <t>2차선도로변,정안IC에서7분</t>
        </is>
      </c>
      <c r="I1559" s="5">
        <f>HYPERLINK("https://fin.land.naver.com/articles/2646049273", "매물Link")</f>
        <v/>
      </c>
      <c r="J1559" s="5">
        <f>HYPERLINK("https://map.naver.com/p/search/나성동 829", "지도Link")</f>
        <v/>
      </c>
      <c r="K1559" s="5">
        <f>HYPERLINK("http://www.eum.go.kr/web/ar/lu/luLandDet.jsp?pnu=3611010700108290000&amp;isNoScr=script&amp;mode=search", "토지이음")</f>
        <v/>
      </c>
      <c r="L1559" s="3" t="inlineStr">
        <is>
          <t>아름다운</t>
        </is>
      </c>
      <c r="M1559" s="3" t="n">
        <v>1</v>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3" t="inlineStr">
        <is>
          <t>nan</t>
        </is>
      </c>
      <c r="I1560" s="5">
        <f>HYPERLINK("https://fin.land.naver.com/articles/2647119261", "매물Link")</f>
        <v/>
      </c>
      <c r="J1560" s="5">
        <f>HYPERLINK("https://map.naver.com/p/search/나성동 829", "지도Link")</f>
        <v/>
      </c>
      <c r="K1560" s="5">
        <f>HYPERLINK("http://www.eum.go.kr/web/ar/lu/luLandDet.jsp?pnu=3611010700108290000&amp;isNoScr=script&amp;mode=search", "토지이음")</f>
        <v/>
      </c>
      <c r="L1560" s="3" t="inlineStr">
        <is>
          <t>가온</t>
        </is>
      </c>
      <c r="M1560" s="3" t="n">
        <v>1</v>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3" t="inlineStr">
        <is>
          <t>nan</t>
        </is>
      </c>
      <c r="I1561" s="5">
        <f>HYPERLINK("https://fin.land.naver.com/articles/2647175303", "매물Link")</f>
        <v/>
      </c>
      <c r="J1561" s="5">
        <f>HYPERLINK("https://map.naver.com/p/search/나성동 829", "지도Link")</f>
        <v/>
      </c>
      <c r="K1561" s="5">
        <f>HYPERLINK("http://www.eum.go.kr/web/ar/lu/luLandDet.jsp?pnu=3611010700108290000&amp;isNoScr=script&amp;mode=search", "토지이음")</f>
        <v/>
      </c>
      <c r="L1561" s="3" t="inlineStr">
        <is>
          <t>진솔한</t>
        </is>
      </c>
      <c r="M1561" s="3" t="n">
        <v>1</v>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3" t="inlineStr">
        <is>
          <t>세종서 가까움.남향에 아늑하고 살기좋음,싸게나옴.</t>
        </is>
      </c>
      <c r="I1562" s="5">
        <f>HYPERLINK("https://fin.land.naver.com/articles/2647175679", "매물Link")</f>
        <v/>
      </c>
      <c r="J1562" s="5">
        <f>HYPERLINK("https://map.naver.com/p/search/나성동 829", "지도Link")</f>
        <v/>
      </c>
      <c r="K1562" s="5">
        <f>HYPERLINK("http://www.eum.go.kr/web/ar/lu/luLandDet.jsp?pnu=3611010700108290000&amp;isNoScr=script&amp;mode=search", "토지이음")</f>
        <v/>
      </c>
      <c r="L1562" s="3" t="inlineStr">
        <is>
          <t>진솔한</t>
        </is>
      </c>
      <c r="M1562" s="3" t="n">
        <v>1</v>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3" t="inlineStr">
        <is>
          <t>nan</t>
        </is>
      </c>
      <c r="I1563" s="5">
        <f>HYPERLINK("https://fin.land.naver.com/articles/2647302481", "매물Link")</f>
        <v/>
      </c>
      <c r="J1563" s="5">
        <f>HYPERLINK("https://map.naver.com/p/search/나성동 829", "지도Link")</f>
        <v/>
      </c>
      <c r="K1563" s="5">
        <f>HYPERLINK("http://www.eum.go.kr/web/ar/lu/luLandDet.jsp?pnu=3611010700108290000&amp;isNoScr=script&amp;mode=search", "토지이음")</f>
        <v/>
      </c>
      <c r="L1563" s="3" t="inlineStr">
        <is>
          <t>새한</t>
        </is>
      </c>
      <c r="M1563" s="3" t="n">
        <v>1</v>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3" t="inlineStr">
        <is>
          <t>냇가가있고정리정돈잘됨 예쁘게잘꾸며졌어요 컨테이지하수 텃밭 정원수등</t>
        </is>
      </c>
      <c r="I1564" s="5">
        <f>HYPERLINK("https://fin.land.naver.com/articles/2647613192", "매물Link")</f>
        <v/>
      </c>
      <c r="J1564" s="5">
        <f>HYPERLINK("https://map.naver.com/p/search/나성동 829", "지도Link")</f>
        <v/>
      </c>
      <c r="K1564" s="5">
        <f>HYPERLINK("http://www.eum.go.kr/web/ar/lu/luLandDet.jsp?pnu=3611010700108290000&amp;isNoScr=script&amp;mode=search", "토지이음")</f>
        <v/>
      </c>
      <c r="L1564" s="3" t="inlineStr">
        <is>
          <t>중흥</t>
        </is>
      </c>
      <c r="M1564" s="3" t="n">
        <v>1</v>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3" t="inlineStr">
        <is>
          <t>nan</t>
        </is>
      </c>
      <c r="I1565" s="5">
        <f>HYPERLINK("https://fin.land.naver.com/articles/2648109304", "매물Link")</f>
        <v/>
      </c>
      <c r="J1565" s="5">
        <f>HYPERLINK("https://map.naver.com/p/search/나성동 829", "지도Link")</f>
        <v/>
      </c>
      <c r="K1565" s="5">
        <f>HYPERLINK("http://www.eum.go.kr/web/ar/lu/luLandDet.jsp?pnu=3611010700108290000&amp;isNoScr=script&amp;mode=search", "토지이음")</f>
        <v/>
      </c>
      <c r="L1565" s="3" t="inlineStr">
        <is>
          <t>공주신세계</t>
        </is>
      </c>
      <c r="M1565" s="3" t="n">
        <v>1</v>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3" t="inlineStr">
        <is>
          <t>진입로있음  콩 및 과실수식재  2필지 평당20만</t>
        </is>
      </c>
      <c r="I1566" s="5">
        <f>HYPERLINK("https://fin.land.naver.com/articles/2647611743", "매물Link")</f>
        <v/>
      </c>
      <c r="J1566" s="5">
        <f>HYPERLINK("https://map.naver.com/p/search/나성동 829", "지도Link")</f>
        <v/>
      </c>
      <c r="K1566" s="5">
        <f>HYPERLINK("http://www.eum.go.kr/web/ar/lu/luLandDet.jsp?pnu=3611010700108290000&amp;isNoScr=script&amp;mode=search", "토지이음")</f>
        <v/>
      </c>
      <c r="L1566" s="3" t="inlineStr">
        <is>
          <t>중흥</t>
        </is>
      </c>
      <c r="M1566" s="3" t="n">
        <v>1</v>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3" t="inlineStr">
        <is>
          <t>세종IC 7분,도로 접함,주택1 근생1가능, 폭6미터 아스팔트도로.</t>
        </is>
      </c>
      <c r="I1567" s="5">
        <f>HYPERLINK("https://fin.land.naver.com/articles/2647161362", "매물Link")</f>
        <v/>
      </c>
      <c r="J1567" s="5">
        <f>HYPERLINK("https://map.naver.com/p/search/나성동 829", "지도Link")</f>
        <v/>
      </c>
      <c r="K1567" s="5">
        <f>HYPERLINK("http://www.eum.go.kr/web/ar/lu/luLandDet.jsp?pnu=3611010700108290000&amp;isNoScr=script&amp;mode=search", "토지이음")</f>
        <v/>
      </c>
      <c r="L1567" s="3" t="inlineStr">
        <is>
          <t>아름</t>
        </is>
      </c>
      <c r="M1567" s="3" t="n">
        <v>1</v>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3" t="inlineStr">
        <is>
          <t>정남향  마을 최상단 위치 체류형 쉼터지 최적 위치 최상</t>
        </is>
      </c>
      <c r="I1568" s="5">
        <f>HYPERLINK("https://fin.land.naver.com/articles/2647205140", "매물Link")</f>
        <v/>
      </c>
      <c r="J1568" s="5">
        <f>HYPERLINK("https://map.naver.com/p/search/나성동 829", "지도Link")</f>
        <v/>
      </c>
      <c r="K1568" s="5">
        <f>HYPERLINK("http://www.eum.go.kr/web/ar/lu/luLandDet.jsp?pnu=3611010700108290000&amp;isNoScr=script&amp;mode=search", "토지이음")</f>
        <v/>
      </c>
      <c r="L1568" s="3" t="inlineStr">
        <is>
          <t>태성</t>
        </is>
      </c>
      <c r="M1568" s="3" t="n">
        <v>1</v>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3" t="inlineStr">
        <is>
          <t>2차선접 세종 12분 거리 공주 18분  정안 아이시 10분 용도다양</t>
        </is>
      </c>
      <c r="I1569" s="5">
        <f>HYPERLINK("https://fin.land.naver.com/articles/2647205396", "매물Link")</f>
        <v/>
      </c>
      <c r="J1569" s="5">
        <f>HYPERLINK("https://map.naver.com/p/search/나성동 829", "지도Link")</f>
        <v/>
      </c>
      <c r="K1569" s="5">
        <f>HYPERLINK("http://www.eum.go.kr/web/ar/lu/luLandDet.jsp?pnu=3611010700108290000&amp;isNoScr=script&amp;mode=search", "토지이음")</f>
        <v/>
      </c>
      <c r="L1569" s="3" t="inlineStr">
        <is>
          <t>태성</t>
        </is>
      </c>
      <c r="M1569" s="3" t="n">
        <v>1</v>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3" t="inlineStr">
        <is>
          <t>용도 다양  공장및 창고  평수 추가가능</t>
        </is>
      </c>
      <c r="I1570" s="5">
        <f>HYPERLINK("https://fin.land.naver.com/articles/2647205490", "매물Link")</f>
        <v/>
      </c>
      <c r="J1570" s="5">
        <f>HYPERLINK("https://map.naver.com/p/search/나성동 829", "지도Link")</f>
        <v/>
      </c>
      <c r="K1570" s="5">
        <f>HYPERLINK("http://www.eum.go.kr/web/ar/lu/luLandDet.jsp?pnu=3611010700108290000&amp;isNoScr=script&amp;mode=search", "토지이음")</f>
        <v/>
      </c>
      <c r="L1570" s="3" t="inlineStr">
        <is>
          <t>태성</t>
        </is>
      </c>
      <c r="M1570" s="3" t="n">
        <v>1</v>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3" t="inlineStr">
        <is>
          <t>nan</t>
        </is>
      </c>
      <c r="I1571" s="5">
        <f>HYPERLINK("https://fin.land.naver.com/articles/2647434508", "매물Link")</f>
        <v/>
      </c>
      <c r="J1571" s="5">
        <f>HYPERLINK("https://map.naver.com/p/search/나성동 829", "지도Link")</f>
        <v/>
      </c>
      <c r="K1571" s="5">
        <f>HYPERLINK("http://www.eum.go.kr/web/ar/lu/luLandDet.jsp?pnu=3611010700108290000&amp;isNoScr=script&amp;mode=search", "토지이음")</f>
        <v/>
      </c>
      <c r="L1571" s="3" t="inlineStr">
        <is>
          <t>공주신세계</t>
        </is>
      </c>
      <c r="M1571" s="3" t="n">
        <v>1</v>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3" t="inlineStr">
        <is>
          <t>2종근린생활시설 공장용지예요 계획관리이구요</t>
        </is>
      </c>
      <c r="I1572" s="5">
        <f>HYPERLINK("https://fin.land.naver.com/articles/2647445651", "매물Link")</f>
        <v/>
      </c>
      <c r="J1572" s="5">
        <f>HYPERLINK("https://map.naver.com/p/search/나성동 829", "지도Link")</f>
        <v/>
      </c>
      <c r="K1572" s="5">
        <f>HYPERLINK("http://www.eum.go.kr/web/ar/lu/luLandDet.jsp?pnu=3611010700108290000&amp;isNoScr=script&amp;mode=search", "토지이음")</f>
        <v/>
      </c>
      <c r="L1572" s="3" t="inlineStr">
        <is>
          <t>다온</t>
        </is>
      </c>
      <c r="M1572" s="3" t="n">
        <v>1</v>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3" t="inlineStr">
        <is>
          <t>nan</t>
        </is>
      </c>
      <c r="I1573" s="5">
        <f>HYPERLINK("https://fin.land.naver.com/articles/2647446154", "매물Link")</f>
        <v/>
      </c>
      <c r="J1573" s="5">
        <f>HYPERLINK("https://map.naver.com/p/search/나성동 829", "지도Link")</f>
        <v/>
      </c>
      <c r="K1573" s="5">
        <f>HYPERLINK("http://www.eum.go.kr/web/ar/lu/luLandDet.jsp?pnu=3611010700108290000&amp;isNoScr=script&amp;mode=search", "토지이음")</f>
        <v/>
      </c>
      <c r="L1573" s="3" t="inlineStr">
        <is>
          <t>다온</t>
        </is>
      </c>
      <c r="M1573" s="3" t="n">
        <v>1</v>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3" t="inlineStr">
        <is>
          <t>nan</t>
        </is>
      </c>
      <c r="I1574" s="5">
        <f>HYPERLINK("https://fin.land.naver.com/articles/2647538547", "매물Link")</f>
        <v/>
      </c>
      <c r="J1574" s="5">
        <f>HYPERLINK("https://map.naver.com/p/search/나성동 829", "지도Link")</f>
        <v/>
      </c>
      <c r="K1574" s="5">
        <f>HYPERLINK("http://www.eum.go.kr/web/ar/lu/luLandDet.jsp?pnu=3611010700108290000&amp;isNoScr=script&amp;mode=search", "토지이음")</f>
        <v/>
      </c>
      <c r="L1574" s="3" t="inlineStr">
        <is>
          <t>새한</t>
        </is>
      </c>
      <c r="M1574" s="3" t="n">
        <v>1</v>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3" t="inlineStr">
        <is>
          <t>nan</t>
        </is>
      </c>
      <c r="I1575" s="5">
        <f>HYPERLINK("https://fin.land.naver.com/articles/2647812341", "매물Link")</f>
        <v/>
      </c>
      <c r="J1575" s="5">
        <f>HYPERLINK("https://map.naver.com/p/search/나성동 829", "지도Link")</f>
        <v/>
      </c>
      <c r="K1575" s="5">
        <f>HYPERLINK("http://www.eum.go.kr/web/ar/lu/luLandDet.jsp?pnu=3611010700108290000&amp;isNoScr=script&amp;mode=search", "토지이음")</f>
        <v/>
      </c>
      <c r="L1575" s="3" t="inlineStr">
        <is>
          <t>뉴미래로</t>
        </is>
      </c>
      <c r="M1575" s="3" t="n">
        <v>1</v>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3" t="inlineStr">
        <is>
          <t>주택 딸린 토지임.</t>
        </is>
      </c>
      <c r="I1576" s="5">
        <f>HYPERLINK("https://fin.land.naver.com/articles/2647850444", "매물Link")</f>
        <v/>
      </c>
      <c r="J1576" s="5">
        <f>HYPERLINK("https://map.naver.com/p/search/나성동 829", "지도Link")</f>
        <v/>
      </c>
      <c r="K1576" s="5">
        <f>HYPERLINK("http://www.eum.go.kr/web/ar/lu/luLandDet.jsp?pnu=3611010700108290000&amp;isNoScr=script&amp;mode=search", "토지이음")</f>
        <v/>
      </c>
      <c r="L1576" s="3" t="inlineStr">
        <is>
          <t>최프로</t>
        </is>
      </c>
      <c r="M1576" s="3" t="n">
        <v>1</v>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3" t="inlineStr">
        <is>
          <t>nan</t>
        </is>
      </c>
      <c r="I1577" s="5">
        <f>HYPERLINK("https://fin.land.naver.com/articles/2648122670", "매물Link")</f>
        <v/>
      </c>
      <c r="J1577" s="5">
        <f>HYPERLINK("https://map.naver.com/p/search/나성동 829", "지도Link")</f>
        <v/>
      </c>
      <c r="K1577" s="5">
        <f>HYPERLINK("http://www.eum.go.kr/web/ar/lu/luLandDet.jsp?pnu=3611010700108290000&amp;isNoScr=script&amp;mode=search", "토지이음")</f>
        <v/>
      </c>
      <c r="L1577" s="3" t="inlineStr">
        <is>
          <t>새한</t>
        </is>
      </c>
      <c r="M1577" s="3" t="n">
        <v>1</v>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3" t="inlineStr">
        <is>
          <t>주말농장(농막)적합하며 도로가 좋음</t>
        </is>
      </c>
      <c r="I1578" s="5">
        <f>HYPERLINK("https://fin.land.naver.com/articles/2648188694", "매물Link")</f>
        <v/>
      </c>
      <c r="J1578" s="5">
        <f>HYPERLINK("https://map.naver.com/p/search/나성동 829", "지도Link")</f>
        <v/>
      </c>
      <c r="K1578" s="5">
        <f>HYPERLINK("http://www.eum.go.kr/web/ar/lu/luLandDet.jsp?pnu=3611010700108290000&amp;isNoScr=script&amp;mode=search", "토지이음")</f>
        <v/>
      </c>
      <c r="L1578" s="3" t="inlineStr">
        <is>
          <t>이은숙</t>
        </is>
      </c>
      <c r="M1578" s="3" t="n">
        <v>2</v>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3" t="inlineStr">
        <is>
          <t>2차선접  정남향  전원 주택 개발지 12필지가능</t>
        </is>
      </c>
      <c r="I1579" s="5">
        <f>HYPERLINK("https://fin.land.naver.com/articles/2649283529", "매물Link")</f>
        <v/>
      </c>
      <c r="J1579" s="5">
        <f>HYPERLINK("https://map.naver.com/p/search/나성동 829", "지도Link")</f>
        <v/>
      </c>
      <c r="K1579" s="5">
        <f>HYPERLINK("http://www.eum.go.kr/web/ar/lu/luLandDet.jsp?pnu=3611010700108290000&amp;isNoScr=script&amp;mode=search", "토지이음")</f>
        <v/>
      </c>
      <c r="L1579" s="3" t="inlineStr">
        <is>
          <t>태성</t>
        </is>
      </c>
      <c r="M1579" s="3" t="n">
        <v>1</v>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3" t="inlineStr">
        <is>
          <t>농업진흥구역으로 경지정리 됨</t>
        </is>
      </c>
      <c r="I1580" s="5">
        <f>HYPERLINK("https://fin.land.naver.com/articles/2649971775", "매물Link")</f>
        <v/>
      </c>
      <c r="J1580" s="5">
        <f>HYPERLINK("https://map.naver.com/p/search/나성동 829", "지도Link")</f>
        <v/>
      </c>
      <c r="K1580" s="5">
        <f>HYPERLINK("http://www.eum.go.kr/web/ar/lu/luLandDet.jsp?pnu=3611010700108290000&amp;isNoScr=script&amp;mode=search", "토지이음")</f>
        <v/>
      </c>
      <c r="L1580" s="3" t="inlineStr">
        <is>
          <t>모란사무소</t>
        </is>
      </c>
      <c r="M1580" s="3" t="n">
        <v>1</v>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3" t="inlineStr">
        <is>
          <t>전원 텃밭생활 추천,비닐하우스,농기구,전기,수도,샤워시설,가전제품 일체.</t>
        </is>
      </c>
      <c r="I1581" s="5">
        <f>HYPERLINK("https://fin.land.naver.com/articles/2650191934", "매물Link")</f>
        <v/>
      </c>
      <c r="J1581" s="5">
        <f>HYPERLINK("https://map.naver.com/p/search/나성동 829", "지도Link")</f>
        <v/>
      </c>
      <c r="K1581" s="5">
        <f>HYPERLINK("http://www.eum.go.kr/web/ar/lu/luLandDet.jsp?pnu=3611010700108290000&amp;isNoScr=script&amp;mode=search", "토지이음")</f>
        <v/>
      </c>
      <c r="L1581" s="3" t="inlineStr">
        <is>
          <t>열매</t>
        </is>
      </c>
      <c r="M1581" s="3" t="n">
        <v>1</v>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3" t="inlineStr">
        <is>
          <t>주말체류형 쉼터 부지로 공기좋고 조용한 최고의 나만의 쉼터부지
토지매매</t>
        </is>
      </c>
      <c r="I1582" s="5">
        <f>HYPERLINK("https://fin.land.naver.com/articles/2650202711", "매물Link")</f>
        <v/>
      </c>
      <c r="J1582" s="5">
        <f>HYPERLINK("https://map.naver.com/p/search/나성동 829", "지도Link")</f>
        <v/>
      </c>
      <c r="K1582" s="5">
        <f>HYPERLINK("http://www.eum.go.kr/web/ar/lu/luLandDet.jsp?pnu=3611010700108290000&amp;isNoScr=script&amp;mode=search", "토지이음")</f>
        <v/>
      </c>
      <c r="L1582" s="3" t="inlineStr">
        <is>
          <t>세종공주노심종사무소</t>
        </is>
      </c>
      <c r="M1582" s="3" t="n">
        <v>1</v>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3" t="inlineStr">
        <is>
          <t>농원,과수원, 묘지적합</t>
        </is>
      </c>
      <c r="I1583" s="5">
        <f>HYPERLINK("https://fin.land.naver.com/articles/2645741566", "매물Link")</f>
        <v/>
      </c>
      <c r="J1583" s="5">
        <f>HYPERLINK("https://map.naver.com/p/search/나성동 829", "지도Link")</f>
        <v/>
      </c>
      <c r="K1583" s="5">
        <f>HYPERLINK("http://www.eum.go.kr/web/ar/lu/luLandDet.jsp?pnu=3611010700108290000&amp;isNoScr=script&amp;mode=search", "토지이음")</f>
        <v/>
      </c>
      <c r="L1583" s="3" t="inlineStr">
        <is>
          <t>대성</t>
        </is>
      </c>
      <c r="M1583" s="3" t="n">
        <v>1</v>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3" t="inlineStr">
        <is>
          <t>nan</t>
        </is>
      </c>
      <c r="I1584" s="5">
        <f>HYPERLINK("https://fin.land.naver.com/articles/2646134794", "매물Link")</f>
        <v/>
      </c>
      <c r="J1584" s="5">
        <f>HYPERLINK("https://map.naver.com/p/search/나성동 829", "지도Link")</f>
        <v/>
      </c>
      <c r="K1584" s="5">
        <f>HYPERLINK("http://www.eum.go.kr/web/ar/lu/luLandDet.jsp?pnu=3611010700108290000&amp;isNoScr=script&amp;mode=search", "토지이음")</f>
        <v/>
      </c>
      <c r="L1584" s="3" t="inlineStr">
        <is>
          <t>월정</t>
        </is>
      </c>
      <c r="M1584" s="3" t="n">
        <v>1</v>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3" t="inlineStr">
        <is>
          <t>계룡저수지 인근 경지정리 되어 있는 답</t>
        </is>
      </c>
      <c r="I1585" s="5">
        <f>HYPERLINK("https://fin.land.naver.com/articles/2645200509", "매물Link")</f>
        <v/>
      </c>
      <c r="J1585" s="5">
        <f>HYPERLINK("https://map.naver.com/p/search/나성동 829", "지도Link")</f>
        <v/>
      </c>
      <c r="K1585" s="5">
        <f>HYPERLINK("http://www.eum.go.kr/web/ar/lu/luLandDet.jsp?pnu=3611010700108290000&amp;isNoScr=script&amp;mode=search", "토지이음")</f>
        <v/>
      </c>
      <c r="L1585" s="3" t="inlineStr">
        <is>
          <t>귀빈</t>
        </is>
      </c>
      <c r="M1585" s="3" t="n">
        <v>1</v>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3" t="inlineStr">
        <is>
          <t>주말농장 또는 묘지 용지로 추천합니다</t>
        </is>
      </c>
      <c r="I1586" s="5">
        <f>HYPERLINK("https://fin.land.naver.com/articles/2645204157", "매물Link")</f>
        <v/>
      </c>
      <c r="J1586" s="5">
        <f>HYPERLINK("https://map.naver.com/p/search/나성동 829", "지도Link")</f>
        <v/>
      </c>
      <c r="K1586" s="5">
        <f>HYPERLINK("http://www.eum.go.kr/web/ar/lu/luLandDet.jsp?pnu=3611010700108290000&amp;isNoScr=script&amp;mode=search", "토지이음")</f>
        <v/>
      </c>
      <c r="L1586" s="3" t="inlineStr">
        <is>
          <t>초심</t>
        </is>
      </c>
      <c r="M1586" s="3" t="n">
        <v>1</v>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3" t="inlineStr">
        <is>
          <t>시세 대비 저렴한 1종일반주거지역.</t>
        </is>
      </c>
      <c r="I1587" s="5">
        <f>HYPERLINK("https://fin.land.naver.com/articles/2645343416", "매물Link")</f>
        <v/>
      </c>
      <c r="J1587" s="5">
        <f>HYPERLINK("https://map.naver.com/p/search/나성동 829", "지도Link")</f>
        <v/>
      </c>
      <c r="K1587" s="5">
        <f>HYPERLINK("http://www.eum.go.kr/web/ar/lu/luLandDet.jsp?pnu=3611010700108290000&amp;isNoScr=script&amp;mode=search", "토지이음")</f>
        <v/>
      </c>
      <c r="L1587" s="3" t="inlineStr">
        <is>
          <t>이레</t>
        </is>
      </c>
      <c r="M1587" s="3" t="n">
        <v>1</v>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3" t="inlineStr">
        <is>
          <t>nan</t>
        </is>
      </c>
      <c r="I1588" s="5">
        <f>HYPERLINK("https://fin.land.naver.com/articles/2646218301", "매물Link")</f>
        <v/>
      </c>
      <c r="J1588" s="5">
        <f>HYPERLINK("https://map.naver.com/p/search/나성동 829", "지도Link")</f>
        <v/>
      </c>
      <c r="K1588" s="5">
        <f>HYPERLINK("http://www.eum.go.kr/web/ar/lu/luLandDet.jsp?pnu=3611010700108290000&amp;isNoScr=script&amp;mode=search", "토지이음")</f>
        <v/>
      </c>
      <c r="L1588" s="3" t="inlineStr">
        <is>
          <t>우리</t>
        </is>
      </c>
      <c r="M1588" s="3" t="n">
        <v>1</v>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3" t="inlineStr">
        <is>
          <t>주택1동, 정원이 잘 관리되었음.</t>
        </is>
      </c>
      <c r="I1589" s="5">
        <f>HYPERLINK("https://fin.land.naver.com/articles/2647253437", "매물Link")</f>
        <v/>
      </c>
      <c r="J1589" s="5">
        <f>HYPERLINK("https://map.naver.com/p/search/나성동 829", "지도Link")</f>
        <v/>
      </c>
      <c r="K1589" s="5">
        <f>HYPERLINK("http://www.eum.go.kr/web/ar/lu/luLandDet.jsp?pnu=3611010700108290000&amp;isNoScr=script&amp;mode=search", "토지이음")</f>
        <v/>
      </c>
      <c r="L1589" s="3" t="inlineStr">
        <is>
          <t>정림탑</t>
        </is>
      </c>
      <c r="M1589" s="3" t="n">
        <v>1</v>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3" t="inlineStr">
        <is>
          <t>nan</t>
        </is>
      </c>
      <c r="I1590" s="5">
        <f>HYPERLINK("https://fin.land.naver.com/articles/2647678504", "매물Link")</f>
        <v/>
      </c>
      <c r="J1590" s="5">
        <f>HYPERLINK("https://map.naver.com/p/search/나성동 829", "지도Link")</f>
        <v/>
      </c>
      <c r="K1590" s="5">
        <f>HYPERLINK("http://www.eum.go.kr/web/ar/lu/luLandDet.jsp?pnu=3611010700108290000&amp;isNoScr=script&amp;mode=search", "토지이음")</f>
        <v/>
      </c>
      <c r="L1590" s="3" t="inlineStr">
        <is>
          <t>도안우미린사랑무소</t>
        </is>
      </c>
      <c r="M1590" s="3" t="n">
        <v>1</v>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3" t="inlineStr">
        <is>
          <t>nan</t>
        </is>
      </c>
      <c r="I1591" s="5">
        <f>HYPERLINK("https://fin.land.naver.com/articles/2647813698", "매물Link")</f>
        <v/>
      </c>
      <c r="J1591" s="5">
        <f>HYPERLINK("https://map.naver.com/p/search/나성동 829", "지도Link")</f>
        <v/>
      </c>
      <c r="K1591" s="5">
        <f>HYPERLINK("http://www.eum.go.kr/web/ar/lu/luLandDet.jsp?pnu=3611010700108290000&amp;isNoScr=script&amp;mode=search", "토지이음")</f>
        <v/>
      </c>
      <c r="L1591" s="3" t="inlineStr">
        <is>
          <t>뉴미래로</t>
        </is>
      </c>
      <c r="M1591" s="3" t="n">
        <v>1</v>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3" t="inlineStr">
        <is>
          <t>1.대로변에 인접함
2. 창고.식당. 카페등 용도로 사용가능</t>
        </is>
      </c>
      <c r="I1592" s="5">
        <f>HYPERLINK("https://fin.land.naver.com/articles/2648080557", "매물Link")</f>
        <v/>
      </c>
      <c r="J1592" s="5">
        <f>HYPERLINK("https://map.naver.com/p/search/나성동 829", "지도Link")</f>
        <v/>
      </c>
      <c r="K1592" s="5">
        <f>HYPERLINK("http://www.eum.go.kr/web/ar/lu/luLandDet.jsp?pnu=3611010700108290000&amp;isNoScr=script&amp;mode=search", "토지이음")</f>
        <v/>
      </c>
      <c r="L1592" s="3" t="inlineStr">
        <is>
          <t>사랑채</t>
        </is>
      </c>
      <c r="M1592" s="3" t="n">
        <v>1</v>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3" t="inlineStr">
        <is>
          <t>지목은 답, 전으로 이용중, 엄사중학교 경계에서 0.15㎞, 농막포함</t>
        </is>
      </c>
      <c r="I1593" s="5">
        <f>HYPERLINK("https://fin.land.naver.com/articles/2649506424", "매물Link")</f>
        <v/>
      </c>
      <c r="J1593" s="5">
        <f>HYPERLINK("https://map.naver.com/p/search/나성동 829", "지도Link")</f>
        <v/>
      </c>
      <c r="K1593" s="5">
        <f>HYPERLINK("http://www.eum.go.kr/web/ar/lu/luLandDet.jsp?pnu=3611010700108290000&amp;isNoScr=script&amp;mode=search", "토지이음")</f>
        <v/>
      </c>
      <c r="L1593" s="3" t="inlineStr">
        <is>
          <t>파라디아</t>
        </is>
      </c>
      <c r="M1593" s="3" t="n">
        <v>2</v>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3" t="inlineStr">
        <is>
          <t>도시지역 인근임야</t>
        </is>
      </c>
      <c r="I1594" s="5">
        <f>HYPERLINK("https://fin.land.naver.com/articles/2645271320", "매물Link")</f>
        <v/>
      </c>
      <c r="J1594" s="5">
        <f>HYPERLINK("https://map.naver.com/p/search/나성동 829", "지도Link")</f>
        <v/>
      </c>
      <c r="K1594" s="5">
        <f>HYPERLINK("http://www.eum.go.kr/web/ar/lu/luLandDet.jsp?pnu=3611010700108290000&amp;isNoScr=script&amp;mode=search", "토지이음")</f>
        <v/>
      </c>
      <c r="L1594" s="3" t="inlineStr">
        <is>
          <t>세원</t>
        </is>
      </c>
      <c r="M1594" s="3" t="n">
        <v>1</v>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3" t="inlineStr">
        <is>
          <t>자연부락에 위치, 지목은 임야이나 현재 전으로 이용중. 전원주택지로 좋음</t>
        </is>
      </c>
      <c r="I1595" s="5">
        <f>HYPERLINK("https://fin.land.naver.com/articles/2650006438", "매물Link")</f>
        <v/>
      </c>
      <c r="J1595" s="5">
        <f>HYPERLINK("https://map.naver.com/p/search/나성동 829", "지도Link")</f>
        <v/>
      </c>
      <c r="K1595" s="5">
        <f>HYPERLINK("http://www.eum.go.kr/web/ar/lu/luLandDet.jsp?pnu=3611010700108290000&amp;isNoScr=script&amp;mode=search", "토지이음")</f>
        <v/>
      </c>
      <c r="L1595" s="3" t="inlineStr">
        <is>
          <t>파라디아</t>
        </is>
      </c>
      <c r="M1595" s="3" t="n">
        <v>1</v>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3" t="inlineStr">
        <is>
          <t>평당 246만원 소액 투자 도심 속 명당 텃밭 및 전원주택지 매도</t>
        </is>
      </c>
      <c r="I1596" s="5">
        <f>HYPERLINK("https://fin.land.naver.com/articles/2645322695", "매물Link")</f>
        <v/>
      </c>
      <c r="J1596" s="5">
        <f>HYPERLINK("https://map.naver.com/p/search/나성동 829", "지도Link")</f>
        <v/>
      </c>
      <c r="K1596" s="5">
        <f>HYPERLINK("http://www.eum.go.kr/web/ar/lu/luLandDet.jsp?pnu=3611010700108290000&amp;isNoScr=script&amp;mode=search", "토지이음")</f>
        <v/>
      </c>
      <c r="L1596" s="3" t="inlineStr">
        <is>
          <t>귀빈</t>
        </is>
      </c>
      <c r="M1596" s="3" t="n">
        <v>1</v>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3" t="inlineStr">
        <is>
          <t>Point 대전 인근 도로 접근성 좋음 주말농장용</t>
        </is>
      </c>
      <c r="I1597" s="5">
        <f>HYPERLINK("https://fin.land.naver.com/articles/2643911980", "매물Link")</f>
        <v/>
      </c>
      <c r="J1597" s="5">
        <f>HYPERLINK("https://map.naver.com/p/search/나성동 829", "지도Link")</f>
        <v/>
      </c>
      <c r="K1597" s="5">
        <f>HYPERLINK("http://www.eum.go.kr/web/ar/lu/luLandDet.jsp?pnu=3611010700108290000&amp;isNoScr=script&amp;mode=search", "토지이음")</f>
        <v/>
      </c>
      <c r="L1597" s="3" t="inlineStr">
        <is>
          <t>도마호반</t>
        </is>
      </c>
      <c r="M1597" s="3" t="n">
        <v>1</v>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3" t="inlineStr">
        <is>
          <t>맑은 계곡물이 흐르는 무릉도원의 전원주택지, 개밣행위 완료</t>
        </is>
      </c>
      <c r="I1598" s="5">
        <f>HYPERLINK("https://fin.land.naver.com/articles/2645875952", "매물Link")</f>
        <v/>
      </c>
      <c r="J1598" s="5">
        <f>HYPERLINK("https://map.naver.com/p/search/나성동 829", "지도Link")</f>
        <v/>
      </c>
      <c r="K1598" s="5">
        <f>HYPERLINK("http://www.eum.go.kr/web/ar/lu/luLandDet.jsp?pnu=3611010700108290000&amp;isNoScr=script&amp;mode=search", "토지이음")</f>
        <v/>
      </c>
      <c r="L1598" s="3" t="inlineStr">
        <is>
          <t>뉴계룡</t>
        </is>
      </c>
      <c r="M1598" s="3" t="n">
        <v>1</v>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3" t="inlineStr">
        <is>
          <t>급매가격, 도심에 인접한 토지, 전원주택, 창고, 농원등 용지로 적합함.</t>
        </is>
      </c>
      <c r="I1599" s="5">
        <f>HYPERLINK("https://fin.land.naver.com/articles/2649616520", "매물Link")</f>
        <v/>
      </c>
      <c r="J1599" s="5">
        <f>HYPERLINK("https://map.naver.com/p/search/나성동 829", "지도Link")</f>
        <v/>
      </c>
      <c r="K1599" s="5">
        <f>HYPERLINK("http://www.eum.go.kr/web/ar/lu/luLandDet.jsp?pnu=3611010700108290000&amp;isNoScr=script&amp;mode=search", "토지이음")</f>
        <v/>
      </c>
      <c r="L1599" s="3" t="inlineStr">
        <is>
          <t>뉴계룡</t>
        </is>
      </c>
      <c r="M1599" s="3" t="n">
        <v>1</v>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3" t="inlineStr">
        <is>
          <t>nan</t>
        </is>
      </c>
      <c r="I1600" s="5">
        <f>HYPERLINK("https://fin.land.naver.com/articles/2646217862", "매물Link")</f>
        <v/>
      </c>
      <c r="J1600" s="5">
        <f>HYPERLINK("https://map.naver.com/p/search/나성동 829", "지도Link")</f>
        <v/>
      </c>
      <c r="K1600" s="5">
        <f>HYPERLINK("http://www.eum.go.kr/web/ar/lu/luLandDet.jsp?pnu=3611010700108290000&amp;isNoScr=script&amp;mode=search", "토지이음")</f>
        <v/>
      </c>
      <c r="L1600" s="3" t="inlineStr">
        <is>
          <t>우리</t>
        </is>
      </c>
      <c r="M1600" s="3" t="n">
        <v>1</v>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3" t="inlineStr">
        <is>
          <t>Point 지목 대 주변 시세보다 저렴한 토지</t>
        </is>
      </c>
      <c r="I1601" s="5">
        <f>HYPERLINK("https://fin.land.naver.com/articles/2643911991", "매물Link")</f>
        <v/>
      </c>
      <c r="J1601" s="5">
        <f>HYPERLINK("https://map.naver.com/p/search/나성동 829", "지도Link")</f>
        <v/>
      </c>
      <c r="K1601" s="5">
        <f>HYPERLINK("http://www.eum.go.kr/web/ar/lu/luLandDet.jsp?pnu=3611010700108290000&amp;isNoScr=script&amp;mode=search", "토지이음")</f>
        <v/>
      </c>
      <c r="L1601" s="3" t="inlineStr">
        <is>
          <t>도마호반</t>
        </is>
      </c>
      <c r="M1601" s="3" t="n">
        <v>1</v>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3" t="inlineStr">
        <is>
          <t>준주거지역,주변아파트 단지 신축예정.</t>
        </is>
      </c>
      <c r="I1602" s="5">
        <f>HYPERLINK("https://fin.land.naver.com/articles/2646780479", "매물Link")</f>
        <v/>
      </c>
      <c r="J1602" s="5">
        <f>HYPERLINK("https://map.naver.com/p/search/나성동 829", "지도Link")</f>
        <v/>
      </c>
      <c r="K1602" s="5">
        <f>HYPERLINK("http://www.eum.go.kr/web/ar/lu/luLandDet.jsp?pnu=3611010700108290000&amp;isNoScr=script&amp;mode=search", "토지이음")</f>
        <v/>
      </c>
      <c r="L1602" s="3" t="inlineStr">
        <is>
          <t>포스코</t>
        </is>
      </c>
      <c r="M1602" s="3" t="n">
        <v>1</v>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3" t="inlineStr">
        <is>
          <t>매매가 저렴한 농소리 택지,1종 일반주거지역 상가주택 건축가능,</t>
        </is>
      </c>
      <c r="I1603" s="5">
        <f>HYPERLINK("https://fin.land.naver.com/articles/2646893053", "매물Link")</f>
        <v/>
      </c>
      <c r="J1603" s="5">
        <f>HYPERLINK("https://map.naver.com/p/search/나성동 829", "지도Link")</f>
        <v/>
      </c>
      <c r="K1603" s="5">
        <f>HYPERLINK("http://www.eum.go.kr/web/ar/lu/luLandDet.jsp?pnu=3611010700108290000&amp;isNoScr=script&amp;mode=search", "토지이음")</f>
        <v/>
      </c>
      <c r="L1603" s="3" t="inlineStr">
        <is>
          <t>포스코</t>
        </is>
      </c>
      <c r="M1603" s="3" t="n">
        <v>1</v>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3" t="inlineStr">
        <is>
          <t>왕대리 나대지,분할가능,제1종일반주거지역,3미터이상도로접함.계룡ic 인근</t>
        </is>
      </c>
      <c r="I1604" s="5">
        <f>HYPERLINK("https://fin.land.naver.com/articles/2647675460", "매물Link")</f>
        <v/>
      </c>
      <c r="J1604" s="5">
        <f>HYPERLINK("https://map.naver.com/p/search/나성동 829", "지도Link")</f>
        <v/>
      </c>
      <c r="K1604" s="5">
        <f>HYPERLINK("http://www.eum.go.kr/web/ar/lu/luLandDet.jsp?pnu=3611010700108290000&amp;isNoScr=script&amp;mode=search", "토지이음")</f>
        <v/>
      </c>
      <c r="L1604" s="3" t="inlineStr">
        <is>
          <t>도안우미린사랑무소</t>
        </is>
      </c>
      <c r="M1604" s="3" t="n">
        <v>1</v>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3" t="inlineStr">
        <is>
          <t>채운몀 면사무소 가까운 곳에 위치</t>
        </is>
      </c>
      <c r="I1605" s="5">
        <f>HYPERLINK("https://fin.land.naver.com/articles/2645207685", "매물Link")</f>
        <v/>
      </c>
      <c r="J1605" s="5">
        <f>HYPERLINK("https://map.naver.com/p/search/나성동 829", "지도Link")</f>
        <v/>
      </c>
      <c r="K1605" s="5">
        <f>HYPERLINK("http://www.eum.go.kr/web/ar/lu/luLandDet.jsp?pnu=3611010700108290000&amp;isNoScr=script&amp;mode=search", "토지이음")</f>
        <v/>
      </c>
      <c r="L1605" s="3" t="inlineStr">
        <is>
          <t>초심</t>
        </is>
      </c>
      <c r="M1605" s="3" t="n">
        <v>1</v>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3" t="inlineStr">
        <is>
          <t>시설하우스 용지</t>
        </is>
      </c>
      <c r="I1606" s="5">
        <f>HYPERLINK("https://fin.land.naver.com/articles/2645786247", "매물Link")</f>
        <v/>
      </c>
      <c r="J1606" s="5">
        <f>HYPERLINK("https://map.naver.com/p/search/나성동 829", "지도Link")</f>
        <v/>
      </c>
      <c r="K1606" s="5">
        <f>HYPERLINK("http://www.eum.go.kr/web/ar/lu/luLandDet.jsp?pnu=3611010700108290000&amp;isNoScr=script&amp;mode=search", "토지이음")</f>
        <v/>
      </c>
      <c r="L1606" s="3" t="inlineStr">
        <is>
          <t>재형</t>
        </is>
      </c>
      <c r="M1606" s="3" t="n">
        <v>1</v>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3" t="inlineStr">
        <is>
          <t>도로접하고 계획관리이며 주택지로 좋음</t>
        </is>
      </c>
      <c r="I1607" s="5">
        <f>HYPERLINK("https://fin.land.naver.com/articles/2649752646", "매물Link")</f>
        <v/>
      </c>
      <c r="J1607" s="5">
        <f>HYPERLINK("https://map.naver.com/p/search/나성동 829", "지도Link")</f>
        <v/>
      </c>
      <c r="K1607" s="5">
        <f>HYPERLINK("http://www.eum.go.kr/web/ar/lu/luLandDet.jsp?pnu=3611010700108290000&amp;isNoScr=script&amp;mode=search", "토지이음")</f>
        <v/>
      </c>
      <c r="L1607" s="3" t="inlineStr">
        <is>
          <t>재형</t>
        </is>
      </c>
      <c r="M1607" s="3" t="n">
        <v>1</v>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3" t="inlineStr">
        <is>
          <t>계획관리지역 2차선 접 창고 등</t>
        </is>
      </c>
      <c r="I1608" s="5">
        <f>HYPERLINK("https://fin.land.naver.com/articles/2649754116", "매물Link")</f>
        <v/>
      </c>
      <c r="J1608" s="5">
        <f>HYPERLINK("https://map.naver.com/p/search/나성동 829", "지도Link")</f>
        <v/>
      </c>
      <c r="K1608" s="5">
        <f>HYPERLINK("http://www.eum.go.kr/web/ar/lu/luLandDet.jsp?pnu=3611010700108290000&amp;isNoScr=script&amp;mode=search", "토지이음")</f>
        <v/>
      </c>
      <c r="L1608" s="3" t="inlineStr">
        <is>
          <t>재형</t>
        </is>
      </c>
      <c r="M1608" s="3" t="n">
        <v>1</v>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3" t="inlineStr">
        <is>
          <t>도로접한 직사각형 대지 계획관리</t>
        </is>
      </c>
      <c r="I1609" s="5">
        <f>HYPERLINK("https://fin.land.naver.com/articles/2649755477", "매물Link")</f>
        <v/>
      </c>
      <c r="J1609" s="5">
        <f>HYPERLINK("https://map.naver.com/p/search/나성동 829", "지도Link")</f>
        <v/>
      </c>
      <c r="K1609" s="5">
        <f>HYPERLINK("http://www.eum.go.kr/web/ar/lu/luLandDet.jsp?pnu=3611010700108290000&amp;isNoScr=script&amp;mode=search", "토지이음")</f>
        <v/>
      </c>
      <c r="L1609" s="3" t="inlineStr">
        <is>
          <t>재형</t>
        </is>
      </c>
      <c r="M1609" s="3" t="n">
        <v>1</v>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3" t="inlineStr">
        <is>
          <t>건물신축가능</t>
        </is>
      </c>
      <c r="I1610" s="5">
        <f>HYPERLINK("https://fin.land.naver.com/articles/2644862589", "매물Link")</f>
        <v/>
      </c>
      <c r="J1610" s="5">
        <f>HYPERLINK("https://map.naver.com/p/search/나성동 829", "지도Link")</f>
        <v/>
      </c>
      <c r="K1610" s="5">
        <f>HYPERLINK("http://www.eum.go.kr/web/ar/lu/luLandDet.jsp?pnu=3611010700108290000&amp;isNoScr=script&amp;mode=search", "토지이음")</f>
        <v/>
      </c>
      <c r="L1610" s="3" t="inlineStr">
        <is>
          <t>큰나무공인증개사사무소</t>
        </is>
      </c>
      <c r="M1610" s="3" t="n">
        <v>1</v>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3" t="inlineStr">
        <is>
          <t>농지원부 필요한분 투자</t>
        </is>
      </c>
      <c r="I1611" s="5">
        <f>HYPERLINK("https://fin.land.naver.com/articles/2644869105", "매물Link")</f>
        <v/>
      </c>
      <c r="J1611" s="5">
        <f>HYPERLINK("https://map.naver.com/p/search/나성동 829", "지도Link")</f>
        <v/>
      </c>
      <c r="K1611" s="5">
        <f>HYPERLINK("http://www.eum.go.kr/web/ar/lu/luLandDet.jsp?pnu=3611010700108290000&amp;isNoScr=script&amp;mode=search", "토지이음")</f>
        <v/>
      </c>
      <c r="L1611" s="3" t="inlineStr">
        <is>
          <t>큰나무공인증개사사무소</t>
        </is>
      </c>
      <c r="M1611" s="3" t="n">
        <v>1</v>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3" t="inlineStr">
        <is>
          <t>논산강경 4차선 도로,채운면사무소 인근에 위치한 개발행위 가능한 토지</t>
        </is>
      </c>
      <c r="I1612" s="5">
        <f>HYPERLINK("https://fin.land.naver.com/articles/2645206468", "매물Link")</f>
        <v/>
      </c>
      <c r="J1612" s="5">
        <f>HYPERLINK("https://map.naver.com/p/search/나성동 829", "지도Link")</f>
        <v/>
      </c>
      <c r="K1612" s="5">
        <f>HYPERLINK("http://www.eum.go.kr/web/ar/lu/luLandDet.jsp?pnu=3611010700108290000&amp;isNoScr=script&amp;mode=search", "토지이음")</f>
        <v/>
      </c>
      <c r="L1612" s="3" t="inlineStr">
        <is>
          <t>초심</t>
        </is>
      </c>
      <c r="M1612" s="3" t="n">
        <v>1</v>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3" t="inlineStr">
        <is>
          <t>2차선변, 계획관리, 허가필, 토목공사 완료</t>
        </is>
      </c>
      <c r="I1613" s="5">
        <f>HYPERLINK("https://fin.land.naver.com/articles/2645309656", "매물Link")</f>
        <v/>
      </c>
      <c r="J1613" s="5">
        <f>HYPERLINK("https://map.naver.com/p/search/나성동 829", "지도Link")</f>
        <v/>
      </c>
      <c r="K1613" s="5">
        <f>HYPERLINK("http://www.eum.go.kr/web/ar/lu/luLandDet.jsp?pnu=3611010700108290000&amp;isNoScr=script&amp;mode=search", "토지이음")</f>
        <v/>
      </c>
      <c r="L1613" s="3" t="inlineStr">
        <is>
          <t>에이플러스</t>
        </is>
      </c>
      <c r="M1613" s="3" t="n">
        <v>1</v>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3" t="inlineStr">
        <is>
          <t>산자락아래 교통좋은 전원주택지</t>
        </is>
      </c>
      <c r="I1614" s="5">
        <f>HYPERLINK("https://fin.land.naver.com/articles/2648143477", "매물Link")</f>
        <v/>
      </c>
      <c r="J1614" s="5">
        <f>HYPERLINK("https://map.naver.com/p/search/나성동 829", "지도Link")</f>
        <v/>
      </c>
      <c r="K1614" s="5">
        <f>HYPERLINK("http://www.eum.go.kr/web/ar/lu/luLandDet.jsp?pnu=3611010700108290000&amp;isNoScr=script&amp;mode=search", "토지이음")</f>
        <v/>
      </c>
      <c r="L1614" s="3" t="inlineStr">
        <is>
          <t>에이플러스</t>
        </is>
      </c>
      <c r="M1614" s="3" t="n">
        <v>1</v>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3" t="inlineStr">
        <is>
          <t>전망좋은 근생 주택지,4차선접, 허가필</t>
        </is>
      </c>
      <c r="I1615" s="5">
        <f>HYPERLINK("https://fin.land.naver.com/articles/2648145537", "매물Link")</f>
        <v/>
      </c>
      <c r="J1615" s="5">
        <f>HYPERLINK("https://map.naver.com/p/search/나성동 829", "지도Link")</f>
        <v/>
      </c>
      <c r="K1615" s="5">
        <f>HYPERLINK("http://www.eum.go.kr/web/ar/lu/luLandDet.jsp?pnu=3611010700108290000&amp;isNoScr=script&amp;mode=search", "토지이음")</f>
        <v/>
      </c>
      <c r="L1615" s="3" t="inlineStr">
        <is>
          <t>에이플러스</t>
        </is>
      </c>
      <c r="M1615" s="3" t="n">
        <v>1</v>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3" t="inlineStr">
        <is>
          <t>허가필, 주택지, 창고부지 2차선변</t>
        </is>
      </c>
      <c r="I1616" s="5">
        <f>HYPERLINK("https://fin.land.naver.com/articles/2648146570", "매물Link")</f>
        <v/>
      </c>
      <c r="J1616" s="5">
        <f>HYPERLINK("https://map.naver.com/p/search/나성동 829", "지도Link")</f>
        <v/>
      </c>
      <c r="K1616" s="5">
        <f>HYPERLINK("http://www.eum.go.kr/web/ar/lu/luLandDet.jsp?pnu=3611010700108290000&amp;isNoScr=script&amp;mode=search", "토지이음")</f>
        <v/>
      </c>
      <c r="L1616" s="3" t="inlineStr">
        <is>
          <t>에이플러스</t>
        </is>
      </c>
      <c r="M1616" s="3" t="n">
        <v>1</v>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3" t="inlineStr">
        <is>
          <t>연동하우스 2동 대추나무 90여주 포함</t>
        </is>
      </c>
      <c r="I1617" s="5">
        <f>HYPERLINK("https://fin.land.naver.com/articles/2644533963", "매물Link")</f>
        <v/>
      </c>
      <c r="J1617" s="5">
        <f>HYPERLINK("https://map.naver.com/p/search/나성동 829", "지도Link")</f>
        <v/>
      </c>
      <c r="K1617" s="5">
        <f>HYPERLINK("http://www.eum.go.kr/web/ar/lu/luLandDet.jsp?pnu=3611010700108290000&amp;isNoScr=script&amp;mode=search", "토지이음")</f>
        <v/>
      </c>
      <c r="L1617" s="3" t="inlineStr">
        <is>
          <t>재형</t>
        </is>
      </c>
      <c r="M1617" s="3" t="n">
        <v>1</v>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3" t="inlineStr">
        <is>
          <t>Point 급매, 전원주택, 반려동물 카페, 소형 야영장 추천</t>
        </is>
      </c>
      <c r="I1618" s="5">
        <f>HYPERLINK("https://fin.land.naver.com/articles/2645057727", "매물Link")</f>
        <v/>
      </c>
      <c r="J1618" s="5">
        <f>HYPERLINK("https://map.naver.com/p/search/나성동 829", "지도Link")</f>
        <v/>
      </c>
      <c r="K1618" s="5">
        <f>HYPERLINK("http://www.eum.go.kr/web/ar/lu/luLandDet.jsp?pnu=3611010700108290000&amp;isNoScr=script&amp;mode=search", "토지이음")</f>
        <v/>
      </c>
      <c r="L1618" s="3" t="inlineStr">
        <is>
          <t>도마호반</t>
        </is>
      </c>
      <c r="M1618" s="3" t="n">
        <v>1</v>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3" t="inlineStr">
        <is>
          <t>대로변 위치 광고효과, 공장, 창고, 근생시설 추천</t>
        </is>
      </c>
      <c r="I1619" s="5">
        <f>HYPERLINK("https://fin.land.naver.com/articles/2647303857", "매물Link")</f>
        <v/>
      </c>
      <c r="J1619" s="5">
        <f>HYPERLINK("https://map.naver.com/p/search/나성동 829", "지도Link")</f>
        <v/>
      </c>
      <c r="K1619" s="5">
        <f>HYPERLINK("http://www.eum.go.kr/web/ar/lu/luLandDet.jsp?pnu=3611010700108290000&amp;isNoScr=script&amp;mode=search", "토지이음")</f>
        <v/>
      </c>
      <c r="L1619" s="3" t="inlineStr">
        <is>
          <t>황해</t>
        </is>
      </c>
      <c r="M1619" s="3" t="n">
        <v>1</v>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3" t="inlineStr">
        <is>
          <t>계룡IC 및 산업,공업단지에 진입하는 큰도로변에 위치한 일반상업용 토지</t>
        </is>
      </c>
      <c r="I1620" s="5">
        <f>HYPERLINK("https://fin.land.naver.com/articles/2650023126", "매물Link")</f>
        <v/>
      </c>
      <c r="J1620" s="5">
        <f>HYPERLINK("https://map.naver.com/p/search/나성동 829", "지도Link")</f>
        <v/>
      </c>
      <c r="K1620" s="5">
        <f>HYPERLINK("http://www.eum.go.kr/web/ar/lu/luLandDet.jsp?pnu=3611010700108290000&amp;isNoScr=script&amp;mode=search", "토지이음")</f>
        <v/>
      </c>
      <c r="L1620" s="3" t="inlineStr">
        <is>
          <t>뉴계룡</t>
        </is>
      </c>
      <c r="M1620" s="3" t="n">
        <v>1</v>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3" t="inlineStr">
        <is>
          <t>주택지어서 조용하고 공기좋은 곳에서 살고싶은분 추천 시청과 보건소 인근</t>
        </is>
      </c>
      <c r="I1621" s="5">
        <f>HYPERLINK("https://fin.land.naver.com/articles/2649656740", "매물Link")</f>
        <v/>
      </c>
      <c r="J1621" s="5">
        <f>HYPERLINK("https://map.naver.com/p/search/나성동 829", "지도Link")</f>
        <v/>
      </c>
      <c r="K1621" s="5">
        <f>HYPERLINK("http://www.eum.go.kr/web/ar/lu/luLandDet.jsp?pnu=3611010700108290000&amp;isNoScr=script&amp;mode=search", "토지이음")</f>
        <v/>
      </c>
      <c r="L1621" s="3" t="inlineStr">
        <is>
          <t>신성랜드</t>
        </is>
      </c>
      <c r="M1621" s="3" t="n">
        <v>1</v>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3" t="inlineStr">
        <is>
          <t>홈플러스, 계룡역, 계룡IC, 시청으로의 접근성이 좋은 택지</t>
        </is>
      </c>
      <c r="I1622" s="5">
        <f>HYPERLINK("https://fin.land.naver.com/articles/2648751599", "매물Link")</f>
        <v/>
      </c>
      <c r="J1622" s="5">
        <f>HYPERLINK("https://map.naver.com/p/search/나성동 829", "지도Link")</f>
        <v/>
      </c>
      <c r="K1622" s="5">
        <f>HYPERLINK("http://www.eum.go.kr/web/ar/lu/luLandDet.jsp?pnu=3611010700108290000&amp;isNoScr=script&amp;mode=search", "토지이음")</f>
        <v/>
      </c>
      <c r="L1622" s="3" t="inlineStr">
        <is>
          <t>뉴계룡</t>
        </is>
      </c>
      <c r="M1622" s="3" t="n">
        <v>1</v>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3" t="inlineStr">
        <is>
          <t>시세대비 낮은가격.
시세대비 낮은가격</t>
        </is>
      </c>
      <c r="I1623" s="5">
        <f>HYPERLINK("https://fin.land.naver.com/articles/2649115160", "매물Link")</f>
        <v/>
      </c>
      <c r="J1623" s="5">
        <f>HYPERLINK("https://map.naver.com/p/search/나성동 829", "지도Link")</f>
        <v/>
      </c>
      <c r="K1623" s="5">
        <f>HYPERLINK("http://www.eum.go.kr/web/ar/lu/luLandDet.jsp?pnu=3611010700108290000&amp;isNoScr=script&amp;mode=search", "토지이음")</f>
        <v/>
      </c>
      <c r="L1623" s="3" t="inlineStr">
        <is>
          <t>굿모닝</t>
        </is>
      </c>
      <c r="M1623" s="3" t="n">
        <v>1</v>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3" t="inlineStr">
        <is>
          <t>급매. 가격조정가능해요</t>
        </is>
      </c>
      <c r="I1624" s="5">
        <f>HYPERLINK("https://fin.land.naver.com/articles/2649499391", "매물Link")</f>
        <v/>
      </c>
      <c r="J1624" s="5">
        <f>HYPERLINK("https://map.naver.com/p/search/나성동 829", "지도Link")</f>
        <v/>
      </c>
      <c r="K1624" s="5">
        <f>HYPERLINK("http://www.eum.go.kr/web/ar/lu/luLandDet.jsp?pnu=3611010700108290000&amp;isNoScr=script&amp;mode=search", "토지이음")</f>
        <v/>
      </c>
      <c r="L1624" s="3" t="inlineStr">
        <is>
          <t>문화사랑</t>
        </is>
      </c>
      <c r="M1624" s="3" t="n">
        <v>1</v>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3" t="inlineStr">
        <is>
          <t>대실지구 인접한 대지, 전원주택 및 카페하기 좋은 위치</t>
        </is>
      </c>
      <c r="I1625" s="5">
        <f>HYPERLINK("https://fin.land.naver.com/articles/2650154883", "매물Link")</f>
        <v/>
      </c>
      <c r="J1625" s="5">
        <f>HYPERLINK("https://map.naver.com/p/search/나성동 829", "지도Link")</f>
        <v/>
      </c>
      <c r="K1625" s="5">
        <f>HYPERLINK("http://www.eum.go.kr/web/ar/lu/luLandDet.jsp?pnu=3611010700108290000&amp;isNoScr=script&amp;mode=search", "토지이음")</f>
        <v/>
      </c>
      <c r="L1625" s="3" t="inlineStr">
        <is>
          <t>마중</t>
        </is>
      </c>
      <c r="M1625" s="3" t="n">
        <v>1</v>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3" t="inlineStr">
        <is>
          <t>최저가, 초중고 인접, 인기지역 점포 겸용 주택, 단독주택 추천</t>
        </is>
      </c>
      <c r="I1626" s="5">
        <f>HYPERLINK("https://fin.land.naver.com/articles/2650156030", "매물Link")</f>
        <v/>
      </c>
      <c r="J1626" s="5">
        <f>HYPERLINK("https://map.naver.com/p/search/나성동 829", "지도Link")</f>
        <v/>
      </c>
      <c r="K1626" s="5">
        <f>HYPERLINK("http://www.eum.go.kr/web/ar/lu/luLandDet.jsp?pnu=3611010700108290000&amp;isNoScr=script&amp;mode=search", "토지이음")</f>
        <v/>
      </c>
      <c r="L1626" s="3" t="inlineStr">
        <is>
          <t>마중</t>
        </is>
      </c>
      <c r="M1626" s="3" t="n">
        <v>1</v>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3" t="inlineStr">
        <is>
          <t>두계천이 흐르는 조용한 동네로 미등기 주택 있음</t>
        </is>
      </c>
      <c r="I1627" s="5">
        <f>HYPERLINK("https://fin.land.naver.com/articles/2650156487", "매물Link")</f>
        <v/>
      </c>
      <c r="J1627" s="5">
        <f>HYPERLINK("https://map.naver.com/p/search/나성동 829", "지도Link")</f>
        <v/>
      </c>
      <c r="K1627" s="5">
        <f>HYPERLINK("http://www.eum.go.kr/web/ar/lu/luLandDet.jsp?pnu=3611010700108290000&amp;isNoScr=script&amp;mode=search", "토지이음")</f>
        <v/>
      </c>
      <c r="L1627" s="3" t="inlineStr">
        <is>
          <t>마중</t>
        </is>
      </c>
      <c r="M1627" s="3" t="n">
        <v>1</v>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3" t="inlineStr">
        <is>
          <t>도로접, 계룡IC 인접 자연녹지, 식당, 공장, 창고 용도 추천</t>
        </is>
      </c>
      <c r="I1628" s="5">
        <f>HYPERLINK("https://fin.land.naver.com/articles/2650156618", "매물Link")</f>
        <v/>
      </c>
      <c r="J1628" s="5">
        <f>HYPERLINK("https://map.naver.com/p/search/나성동 829", "지도Link")</f>
        <v/>
      </c>
      <c r="K1628" s="5">
        <f>HYPERLINK("http://www.eum.go.kr/web/ar/lu/luLandDet.jsp?pnu=3611010700108290000&amp;isNoScr=script&amp;mode=search", "토지이음")</f>
        <v/>
      </c>
      <c r="L1628" s="3" t="inlineStr">
        <is>
          <t>마중</t>
        </is>
      </c>
      <c r="M1628" s="3" t="n">
        <v>2</v>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3" t="inlineStr">
        <is>
          <t>계룡역까지 1거리 도로변에 접한 상업용 대형토지</t>
        </is>
      </c>
      <c r="I1629" s="5">
        <f>HYPERLINK("https://fin.land.naver.com/articles/2645023724", "매물Link")</f>
        <v/>
      </c>
      <c r="J1629" s="5">
        <f>HYPERLINK("https://map.naver.com/p/search/나성동 829", "지도Link")</f>
        <v/>
      </c>
      <c r="K1629" s="5">
        <f>HYPERLINK("http://www.eum.go.kr/web/ar/lu/luLandDet.jsp?pnu=3611010700108290000&amp;isNoScr=script&amp;mode=search", "토지이음")</f>
        <v/>
      </c>
      <c r="L1629" s="3" t="inlineStr">
        <is>
          <t>뉴계룡</t>
        </is>
      </c>
      <c r="M1629" s="3" t="n">
        <v>1</v>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3" t="inlineStr">
        <is>
          <t>계룡하대실2지구 인근 투자용 토지</t>
        </is>
      </c>
      <c r="I1630" s="5">
        <f>HYPERLINK("https://fin.land.naver.com/articles/2647337212", "매물Link")</f>
        <v/>
      </c>
      <c r="J1630" s="5">
        <f>HYPERLINK("https://map.naver.com/p/search/나성동 829", "지도Link")</f>
        <v/>
      </c>
      <c r="K1630" s="5">
        <f>HYPERLINK("http://www.eum.go.kr/web/ar/lu/luLandDet.jsp?pnu=3611010700108290000&amp;isNoScr=script&amp;mode=search", "토지이음")</f>
        <v/>
      </c>
      <c r="L1630" s="3" t="inlineStr">
        <is>
          <t>복단지</t>
        </is>
      </c>
      <c r="M1630" s="3" t="n">
        <v>1</v>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3" t="inlineStr">
        <is>
          <t>대실지구 인근 도로접한 성토완료된 자연녹지, 근생,전원주택,투자용 최적지</t>
        </is>
      </c>
      <c r="I1631" s="5">
        <f>HYPERLINK("https://fin.land.naver.com/articles/2648277546", "매물Link")</f>
        <v/>
      </c>
      <c r="J1631" s="5">
        <f>HYPERLINK("https://map.naver.com/p/search/나성동 829", "지도Link")</f>
        <v/>
      </c>
      <c r="K1631" s="5">
        <f>HYPERLINK("http://www.eum.go.kr/web/ar/lu/luLandDet.jsp?pnu=3611010700108290000&amp;isNoScr=script&amp;mode=search", "토지이음")</f>
        <v/>
      </c>
      <c r="L1631" s="3" t="inlineStr">
        <is>
          <t>마중</t>
        </is>
      </c>
      <c r="M1631" s="3" t="n">
        <v>1</v>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3" t="inlineStr">
        <is>
          <t>전원주택지, 도시와 밀접</t>
        </is>
      </c>
      <c r="I1632" s="5">
        <f>HYPERLINK("https://fin.land.naver.com/articles/2644526536", "매물Link")</f>
        <v/>
      </c>
      <c r="J1632" s="5">
        <f>HYPERLINK("https://map.naver.com/p/search/나성동 829", "지도Link")</f>
        <v/>
      </c>
      <c r="K1632" s="5">
        <f>HYPERLINK("http://www.eum.go.kr/web/ar/lu/luLandDet.jsp?pnu=3611010700108290000&amp;isNoScr=script&amp;mode=search", "토지이음")</f>
        <v/>
      </c>
      <c r="L1632" s="3" t="inlineStr">
        <is>
          <t>참</t>
        </is>
      </c>
      <c r="M1632" s="3" t="n">
        <v>1</v>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3" t="inlineStr">
        <is>
          <t>초등학교와 주민센터가 가까운 조용하고 공기맑은 1종일반 주택지입니다</t>
        </is>
      </c>
      <c r="I1633" s="5">
        <f>HYPERLINK("https://fin.land.naver.com/articles/2650107086", "매물Link")</f>
        <v/>
      </c>
      <c r="J1633" s="5">
        <f>HYPERLINK("https://map.naver.com/p/search/나성동 829", "지도Link")</f>
        <v/>
      </c>
      <c r="K1633" s="5">
        <f>HYPERLINK("http://www.eum.go.kr/web/ar/lu/luLandDet.jsp?pnu=3611010700108290000&amp;isNoScr=script&amp;mode=search", "토지이음")</f>
        <v/>
      </c>
      <c r="L1633" s="3" t="inlineStr">
        <is>
          <t>덕명1번지</t>
        </is>
      </c>
      <c r="M1633" s="3" t="n">
        <v>2</v>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3" t="inlineStr">
        <is>
          <t>nan</t>
        </is>
      </c>
      <c r="I1634" s="5">
        <f>HYPERLINK("https://fin.land.naver.com/articles/2644578117", "매물Link")</f>
        <v/>
      </c>
      <c r="J1634" s="5">
        <f>HYPERLINK("https://map.naver.com/p/search/나성동 829", "지도Link")</f>
        <v/>
      </c>
      <c r="K1634" s="5">
        <f>HYPERLINK("http://www.eum.go.kr/web/ar/lu/luLandDet.jsp?pnu=3611010700108290000&amp;isNoScr=script&amp;mode=search", "토지이음")</f>
        <v/>
      </c>
      <c r="L1634" s="3" t="inlineStr">
        <is>
          <t>다온</t>
        </is>
      </c>
      <c r="M1634" s="3" t="n">
        <v>1</v>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3" t="inlineStr">
        <is>
          <t>조용하고 공기좋은 곳에서 살고싶은분 추천 시청과 보건소 인근 조절가능</t>
        </is>
      </c>
      <c r="I1635" s="5">
        <f>HYPERLINK("https://fin.land.naver.com/articles/2644716436", "매물Link")</f>
        <v/>
      </c>
      <c r="J1635" s="5">
        <f>HYPERLINK("https://map.naver.com/p/search/나성동 829", "지도Link")</f>
        <v/>
      </c>
      <c r="K1635" s="5">
        <f>HYPERLINK("http://www.eum.go.kr/web/ar/lu/luLandDet.jsp?pnu=3611010700108290000&amp;isNoScr=script&amp;mode=search", "토지이음")</f>
        <v/>
      </c>
      <c r="L1635" s="3" t="inlineStr">
        <is>
          <t>신성랜드</t>
        </is>
      </c>
      <c r="M1635" s="3" t="n">
        <v>1</v>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3" t="inlineStr">
        <is>
          <t>주변 계룡시청및 가까운거리 3군본부, 아파트 밀집지역과가까움</t>
        </is>
      </c>
      <c r="I1636" s="5">
        <f>HYPERLINK("https://fin.land.naver.com/articles/2648110868", "매물Link")</f>
        <v/>
      </c>
      <c r="J1636" s="5">
        <f>HYPERLINK("https://map.naver.com/p/search/나성동 829", "지도Link")</f>
        <v/>
      </c>
      <c r="K1636" s="5">
        <f>HYPERLINK("http://www.eum.go.kr/web/ar/lu/luLandDet.jsp?pnu=3611010700108290000&amp;isNoScr=script&amp;mode=search", "토지이음")</f>
        <v/>
      </c>
      <c r="L1636" s="3" t="inlineStr">
        <is>
          <t>동성</t>
        </is>
      </c>
      <c r="M1636" s="3" t="n">
        <v>1</v>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3" t="inlineStr">
        <is>
          <t>nan</t>
        </is>
      </c>
      <c r="I1637" s="5">
        <f>HYPERLINK("https://fin.land.naver.com/articles/2647237692", "매물Link")</f>
        <v/>
      </c>
      <c r="J1637" s="5">
        <f>HYPERLINK("https://map.naver.com/p/search/나성동 829", "지도Link")</f>
        <v/>
      </c>
      <c r="K1637" s="5">
        <f>HYPERLINK("http://www.eum.go.kr/web/ar/lu/luLandDet.jsp?pnu=3611010700108290000&amp;isNoScr=script&amp;mode=search", "토지이음")</f>
        <v/>
      </c>
      <c r="L1637" s="3" t="inlineStr">
        <is>
          <t>강남</t>
        </is>
      </c>
      <c r="M1637" s="3" t="n">
        <v>1</v>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3" t="inlineStr">
        <is>
          <t>접근성 좋은 골프연습장 토지.지상물 일괄 매매</t>
        </is>
      </c>
      <c r="I1638" s="5">
        <f>HYPERLINK("https://fin.land.naver.com/articles/2645373139", "매물Link")</f>
        <v/>
      </c>
      <c r="J1638" s="5">
        <f>HYPERLINK("https://map.naver.com/p/search/나성동 829", "지도Link")</f>
        <v/>
      </c>
      <c r="K1638" s="5">
        <f>HYPERLINK("http://www.eum.go.kr/web/ar/lu/luLandDet.jsp?pnu=3611010700108290000&amp;isNoScr=script&amp;mode=search", "토지이음")</f>
        <v/>
      </c>
      <c r="L1638" s="3" t="inlineStr">
        <is>
          <t>정금</t>
        </is>
      </c>
      <c r="M1638" s="3" t="n">
        <v>1</v>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3" t="inlineStr">
        <is>
          <t>은진면 성평리 농림지역</t>
        </is>
      </c>
      <c r="I1639" s="5">
        <f>HYPERLINK("https://fin.land.naver.com/articles/2645925660", "매물Link")</f>
        <v/>
      </c>
      <c r="J1639" s="5">
        <f>HYPERLINK("https://map.naver.com/p/search/나성동 829", "지도Link")</f>
        <v/>
      </c>
      <c r="K1639" s="5">
        <f>HYPERLINK("http://www.eum.go.kr/web/ar/lu/luLandDet.jsp?pnu=3611010700108290000&amp;isNoScr=script&amp;mode=search", "토지이음")</f>
        <v/>
      </c>
      <c r="L1639" s="3" t="inlineStr">
        <is>
          <t>현대</t>
        </is>
      </c>
      <c r="M1639" s="3" t="n">
        <v>1</v>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3" t="inlineStr">
        <is>
          <t>건축허가 필한 전원주택 부지 매매</t>
        </is>
      </c>
      <c r="I1640" s="5">
        <f>HYPERLINK("https://fin.land.naver.com/articles/2646671357", "매물Link")</f>
        <v/>
      </c>
      <c r="J1640" s="5">
        <f>HYPERLINK("https://map.naver.com/p/search/나성동 829", "지도Link")</f>
        <v/>
      </c>
      <c r="K1640" s="5">
        <f>HYPERLINK("http://www.eum.go.kr/web/ar/lu/luLandDet.jsp?pnu=3611010700108290000&amp;isNoScr=script&amp;mode=search", "토지이음")</f>
        <v/>
      </c>
      <c r="L1640" s="3" t="inlineStr">
        <is>
          <t>한화타운</t>
        </is>
      </c>
      <c r="M1640" s="3" t="n">
        <v>1</v>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3" t="inlineStr">
        <is>
          <t>지목상 임야이나 토임.</t>
        </is>
      </c>
      <c r="I1641" s="5">
        <f>HYPERLINK("https://fin.land.naver.com/articles/2648417550", "매물Link")</f>
        <v/>
      </c>
      <c r="J1641" s="5">
        <f>HYPERLINK("https://map.naver.com/p/search/나성동 829", "지도Link")</f>
        <v/>
      </c>
      <c r="K1641" s="5">
        <f>HYPERLINK("http://www.eum.go.kr/web/ar/lu/luLandDet.jsp?pnu=3611010700108290000&amp;isNoScr=script&amp;mode=search", "토지이음")</f>
        <v/>
      </c>
      <c r="L1641" s="3" t="inlineStr">
        <is>
          <t>신화  사무소</t>
        </is>
      </c>
      <c r="M1641" s="3" t="n">
        <v>1</v>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3" t="inlineStr">
        <is>
          <t>nan</t>
        </is>
      </c>
      <c r="I1642" s="5">
        <f>HYPERLINK("https://fin.land.naver.com/articles/2648418786", "매물Link")</f>
        <v/>
      </c>
      <c r="J1642" s="5">
        <f>HYPERLINK("https://map.naver.com/p/search/나성동 829", "지도Link")</f>
        <v/>
      </c>
      <c r="K1642" s="5">
        <f>HYPERLINK("http://www.eum.go.kr/web/ar/lu/luLandDet.jsp?pnu=3611010700108290000&amp;isNoScr=script&amp;mode=search", "토지이음")</f>
        <v/>
      </c>
      <c r="L1642" s="3" t="inlineStr">
        <is>
          <t>신화  사무소</t>
        </is>
      </c>
      <c r="M1642" s="3" t="n">
        <v>1</v>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3" t="inlineStr">
        <is>
          <t>nan</t>
        </is>
      </c>
      <c r="I1643" s="5">
        <f>HYPERLINK("https://fin.land.naver.com/articles/2648419656", "매물Link")</f>
        <v/>
      </c>
      <c r="J1643" s="5">
        <f>HYPERLINK("https://map.naver.com/p/search/나성동 829", "지도Link")</f>
        <v/>
      </c>
      <c r="K1643" s="5">
        <f>HYPERLINK("http://www.eum.go.kr/web/ar/lu/luLandDet.jsp?pnu=3611010700108290000&amp;isNoScr=script&amp;mode=search", "토지이음")</f>
        <v/>
      </c>
      <c r="L1643" s="3" t="inlineStr">
        <is>
          <t>신화  사무소</t>
        </is>
      </c>
      <c r="M1643" s="3" t="n">
        <v>1</v>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3" t="inlineStr">
        <is>
          <t>복토하여 도로와 높이가 같으며, 전원주택 단지 임</t>
        </is>
      </c>
      <c r="I1644" s="5">
        <f>HYPERLINK("https://fin.land.naver.com/articles/2648420904", "매물Link")</f>
        <v/>
      </c>
      <c r="J1644" s="5">
        <f>HYPERLINK("https://map.naver.com/p/search/나성동 829", "지도Link")</f>
        <v/>
      </c>
      <c r="K1644" s="5">
        <f>HYPERLINK("http://www.eum.go.kr/web/ar/lu/luLandDet.jsp?pnu=3611010700108290000&amp;isNoScr=script&amp;mode=search", "토지이음")</f>
        <v/>
      </c>
      <c r="L1644" s="3" t="inlineStr">
        <is>
          <t>신화  사무소</t>
        </is>
      </c>
      <c r="M1644" s="3" t="n">
        <v>1</v>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3" t="inlineStr">
        <is>
          <t>nan</t>
        </is>
      </c>
      <c r="I1645" s="5">
        <f>HYPERLINK("https://fin.land.naver.com/articles/2648680310", "매물Link")</f>
        <v/>
      </c>
      <c r="J1645" s="5">
        <f>HYPERLINK("https://map.naver.com/p/search/나성동 829", "지도Link")</f>
        <v/>
      </c>
      <c r="K1645" s="5">
        <f>HYPERLINK("http://www.eum.go.kr/web/ar/lu/luLandDet.jsp?pnu=3611010700108290000&amp;isNoScr=script&amp;mode=search", "토지이음")</f>
        <v/>
      </c>
      <c r="L1645" s="3" t="inlineStr">
        <is>
          <t>신광호</t>
        </is>
      </c>
      <c r="M1645" s="3" t="n">
        <v>1</v>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3" t="inlineStr">
        <is>
          <t>양지바른 아늑한 남향 계룡시 차로 10분 전 두필지포함.가격협의.</t>
        </is>
      </c>
      <c r="I1646" s="5">
        <f>HYPERLINK("https://fin.land.naver.com/articles/2648846160", "매물Link")</f>
        <v/>
      </c>
      <c r="J1646" s="5">
        <f>HYPERLINK("https://map.naver.com/p/search/나성동 829", "지도Link")</f>
        <v/>
      </c>
      <c r="K1646" s="5">
        <f>HYPERLINK("http://www.eum.go.kr/web/ar/lu/luLandDet.jsp?pnu=3611010700108290000&amp;isNoScr=script&amp;mode=search", "토지이음")</f>
        <v/>
      </c>
      <c r="L1646" s="3" t="inlineStr">
        <is>
          <t>금보</t>
        </is>
      </c>
      <c r="M1646" s="3" t="n">
        <v>1</v>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3" t="inlineStr">
        <is>
          <t>토지모양 좋고 공기 너무 좋아요.</t>
        </is>
      </c>
      <c r="I1647" s="5">
        <f>HYPERLINK("https://fin.land.naver.com/articles/2649318601", "매물Link")</f>
        <v/>
      </c>
      <c r="J1647" s="5">
        <f>HYPERLINK("https://map.naver.com/p/search/나성동 829", "지도Link")</f>
        <v/>
      </c>
      <c r="K1647" s="5">
        <f>HYPERLINK("http://www.eum.go.kr/web/ar/lu/luLandDet.jsp?pnu=3611010700108290000&amp;isNoScr=script&amp;mode=search", "토지이음")</f>
        <v/>
      </c>
      <c r="L1647" s="3" t="inlineStr">
        <is>
          <t>동원탑무소</t>
        </is>
      </c>
      <c r="M1647" s="3" t="n">
        <v>1</v>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3" t="inlineStr">
        <is>
          <t>농장등 (하천정비 및 지하수,전기등 모든시설 완료)</t>
        </is>
      </c>
      <c r="I1648" s="5">
        <f>HYPERLINK("https://fin.land.naver.com/articles/2648417104", "매물Link")</f>
        <v/>
      </c>
      <c r="J1648" s="5">
        <f>HYPERLINK("https://map.naver.com/p/search/나성동 829", "지도Link")</f>
        <v/>
      </c>
      <c r="K1648" s="5">
        <f>HYPERLINK("http://www.eum.go.kr/web/ar/lu/luLandDet.jsp?pnu=3611010700108290000&amp;isNoScr=script&amp;mode=search", "토지이음")</f>
        <v/>
      </c>
      <c r="L1648" s="3" t="inlineStr">
        <is>
          <t>신화  사무소</t>
        </is>
      </c>
      <c r="M1648" s="3" t="n">
        <v>1</v>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3" t="inlineStr">
        <is>
          <t>무등록주택이 포함되어 있어서 수리후 사용할수 있습니다.</t>
        </is>
      </c>
      <c r="I1649" s="5">
        <f>HYPERLINK("https://fin.land.naver.com/articles/2649700057", "매물Link")</f>
        <v/>
      </c>
      <c r="J1649" s="5">
        <f>HYPERLINK("https://map.naver.com/p/search/나성동 829", "지도Link")</f>
        <v/>
      </c>
      <c r="K1649" s="5">
        <f>HYPERLINK("http://www.eum.go.kr/web/ar/lu/luLandDet.jsp?pnu=3611010700108290000&amp;isNoScr=script&amp;mode=search", "토지이음")</f>
        <v/>
      </c>
      <c r="L1649" s="3" t="inlineStr">
        <is>
          <t>모두무소</t>
        </is>
      </c>
      <c r="M1649" s="3" t="n">
        <v>1</v>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3" t="inlineStr">
        <is>
          <t>지대가 약간높은곳에 위치하여 주택지어 생활하기 좋은곳입니다.</t>
        </is>
      </c>
      <c r="I1650" s="5">
        <f>HYPERLINK("https://fin.land.naver.com/articles/2649702492", "매물Link")</f>
        <v/>
      </c>
      <c r="J1650" s="5">
        <f>HYPERLINK("https://map.naver.com/p/search/나성동 829", "지도Link")</f>
        <v/>
      </c>
      <c r="K1650" s="5">
        <f>HYPERLINK("http://www.eum.go.kr/web/ar/lu/luLandDet.jsp?pnu=3611010700108290000&amp;isNoScr=script&amp;mode=search", "토지이음")</f>
        <v/>
      </c>
      <c r="L1650" s="3" t="inlineStr">
        <is>
          <t>모두무소</t>
        </is>
      </c>
      <c r="M1650" s="3" t="n">
        <v>1</v>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3" t="inlineStr">
        <is>
          <t>nan</t>
        </is>
      </c>
      <c r="I1651" s="5">
        <f>HYPERLINK("https://fin.land.naver.com/articles/2650061690", "매물Link")</f>
        <v/>
      </c>
      <c r="J1651" s="5">
        <f>HYPERLINK("https://map.naver.com/p/search/나성동 829", "지도Link")</f>
        <v/>
      </c>
      <c r="K1651" s="5">
        <f>HYPERLINK("http://www.eum.go.kr/web/ar/lu/luLandDet.jsp?pnu=3611010700108290000&amp;isNoScr=script&amp;mode=search", "토지이음")</f>
        <v/>
      </c>
      <c r="L1651" s="3" t="inlineStr">
        <is>
          <t>에이스</t>
        </is>
      </c>
      <c r="M1651" s="3" t="n">
        <v>1</v>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3" t="inlineStr">
        <is>
          <t>조용하게 사생활 침해 없이 전원 생활하기 좋은 위치</t>
        </is>
      </c>
      <c r="I1652" s="5">
        <f>HYPERLINK("https://fin.land.naver.com/articles/2650155214", "매물Link")</f>
        <v/>
      </c>
      <c r="J1652" s="5">
        <f>HYPERLINK("https://map.naver.com/p/search/나성동 829", "지도Link")</f>
        <v/>
      </c>
      <c r="K1652" s="5">
        <f>HYPERLINK("http://www.eum.go.kr/web/ar/lu/luLandDet.jsp?pnu=3611010700108290000&amp;isNoScr=script&amp;mode=search", "토지이음")</f>
        <v/>
      </c>
      <c r="L1652" s="3" t="inlineStr">
        <is>
          <t>마중</t>
        </is>
      </c>
      <c r="M1652" s="3" t="n">
        <v>1</v>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3" t="inlineStr">
        <is>
          <t>마을입구에 있는 토지로 주말농장이나 농촌체류형쉼터로 분할매매가능합니다.</t>
        </is>
      </c>
      <c r="I1653" s="5">
        <f>HYPERLINK("https://fin.land.naver.com/articles/2649700841", "매물Link")</f>
        <v/>
      </c>
      <c r="J1653" s="5">
        <f>HYPERLINK("https://map.naver.com/p/search/나성동 829", "지도Link")</f>
        <v/>
      </c>
      <c r="K1653" s="5">
        <f>HYPERLINK("http://www.eum.go.kr/web/ar/lu/luLandDet.jsp?pnu=3611010700108290000&amp;isNoScr=script&amp;mode=search", "토지이음")</f>
        <v/>
      </c>
      <c r="L1653" s="3" t="inlineStr">
        <is>
          <t>모두무소</t>
        </is>
      </c>
      <c r="M1653" s="3" t="n">
        <v>1</v>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3" t="inlineStr">
        <is>
          <t>현재 무허가 주택 있음 , 수리하여 사용가능함, 방2개,주방.거실등</t>
        </is>
      </c>
      <c r="I1654" s="5">
        <f>HYPERLINK("https://fin.land.naver.com/articles/2648416538", "매물Link")</f>
        <v/>
      </c>
      <c r="J1654" s="5">
        <f>HYPERLINK("https://map.naver.com/p/search/나성동 829", "지도Link")</f>
        <v/>
      </c>
      <c r="K1654" s="5">
        <f>HYPERLINK("http://www.eum.go.kr/web/ar/lu/luLandDet.jsp?pnu=3611010700108290000&amp;isNoScr=script&amp;mode=search", "토지이음")</f>
        <v/>
      </c>
      <c r="L1654" s="3" t="inlineStr">
        <is>
          <t>신화  사무소</t>
        </is>
      </c>
      <c r="M1654" s="3" t="n">
        <v>1</v>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3" t="inlineStr">
        <is>
          <t>nan</t>
        </is>
      </c>
      <c r="I1655" s="5">
        <f>HYPERLINK("https://fin.land.naver.com/articles/2648415937", "매물Link")</f>
        <v/>
      </c>
      <c r="J1655" s="5">
        <f>HYPERLINK("https://map.naver.com/p/search/나성동 829", "지도Link")</f>
        <v/>
      </c>
      <c r="K1655" s="5">
        <f>HYPERLINK("http://www.eum.go.kr/web/ar/lu/luLandDet.jsp?pnu=3611010700108290000&amp;isNoScr=script&amp;mode=search", "토지이음")</f>
        <v/>
      </c>
      <c r="L1655" s="3" t="inlineStr">
        <is>
          <t>신화  사무소</t>
        </is>
      </c>
      <c r="M1655" s="3" t="n">
        <v>1</v>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3" t="inlineStr">
        <is>
          <t>농지원부,주말농장.전원주택 필요하신분</t>
        </is>
      </c>
      <c r="I1656" s="5">
        <f>HYPERLINK("https://fin.land.naver.com/articles/2648415751", "매물Link")</f>
        <v/>
      </c>
      <c r="J1656" s="5">
        <f>HYPERLINK("https://map.naver.com/p/search/나성동 829", "지도Link")</f>
        <v/>
      </c>
      <c r="K1656" s="5">
        <f>HYPERLINK("http://www.eum.go.kr/web/ar/lu/luLandDet.jsp?pnu=3611010700108290000&amp;isNoScr=script&amp;mode=search", "토지이음")</f>
        <v/>
      </c>
      <c r="L1656" s="3" t="inlineStr">
        <is>
          <t>신화  사무소</t>
        </is>
      </c>
      <c r="M1656" s="3" t="n">
        <v>1</v>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3" t="inlineStr">
        <is>
          <t>nan</t>
        </is>
      </c>
      <c r="I1657" s="5">
        <f>HYPERLINK("https://fin.land.naver.com/articles/2646238503", "매물Link")</f>
        <v/>
      </c>
      <c r="J1657" s="5">
        <f>HYPERLINK("https://map.naver.com/p/search/나성동 829", "지도Link")</f>
        <v/>
      </c>
      <c r="K1657" s="5">
        <f>HYPERLINK("http://www.eum.go.kr/web/ar/lu/luLandDet.jsp?pnu=3611010700108290000&amp;isNoScr=script&amp;mode=search", "토지이음")</f>
        <v/>
      </c>
      <c r="L1657" s="3" t="inlineStr">
        <is>
          <t>가수원당근</t>
        </is>
      </c>
      <c r="M1657" s="3" t="n">
        <v>1</v>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3" t="inlineStr">
        <is>
          <t>Poin 근린생활시설 신축 용도,계획관리지역, 땅 모양 좋음, 도로 접함</t>
        </is>
      </c>
      <c r="I1658" s="5">
        <f>HYPERLINK("https://fin.land.naver.com/articles/2647900256", "매물Link")</f>
        <v/>
      </c>
      <c r="J1658" s="5">
        <f>HYPERLINK("https://map.naver.com/p/search/나성동 829", "지도Link")</f>
        <v/>
      </c>
      <c r="K1658" s="5">
        <f>HYPERLINK("http://www.eum.go.kr/web/ar/lu/luLandDet.jsp?pnu=3611010700108290000&amp;isNoScr=script&amp;mode=search", "토지이음")</f>
        <v/>
      </c>
      <c r="L1658" s="3" t="inlineStr">
        <is>
          <t>도마호반</t>
        </is>
      </c>
      <c r="M1658" s="3" t="n">
        <v>1</v>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3" t="inlineStr">
        <is>
          <t>맑은물과 산이 접한 환상적인 토지로 사업성이 매우 높은 저렴한 대형 땅</t>
        </is>
      </c>
      <c r="I1659" s="5">
        <f>HYPERLINK("https://fin.land.naver.com/articles/2647488147", "매물Link")</f>
        <v/>
      </c>
      <c r="J1659" s="5">
        <f>HYPERLINK("https://map.naver.com/p/search/나성동 829", "지도Link")</f>
        <v/>
      </c>
      <c r="K1659" s="5">
        <f>HYPERLINK("http://www.eum.go.kr/web/ar/lu/luLandDet.jsp?pnu=3611010700108290000&amp;isNoScr=script&amp;mode=search", "토지이음")</f>
        <v/>
      </c>
      <c r="L1659" s="3" t="inlineStr">
        <is>
          <t>뉴계룡</t>
        </is>
      </c>
      <c r="M1659" s="3" t="n">
        <v>1</v>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3" t="inlineStr">
        <is>
          <t>급매, 공장창고부지, 계획관리, 2차선도로변, 주변도로확장착공</t>
        </is>
      </c>
      <c r="I1660" s="5">
        <f>HYPERLINK("https://fin.land.naver.com/articles/2649560174", "매물Link")</f>
        <v/>
      </c>
      <c r="J1660" s="5">
        <f>HYPERLINK("https://map.naver.com/p/search/나성동 829", "지도Link")</f>
        <v/>
      </c>
      <c r="K1660" s="5">
        <f>HYPERLINK("http://www.eum.go.kr/web/ar/lu/luLandDet.jsp?pnu=3611010700108290000&amp;isNoScr=script&amp;mode=search", "토지이음")</f>
        <v/>
      </c>
      <c r="L1660" s="3" t="inlineStr">
        <is>
          <t>OK허니</t>
        </is>
      </c>
      <c r="M1660" s="3" t="n">
        <v>1</v>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3" t="inlineStr">
        <is>
          <t>nan</t>
        </is>
      </c>
      <c r="I1661" s="5">
        <f>HYPERLINK("https://fin.land.naver.com/articles/2648411473", "매물Link")</f>
        <v/>
      </c>
      <c r="J1661" s="5">
        <f>HYPERLINK("https://map.naver.com/p/search/나성동 829", "지도Link")</f>
        <v/>
      </c>
      <c r="K1661" s="5">
        <f>HYPERLINK("http://www.eum.go.kr/web/ar/lu/luLandDet.jsp?pnu=3611010700108290000&amp;isNoScr=script&amp;mode=search", "토지이음")</f>
        <v/>
      </c>
      <c r="L1661" s="3" t="inlineStr">
        <is>
          <t>OK허니</t>
        </is>
      </c>
      <c r="M1661" s="3" t="n">
        <v>1</v>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3" t="inlineStr">
        <is>
          <t>수락전원마을 토지 매매, 전원주택 부지 최고 위치, 급매 처분</t>
        </is>
      </c>
      <c r="I1662" s="5">
        <f>HYPERLINK("https://fin.land.naver.com/articles/2649653306", "매물Link")</f>
        <v/>
      </c>
      <c r="J1662" s="5">
        <f>HYPERLINK("https://map.naver.com/p/search/나성동 829", "지도Link")</f>
        <v/>
      </c>
      <c r="K1662" s="5">
        <f>HYPERLINK("http://www.eum.go.kr/web/ar/lu/luLandDet.jsp?pnu=3611010700108290000&amp;isNoScr=script&amp;mode=search", "토지이음")</f>
        <v/>
      </c>
      <c r="L1662" s="3" t="inlineStr">
        <is>
          <t>혜성</t>
        </is>
      </c>
      <c r="M1662" s="3" t="n">
        <v>1</v>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3" t="inlineStr">
        <is>
          <t>대전 인근의 시세대비 저렴한 나대지, 즉시 건축가능</t>
        </is>
      </c>
      <c r="I1663" s="5">
        <f>HYPERLINK("https://fin.land.naver.com/articles/2645343667", "매물Link")</f>
        <v/>
      </c>
      <c r="J1663" s="5">
        <f>HYPERLINK("https://map.naver.com/p/search/나성동 829", "지도Link")</f>
        <v/>
      </c>
      <c r="K1663" s="5">
        <f>HYPERLINK("http://www.eum.go.kr/web/ar/lu/luLandDet.jsp?pnu=3611010700108290000&amp;isNoScr=script&amp;mode=search", "토지이음")</f>
        <v/>
      </c>
      <c r="L1663" s="3" t="inlineStr">
        <is>
          <t>이레</t>
        </is>
      </c>
      <c r="M1663" s="3" t="n">
        <v>1</v>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3" t="inlineStr">
        <is>
          <t>계룡산 자락의 전형적인 전원주택지로 적합.</t>
        </is>
      </c>
      <c r="I1664" s="5">
        <f>HYPERLINK("https://fin.land.naver.com/articles/2645343818", "매물Link")</f>
        <v/>
      </c>
      <c r="J1664" s="5">
        <f>HYPERLINK("https://map.naver.com/p/search/나성동 829", "지도Link")</f>
        <v/>
      </c>
      <c r="K1664" s="5">
        <f>HYPERLINK("http://www.eum.go.kr/web/ar/lu/luLandDet.jsp?pnu=3611010700108290000&amp;isNoScr=script&amp;mode=search", "토지이음")</f>
        <v/>
      </c>
      <c r="L1664" s="3" t="inlineStr">
        <is>
          <t>이레</t>
        </is>
      </c>
      <c r="M1664" s="3" t="n">
        <v>1</v>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3" t="inlineStr">
        <is>
          <t>일반상업지역이고 삼거리에 있는 토지입니다.
투자가치 최상입니다.</t>
        </is>
      </c>
      <c r="I1665" s="5">
        <f>HYPERLINK("https://fin.land.naver.com/articles/2646186564", "매물Link")</f>
        <v/>
      </c>
      <c r="J1665" s="5">
        <f>HYPERLINK("https://map.naver.com/p/search/나성동 829", "지도Link")</f>
        <v/>
      </c>
      <c r="K1665" s="5">
        <f>HYPERLINK("http://www.eum.go.kr/web/ar/lu/luLandDet.jsp?pnu=3611010700108290000&amp;isNoScr=script&amp;mode=search", "토지이음")</f>
        <v/>
      </c>
      <c r="L1665" s="3" t="inlineStr">
        <is>
          <t>하이스트정원</t>
        </is>
      </c>
      <c r="M1665" s="3" t="n">
        <v>1</v>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3" t="inlineStr">
        <is>
          <t>도로옆 토지로서 주택지 가능 및 기타 용도(주변유실수 있음)</t>
        </is>
      </c>
      <c r="I1666" s="5">
        <f>HYPERLINK("https://fin.land.naver.com/articles/2647316172", "매물Link")</f>
        <v/>
      </c>
      <c r="J1666" s="5">
        <f>HYPERLINK("https://map.naver.com/p/search/나성동 829", "지도Link")</f>
        <v/>
      </c>
      <c r="K1666" s="5">
        <f>HYPERLINK("http://www.eum.go.kr/web/ar/lu/luLandDet.jsp?pnu=3611010700108290000&amp;isNoScr=script&amp;mode=search", "토지이음")</f>
        <v/>
      </c>
      <c r="L1666" s="3" t="inlineStr">
        <is>
          <t>로또</t>
        </is>
      </c>
      <c r="M1666" s="3" t="n">
        <v>2</v>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3" t="inlineStr">
        <is>
          <t>대전에서 30분이내거리 앞이 확트여서 전망이 좋음</t>
        </is>
      </c>
      <c r="I1667" s="5">
        <f>HYPERLINK("https://fin.land.naver.com/articles/2647349332", "매물Link")</f>
        <v/>
      </c>
      <c r="J1667" s="5">
        <f>HYPERLINK("https://map.naver.com/p/search/나성동 829", "지도Link")</f>
        <v/>
      </c>
      <c r="K1667" s="5">
        <f>HYPERLINK("http://www.eum.go.kr/web/ar/lu/luLandDet.jsp?pnu=3611010700108290000&amp;isNoScr=script&amp;mode=search", "토지이음")</f>
        <v/>
      </c>
      <c r="L1667" s="3" t="inlineStr">
        <is>
          <t>스타</t>
        </is>
      </c>
      <c r="M1667" s="3" t="n">
        <v>1</v>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3" t="inlineStr">
        <is>
          <t>nan</t>
        </is>
      </c>
      <c r="I1668" s="5">
        <f>HYPERLINK("https://fin.land.naver.com/articles/2647813110", "매물Link")</f>
        <v/>
      </c>
      <c r="J1668" s="5">
        <f>HYPERLINK("https://map.naver.com/p/search/나성동 829", "지도Link")</f>
        <v/>
      </c>
      <c r="K1668" s="5">
        <f>HYPERLINK("http://www.eum.go.kr/web/ar/lu/luLandDet.jsp?pnu=3611010700108290000&amp;isNoScr=script&amp;mode=search", "토지이음")</f>
        <v/>
      </c>
      <c r="L1668" s="3" t="inlineStr">
        <is>
          <t>뉴미래로</t>
        </is>
      </c>
      <c r="M1668" s="3" t="n">
        <v>1</v>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3" t="inlineStr">
        <is>
          <t>nan</t>
        </is>
      </c>
      <c r="I1669" s="5">
        <f>HYPERLINK("https://fin.land.naver.com/articles/2648144490", "매물Link")</f>
        <v/>
      </c>
      <c r="J1669" s="5">
        <f>HYPERLINK("https://map.naver.com/p/search/나성동 829", "지도Link")</f>
        <v/>
      </c>
      <c r="K1669" s="5">
        <f>HYPERLINK("http://www.eum.go.kr/web/ar/lu/luLandDet.jsp?pnu=3611010700108290000&amp;isNoScr=script&amp;mode=search", "토지이음")</f>
        <v/>
      </c>
      <c r="L1669" s="3" t="inlineStr">
        <is>
          <t>가경</t>
        </is>
      </c>
      <c r="M1669" s="3" t="n">
        <v>1</v>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3" t="inlineStr">
        <is>
          <t>연산하나로마트 5분, 자연녹지,관정, 전기있음, 전원주택,공장,창고 추천</t>
        </is>
      </c>
      <c r="I1670" s="5">
        <f>HYPERLINK("https://fin.land.naver.com/articles/2650155353", "매물Link")</f>
        <v/>
      </c>
      <c r="J1670" s="5">
        <f>HYPERLINK("https://map.naver.com/p/search/나성동 829", "지도Link")</f>
        <v/>
      </c>
      <c r="K1670" s="5">
        <f>HYPERLINK("http://www.eum.go.kr/web/ar/lu/luLandDet.jsp?pnu=3611010700108290000&amp;isNoScr=script&amp;mode=search", "토지이음")</f>
        <v/>
      </c>
      <c r="L1670" s="3" t="inlineStr">
        <is>
          <t>마중</t>
        </is>
      </c>
      <c r="M1670" s="3" t="n">
        <v>1</v>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3" t="inlineStr">
        <is>
          <t>신양리 전원주택 단지가 내려다 보이는 조망 좋은 위치 귀한 매물</t>
        </is>
      </c>
      <c r="I1671" s="5">
        <f>HYPERLINK("https://fin.land.naver.com/articles/2650156152", "매물Link")</f>
        <v/>
      </c>
      <c r="J1671" s="5">
        <f>HYPERLINK("https://map.naver.com/p/search/나성동 829", "지도Link")</f>
        <v/>
      </c>
      <c r="K1671" s="5">
        <f>HYPERLINK("http://www.eum.go.kr/web/ar/lu/luLandDet.jsp?pnu=3611010700108290000&amp;isNoScr=script&amp;mode=search", "토지이음")</f>
        <v/>
      </c>
      <c r="L1671" s="3" t="inlineStr">
        <is>
          <t>마중</t>
        </is>
      </c>
      <c r="M1671" s="3" t="n">
        <v>1</v>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3" t="inlineStr">
        <is>
          <t>조망 좋은 위치로 관정, 전기 시설 완료 된 토지</t>
        </is>
      </c>
      <c r="I1672" s="5">
        <f>HYPERLINK("https://fin.land.naver.com/articles/2650156325", "매물Link")</f>
        <v/>
      </c>
      <c r="J1672" s="5">
        <f>HYPERLINK("https://map.naver.com/p/search/나성동 829", "지도Link")</f>
        <v/>
      </c>
      <c r="K1672" s="5">
        <f>HYPERLINK("http://www.eum.go.kr/web/ar/lu/luLandDet.jsp?pnu=3611010700108290000&amp;isNoScr=script&amp;mode=search", "토지이음")</f>
        <v/>
      </c>
      <c r="L1672" s="3" t="inlineStr">
        <is>
          <t>마중</t>
        </is>
      </c>
      <c r="M1672" s="3" t="n">
        <v>1</v>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3" t="inlineStr">
        <is>
          <t>경치좋고 공기 좋은곳 노유자 시설및 전원주택 추천드려요</t>
        </is>
      </c>
      <c r="I1673" s="5">
        <f>HYPERLINK("https://fin.land.naver.com/articles/2649266774", "매물Link")</f>
        <v/>
      </c>
      <c r="J1673" s="5">
        <f>HYPERLINK("https://map.naver.com/p/search/나성동 829", "지도Link")</f>
        <v/>
      </c>
      <c r="K1673" s="5">
        <f>HYPERLINK("http://www.eum.go.kr/web/ar/lu/luLandDet.jsp?pnu=3611010700108290000&amp;isNoScr=script&amp;mode=search", "토지이음")</f>
        <v/>
      </c>
      <c r="L1673" s="3" t="inlineStr">
        <is>
          <t>자이행복</t>
        </is>
      </c>
      <c r="M1673" s="3" t="n">
        <v>1</v>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3" t="inlineStr">
        <is>
          <t>4차선접,진입로넓음,주기장,공업사추천,토지매매,나대지임대,건축후임대가능</t>
        </is>
      </c>
      <c r="I1674" s="5">
        <f>HYPERLINK("https://fin.land.naver.com/articles/2648411474", "매물Link")</f>
        <v/>
      </c>
      <c r="J1674" s="5">
        <f>HYPERLINK("https://map.naver.com/p/search/나성동 829", "지도Link")</f>
        <v/>
      </c>
      <c r="K1674" s="5">
        <f>HYPERLINK("http://www.eum.go.kr/web/ar/lu/luLandDet.jsp?pnu=3611010700108290000&amp;isNoScr=script&amp;mode=search", "토지이음")</f>
        <v/>
      </c>
      <c r="L1674" s="3" t="inlineStr">
        <is>
          <t>OK허니</t>
        </is>
      </c>
      <c r="M1674" s="3" t="n">
        <v>1</v>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3" t="inlineStr">
        <is>
          <t>대형 나대지임대,분할가능,건축협의,4차선접,트레일러진입,건축협의,전기있음</t>
        </is>
      </c>
      <c r="I1675" s="5">
        <f>HYPERLINK("https://fin.land.naver.com/articles/2648411476", "매물Link")</f>
        <v/>
      </c>
      <c r="J1675" s="5">
        <f>HYPERLINK("https://map.naver.com/p/search/나성동 829", "지도Link")</f>
        <v/>
      </c>
      <c r="K1675" s="5">
        <f>HYPERLINK("http://www.eum.go.kr/web/ar/lu/luLandDet.jsp?pnu=3611010700108290000&amp;isNoScr=script&amp;mode=search", "토지이음")</f>
        <v/>
      </c>
      <c r="L1675" s="3" t="inlineStr">
        <is>
          <t>OK허니</t>
        </is>
      </c>
      <c r="M1675" s="3" t="n">
        <v>1</v>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3" t="inlineStr">
        <is>
          <t>경영체 등록 적당 함
아개울 저수지 옆</t>
        </is>
      </c>
      <c r="I1676" s="5">
        <f>HYPERLINK("https://fin.land.naver.com/articles/2645845479", "매물Link")</f>
        <v/>
      </c>
      <c r="J1676" s="5">
        <f>HYPERLINK("https://map.naver.com/p/search/나성동 829", "지도Link")</f>
        <v/>
      </c>
      <c r="K1676" s="5">
        <f>HYPERLINK("http://www.eum.go.kr/web/ar/lu/luLandDet.jsp?pnu=3611010700108290000&amp;isNoScr=script&amp;mode=search", "토지이음")</f>
        <v/>
      </c>
      <c r="L1676" s="3" t="inlineStr">
        <is>
          <t>스마트  사무소</t>
        </is>
      </c>
      <c r="M1676" s="3" t="n">
        <v>1</v>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3" t="inlineStr">
        <is>
          <t>nan</t>
        </is>
      </c>
      <c r="I1677" s="5">
        <f>HYPERLINK("https://fin.land.naver.com/articles/2646216319", "매물Link")</f>
        <v/>
      </c>
      <c r="J1677" s="5">
        <f>HYPERLINK("https://map.naver.com/p/search/나성동 829", "지도Link")</f>
        <v/>
      </c>
      <c r="K1677" s="5">
        <f>HYPERLINK("http://www.eum.go.kr/web/ar/lu/luLandDet.jsp?pnu=3611010700108290000&amp;isNoScr=script&amp;mode=search", "토지이음")</f>
        <v/>
      </c>
      <c r="L1677" s="3" t="inlineStr">
        <is>
          <t>우리</t>
        </is>
      </c>
      <c r="M1677" s="3" t="n">
        <v>1</v>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3" t="inlineStr">
        <is>
          <t>현포도 연동하우스8동 농장시설 완비. 주거시설 되어있음 방2 화장실2</t>
        </is>
      </c>
      <c r="I1678" s="5">
        <f>HYPERLINK("https://fin.land.naver.com/articles/2647598471", "매물Link")</f>
        <v/>
      </c>
      <c r="J1678" s="5">
        <f>HYPERLINK("https://map.naver.com/p/search/나성동 829", "지도Link")</f>
        <v/>
      </c>
      <c r="K1678" s="5">
        <f>HYPERLINK("http://www.eum.go.kr/web/ar/lu/luLandDet.jsp?pnu=3611010700108290000&amp;isNoScr=script&amp;mode=search", "토지이음")</f>
        <v/>
      </c>
      <c r="L1678" s="3" t="inlineStr">
        <is>
          <t>삼보</t>
        </is>
      </c>
      <c r="M1678" s="3" t="n">
        <v>2</v>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3" t="inlineStr">
        <is>
          <t>nan</t>
        </is>
      </c>
      <c r="I1679" s="5">
        <f>HYPERLINK("https://fin.land.naver.com/articles/2648091979", "매물Link")</f>
        <v/>
      </c>
      <c r="J1679" s="5">
        <f>HYPERLINK("https://map.naver.com/p/search/나성동 829", "지도Link")</f>
        <v/>
      </c>
      <c r="K1679" s="5">
        <f>HYPERLINK("http://www.eum.go.kr/web/ar/lu/luLandDet.jsp?pnu=3611010700108290000&amp;isNoScr=script&amp;mode=search", "토지이음")</f>
        <v/>
      </c>
      <c r="L1679" s="3" t="inlineStr">
        <is>
          <t>유성베스트</t>
        </is>
      </c>
      <c r="M1679" s="3" t="n">
        <v>1</v>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3" t="inlineStr">
        <is>
          <t>생태공원인근 2차선접</t>
        </is>
      </c>
      <c r="I1680" s="5">
        <f>HYPERLINK("https://fin.land.naver.com/articles/2648144977", "매물Link")</f>
        <v/>
      </c>
      <c r="J1680" s="5">
        <f>HYPERLINK("https://map.naver.com/p/search/나성동 829", "지도Link")</f>
        <v/>
      </c>
      <c r="K1680" s="5">
        <f>HYPERLINK("http://www.eum.go.kr/web/ar/lu/luLandDet.jsp?pnu=3611010700108290000&amp;isNoScr=script&amp;mode=search", "토지이음")</f>
        <v/>
      </c>
      <c r="L1680" s="3" t="inlineStr">
        <is>
          <t>에이플러스</t>
        </is>
      </c>
      <c r="M1680" s="3" t="n">
        <v>1</v>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3" t="inlineStr">
        <is>
          <t>탑정호 인근 농지</t>
        </is>
      </c>
      <c r="I1681" s="5">
        <f>HYPERLINK("https://fin.land.naver.com/articles/2648145941", "매물Link")</f>
        <v/>
      </c>
      <c r="J1681" s="5">
        <f>HYPERLINK("https://map.naver.com/p/search/나성동 829", "지도Link")</f>
        <v/>
      </c>
      <c r="K1681" s="5">
        <f>HYPERLINK("http://www.eum.go.kr/web/ar/lu/luLandDet.jsp?pnu=3611010700108290000&amp;isNoScr=script&amp;mode=search", "토지이음")</f>
        <v/>
      </c>
      <c r="L1681" s="3" t="inlineStr">
        <is>
          <t>에이플러스</t>
        </is>
      </c>
      <c r="M1681" s="3" t="n">
        <v>1</v>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3" t="inlineStr">
        <is>
          <t>부적면소재지에 위치한 계획관리지역</t>
        </is>
      </c>
      <c r="I1682" s="5">
        <f>HYPERLINK("https://fin.land.naver.com/articles/2648385510", "매물Link")</f>
        <v/>
      </c>
      <c r="J1682" s="5">
        <f>HYPERLINK("https://map.naver.com/p/search/나성동 829", "지도Link")</f>
        <v/>
      </c>
      <c r="K1682" s="5">
        <f>HYPERLINK("http://www.eum.go.kr/web/ar/lu/luLandDet.jsp?pnu=3611010700108290000&amp;isNoScr=script&amp;mode=search", "토지이음")</f>
        <v/>
      </c>
      <c r="L1682" s="3" t="inlineStr">
        <is>
          <t>초심</t>
        </is>
      </c>
      <c r="M1682" s="3" t="n">
        <v>1</v>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3" t="inlineStr">
        <is>
          <t>nan</t>
        </is>
      </c>
      <c r="I1683" s="5">
        <f>HYPERLINK("https://fin.land.naver.com/articles/2648421913", "매물Link")</f>
        <v/>
      </c>
      <c r="J1683" s="5">
        <f>HYPERLINK("https://map.naver.com/p/search/나성동 829", "지도Link")</f>
        <v/>
      </c>
      <c r="K1683" s="5">
        <f>HYPERLINK("http://www.eum.go.kr/web/ar/lu/luLandDet.jsp?pnu=3611010700108290000&amp;isNoScr=script&amp;mode=search", "토지이음")</f>
        <v/>
      </c>
      <c r="L1683" s="3" t="inlineStr">
        <is>
          <t>신화  사무소</t>
        </is>
      </c>
      <c r="M1683" s="3" t="n">
        <v>1</v>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3" t="inlineStr">
        <is>
          <t>마을내에 있습니다.</t>
        </is>
      </c>
      <c r="I1684" s="5">
        <f>HYPERLINK("https://fin.land.naver.com/articles/2649100762", "매물Link")</f>
        <v/>
      </c>
      <c r="J1684" s="5">
        <f>HYPERLINK("https://map.naver.com/p/search/나성동 829", "지도Link")</f>
        <v/>
      </c>
      <c r="K1684" s="5">
        <f>HYPERLINK("http://www.eum.go.kr/web/ar/lu/luLandDet.jsp?pnu=3611010700108290000&amp;isNoScr=script&amp;mode=search", "토지이음")</f>
        <v/>
      </c>
      <c r="L1684" s="3" t="inlineStr">
        <is>
          <t>동행</t>
        </is>
      </c>
      <c r="M1684" s="3" t="n">
        <v>1</v>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3" t="inlineStr">
        <is>
          <t>논산시 탑정호 인근의 전원주택, 팬션용으로 설계되고, 작업된 토지.</t>
        </is>
      </c>
      <c r="I1685" s="5">
        <f>HYPERLINK("https://fin.land.naver.com/articles/2649174305", "매물Link")</f>
        <v/>
      </c>
      <c r="J1685" s="5">
        <f>HYPERLINK("https://map.naver.com/p/search/나성동 829", "지도Link")</f>
        <v/>
      </c>
      <c r="K1685" s="5">
        <f>HYPERLINK("http://www.eum.go.kr/web/ar/lu/luLandDet.jsp?pnu=3611010700108290000&amp;isNoScr=script&amp;mode=search", "토지이음")</f>
        <v/>
      </c>
      <c r="L1685" s="3" t="inlineStr">
        <is>
          <t>삼보</t>
        </is>
      </c>
      <c r="M1685" s="3" t="n">
        <v>1</v>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3" t="inlineStr">
        <is>
          <t>탑정호 경관 수려하며 교통 좋아 커피숍 가든 편의점 별장 최상급 투자매물</t>
        </is>
      </c>
      <c r="I1686" s="5">
        <f>HYPERLINK("https://fin.land.naver.com/articles/2644941640", "매물Link")</f>
        <v/>
      </c>
      <c r="J1686" s="5">
        <f>HYPERLINK("https://map.naver.com/p/search/나성동 829", "지도Link")</f>
        <v/>
      </c>
      <c r="K1686" s="5">
        <f>HYPERLINK("http://www.eum.go.kr/web/ar/lu/luLandDet.jsp?pnu=3611010700108290000&amp;isNoScr=script&amp;mode=search", "토지이음")</f>
        <v/>
      </c>
      <c r="L1686" s="3" t="inlineStr">
        <is>
          <t>뉴태양</t>
        </is>
      </c>
      <c r="M1686" s="3" t="n">
        <v>1</v>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3" t="inlineStr">
        <is>
          <t>1번국도 근접 접근성 좋음 연산면 돈암선원 인근 주말농장</t>
        </is>
      </c>
      <c r="I1687" s="5">
        <f>HYPERLINK("https://fin.land.naver.com/articles/2649249003", "매물Link")</f>
        <v/>
      </c>
      <c r="J1687" s="5">
        <f>HYPERLINK("https://map.naver.com/p/search/나성동 829", "지도Link")</f>
        <v/>
      </c>
      <c r="K1687" s="5">
        <f>HYPERLINK("http://www.eum.go.kr/web/ar/lu/luLandDet.jsp?pnu=3611010700108290000&amp;isNoScr=script&amp;mode=search", "토지이음")</f>
        <v/>
      </c>
      <c r="L1687" s="3" t="inlineStr">
        <is>
          <t>큰복</t>
        </is>
      </c>
      <c r="M1687" s="3" t="n">
        <v>1</v>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3" t="inlineStr">
        <is>
          <t>nan</t>
        </is>
      </c>
      <c r="I1688" s="5">
        <f>HYPERLINK("https://fin.land.naver.com/articles/2645625320", "매물Link")</f>
        <v/>
      </c>
      <c r="J1688" s="5">
        <f>HYPERLINK("https://map.naver.com/p/search/나성동 829", "지도Link")</f>
        <v/>
      </c>
      <c r="K1688" s="5">
        <f>HYPERLINK("http://www.eum.go.kr/web/ar/lu/luLandDet.jsp?pnu=3611010700108290000&amp;isNoScr=script&amp;mode=search", "토지이음")</f>
        <v/>
      </c>
      <c r="L1688" s="3" t="inlineStr">
        <is>
          <t>스마트</t>
        </is>
      </c>
      <c r="M1688" s="3" t="n">
        <v>1</v>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3" t="inlineStr">
        <is>
          <t>나대지 매매 1종 일반주거지역 접근성 좋음 연산역 주변 창고등 적합한 대</t>
        </is>
      </c>
      <c r="I1689" s="5">
        <f>HYPERLINK("https://fin.land.naver.com/articles/2649246052", "매물Link")</f>
        <v/>
      </c>
      <c r="J1689" s="5">
        <f>HYPERLINK("https://map.naver.com/p/search/나성동 829", "지도Link")</f>
        <v/>
      </c>
      <c r="K1689" s="5">
        <f>HYPERLINK("http://www.eum.go.kr/web/ar/lu/luLandDet.jsp?pnu=3611010700108290000&amp;isNoScr=script&amp;mode=search", "토지이음")</f>
        <v/>
      </c>
      <c r="L1689" s="3" t="inlineStr">
        <is>
          <t>큰복</t>
        </is>
      </c>
      <c r="M1689" s="3" t="n">
        <v>1</v>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3" t="inlineStr">
        <is>
          <t>연산면 일원 토지 매매 전원주택 적합 남향 터</t>
        </is>
      </c>
      <c r="I1690" s="5">
        <f>HYPERLINK("https://fin.land.naver.com/articles/2649235592", "매물Link")</f>
        <v/>
      </c>
      <c r="J1690" s="5">
        <f>HYPERLINK("https://map.naver.com/p/search/나성동 829", "지도Link")</f>
        <v/>
      </c>
      <c r="K1690" s="5">
        <f>HYPERLINK("http://www.eum.go.kr/web/ar/lu/luLandDet.jsp?pnu=3611010700108290000&amp;isNoScr=script&amp;mode=search", "토지이음")</f>
        <v/>
      </c>
      <c r="L1690" s="3" t="inlineStr">
        <is>
          <t>큰복</t>
        </is>
      </c>
      <c r="M1690" s="3" t="n">
        <v>1</v>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3" t="inlineStr">
        <is>
          <t>연산사거리 약3분거리,국도변 매물로 용도다양하게 활용가능한 우수한 매물</t>
        </is>
      </c>
      <c r="I1691" s="5">
        <f>HYPERLINK("https://fin.land.naver.com/articles/2644877518", "매물Link")</f>
        <v/>
      </c>
      <c r="J1691" s="5">
        <f>HYPERLINK("https://map.naver.com/p/search/나성동 829", "지도Link")</f>
        <v/>
      </c>
      <c r="K1691" s="5">
        <f>HYPERLINK("http://www.eum.go.kr/web/ar/lu/luLandDet.jsp?pnu=3611010700108290000&amp;isNoScr=script&amp;mode=search", "토지이음")</f>
        <v/>
      </c>
      <c r="L1691" s="3" t="inlineStr">
        <is>
          <t>에이스</t>
        </is>
      </c>
      <c r="M1691" s="3" t="n">
        <v>1</v>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3" t="inlineStr">
        <is>
          <t>Point 대전 근교 인근계획관리, 시세보다 저렴, 전원주택지 추천</t>
        </is>
      </c>
      <c r="I1692" s="5">
        <f>HYPERLINK("https://fin.land.naver.com/articles/2645050920", "매물Link")</f>
        <v/>
      </c>
      <c r="J1692" s="5">
        <f>HYPERLINK("https://map.naver.com/p/search/나성동 829", "지도Link")</f>
        <v/>
      </c>
      <c r="K1692" s="5">
        <f>HYPERLINK("http://www.eum.go.kr/web/ar/lu/luLandDet.jsp?pnu=3611010700108290000&amp;isNoScr=script&amp;mode=search", "토지이음")</f>
        <v/>
      </c>
      <c r="L1692" s="3" t="inlineStr">
        <is>
          <t>도마호반</t>
        </is>
      </c>
      <c r="M1692" s="3" t="n">
        <v>1</v>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3" t="inlineStr">
        <is>
          <t>개태사 인근,4차선에서 약150m이내 거리,도로조건.위치좋은 정방형 토지</t>
        </is>
      </c>
      <c r="I1693" s="5">
        <f>HYPERLINK("https://fin.land.naver.com/articles/2645539705", "매물Link")</f>
        <v/>
      </c>
      <c r="J1693" s="5">
        <f>HYPERLINK("https://map.naver.com/p/search/나성동 829", "지도Link")</f>
        <v/>
      </c>
      <c r="K1693" s="5">
        <f>HYPERLINK("http://www.eum.go.kr/web/ar/lu/luLandDet.jsp?pnu=3611010700108290000&amp;isNoScr=script&amp;mode=search", "토지이음")</f>
        <v/>
      </c>
      <c r="L1693" s="3" t="inlineStr">
        <is>
          <t>에이스</t>
        </is>
      </c>
      <c r="M1693" s="3" t="n">
        <v>1</v>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3" t="inlineStr">
        <is>
          <t>개태사 주변 4차선변 계획관리지역 물건으로 광고효과 등 뛰어나요</t>
        </is>
      </c>
      <c r="I1694" s="5">
        <f>HYPERLINK("https://fin.land.naver.com/articles/2645542672", "매물Link")</f>
        <v/>
      </c>
      <c r="J1694" s="5">
        <f>HYPERLINK("https://map.naver.com/p/search/나성동 829", "지도Link")</f>
        <v/>
      </c>
      <c r="K1694" s="5">
        <f>HYPERLINK("http://www.eum.go.kr/web/ar/lu/luLandDet.jsp?pnu=3611010700108290000&amp;isNoScr=script&amp;mode=search", "토지이음")</f>
        <v/>
      </c>
      <c r="L1694" s="3" t="inlineStr">
        <is>
          <t>에이스</t>
        </is>
      </c>
      <c r="M1694" s="3" t="n">
        <v>1</v>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3" t="inlineStr">
        <is>
          <t>4차선도로 접도,  일반1종주거지역,  연사사거리 부근</t>
        </is>
      </c>
      <c r="I1695" s="5">
        <f>HYPERLINK("https://fin.land.naver.com/articles/2645626694", "매물Link")</f>
        <v/>
      </c>
      <c r="J1695" s="5">
        <f>HYPERLINK("https://map.naver.com/p/search/나성동 829", "지도Link")</f>
        <v/>
      </c>
      <c r="K1695" s="5">
        <f>HYPERLINK("http://www.eum.go.kr/web/ar/lu/luLandDet.jsp?pnu=3611010700108290000&amp;isNoScr=script&amp;mode=search", "토지이음")</f>
        <v/>
      </c>
      <c r="L1695" s="3" t="inlineStr">
        <is>
          <t>스마트</t>
        </is>
      </c>
      <c r="M1695" s="3" t="n">
        <v>1</v>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3" t="inlineStr">
        <is>
          <t>Point 땅 모양 좋음, 지적상 도로 있음, 접근성 우수</t>
        </is>
      </c>
      <c r="I1696" s="5">
        <f>HYPERLINK("https://fin.land.naver.com/articles/2646677009", "매물Link")</f>
        <v/>
      </c>
      <c r="J1696" s="5">
        <f>HYPERLINK("https://map.naver.com/p/search/나성동 829", "지도Link")</f>
        <v/>
      </c>
      <c r="K1696" s="5">
        <f>HYPERLINK("http://www.eum.go.kr/web/ar/lu/luLandDet.jsp?pnu=3611010700108290000&amp;isNoScr=script&amp;mode=search", "토지이음")</f>
        <v/>
      </c>
      <c r="L1696" s="3" t="inlineStr">
        <is>
          <t>도마호반</t>
        </is>
      </c>
      <c r="M1696" s="3" t="n">
        <v>1</v>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3" t="inlineStr">
        <is>
          <t>nan</t>
        </is>
      </c>
      <c r="I1697" s="5">
        <f>HYPERLINK("https://fin.land.naver.com/articles/2645327201", "매물Link")</f>
        <v/>
      </c>
      <c r="J1697" s="5">
        <f>HYPERLINK("https://map.naver.com/p/search/나성동 829", "지도Link")</f>
        <v/>
      </c>
      <c r="K1697" s="5">
        <f>HYPERLINK("http://www.eum.go.kr/web/ar/lu/luLandDet.jsp?pnu=3611010700108290000&amp;isNoScr=script&amp;mode=search", "토지이음")</f>
        <v/>
      </c>
      <c r="L1697" s="3" t="inlineStr">
        <is>
          <t>월정</t>
        </is>
      </c>
      <c r="M1697" s="3" t="n">
        <v>1</v>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3" t="inlineStr">
        <is>
          <t>연산연 천호리 계획관리 토지 매매.</t>
        </is>
      </c>
      <c r="I1698" s="5">
        <f>HYPERLINK("https://fin.land.naver.com/articles/2648556651", "매물Link")</f>
        <v/>
      </c>
      <c r="J1698" s="5">
        <f>HYPERLINK("https://map.naver.com/p/search/나성동 829", "지도Link")</f>
        <v/>
      </c>
      <c r="K1698" s="5">
        <f>HYPERLINK("http://www.eum.go.kr/web/ar/lu/luLandDet.jsp?pnu=3611010700108290000&amp;isNoScr=script&amp;mode=search", "토지이음")</f>
        <v/>
      </c>
      <c r="L1698" s="3" t="inlineStr">
        <is>
          <t>세종강산</t>
        </is>
      </c>
      <c r="M1698" s="3" t="n">
        <v>1</v>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3" t="inlineStr">
        <is>
          <t>연산상월간 지방도변 연산천인접 면사무소3분생 까페 가든 창고 카센타 추천</t>
        </is>
      </c>
      <c r="I1699" s="5">
        <f>HYPERLINK("https://fin.land.naver.com/articles/2648641459", "매물Link")</f>
        <v/>
      </c>
      <c r="J1699" s="5">
        <f>HYPERLINK("https://map.naver.com/p/search/나성동 829", "지도Link")</f>
        <v/>
      </c>
      <c r="K1699" s="5">
        <f>HYPERLINK("http://www.eum.go.kr/web/ar/lu/luLandDet.jsp?pnu=3611010700108290000&amp;isNoScr=script&amp;mode=search", "토지이음")</f>
        <v/>
      </c>
      <c r="L1699" s="3" t="inlineStr">
        <is>
          <t>미래</t>
        </is>
      </c>
      <c r="M1699" s="3" t="n">
        <v>1</v>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3" t="inlineStr">
        <is>
          <t>nan</t>
        </is>
      </c>
      <c r="I1700" s="5">
        <f>HYPERLINK("https://fin.land.naver.com/articles/2648742066", "매물Link")</f>
        <v/>
      </c>
      <c r="J1700" s="5">
        <f>HYPERLINK("https://map.naver.com/p/search/나성동 829", "지도Link")</f>
        <v/>
      </c>
      <c r="K1700" s="5">
        <f>HYPERLINK("http://www.eum.go.kr/web/ar/lu/luLandDet.jsp?pnu=3611010700108290000&amp;isNoScr=script&amp;mode=search", "토지이음")</f>
        <v/>
      </c>
      <c r="L1700" s="3" t="inlineStr">
        <is>
          <t>에이스</t>
        </is>
      </c>
      <c r="M1700" s="3" t="n">
        <v>1</v>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3" t="inlineStr">
        <is>
          <t>시세대비 저렴한 토지 연산면 일원</t>
        </is>
      </c>
      <c r="I1701" s="5">
        <f>HYPERLINK("https://fin.land.naver.com/articles/2649232377", "매물Link")</f>
        <v/>
      </c>
      <c r="J1701" s="5">
        <f>HYPERLINK("https://map.naver.com/p/search/나성동 829", "지도Link")</f>
        <v/>
      </c>
      <c r="K1701" s="5">
        <f>HYPERLINK("http://www.eum.go.kr/web/ar/lu/luLandDet.jsp?pnu=3611010700108290000&amp;isNoScr=script&amp;mode=search", "토지이음")</f>
        <v/>
      </c>
      <c r="L1701" s="3" t="inlineStr">
        <is>
          <t>큰복</t>
        </is>
      </c>
      <c r="M1701" s="3" t="n">
        <v>1</v>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3" t="inlineStr">
        <is>
          <t>연산면 어은리 일원 대지 매매</t>
        </is>
      </c>
      <c r="I1702" s="5">
        <f>HYPERLINK("https://fin.land.naver.com/articles/2649244780", "매물Link")</f>
        <v/>
      </c>
      <c r="J1702" s="5">
        <f>HYPERLINK("https://map.naver.com/p/search/나성동 829", "지도Link")</f>
        <v/>
      </c>
      <c r="K1702" s="5">
        <f>HYPERLINK("http://www.eum.go.kr/web/ar/lu/luLandDet.jsp?pnu=3611010700108290000&amp;isNoScr=script&amp;mode=search", "토지이음")</f>
        <v/>
      </c>
      <c r="L1702" s="3" t="inlineStr">
        <is>
          <t>큰복</t>
        </is>
      </c>
      <c r="M1702" s="3" t="n">
        <v>1</v>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3" t="inlineStr">
        <is>
          <t>Point 산세 좋고 일조량 좋음, 현황 도로로 차량 진입 가능</t>
        </is>
      </c>
      <c r="I1703" s="5">
        <f>HYPERLINK("https://fin.land.naver.com/articles/2645329810", "매물Link")</f>
        <v/>
      </c>
      <c r="J1703" s="5">
        <f>HYPERLINK("https://map.naver.com/p/search/나성동 829", "지도Link")</f>
        <v/>
      </c>
      <c r="K1703" s="5">
        <f>HYPERLINK("http://www.eum.go.kr/web/ar/lu/luLandDet.jsp?pnu=3611010700108290000&amp;isNoScr=script&amp;mode=search", "토지이음")</f>
        <v/>
      </c>
      <c r="L1703" s="3" t="inlineStr">
        <is>
          <t>도마호반</t>
        </is>
      </c>
      <c r="M1703" s="3" t="n">
        <v>1</v>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3" t="inlineStr">
        <is>
          <t>nan</t>
        </is>
      </c>
      <c r="I1704" s="5">
        <f>HYPERLINK("https://fin.land.naver.com/articles/2644852174", "매물Link")</f>
        <v/>
      </c>
      <c r="J1704" s="5">
        <f>HYPERLINK("https://map.naver.com/p/search/나성동 829", "지도Link")</f>
        <v/>
      </c>
      <c r="K1704" s="5">
        <f>HYPERLINK("http://www.eum.go.kr/web/ar/lu/luLandDet.jsp?pnu=3611010700108290000&amp;isNoScr=script&amp;mode=search", "토지이음")</f>
        <v/>
      </c>
      <c r="L1704" s="3" t="inlineStr">
        <is>
          <t>신평</t>
        </is>
      </c>
      <c r="M1704" s="3" t="n">
        <v>1</v>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3" t="inlineStr">
        <is>
          <t>가야곡면 육곡리 총7필지 잡종지 답 전등</t>
        </is>
      </c>
      <c r="I1705" s="5">
        <f>HYPERLINK("https://fin.land.naver.com/articles/2645924216", "매물Link")</f>
        <v/>
      </c>
      <c r="J1705" s="5">
        <f>HYPERLINK("https://map.naver.com/p/search/나성동 829", "지도Link")</f>
        <v/>
      </c>
      <c r="K1705" s="5">
        <f>HYPERLINK("http://www.eum.go.kr/web/ar/lu/luLandDet.jsp?pnu=3611010700108290000&amp;isNoScr=script&amp;mode=search", "토지이음")</f>
        <v/>
      </c>
      <c r="L1705" s="3" t="inlineStr">
        <is>
          <t>현대</t>
        </is>
      </c>
      <c r="M1705" s="3" t="n">
        <v>1</v>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3" t="inlineStr">
        <is>
          <t>개발허가와 진입로로 분할하여 전원주택지로 적합 탑정호 출렁다리 뷰장관</t>
        </is>
      </c>
      <c r="I1706" s="5">
        <f>HYPERLINK("https://fin.land.naver.com/articles/2645926501", "매물Link")</f>
        <v/>
      </c>
      <c r="J1706" s="5">
        <f>HYPERLINK("https://map.naver.com/p/search/나성동 829", "지도Link")</f>
        <v/>
      </c>
      <c r="K1706" s="5">
        <f>HYPERLINK("http://www.eum.go.kr/web/ar/lu/luLandDet.jsp?pnu=3611010700108290000&amp;isNoScr=script&amp;mode=search", "토지이음")</f>
        <v/>
      </c>
      <c r="L1706" s="3" t="inlineStr">
        <is>
          <t>현대</t>
        </is>
      </c>
      <c r="M1706" s="3" t="n">
        <v>1</v>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3" t="inlineStr">
        <is>
          <t>대지와 임야로 총 2필지 감나무 30그루</t>
        </is>
      </c>
      <c r="I1707" s="5">
        <f>HYPERLINK("https://fin.land.naver.com/articles/2645929163", "매물Link")</f>
        <v/>
      </c>
      <c r="J1707" s="5">
        <f>HYPERLINK("https://map.naver.com/p/search/나성동 829", "지도Link")</f>
        <v/>
      </c>
      <c r="K1707" s="5">
        <f>HYPERLINK("http://www.eum.go.kr/web/ar/lu/luLandDet.jsp?pnu=3611010700108290000&amp;isNoScr=script&amp;mode=search", "토지이음")</f>
        <v/>
      </c>
      <c r="L1707" s="3" t="inlineStr">
        <is>
          <t>현대</t>
        </is>
      </c>
      <c r="M1707" s="3" t="n">
        <v>1</v>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3" t="inlineStr">
        <is>
          <t>가야곡면 도로접코너 버스정류장인접 주말농장토지매매</t>
        </is>
      </c>
      <c r="I1708" s="5">
        <f>HYPERLINK("https://fin.land.naver.com/articles/2646982649", "매물Link")</f>
        <v/>
      </c>
      <c r="J1708" s="5">
        <f>HYPERLINK("https://map.naver.com/p/search/나성동 829", "지도Link")</f>
        <v/>
      </c>
      <c r="K1708" s="5">
        <f>HYPERLINK("http://www.eum.go.kr/web/ar/lu/luLandDet.jsp?pnu=3611010700108290000&amp;isNoScr=script&amp;mode=search", "토지이음")</f>
        <v/>
      </c>
      <c r="L1708" s="3" t="inlineStr">
        <is>
          <t>더나은</t>
        </is>
      </c>
      <c r="M1708" s="3" t="n">
        <v>1</v>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3" t="inlineStr">
        <is>
          <t>탑정호 주변 포장도로접하고 탑정호가 조망되는 위치좋은 물건이예요</t>
        </is>
      </c>
      <c r="I1709" s="5">
        <f>HYPERLINK("https://fin.land.naver.com/articles/2649709541", "매물Link")</f>
        <v/>
      </c>
      <c r="J1709" s="5">
        <f>HYPERLINK("https://map.naver.com/p/search/나성동 829", "지도Link")</f>
        <v/>
      </c>
      <c r="K1709" s="5">
        <f>HYPERLINK("http://www.eum.go.kr/web/ar/lu/luLandDet.jsp?pnu=3611010700108290000&amp;isNoScr=script&amp;mode=search", "토지이음")</f>
        <v/>
      </c>
      <c r="L1709" s="3" t="inlineStr">
        <is>
          <t>에이스</t>
        </is>
      </c>
      <c r="M1709" s="3" t="n">
        <v>1</v>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3" t="inlineStr">
        <is>
          <t>nan</t>
        </is>
      </c>
      <c r="I1710" s="5">
        <f>HYPERLINK("https://fin.land.naver.com/articles/2644673288", "매물Link")</f>
        <v/>
      </c>
      <c r="J1710" s="5">
        <f>HYPERLINK("https://map.naver.com/p/search/나성동 829", "지도Link")</f>
        <v/>
      </c>
      <c r="K1710" s="5">
        <f>HYPERLINK("http://www.eum.go.kr/web/ar/lu/luLandDet.jsp?pnu=3611010700108290000&amp;isNoScr=script&amp;mode=search", "토지이음")</f>
        <v/>
      </c>
      <c r="L1710" s="3" t="inlineStr">
        <is>
          <t>올바름</t>
        </is>
      </c>
      <c r="M1710" s="3" t="n">
        <v>1</v>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3" t="inlineStr">
        <is>
          <t>등리 주택지로 입지가 촣음</t>
        </is>
      </c>
      <c r="I1711" s="5">
        <f>HYPERLINK("https://fin.land.naver.com/articles/2649753017", "매물Link")</f>
        <v/>
      </c>
      <c r="J1711" s="5">
        <f>HYPERLINK("https://map.naver.com/p/search/나성동 829", "지도Link")</f>
        <v/>
      </c>
      <c r="K1711" s="5">
        <f>HYPERLINK("http://www.eum.go.kr/web/ar/lu/luLandDet.jsp?pnu=3611010700108290000&amp;isNoScr=script&amp;mode=search", "토지이음")</f>
        <v/>
      </c>
      <c r="L1711" s="3" t="inlineStr">
        <is>
          <t>재형</t>
        </is>
      </c>
      <c r="M1711" s="3" t="n">
        <v>1</v>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3" t="inlineStr">
        <is>
          <t>대둔산자락 도로접한 생산관리지역, 전원주택 추천</t>
        </is>
      </c>
      <c r="I1712" s="5">
        <f>HYPERLINK("https://fin.land.naver.com/articles/2644296862", "매물Link")</f>
        <v/>
      </c>
      <c r="J1712" s="5">
        <f>HYPERLINK("https://map.naver.com/p/search/나성동 829", "지도Link")</f>
        <v/>
      </c>
      <c r="K1712" s="5">
        <f>HYPERLINK("http://www.eum.go.kr/web/ar/lu/luLandDet.jsp?pnu=3611010700108290000&amp;isNoScr=script&amp;mode=search", "토지이음")</f>
        <v/>
      </c>
      <c r="L1712" s="3" t="inlineStr">
        <is>
          <t>향촌타운</t>
        </is>
      </c>
      <c r="M1712" s="3" t="n">
        <v>1</v>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3" t="inlineStr">
        <is>
          <t>공기좋고 경치좋은 마을로 전원생활 추전합니다,</t>
        </is>
      </c>
      <c r="I1713" s="5">
        <f>HYPERLINK("https://fin.land.naver.com/articles/2644335973", "매물Link")</f>
        <v/>
      </c>
      <c r="J1713" s="5">
        <f>HYPERLINK("https://map.naver.com/p/search/나성동 829", "지도Link")</f>
        <v/>
      </c>
      <c r="K1713" s="5">
        <f>HYPERLINK("http://www.eum.go.kr/web/ar/lu/luLandDet.jsp?pnu=3611010700108290000&amp;isNoScr=script&amp;mode=search", "토지이음")</f>
        <v/>
      </c>
      <c r="L1713" s="3" t="inlineStr">
        <is>
          <t>향촌타운</t>
        </is>
      </c>
      <c r="M1713" s="3" t="n">
        <v>1</v>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3" t="inlineStr">
        <is>
          <t>바랑산, 월성봉, 짜개봉이 파노라마처럼 펼쳐진 공기좋고 물맑은 청정지역</t>
        </is>
      </c>
      <c r="I1714" s="5">
        <f>HYPERLINK("https://fin.land.naver.com/articles/2644336347", "매물Link")</f>
        <v/>
      </c>
      <c r="J1714" s="5">
        <f>HYPERLINK("https://map.naver.com/p/search/나성동 829", "지도Link")</f>
        <v/>
      </c>
      <c r="K1714" s="5">
        <f>HYPERLINK("http://www.eum.go.kr/web/ar/lu/luLandDet.jsp?pnu=3611010700108290000&amp;isNoScr=script&amp;mode=search", "토지이음")</f>
        <v/>
      </c>
      <c r="L1714" s="3" t="inlineStr">
        <is>
          <t>향촌타운</t>
        </is>
      </c>
      <c r="M1714" s="3" t="n">
        <v>1</v>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3" t="inlineStr">
        <is>
          <t>생산관리지역, 공기좋고 물맑은 대둔산자락 조용한 전원생활 추천</t>
        </is>
      </c>
      <c r="I1715" s="5">
        <f>HYPERLINK("https://fin.land.naver.com/articles/2644337785", "매물Link")</f>
        <v/>
      </c>
      <c r="J1715" s="5">
        <f>HYPERLINK("https://map.naver.com/p/search/나성동 829", "지도Link")</f>
        <v/>
      </c>
      <c r="K1715" s="5">
        <f>HYPERLINK("http://www.eum.go.kr/web/ar/lu/luLandDet.jsp?pnu=3611010700108290000&amp;isNoScr=script&amp;mode=search", "토지이음")</f>
        <v/>
      </c>
      <c r="L1715" s="3" t="inlineStr">
        <is>
          <t>향촌타운</t>
        </is>
      </c>
      <c r="M1715" s="3" t="n">
        <v>1</v>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3" t="inlineStr">
        <is>
          <t>공기좋고 물맑은 조용한 마을 입니다.</t>
        </is>
      </c>
      <c r="I1716" s="5">
        <f>HYPERLINK("https://fin.land.naver.com/articles/2644338053", "매물Link")</f>
        <v/>
      </c>
      <c r="J1716" s="5">
        <f>HYPERLINK("https://map.naver.com/p/search/나성동 829", "지도Link")</f>
        <v/>
      </c>
      <c r="K1716" s="5">
        <f>HYPERLINK("http://www.eum.go.kr/web/ar/lu/luLandDet.jsp?pnu=3611010700108290000&amp;isNoScr=script&amp;mode=search", "토지이음")</f>
        <v/>
      </c>
      <c r="L1716" s="3" t="inlineStr">
        <is>
          <t>향촌타운</t>
        </is>
      </c>
      <c r="M1716" s="3" t="n">
        <v>1</v>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3" t="inlineStr">
        <is>
          <t>농림지역, 감나무등 지상물포함 매매임</t>
        </is>
      </c>
      <c r="I1717" s="5">
        <f>HYPERLINK("https://fin.land.naver.com/articles/2644536602", "매물Link")</f>
        <v/>
      </c>
      <c r="J1717" s="5">
        <f>HYPERLINK("https://map.naver.com/p/search/나성동 829", "지도Link")</f>
        <v/>
      </c>
      <c r="K1717" s="5">
        <f>HYPERLINK("http://www.eum.go.kr/web/ar/lu/luLandDet.jsp?pnu=3611010700108290000&amp;isNoScr=script&amp;mode=search", "토지이음")</f>
        <v/>
      </c>
      <c r="L1717" s="3" t="inlineStr">
        <is>
          <t>향촌타운</t>
        </is>
      </c>
      <c r="M1717" s="3" t="n">
        <v>1</v>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3" t="inlineStr">
        <is>
          <t>생산관리지역, 농로접함. 한적한 전원생활 추천함.</t>
        </is>
      </c>
      <c r="I1718" s="5">
        <f>HYPERLINK("https://fin.land.naver.com/articles/2644536871", "매물Link")</f>
        <v/>
      </c>
      <c r="J1718" s="5">
        <f>HYPERLINK("https://map.naver.com/p/search/나성동 829", "지도Link")</f>
        <v/>
      </c>
      <c r="K1718" s="5">
        <f>HYPERLINK("http://www.eum.go.kr/web/ar/lu/luLandDet.jsp?pnu=3611010700108290000&amp;isNoScr=script&amp;mode=search", "토지이음")</f>
        <v/>
      </c>
      <c r="L1718" s="3" t="inlineStr">
        <is>
          <t>향촌타운</t>
        </is>
      </c>
      <c r="M1718" s="3" t="n">
        <v>1</v>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3" t="inlineStr">
        <is>
          <t>나대지,계획관리지역,  성장관리계획구역 일반형</t>
        </is>
      </c>
      <c r="I1719" s="5">
        <f>HYPERLINK("https://fin.land.naver.com/articles/2650015668", "매물Link")</f>
        <v/>
      </c>
      <c r="J1719" s="5">
        <f>HYPERLINK("https://map.naver.com/p/search/나성동 829", "지도Link")</f>
        <v/>
      </c>
      <c r="K1719" s="5">
        <f>HYPERLINK("http://www.eum.go.kr/web/ar/lu/luLandDet.jsp?pnu=3611010700108290000&amp;isNoScr=script&amp;mode=search", "토지이음")</f>
        <v/>
      </c>
      <c r="L1719" s="3" t="inlineStr">
        <is>
          <t>두리</t>
        </is>
      </c>
      <c r="M1719" s="3" t="n">
        <v>1</v>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3" t="inlineStr">
        <is>
          <t>공장,창고 등의 용지로 활용 좋은 만평 토지</t>
        </is>
      </c>
      <c r="I1720" s="5">
        <f>HYPERLINK("https://fin.land.naver.com/articles/2650163870", "매물Link")</f>
        <v/>
      </c>
      <c r="J1720" s="5">
        <f>HYPERLINK("https://map.naver.com/p/search/나성동 829", "지도Link")</f>
        <v/>
      </c>
      <c r="K1720" s="5">
        <f>HYPERLINK("http://www.eum.go.kr/web/ar/lu/luLandDet.jsp?pnu=3611010700108290000&amp;isNoScr=script&amp;mode=search", "토지이음")</f>
        <v/>
      </c>
      <c r="L1720" s="3" t="inlineStr">
        <is>
          <t>베스트</t>
        </is>
      </c>
      <c r="M1720" s="3" t="n">
        <v>1</v>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3" t="inlineStr">
        <is>
          <t>논산 8m 대도로변 창고 부지 양촌ic 5분거리</t>
        </is>
      </c>
      <c r="I1721" s="5">
        <f>HYPERLINK("https://fin.land.naver.com/articles/2650030281", "매물Link")</f>
        <v/>
      </c>
      <c r="J1721" s="5">
        <f>HYPERLINK("https://map.naver.com/p/search/나성동 829", "지도Link")</f>
        <v/>
      </c>
      <c r="K1721" s="5">
        <f>HYPERLINK("http://www.eum.go.kr/web/ar/lu/luLandDet.jsp?pnu=3611010700108290000&amp;isNoScr=script&amp;mode=search", "토지이음")</f>
        <v/>
      </c>
      <c r="L1721" s="3" t="inlineStr">
        <is>
          <t>대영이편한</t>
        </is>
      </c>
      <c r="M1721" s="3" t="n">
        <v>1</v>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3" t="inlineStr">
        <is>
          <t>은진면 성평리 총 2필지 허가된 창고용지 저온창고 농막 비닐하우스</t>
        </is>
      </c>
      <c r="I1722" s="5">
        <f>HYPERLINK("https://fin.land.naver.com/articles/2648174149", "매물Link")</f>
        <v/>
      </c>
      <c r="J1722" s="5">
        <f>HYPERLINK("https://map.naver.com/p/search/나성동 829", "지도Link")</f>
        <v/>
      </c>
      <c r="K1722" s="5">
        <f>HYPERLINK("http://www.eum.go.kr/web/ar/lu/luLandDet.jsp?pnu=3611010700108290000&amp;isNoScr=script&amp;mode=search", "토지이음")</f>
        <v/>
      </c>
      <c r="L1722" s="3" t="inlineStr">
        <is>
          <t>현대</t>
        </is>
      </c>
      <c r="M1722" s="3" t="n">
        <v>1</v>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3" t="inlineStr">
        <is>
          <t>건양대인근 남향 단독주택용지로 추전</t>
        </is>
      </c>
      <c r="I1723" s="5">
        <f>HYPERLINK("https://fin.land.naver.com/articles/2648639466", "매물Link")</f>
        <v/>
      </c>
      <c r="J1723" s="5">
        <f>HYPERLINK("https://map.naver.com/p/search/나성동 829", "지도Link")</f>
        <v/>
      </c>
      <c r="K1723" s="5">
        <f>HYPERLINK("http://www.eum.go.kr/web/ar/lu/luLandDet.jsp?pnu=3611010700108290000&amp;isNoScr=script&amp;mode=search", "토지이음")</f>
        <v/>
      </c>
      <c r="L1723" s="3" t="inlineStr">
        <is>
          <t>미래</t>
        </is>
      </c>
      <c r="M1723" s="3" t="n">
        <v>1</v>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3" t="inlineStr">
        <is>
          <t>시세저렴 현재 과수원 매매 전원주택 적합</t>
        </is>
      </c>
      <c r="I1724" s="5">
        <f>HYPERLINK("https://fin.land.naver.com/articles/2649232878", "매물Link")</f>
        <v/>
      </c>
      <c r="J1724" s="5">
        <f>HYPERLINK("https://map.naver.com/p/search/나성동 829", "지도Link")</f>
        <v/>
      </c>
      <c r="K1724" s="5">
        <f>HYPERLINK("http://www.eum.go.kr/web/ar/lu/luLandDet.jsp?pnu=3611010700108290000&amp;isNoScr=script&amp;mode=search", "토지이음")</f>
        <v/>
      </c>
      <c r="L1724" s="3" t="inlineStr">
        <is>
          <t>큰복</t>
        </is>
      </c>
      <c r="M1724" s="3" t="n">
        <v>1</v>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3" t="inlineStr">
        <is>
          <t>급매매 주말농장 추천 은진면 일원</t>
        </is>
      </c>
      <c r="I1725" s="5">
        <f>HYPERLINK("https://fin.land.naver.com/articles/2649247519", "매물Link")</f>
        <v/>
      </c>
      <c r="J1725" s="5">
        <f>HYPERLINK("https://map.naver.com/p/search/나성동 829", "지도Link")</f>
        <v/>
      </c>
      <c r="K1725" s="5">
        <f>HYPERLINK("http://www.eum.go.kr/web/ar/lu/luLandDet.jsp?pnu=3611010700108290000&amp;isNoScr=script&amp;mode=search", "토지이음")</f>
        <v/>
      </c>
      <c r="L1725" s="3" t="inlineStr">
        <is>
          <t>큰복</t>
        </is>
      </c>
      <c r="M1725" s="3" t="n">
        <v>1</v>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3" t="inlineStr">
        <is>
          <t>은진면 남향 대지 매매 취락지구 건폐율 60프로</t>
        </is>
      </c>
      <c r="I1726" s="5">
        <f>HYPERLINK("https://fin.land.naver.com/articles/2649249725", "매물Link")</f>
        <v/>
      </c>
      <c r="J1726" s="5">
        <f>HYPERLINK("https://map.naver.com/p/search/나성동 829", "지도Link")</f>
        <v/>
      </c>
      <c r="K1726" s="5">
        <f>HYPERLINK("http://www.eum.go.kr/web/ar/lu/luLandDet.jsp?pnu=3611010700108290000&amp;isNoScr=script&amp;mode=search", "토지이음")</f>
        <v/>
      </c>
      <c r="L1726" s="3" t="inlineStr">
        <is>
          <t>큰복</t>
        </is>
      </c>
      <c r="M1726" s="3" t="n">
        <v>1</v>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3" t="inlineStr">
        <is>
          <t>대전과  가까운 주말농지용</t>
        </is>
      </c>
      <c r="I1727" s="5">
        <f>HYPERLINK("https://fin.land.naver.com/articles/2645342493", "매물Link")</f>
        <v/>
      </c>
      <c r="J1727" s="5">
        <f>HYPERLINK("https://map.naver.com/p/search/나성동 829", "지도Link")</f>
        <v/>
      </c>
      <c r="K1727" s="5">
        <f>HYPERLINK("http://www.eum.go.kr/web/ar/lu/luLandDet.jsp?pnu=3611010700108290000&amp;isNoScr=script&amp;mode=search", "토지이음")</f>
        <v/>
      </c>
      <c r="L1727" s="3" t="inlineStr">
        <is>
          <t>이레</t>
        </is>
      </c>
      <c r="M1727" s="3" t="n">
        <v>1</v>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3" t="inlineStr">
        <is>
          <t>지방도에 접한 계획관리 땅모양도 좋음</t>
        </is>
      </c>
      <c r="I1728" s="5">
        <f>HYPERLINK("https://fin.land.naver.com/articles/2646451763", "매물Link")</f>
        <v/>
      </c>
      <c r="J1728" s="5">
        <f>HYPERLINK("https://map.naver.com/p/search/나성동 829", "지도Link")</f>
        <v/>
      </c>
      <c r="K1728" s="5">
        <f>HYPERLINK("http://www.eum.go.kr/web/ar/lu/luLandDet.jsp?pnu=3611010700108290000&amp;isNoScr=script&amp;mode=search", "토지이음")</f>
        <v/>
      </c>
      <c r="L1728" s="3" t="inlineStr">
        <is>
          <t>금정</t>
        </is>
      </c>
      <c r="M1728" s="3" t="n">
        <v>1</v>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3" t="inlineStr">
        <is>
          <t>nan</t>
        </is>
      </c>
      <c r="I1729" s="5">
        <f>HYPERLINK("https://fin.land.naver.com/articles/2647111080", "매물Link")</f>
        <v/>
      </c>
      <c r="J1729" s="5">
        <f>HYPERLINK("https://map.naver.com/p/search/나성동 829", "지도Link")</f>
        <v/>
      </c>
      <c r="K1729" s="5">
        <f>HYPERLINK("http://www.eum.go.kr/web/ar/lu/luLandDet.jsp?pnu=3611010700108290000&amp;isNoScr=script&amp;mode=search", "토지이음")</f>
        <v/>
      </c>
      <c r="L1729" s="3" t="inlineStr">
        <is>
          <t>도안7단지 예미지</t>
        </is>
      </c>
      <c r="M1729" s="3" t="n">
        <v>1</v>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3" t="inlineStr">
        <is>
          <t>논산 탑정저수지 인근 전원마을의 토지매도</t>
        </is>
      </c>
      <c r="I1730" s="5">
        <f>HYPERLINK("https://fin.land.naver.com/articles/2647111190", "매물Link")</f>
        <v/>
      </c>
      <c r="J1730" s="5">
        <f>HYPERLINK("https://map.naver.com/p/search/나성동 829", "지도Link")</f>
        <v/>
      </c>
      <c r="K1730" s="5">
        <f>HYPERLINK("http://www.eum.go.kr/web/ar/lu/luLandDet.jsp?pnu=3611010700108290000&amp;isNoScr=script&amp;mode=search", "토지이음")</f>
        <v/>
      </c>
      <c r="L1730" s="3" t="inlineStr">
        <is>
          <t>도안7단지 예미지</t>
        </is>
      </c>
      <c r="M1730" s="3" t="n">
        <v>1</v>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3" t="inlineStr">
        <is>
          <t>탑정호인근 전원주택부지 마을회관 인접</t>
        </is>
      </c>
      <c r="I1731" s="5">
        <f>HYPERLINK("https://fin.land.naver.com/articles/2647276548", "매물Link")</f>
        <v/>
      </c>
      <c r="J1731" s="5">
        <f>HYPERLINK("https://map.naver.com/p/search/나성동 829", "지도Link")</f>
        <v/>
      </c>
      <c r="K1731" s="5">
        <f>HYPERLINK("http://www.eum.go.kr/web/ar/lu/luLandDet.jsp?pnu=3611010700108290000&amp;isNoScr=script&amp;mode=search", "토지이음")</f>
        <v/>
      </c>
      <c r="L1731" s="3" t="inlineStr">
        <is>
          <t>인스빌리베라</t>
        </is>
      </c>
      <c r="M1731" s="3" t="n">
        <v>2</v>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3" t="inlineStr">
        <is>
          <t>도로와인접한 토지현재 답으로 사용중</t>
        </is>
      </c>
      <c r="I1732" s="5">
        <f>HYPERLINK("https://fin.land.naver.com/articles/2647283756", "매물Link")</f>
        <v/>
      </c>
      <c r="J1732" s="5">
        <f>HYPERLINK("https://map.naver.com/p/search/나성동 829", "지도Link")</f>
        <v/>
      </c>
      <c r="K1732" s="5">
        <f>HYPERLINK("http://www.eum.go.kr/web/ar/lu/luLandDet.jsp?pnu=3611010700108290000&amp;isNoScr=script&amp;mode=search", "토지이음")</f>
        <v/>
      </c>
      <c r="L1732" s="3" t="inlineStr">
        <is>
          <t>인스빌리베라</t>
        </is>
      </c>
      <c r="M1732" s="3" t="n">
        <v>1</v>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3" t="inlineStr">
        <is>
          <t>탑정호 관광개발 호재, 탑정저수지 전망, 식당, 카페, 근생시설 추천</t>
        </is>
      </c>
      <c r="I1733" s="5">
        <f>HYPERLINK("https://fin.land.naver.com/articles/2647298422", "매물Link")</f>
        <v/>
      </c>
      <c r="J1733" s="5">
        <f>HYPERLINK("https://map.naver.com/p/search/나성동 829", "지도Link")</f>
        <v/>
      </c>
      <c r="K1733" s="5">
        <f>HYPERLINK("http://www.eum.go.kr/web/ar/lu/luLandDet.jsp?pnu=3611010700108290000&amp;isNoScr=script&amp;mode=search", "토지이음")</f>
        <v/>
      </c>
      <c r="L1733" s="3" t="inlineStr">
        <is>
          <t>황해</t>
        </is>
      </c>
      <c r="M1733" s="3" t="n">
        <v>1</v>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3" t="inlineStr">
        <is>
          <t>nan</t>
        </is>
      </c>
      <c r="I1734" s="5">
        <f>HYPERLINK("https://fin.land.naver.com/articles/2647596213", "매물Link")</f>
        <v/>
      </c>
      <c r="J1734" s="5">
        <f>HYPERLINK("https://map.naver.com/p/search/나성동 829", "지도Link")</f>
        <v/>
      </c>
      <c r="K1734" s="5">
        <f>HYPERLINK("http://www.eum.go.kr/web/ar/lu/luLandDet.jsp?pnu=3611010700108290000&amp;isNoScr=script&amp;mode=search", "토지이음")</f>
        <v/>
      </c>
      <c r="L1734" s="3" t="inlineStr">
        <is>
          <t>대전</t>
        </is>
      </c>
      <c r="M1734" s="3" t="n">
        <v>1</v>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3" t="inlineStr">
        <is>
          <t>계획관리지역, 도로접함, 전원주택 가능,</t>
        </is>
      </c>
      <c r="I1735" s="5">
        <f>HYPERLINK("https://fin.land.naver.com/articles/2644537193", "매물Link")</f>
        <v/>
      </c>
      <c r="J1735" s="5">
        <f>HYPERLINK("https://map.naver.com/p/search/나성동 829", "지도Link")</f>
        <v/>
      </c>
      <c r="K1735" s="5">
        <f>HYPERLINK("http://www.eum.go.kr/web/ar/lu/luLandDet.jsp?pnu=3611010700108290000&amp;isNoScr=script&amp;mode=search", "토지이음")</f>
        <v/>
      </c>
      <c r="L1735" s="3" t="inlineStr">
        <is>
          <t>향촌타운</t>
        </is>
      </c>
      <c r="M1735" s="3" t="n">
        <v>1</v>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3" t="inlineStr">
        <is>
          <t>생산관리지역, 도로접함. 대둔산자락, 경치좋고 조용한 마을입니다.</t>
        </is>
      </c>
      <c r="I1736" s="5">
        <f>HYPERLINK("https://fin.land.naver.com/articles/2644537488", "매물Link")</f>
        <v/>
      </c>
      <c r="J1736" s="5">
        <f>HYPERLINK("https://map.naver.com/p/search/나성동 829", "지도Link")</f>
        <v/>
      </c>
      <c r="K1736" s="5">
        <f>HYPERLINK("http://www.eum.go.kr/web/ar/lu/luLandDet.jsp?pnu=3611010700108290000&amp;isNoScr=script&amp;mode=search", "토지이음")</f>
        <v/>
      </c>
      <c r="L1736" s="3" t="inlineStr">
        <is>
          <t>향촌타운</t>
        </is>
      </c>
      <c r="M1736" s="3" t="n">
        <v>1</v>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3" t="inlineStr">
        <is>
          <t>바랑산과 월성봉으로 둘러쌓인 공기좋은 마을입니다.</t>
        </is>
      </c>
      <c r="I1737" s="5">
        <f>HYPERLINK("https://fin.land.naver.com/articles/2644750583", "매물Link")</f>
        <v/>
      </c>
      <c r="J1737" s="5">
        <f>HYPERLINK("https://map.naver.com/p/search/나성동 829", "지도Link")</f>
        <v/>
      </c>
      <c r="K1737" s="5">
        <f>HYPERLINK("http://www.eum.go.kr/web/ar/lu/luLandDet.jsp?pnu=3611010700108290000&amp;isNoScr=script&amp;mode=search", "토지이음")</f>
        <v/>
      </c>
      <c r="L1737" s="3" t="inlineStr">
        <is>
          <t>향촌타운</t>
        </is>
      </c>
      <c r="M1737" s="3" t="n">
        <v>1</v>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3" t="inlineStr">
        <is>
          <t>nan</t>
        </is>
      </c>
      <c r="I1738" s="5">
        <f>HYPERLINK("https://fin.land.naver.com/articles/2645188764", "매물Link")</f>
        <v/>
      </c>
      <c r="J1738" s="5">
        <f>HYPERLINK("https://map.naver.com/p/search/나성동 829", "지도Link")</f>
        <v/>
      </c>
      <c r="K1738" s="5">
        <f>HYPERLINK("http://www.eum.go.kr/web/ar/lu/luLandDet.jsp?pnu=3611010700108290000&amp;isNoScr=script&amp;mode=search", "토지이음")</f>
        <v/>
      </c>
      <c r="L1738" s="3" t="inlineStr">
        <is>
          <t>향촌타운</t>
        </is>
      </c>
      <c r="M1738" s="3" t="n">
        <v>1</v>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3" t="inlineStr">
        <is>
          <t>시세저렴 양촌면 쌍계사 일원 토지매매 체류형쉼터등 적합 관리지역</t>
        </is>
      </c>
      <c r="I1739" s="5">
        <f>HYPERLINK("https://fin.land.naver.com/articles/2649241904", "매물Link")</f>
        <v/>
      </c>
      <c r="J1739" s="5">
        <f>HYPERLINK("https://map.naver.com/p/search/나성동 829", "지도Link")</f>
        <v/>
      </c>
      <c r="K1739" s="5">
        <f>HYPERLINK("http://www.eum.go.kr/web/ar/lu/luLandDet.jsp?pnu=3611010700108290000&amp;isNoScr=script&amp;mode=search", "토지이음")</f>
        <v/>
      </c>
      <c r="L1739" s="3" t="inlineStr">
        <is>
          <t>큰복</t>
        </is>
      </c>
      <c r="M1739" s="3" t="n">
        <v>1</v>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3" t="inlineStr">
        <is>
          <t>국방대,양촌IC인근 마을,자그마한 계획관리지역 물건으로 용도다양하게 활용</t>
        </is>
      </c>
      <c r="I1740" s="5">
        <f>HYPERLINK("https://fin.land.naver.com/articles/2649707987", "매물Link")</f>
        <v/>
      </c>
      <c r="J1740" s="5">
        <f>HYPERLINK("https://map.naver.com/p/search/나성동 829", "지도Link")</f>
        <v/>
      </c>
      <c r="K1740" s="5">
        <f>HYPERLINK("http://www.eum.go.kr/web/ar/lu/luLandDet.jsp?pnu=3611010700108290000&amp;isNoScr=script&amp;mode=search", "토지이음")</f>
        <v/>
      </c>
      <c r="L1740" s="3" t="inlineStr">
        <is>
          <t>에이스</t>
        </is>
      </c>
      <c r="M1740" s="3" t="n">
        <v>1</v>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3" t="inlineStr">
        <is>
          <t>농림지역, 보전관리지역. 임업용산지</t>
        </is>
      </c>
      <c r="I1741" s="5">
        <f>HYPERLINK("https://fin.land.naver.com/articles/2644336637", "매물Link")</f>
        <v/>
      </c>
      <c r="J1741" s="5">
        <f>HYPERLINK("https://map.naver.com/p/search/나성동 829", "지도Link")</f>
        <v/>
      </c>
      <c r="K1741" s="5">
        <f>HYPERLINK("http://www.eum.go.kr/web/ar/lu/luLandDet.jsp?pnu=3611010700108290000&amp;isNoScr=script&amp;mode=search", "토지이음")</f>
        <v/>
      </c>
      <c r="L1741" s="3" t="inlineStr">
        <is>
          <t>향촌타운</t>
        </is>
      </c>
      <c r="M1741" s="3" t="n">
        <v>1</v>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3" t="inlineStr">
        <is>
          <t>nan</t>
        </is>
      </c>
      <c r="I1742" s="5">
        <f>HYPERLINK("https://fin.land.naver.com/articles/2645528353", "매물Link")</f>
        <v/>
      </c>
      <c r="J1742" s="5">
        <f>HYPERLINK("https://map.naver.com/p/search/나성동 829", "지도Link")</f>
        <v/>
      </c>
      <c r="K1742" s="5">
        <f>HYPERLINK("http://www.eum.go.kr/web/ar/lu/luLandDet.jsp?pnu=3611010700108290000&amp;isNoScr=script&amp;mode=search", "토지이음")</f>
        <v/>
      </c>
      <c r="L1742" s="3" t="inlineStr">
        <is>
          <t>스마트  사무소</t>
        </is>
      </c>
      <c r="M1742" s="3" t="n">
        <v>1</v>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3" t="inlineStr">
        <is>
          <t>수락폭포 가는길,도로접함,캠핑장등 추천</t>
        </is>
      </c>
      <c r="I1743" s="5">
        <f>HYPERLINK("https://fin.land.naver.com/articles/2647675878", "매물Link")</f>
        <v/>
      </c>
      <c r="J1743" s="5">
        <f>HYPERLINK("https://map.naver.com/p/search/나성동 829", "지도Link")</f>
        <v/>
      </c>
      <c r="K1743" s="5">
        <f>HYPERLINK("http://www.eum.go.kr/web/ar/lu/luLandDet.jsp?pnu=3611010700108290000&amp;isNoScr=script&amp;mode=search", "토지이음")</f>
        <v/>
      </c>
      <c r="L1743" s="3" t="inlineStr">
        <is>
          <t>도안우미린사랑무소</t>
        </is>
      </c>
      <c r="M1743" s="3" t="n">
        <v>1</v>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3" t="inlineStr">
        <is>
          <t>저렴한 땅</t>
        </is>
      </c>
      <c r="I1744" s="5">
        <f>HYPERLINK("https://fin.land.naver.com/articles/2647716013", "매물Link")</f>
        <v/>
      </c>
      <c r="J1744" s="5">
        <f>HYPERLINK("https://map.naver.com/p/search/나성동 829", "지도Link")</f>
        <v/>
      </c>
      <c r="K1744" s="5">
        <f>HYPERLINK("http://www.eum.go.kr/web/ar/lu/luLandDet.jsp?pnu=3611010700108290000&amp;isNoScr=script&amp;mode=search", "토지이음")</f>
        <v/>
      </c>
      <c r="L1744" s="3" t="inlineStr">
        <is>
          <t>광장(프라자)</t>
        </is>
      </c>
      <c r="M1744" s="3" t="n">
        <v>1</v>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3" t="inlineStr">
        <is>
          <t>nan</t>
        </is>
      </c>
      <c r="I1745" s="5">
        <f>HYPERLINK("https://fin.land.naver.com/articles/2647819145", "매물Link")</f>
        <v/>
      </c>
      <c r="J1745" s="5">
        <f>HYPERLINK("https://map.naver.com/p/search/나성동 829", "지도Link")</f>
        <v/>
      </c>
      <c r="K1745" s="5">
        <f>HYPERLINK("http://www.eum.go.kr/web/ar/lu/luLandDet.jsp?pnu=3611010700108290000&amp;isNoScr=script&amp;mode=search", "토지이음")</f>
        <v/>
      </c>
      <c r="L1745" s="3" t="inlineStr">
        <is>
          <t>뉴미래로</t>
        </is>
      </c>
      <c r="M1745" s="3" t="n">
        <v>1</v>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3" t="inlineStr">
        <is>
          <t>도로 접근성 좋은 주말농장 추천</t>
        </is>
      </c>
      <c r="I1746" s="5">
        <f>HYPERLINK("https://fin.land.naver.com/articles/2647854115", "매물Link")</f>
        <v/>
      </c>
      <c r="J1746" s="5">
        <f>HYPERLINK("https://map.naver.com/p/search/나성동 829", "지도Link")</f>
        <v/>
      </c>
      <c r="K1746" s="5">
        <f>HYPERLINK("http://www.eum.go.kr/web/ar/lu/luLandDet.jsp?pnu=3611010700108290000&amp;isNoScr=script&amp;mode=search", "토지이음")</f>
        <v/>
      </c>
      <c r="L1746" s="3" t="inlineStr">
        <is>
          <t>해성</t>
        </is>
      </c>
      <c r="M1746" s="3" t="n">
        <v>1</v>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3" t="inlineStr">
        <is>
          <t>벌곡면 대덕리, 계획관리지역, 2필지, 소 도로접</t>
        </is>
      </c>
      <c r="I1747" s="5">
        <f>HYPERLINK("https://fin.land.naver.com/articles/2647986890", "매물Link")</f>
        <v/>
      </c>
      <c r="J1747" s="5">
        <f>HYPERLINK("https://map.naver.com/p/search/나성동 829", "지도Link")</f>
        <v/>
      </c>
      <c r="K1747" s="5">
        <f>HYPERLINK("http://www.eum.go.kr/web/ar/lu/luLandDet.jsp?pnu=3611010700108290000&amp;isNoScr=script&amp;mode=search", "토지이음")</f>
        <v/>
      </c>
      <c r="L1747" s="3" t="inlineStr">
        <is>
          <t>한국</t>
        </is>
      </c>
      <c r="M1747" s="3" t="n">
        <v>1</v>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3" t="inlineStr">
        <is>
          <t>2차선도로변 접, 토지모양좋음</t>
        </is>
      </c>
      <c r="I1748" s="5">
        <f>HYPERLINK("https://fin.land.naver.com/articles/2648282637", "매물Link")</f>
        <v/>
      </c>
      <c r="J1748" s="5">
        <f>HYPERLINK("https://map.naver.com/p/search/나성동 829", "지도Link")</f>
        <v/>
      </c>
      <c r="K1748" s="5">
        <f>HYPERLINK("http://www.eum.go.kr/web/ar/lu/luLandDet.jsp?pnu=3611010700108290000&amp;isNoScr=script&amp;mode=search", "토지이음")</f>
        <v/>
      </c>
      <c r="L1748" s="3" t="inlineStr">
        <is>
          <t>라온</t>
        </is>
      </c>
      <c r="M1748" s="3" t="n">
        <v>1</v>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3" t="inlineStr">
        <is>
          <t>도로지분포함면적임</t>
        </is>
      </c>
      <c r="I1749" s="5">
        <f>HYPERLINK("https://fin.land.naver.com/articles/2648418656", "매물Link")</f>
        <v/>
      </c>
      <c r="J1749" s="5">
        <f>HYPERLINK("https://map.naver.com/p/search/나성동 829", "지도Link")</f>
        <v/>
      </c>
      <c r="K1749" s="5">
        <f>HYPERLINK("http://www.eum.go.kr/web/ar/lu/luLandDet.jsp?pnu=3611010700108290000&amp;isNoScr=script&amp;mode=search", "토지이음")</f>
        <v/>
      </c>
      <c r="L1749" s="3" t="inlineStr">
        <is>
          <t>신화  사무소</t>
        </is>
      </c>
      <c r="M1749" s="3" t="n">
        <v>1</v>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3" t="inlineStr">
        <is>
          <t>벌곡면 대덕리 큰 도로 접 3필지</t>
        </is>
      </c>
      <c r="I1750" s="5">
        <f>HYPERLINK("https://fin.land.naver.com/articles/2649907894", "매물Link")</f>
        <v/>
      </c>
      <c r="J1750" s="5">
        <f>HYPERLINK("https://map.naver.com/p/search/나성동 829", "지도Link")</f>
        <v/>
      </c>
      <c r="K1750" s="5">
        <f>HYPERLINK("http://www.eum.go.kr/web/ar/lu/luLandDet.jsp?pnu=3611010700108290000&amp;isNoScr=script&amp;mode=search", "토지이음")</f>
        <v/>
      </c>
      <c r="L1750" s="3" t="inlineStr">
        <is>
          <t>한국</t>
        </is>
      </c>
      <c r="M1750" s="3" t="n">
        <v>1</v>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3" t="inlineStr">
        <is>
          <t>벌곡면 덕목리, 계획관리지역, 소도로 접</t>
        </is>
      </c>
      <c r="I1751" s="5">
        <f>HYPERLINK("https://fin.land.naver.com/articles/2649912705", "매물Link")</f>
        <v/>
      </c>
      <c r="J1751" s="5">
        <f>HYPERLINK("https://map.naver.com/p/search/나성동 829", "지도Link")</f>
        <v/>
      </c>
      <c r="K1751" s="5">
        <f>HYPERLINK("http://www.eum.go.kr/web/ar/lu/luLandDet.jsp?pnu=3611010700108290000&amp;isNoScr=script&amp;mode=search", "토지이음")</f>
        <v/>
      </c>
      <c r="L1751" s="3" t="inlineStr">
        <is>
          <t>한국</t>
        </is>
      </c>
      <c r="M1751" s="3" t="n">
        <v>1</v>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3" t="inlineStr">
        <is>
          <t>산밑아래,큰물가,계획관리,건축가능,체류형농막</t>
        </is>
      </c>
      <c r="I1752" s="5">
        <f>HYPERLINK("https://fin.land.naver.com/articles/2644001670", "매물Link")</f>
        <v/>
      </c>
      <c r="J1752" s="5">
        <f>HYPERLINK("https://map.naver.com/p/search/나성동 829", "지도Link")</f>
        <v/>
      </c>
      <c r="K1752" s="5">
        <f>HYPERLINK("http://www.eum.go.kr/web/ar/lu/luLandDet.jsp?pnu=3611010700108290000&amp;isNoScr=script&amp;mode=search", "토지이음")</f>
        <v/>
      </c>
      <c r="L1752" s="3" t="inlineStr">
        <is>
          <t>가수원당근</t>
        </is>
      </c>
      <c r="M1752" s="3" t="n">
        <v>1</v>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3" t="inlineStr">
        <is>
          <t>국도변 산아래 남향의 토지로 인허가되어 있어 건축만 하면되는 물건이예요</t>
        </is>
      </c>
      <c r="I1753" s="5">
        <f>HYPERLINK("https://fin.land.naver.com/articles/2644191310", "매물Link")</f>
        <v/>
      </c>
      <c r="J1753" s="5">
        <f>HYPERLINK("https://map.naver.com/p/search/나성동 829", "지도Link")</f>
        <v/>
      </c>
      <c r="K1753" s="5">
        <f>HYPERLINK("http://www.eum.go.kr/web/ar/lu/luLandDet.jsp?pnu=3611010700108290000&amp;isNoScr=script&amp;mode=search", "토지이음")</f>
        <v/>
      </c>
      <c r="L1753" s="3" t="inlineStr">
        <is>
          <t>에이스</t>
        </is>
      </c>
      <c r="M1753" s="3" t="n">
        <v>1</v>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3" t="inlineStr">
        <is>
          <t>청정 자연속 조용한 입지 전원주택 자리 추천</t>
        </is>
      </c>
      <c r="I1754" s="5">
        <f>HYPERLINK("https://fin.land.naver.com/articles/2644202224", "매물Link")</f>
        <v/>
      </c>
      <c r="J1754" s="5">
        <f>HYPERLINK("https://map.naver.com/p/search/나성동 829", "지도Link")</f>
        <v/>
      </c>
      <c r="K1754" s="5">
        <f>HYPERLINK("http://www.eum.go.kr/web/ar/lu/luLandDet.jsp?pnu=3611010700108290000&amp;isNoScr=script&amp;mode=search", "토지이음")</f>
        <v/>
      </c>
      <c r="L1754" s="3" t="inlineStr">
        <is>
          <t>삼익</t>
        </is>
      </c>
      <c r="M1754" s="3" t="n">
        <v>1</v>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3" t="inlineStr">
        <is>
          <t>양촌면 시내 인근, 하천변 대지와 전으로 전원주택 및 주말농장 등의 용도</t>
        </is>
      </c>
      <c r="I1755" s="5">
        <f>HYPERLINK("https://fin.land.naver.com/articles/2648933598", "매물Link")</f>
        <v/>
      </c>
      <c r="J1755" s="5">
        <f>HYPERLINK("https://map.naver.com/p/search/나성동 829", "지도Link")</f>
        <v/>
      </c>
      <c r="K1755" s="5">
        <f>HYPERLINK("http://www.eum.go.kr/web/ar/lu/luLandDet.jsp?pnu=3611010700108290000&amp;isNoScr=script&amp;mode=search", "토지이음")</f>
        <v/>
      </c>
      <c r="L1755" s="3" t="inlineStr">
        <is>
          <t>신평</t>
        </is>
      </c>
      <c r="M1755" s="3" t="n">
        <v>1</v>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3" t="inlineStr">
        <is>
          <t>Point 급매, 생산관리, 청정지역, 시세보다 저렴</t>
        </is>
      </c>
      <c r="I1756" s="5">
        <f>HYPERLINK("https://fin.land.naver.com/articles/2644915748", "매물Link")</f>
        <v/>
      </c>
      <c r="J1756" s="5">
        <f>HYPERLINK("https://map.naver.com/p/search/나성동 829", "지도Link")</f>
        <v/>
      </c>
      <c r="K1756" s="5">
        <f>HYPERLINK("http://www.eum.go.kr/web/ar/lu/luLandDet.jsp?pnu=3611010700108290000&amp;isNoScr=script&amp;mode=search", "토지이음")</f>
        <v/>
      </c>
      <c r="L1756" s="3" t="inlineStr">
        <is>
          <t>도마호반</t>
        </is>
      </c>
      <c r="M1756" s="3" t="n">
        <v>1</v>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3" t="inlineStr">
        <is>
          <t>Poiont 생산관리, 도로접 접근성 우수, 귀농귀촌 추천</t>
        </is>
      </c>
      <c r="I1757" s="5">
        <f>HYPERLINK("https://fin.land.naver.com/articles/2648332457", "매물Link")</f>
        <v/>
      </c>
      <c r="J1757" s="5">
        <f>HYPERLINK("https://map.naver.com/p/search/나성동 829", "지도Link")</f>
        <v/>
      </c>
      <c r="K1757" s="5">
        <f>HYPERLINK("http://www.eum.go.kr/web/ar/lu/luLandDet.jsp?pnu=3611010700108290000&amp;isNoScr=script&amp;mode=search", "토지이음")</f>
        <v/>
      </c>
      <c r="L1757" s="3" t="inlineStr">
        <is>
          <t>도마호반</t>
        </is>
      </c>
      <c r="M1757" s="3" t="n">
        <v>1</v>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3" t="inlineStr">
        <is>
          <t>2차선 도로변 모양좋은 농지로 전원주택,주말농장,농지원부 등의 용도 최적</t>
        </is>
      </c>
      <c r="I1758" s="5">
        <f>HYPERLINK("https://fin.land.naver.com/articles/2647075305", "매물Link")</f>
        <v/>
      </c>
      <c r="J1758" s="5">
        <f>HYPERLINK("https://map.naver.com/p/search/나성동 829", "지도Link")</f>
        <v/>
      </c>
      <c r="K1758" s="5">
        <f>HYPERLINK("http://www.eum.go.kr/web/ar/lu/luLandDet.jsp?pnu=3611010700108290000&amp;isNoScr=script&amp;mode=search", "토지이음")</f>
        <v/>
      </c>
      <c r="L1758" s="3" t="inlineStr">
        <is>
          <t>신평</t>
        </is>
      </c>
      <c r="M1758" s="3" t="n">
        <v>1</v>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3" t="inlineStr">
        <is>
          <t>바랑산과 월성봉 경관이 아름답고, 도로접한 토지임</t>
        </is>
      </c>
      <c r="I1759" s="5">
        <f>HYPERLINK("https://fin.land.naver.com/articles/2645189305", "매물Link")</f>
        <v/>
      </c>
      <c r="J1759" s="5">
        <f>HYPERLINK("https://map.naver.com/p/search/나성동 829", "지도Link")</f>
        <v/>
      </c>
      <c r="K1759" s="5">
        <f>HYPERLINK("http://www.eum.go.kr/web/ar/lu/luLandDet.jsp?pnu=3611010700108290000&amp;isNoScr=script&amp;mode=search", "토지이음")</f>
        <v/>
      </c>
      <c r="L1759" s="3" t="inlineStr">
        <is>
          <t>향촌타운</t>
        </is>
      </c>
      <c r="M1759" s="3" t="n">
        <v>1</v>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3" t="inlineStr">
        <is>
          <t>바랑산, 월성봉으로 둘러쌓인 청정지역.</t>
        </is>
      </c>
      <c r="I1760" s="5">
        <f>HYPERLINK("https://fin.land.naver.com/articles/2645189505", "매물Link")</f>
        <v/>
      </c>
      <c r="J1760" s="5">
        <f>HYPERLINK("https://map.naver.com/p/search/나성동 829", "지도Link")</f>
        <v/>
      </c>
      <c r="K1760" s="5">
        <f>HYPERLINK("http://www.eum.go.kr/web/ar/lu/luLandDet.jsp?pnu=3611010700108290000&amp;isNoScr=script&amp;mode=search", "토지이음")</f>
        <v/>
      </c>
      <c r="L1760" s="3" t="inlineStr">
        <is>
          <t>향촌타운</t>
        </is>
      </c>
      <c r="M1760" s="3" t="n">
        <v>1</v>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3" t="inlineStr">
        <is>
          <t>계획관리지역, 공기좋고 물맑은 대둔산 밑자락</t>
        </is>
      </c>
      <c r="I1761" s="5">
        <f>HYPERLINK("https://fin.land.naver.com/articles/2645189879", "매물Link")</f>
        <v/>
      </c>
      <c r="J1761" s="5">
        <f>HYPERLINK("https://map.naver.com/p/search/나성동 829", "지도Link")</f>
        <v/>
      </c>
      <c r="K1761" s="5">
        <f>HYPERLINK("http://www.eum.go.kr/web/ar/lu/luLandDet.jsp?pnu=3611010700108290000&amp;isNoScr=script&amp;mode=search", "토지이음")</f>
        <v/>
      </c>
      <c r="L1761" s="3" t="inlineStr">
        <is>
          <t>향촌타운</t>
        </is>
      </c>
      <c r="M1761" s="3" t="n">
        <v>1</v>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3" t="inlineStr">
        <is>
          <t>농림지역, 도로 접함</t>
        </is>
      </c>
      <c r="I1762" s="5">
        <f>HYPERLINK("https://fin.land.naver.com/articles/2645190380", "매물Link")</f>
        <v/>
      </c>
      <c r="J1762" s="5">
        <f>HYPERLINK("https://map.naver.com/p/search/나성동 829", "지도Link")</f>
        <v/>
      </c>
      <c r="K1762" s="5">
        <f>HYPERLINK("http://www.eum.go.kr/web/ar/lu/luLandDet.jsp?pnu=3611010700108290000&amp;isNoScr=script&amp;mode=search", "토지이음")</f>
        <v/>
      </c>
      <c r="L1762" s="3" t="inlineStr">
        <is>
          <t>향촌타운</t>
        </is>
      </c>
      <c r="M1762" s="3" t="n">
        <v>1</v>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3" t="inlineStr">
        <is>
          <t>샤인머스켓 비닐하우스 포함된 매매임.</t>
        </is>
      </c>
      <c r="I1763" s="5">
        <f>HYPERLINK("https://fin.land.naver.com/articles/2645190621", "매물Link")</f>
        <v/>
      </c>
      <c r="J1763" s="5">
        <f>HYPERLINK("https://map.naver.com/p/search/나성동 829", "지도Link")</f>
        <v/>
      </c>
      <c r="K1763" s="5">
        <f>HYPERLINK("http://www.eum.go.kr/web/ar/lu/luLandDet.jsp?pnu=3611010700108290000&amp;isNoScr=script&amp;mode=search", "토지이음")</f>
        <v/>
      </c>
      <c r="L1763" s="3" t="inlineStr">
        <is>
          <t>향촌타운</t>
        </is>
      </c>
      <c r="M1763" s="3" t="n">
        <v>1</v>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3" t="inlineStr">
        <is>
          <t>탑정호 인근 황산벌 도자예술인마을 소형 토지</t>
        </is>
      </c>
      <c r="I1764" s="5">
        <f>HYPERLINK("https://fin.land.naver.com/articles/2646450635", "매물Link")</f>
        <v/>
      </c>
      <c r="J1764" s="5">
        <f>HYPERLINK("https://map.naver.com/p/search/나성동 829", "지도Link")</f>
        <v/>
      </c>
      <c r="K1764" s="5">
        <f>HYPERLINK("http://www.eum.go.kr/web/ar/lu/luLandDet.jsp?pnu=3611010700108290000&amp;isNoScr=script&amp;mode=search", "토지이음")</f>
        <v/>
      </c>
      <c r="L1764" s="3" t="inlineStr">
        <is>
          <t>집구해주는</t>
        </is>
      </c>
      <c r="M1764" s="3" t="n">
        <v>1</v>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3" t="inlineStr">
        <is>
          <t>주변 마을에 저촉이 안됨</t>
        </is>
      </c>
      <c r="I1765" s="5">
        <f>HYPERLINK("https://fin.land.naver.com/articles/2647812142", "매물Link")</f>
        <v/>
      </c>
      <c r="J1765" s="5">
        <f>HYPERLINK("https://map.naver.com/p/search/나성동 829", "지도Link")</f>
        <v/>
      </c>
      <c r="K1765" s="5">
        <f>HYPERLINK("http://www.eum.go.kr/web/ar/lu/luLandDet.jsp?pnu=3611010700108290000&amp;isNoScr=script&amp;mode=search", "토지이음")</f>
        <v/>
      </c>
      <c r="L1765" s="3" t="inlineStr">
        <is>
          <t>뉴미래로</t>
        </is>
      </c>
      <c r="M1765" s="3" t="n">
        <v>1</v>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3" t="inlineStr">
        <is>
          <t>nan</t>
        </is>
      </c>
      <c r="I1766" s="5">
        <f>HYPERLINK("https://fin.land.naver.com/articles/2647815991", "매물Link")</f>
        <v/>
      </c>
      <c r="J1766" s="5">
        <f>HYPERLINK("https://map.naver.com/p/search/나성동 829", "지도Link")</f>
        <v/>
      </c>
      <c r="K1766" s="5">
        <f>HYPERLINK("http://www.eum.go.kr/web/ar/lu/luLandDet.jsp?pnu=3611010700108290000&amp;isNoScr=script&amp;mode=search", "토지이음")</f>
        <v/>
      </c>
      <c r="L1766" s="3" t="inlineStr">
        <is>
          <t>뉴미래로</t>
        </is>
      </c>
      <c r="M1766" s="3" t="n">
        <v>1</v>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3" t="inlineStr">
        <is>
          <t>nan</t>
        </is>
      </c>
      <c r="I1767" s="5">
        <f>HYPERLINK("https://fin.land.naver.com/articles/2648142233", "매물Link")</f>
        <v/>
      </c>
      <c r="J1767" s="5">
        <f>HYPERLINK("https://map.naver.com/p/search/나성동 829", "지도Link")</f>
        <v/>
      </c>
      <c r="K1767" s="5">
        <f>HYPERLINK("http://www.eum.go.kr/web/ar/lu/luLandDet.jsp?pnu=3611010700108290000&amp;isNoScr=script&amp;mode=search", "토지이음")</f>
        <v/>
      </c>
      <c r="L1767" s="3" t="inlineStr">
        <is>
          <t>가경</t>
        </is>
      </c>
      <c r="M1767" s="3" t="n">
        <v>1</v>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3" t="inlineStr">
        <is>
          <t>nan</t>
        </is>
      </c>
      <c r="I1768" s="5">
        <f>HYPERLINK("https://fin.land.naver.com/articles/2648142938", "매물Link")</f>
        <v/>
      </c>
      <c r="J1768" s="5">
        <f>HYPERLINK("https://map.naver.com/p/search/나성동 829", "지도Link")</f>
        <v/>
      </c>
      <c r="K1768" s="5">
        <f>HYPERLINK("http://www.eum.go.kr/web/ar/lu/luLandDet.jsp?pnu=3611010700108290000&amp;isNoScr=script&amp;mode=search", "토지이음")</f>
        <v/>
      </c>
      <c r="L1768" s="3" t="inlineStr">
        <is>
          <t>가경</t>
        </is>
      </c>
      <c r="M1768" s="3" t="n">
        <v>1</v>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3" t="inlineStr">
        <is>
          <t>nan</t>
        </is>
      </c>
      <c r="I1769" s="5">
        <f>HYPERLINK("https://fin.land.naver.com/articles/2648143711", "매물Link")</f>
        <v/>
      </c>
      <c r="J1769" s="5">
        <f>HYPERLINK("https://map.naver.com/p/search/나성동 829", "지도Link")</f>
        <v/>
      </c>
      <c r="K1769" s="5">
        <f>HYPERLINK("http://www.eum.go.kr/web/ar/lu/luLandDet.jsp?pnu=3611010700108290000&amp;isNoScr=script&amp;mode=search", "토지이음")</f>
        <v/>
      </c>
      <c r="L1769" s="3" t="inlineStr">
        <is>
          <t>가경</t>
        </is>
      </c>
      <c r="M1769" s="3" t="n">
        <v>1</v>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3" t="inlineStr">
        <is>
          <t>실갯천,</t>
        </is>
      </c>
      <c r="I1770" s="5">
        <f>HYPERLINK("https://fin.land.naver.com/articles/2648407132", "매물Link")</f>
        <v/>
      </c>
      <c r="J1770" s="5">
        <f>HYPERLINK("https://map.naver.com/p/search/나성동 829", "지도Link")</f>
        <v/>
      </c>
      <c r="K1770" s="5">
        <f>HYPERLINK("http://www.eum.go.kr/web/ar/lu/luLandDet.jsp?pnu=3611010700108290000&amp;isNoScr=script&amp;mode=search", "토지이음")</f>
        <v/>
      </c>
      <c r="L1770" s="3" t="inlineStr">
        <is>
          <t>까치</t>
        </is>
      </c>
      <c r="M1770" s="3" t="n">
        <v>1</v>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3" t="inlineStr">
        <is>
          <t>nan</t>
        </is>
      </c>
      <c r="I1771" s="5">
        <f>HYPERLINK("https://fin.land.naver.com/articles/2649965836", "매물Link")</f>
        <v/>
      </c>
      <c r="J1771" s="5">
        <f>HYPERLINK("https://map.naver.com/p/search/나성동 829", "지도Link")</f>
        <v/>
      </c>
      <c r="K1771" s="5">
        <f>HYPERLINK("http://www.eum.go.kr/web/ar/lu/luLandDet.jsp?pnu=3611010700108290000&amp;isNoScr=script&amp;mode=search", "토지이음")</f>
        <v/>
      </c>
      <c r="L1771" s="3" t="inlineStr">
        <is>
          <t>국제</t>
        </is>
      </c>
      <c r="M1771" s="3" t="n">
        <v>1</v>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3" t="inlineStr">
        <is>
          <t>Point 땅 모양 좋고, 포장도로 국유지 접함, 분위기 좋은 위치</t>
        </is>
      </c>
      <c r="I1772" s="5">
        <f>HYPERLINK("https://fin.land.naver.com/articles/2643912046", "매물Link")</f>
        <v/>
      </c>
      <c r="J1772" s="5">
        <f>HYPERLINK("https://map.naver.com/p/search/나성동 829", "지도Link")</f>
        <v/>
      </c>
      <c r="K1772" s="5">
        <f>HYPERLINK("http://www.eum.go.kr/web/ar/lu/luLandDet.jsp?pnu=3611010700108290000&amp;isNoScr=script&amp;mode=search", "토지이음")</f>
        <v/>
      </c>
      <c r="L1772" s="3" t="inlineStr">
        <is>
          <t>도마호반</t>
        </is>
      </c>
      <c r="M1772" s="3" t="n">
        <v>1</v>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3" t="inlineStr">
        <is>
          <t>Point 급매, 시세보다 저렴한 토지 주말농장 추천</t>
        </is>
      </c>
      <c r="I1773" s="5">
        <f>HYPERLINK("https://fin.land.naver.com/articles/2645152434", "매물Link")</f>
        <v/>
      </c>
      <c r="J1773" s="5">
        <f>HYPERLINK("https://map.naver.com/p/search/나성동 829", "지도Link")</f>
        <v/>
      </c>
      <c r="K1773" s="5">
        <f>HYPERLINK("http://www.eum.go.kr/web/ar/lu/luLandDet.jsp?pnu=3611010700108290000&amp;isNoScr=script&amp;mode=search", "토지이음")</f>
        <v/>
      </c>
      <c r="L1773" s="3" t="inlineStr">
        <is>
          <t>도마호반</t>
        </is>
      </c>
      <c r="M1773" s="3" t="n">
        <v>1</v>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3" t="inlineStr">
        <is>
          <t>Point 생산관리, 접근성이 좋음 귀농귀촌 추천</t>
        </is>
      </c>
      <c r="I1774" s="5">
        <f>HYPERLINK("https://fin.land.naver.com/articles/2645152627", "매물Link")</f>
        <v/>
      </c>
      <c r="J1774" s="5">
        <f>HYPERLINK("https://map.naver.com/p/search/나성동 829", "지도Link")</f>
        <v/>
      </c>
      <c r="K1774" s="5">
        <f>HYPERLINK("http://www.eum.go.kr/web/ar/lu/luLandDet.jsp?pnu=3611010700108290000&amp;isNoScr=script&amp;mode=search", "토지이음")</f>
        <v/>
      </c>
      <c r="L1774" s="3" t="inlineStr">
        <is>
          <t>도마호반</t>
        </is>
      </c>
      <c r="M1774" s="3" t="n">
        <v>1</v>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3" t="inlineStr">
        <is>
          <t>산아래,남향,전,임야아주낮은 언덕같은,포장도로접,체류형주택단지강추,급</t>
        </is>
      </c>
      <c r="I1775" s="5">
        <f>HYPERLINK("https://fin.land.naver.com/articles/2648300086", "매물Link")</f>
        <v/>
      </c>
      <c r="J1775" s="5">
        <f>HYPERLINK("https://map.naver.com/p/search/나성동 829", "지도Link")</f>
        <v/>
      </c>
      <c r="K1775" s="5">
        <f>HYPERLINK("http://www.eum.go.kr/web/ar/lu/luLandDet.jsp?pnu=3611010700108290000&amp;isNoScr=script&amp;mode=search", "토지이음")</f>
        <v/>
      </c>
      <c r="L1775" s="3" t="inlineStr">
        <is>
          <t>가수원당근</t>
        </is>
      </c>
      <c r="M1775" s="3" t="n">
        <v>1</v>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3" t="inlineStr">
        <is>
          <t>nan</t>
        </is>
      </c>
      <c r="I1776" s="5">
        <f>HYPERLINK("https://fin.land.naver.com/articles/2645322644", "매물Link")</f>
        <v/>
      </c>
      <c r="J1776" s="5">
        <f>HYPERLINK("https://map.naver.com/p/search/나성동 829", "지도Link")</f>
        <v/>
      </c>
      <c r="K1776" s="5">
        <f>HYPERLINK("http://www.eum.go.kr/web/ar/lu/luLandDet.jsp?pnu=3611010700108290000&amp;isNoScr=script&amp;mode=search", "토지이음")</f>
        <v/>
      </c>
      <c r="L1776" s="3" t="inlineStr">
        <is>
          <t>귀빈</t>
        </is>
      </c>
      <c r="M1776" s="3" t="n">
        <v>1</v>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3" t="inlineStr">
        <is>
          <t>버스도로변 계획관리 가든 커피 전원주택 창고 영농 등 다양용도 토지 최상</t>
        </is>
      </c>
      <c r="I1777" s="5">
        <f>HYPERLINK("https://fin.land.naver.com/articles/2646299908", "매물Link")</f>
        <v/>
      </c>
      <c r="J1777" s="5">
        <f>HYPERLINK("https://map.naver.com/p/search/나성동 829", "지도Link")</f>
        <v/>
      </c>
      <c r="K1777" s="5">
        <f>HYPERLINK("http://www.eum.go.kr/web/ar/lu/luLandDet.jsp?pnu=3611010700108290000&amp;isNoScr=script&amp;mode=search", "토지이음")</f>
        <v/>
      </c>
      <c r="L1777" s="3" t="inlineStr">
        <is>
          <t>뉴태양</t>
        </is>
      </c>
      <c r="M1777" s="3" t="n">
        <v>1</v>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3" t="inlineStr">
        <is>
          <t>갑사인근 계룡저수지가 내려다 보이는 조망 좋은 토지입니다.</t>
        </is>
      </c>
      <c r="I1778" s="5">
        <f>HYPERLINK("https://fin.land.naver.com/articles/2646616446", "매물Link")</f>
        <v/>
      </c>
      <c r="J1778" s="5">
        <f>HYPERLINK("https://map.naver.com/p/search/나성동 829", "지도Link")</f>
        <v/>
      </c>
      <c r="K1778" s="5">
        <f>HYPERLINK("http://www.eum.go.kr/web/ar/lu/luLandDet.jsp?pnu=3611010700108290000&amp;isNoScr=script&amp;mode=search", "토지이음")</f>
        <v/>
      </c>
      <c r="L1778" s="3" t="inlineStr">
        <is>
          <t>노은탑</t>
        </is>
      </c>
      <c r="M1778" s="3" t="n">
        <v>1</v>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3" t="inlineStr">
        <is>
          <t>자연녹지 주말농장 농사용 투자용현황도로 있음, 분할매도 가능</t>
        </is>
      </c>
      <c r="I1779" s="5">
        <f>HYPERLINK("https://fin.land.naver.com/articles/2647420289", "매물Link")</f>
        <v/>
      </c>
      <c r="J1779" s="5">
        <f>HYPERLINK("https://map.naver.com/p/search/나성동 829", "지도Link")</f>
        <v/>
      </c>
      <c r="K1779" s="5">
        <f>HYPERLINK("http://www.eum.go.kr/web/ar/lu/luLandDet.jsp?pnu=3611010700108290000&amp;isNoScr=script&amp;mode=search", "토지이음")</f>
        <v/>
      </c>
      <c r="L1779" s="3" t="inlineStr">
        <is>
          <t>명문</t>
        </is>
      </c>
      <c r="M1779" s="3" t="n">
        <v>1</v>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3" t="inlineStr">
        <is>
          <t>2차선도로첩2종제조허가득</t>
        </is>
      </c>
      <c r="I1780" s="5">
        <f>HYPERLINK("https://fin.land.naver.com/articles/2649957416", "매물Link")</f>
        <v/>
      </c>
      <c r="J1780" s="5">
        <f>HYPERLINK("https://map.naver.com/p/search/나성동 829", "지도Link")</f>
        <v/>
      </c>
      <c r="K1780" s="5">
        <f>HYPERLINK("http://www.eum.go.kr/web/ar/lu/luLandDet.jsp?pnu=3611010700108290000&amp;isNoScr=script&amp;mode=search", "토지이음")</f>
        <v/>
      </c>
      <c r="L1780" s="3" t="inlineStr">
        <is>
          <t>보석</t>
        </is>
      </c>
      <c r="M1780" s="3" t="n">
        <v>1</v>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3" t="inlineStr">
        <is>
          <t>자연취락지구 건폐율 60%</t>
        </is>
      </c>
      <c r="I1781" s="5">
        <f>HYPERLINK("https://fin.land.naver.com/articles/2645151571", "매물Link")</f>
        <v/>
      </c>
      <c r="J1781" s="5">
        <f>HYPERLINK("https://map.naver.com/p/search/나성동 829", "지도Link")</f>
        <v/>
      </c>
      <c r="K1781" s="5">
        <f>HYPERLINK("http://www.eum.go.kr/web/ar/lu/luLandDet.jsp?pnu=3611010700108290000&amp;isNoScr=script&amp;mode=search", "토지이음")</f>
        <v/>
      </c>
      <c r="L1781" s="3" t="inlineStr">
        <is>
          <t>드리다</t>
        </is>
      </c>
      <c r="M1781" s="3" t="n">
        <v>1</v>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3" t="inlineStr">
        <is>
          <t>nan</t>
        </is>
      </c>
      <c r="I1782" s="5">
        <f>HYPERLINK("https://fin.land.naver.com/articles/2646656448", "매물Link")</f>
        <v/>
      </c>
      <c r="J1782" s="5">
        <f>HYPERLINK("https://map.naver.com/p/search/나성동 829", "지도Link")</f>
        <v/>
      </c>
      <c r="K1782" s="5">
        <f>HYPERLINK("http://www.eum.go.kr/web/ar/lu/luLandDet.jsp?pnu=3611010700108290000&amp;isNoScr=script&amp;mode=search", "토지이음")</f>
        <v/>
      </c>
      <c r="L1782" s="3" t="inlineStr">
        <is>
          <t>덕성</t>
        </is>
      </c>
      <c r="M1782" s="3" t="n">
        <v>1</v>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3" t="inlineStr">
        <is>
          <t>청원구 주성동 충북경찰청 부근에 위치한 모양좋은 토지입니다</t>
        </is>
      </c>
      <c r="I1783" s="5">
        <f>HYPERLINK("https://fin.land.naver.com/articles/2647078096", "매물Link")</f>
        <v/>
      </c>
      <c r="J1783" s="5">
        <f>HYPERLINK("https://map.naver.com/p/search/나성동 829", "지도Link")</f>
        <v/>
      </c>
      <c r="K1783" s="5">
        <f>HYPERLINK("http://www.eum.go.kr/web/ar/lu/luLandDet.jsp?pnu=3611010700108290000&amp;isNoScr=script&amp;mode=search", "토지이음")</f>
        <v/>
      </c>
      <c r="L1783" s="3" t="inlineStr">
        <is>
          <t>지구촌무소</t>
        </is>
      </c>
      <c r="M1783" s="3" t="n">
        <v>1</v>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3" t="inlineStr">
        <is>
          <t>주중동 조용하고 위치 좋은 주택지와 농작물재배용도의 토지포함 매매이예요</t>
        </is>
      </c>
      <c r="I1784" s="5">
        <f>HYPERLINK("https://fin.land.naver.com/articles/2646569304", "매물Link")</f>
        <v/>
      </c>
      <c r="J1784" s="5">
        <f>HYPERLINK("https://map.naver.com/p/search/나성동 829", "지도Link")</f>
        <v/>
      </c>
      <c r="K1784" s="5">
        <f>HYPERLINK("http://www.eum.go.kr/web/ar/lu/luLandDet.jsp?pnu=3611010700108290000&amp;isNoScr=script&amp;mode=search", "토지이음")</f>
        <v/>
      </c>
      <c r="L1784" s="3" t="inlineStr">
        <is>
          <t>4989명품</t>
        </is>
      </c>
      <c r="M1784" s="3" t="n">
        <v>1</v>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3" t="inlineStr">
        <is>
          <t>nan</t>
        </is>
      </c>
      <c r="I1785" s="5">
        <f>HYPERLINK("https://fin.land.naver.com/articles/2648225153", "매물Link")</f>
        <v/>
      </c>
      <c r="J1785" s="5">
        <f>HYPERLINK("https://map.naver.com/p/search/나성동 829", "지도Link")</f>
        <v/>
      </c>
      <c r="K1785" s="5">
        <f>HYPERLINK("http://www.eum.go.kr/web/ar/lu/luLandDet.jsp?pnu=3611010700108290000&amp;isNoScr=script&amp;mode=search", "토지이음")</f>
        <v/>
      </c>
      <c r="L1785" s="3" t="inlineStr">
        <is>
          <t>좋은터</t>
        </is>
      </c>
      <c r="M1785" s="3" t="n">
        <v>1</v>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3" t="inlineStr">
        <is>
          <t>공장.창고부지</t>
        </is>
      </c>
      <c r="I1786" s="5">
        <f>HYPERLINK("https://fin.land.naver.com/articles/2646011101", "매물Link")</f>
        <v/>
      </c>
      <c r="J1786" s="5">
        <f>HYPERLINK("https://map.naver.com/p/search/나성동 829", "지도Link")</f>
        <v/>
      </c>
      <c r="K1786" s="5">
        <f>HYPERLINK("http://www.eum.go.kr/web/ar/lu/luLandDet.jsp?pnu=3611010700108290000&amp;isNoScr=script&amp;mode=search", "토지이음")</f>
        <v/>
      </c>
      <c r="L1786" s="3" t="inlineStr">
        <is>
          <t>케이투(k2)</t>
        </is>
      </c>
      <c r="M1786" s="3" t="n">
        <v>1</v>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3" t="inlineStr">
        <is>
          <t>창고부지 매매</t>
        </is>
      </c>
      <c r="I1787" s="5">
        <f>HYPERLINK("https://fin.land.naver.com/articles/2647419131", "매물Link")</f>
        <v/>
      </c>
      <c r="J1787" s="5">
        <f>HYPERLINK("https://map.naver.com/p/search/나성동 829", "지도Link")</f>
        <v/>
      </c>
      <c r="K1787" s="5">
        <f>HYPERLINK("http://www.eum.go.kr/web/ar/lu/luLandDet.jsp?pnu=3611010700108290000&amp;isNoScr=script&amp;mode=search", "토지이음")</f>
        <v/>
      </c>
      <c r="L1787" s="3" t="inlineStr">
        <is>
          <t>케이투(k2)</t>
        </is>
      </c>
      <c r="M1787" s="3" t="n">
        <v>1</v>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3" t="inlineStr">
        <is>
          <t>수름재 삼거리 인근 충청대로 대로변</t>
        </is>
      </c>
      <c r="I1788" s="5">
        <f>HYPERLINK("https://fin.land.naver.com/articles/2649547257", "매물Link")</f>
        <v/>
      </c>
      <c r="J1788" s="5">
        <f>HYPERLINK("https://map.naver.com/p/search/나성동 829", "지도Link")</f>
        <v/>
      </c>
      <c r="K1788" s="5">
        <f>HYPERLINK("http://www.eum.go.kr/web/ar/lu/luLandDet.jsp?pnu=3611010700108290000&amp;isNoScr=script&amp;mode=search", "토지이음")</f>
        <v/>
      </c>
      <c r="L1788" s="3" t="inlineStr">
        <is>
          <t>좋은터</t>
        </is>
      </c>
      <c r="M1788" s="3" t="n">
        <v>1</v>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3" t="inlineStr">
        <is>
          <t>충청북도 교육문화원 인근 사천동 사과나무 식당부근에 위치한 토지입니다</t>
        </is>
      </c>
      <c r="I1789" s="5">
        <f>HYPERLINK("https://fin.land.naver.com/articles/2647073044", "매물Link")</f>
        <v/>
      </c>
      <c r="J1789" s="5">
        <f>HYPERLINK("https://map.naver.com/p/search/나성동 829", "지도Link")</f>
        <v/>
      </c>
      <c r="K1789" s="5">
        <f>HYPERLINK("http://www.eum.go.kr/web/ar/lu/luLandDet.jsp?pnu=3611010700108290000&amp;isNoScr=script&amp;mode=search", "토지이음")</f>
        <v/>
      </c>
      <c r="L1789" s="3" t="inlineStr">
        <is>
          <t>지구촌무소</t>
        </is>
      </c>
      <c r="M1789" s="3" t="n">
        <v>1</v>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3" t="inlineStr">
        <is>
          <t>투자로 추천</t>
        </is>
      </c>
      <c r="I1790" s="5">
        <f>HYPERLINK("https://fin.land.naver.com/articles/2645146631", "매물Link")</f>
        <v/>
      </c>
      <c r="J1790" s="5">
        <f>HYPERLINK("https://map.naver.com/p/search/나성동 829", "지도Link")</f>
        <v/>
      </c>
      <c r="K1790" s="5">
        <f>HYPERLINK("http://www.eum.go.kr/web/ar/lu/luLandDet.jsp?pnu=3611010700108290000&amp;isNoScr=script&amp;mode=search", "토지이음")</f>
        <v/>
      </c>
      <c r="L1790" s="3" t="inlineStr">
        <is>
          <t>보석</t>
        </is>
      </c>
      <c r="M1790" s="3" t="n">
        <v>1</v>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3" t="inlineStr">
        <is>
          <t>자연녹지 전원주택지 주말농장 창고 투자용등분할매도 가능</t>
        </is>
      </c>
      <c r="I1791" s="5">
        <f>HYPERLINK("https://fin.land.naver.com/articles/2644028414", "매물Link")</f>
        <v/>
      </c>
      <c r="J1791" s="5">
        <f>HYPERLINK("https://map.naver.com/p/search/나성동 829", "지도Link")</f>
        <v/>
      </c>
      <c r="K1791" s="5">
        <f>HYPERLINK("http://www.eum.go.kr/web/ar/lu/luLandDet.jsp?pnu=3611010700108290000&amp;isNoScr=script&amp;mode=search", "토지이음")</f>
        <v/>
      </c>
      <c r="L1791" s="3" t="inlineStr">
        <is>
          <t>명문</t>
        </is>
      </c>
      <c r="M1791" s="3" t="n">
        <v>1</v>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3" t="inlineStr">
        <is>
          <t>도심 텃밭 주말농장용 토지</t>
        </is>
      </c>
      <c r="I1792" s="5">
        <f>HYPERLINK("https://fin.land.naver.com/articles/2649770085", "매물Link")</f>
        <v/>
      </c>
      <c r="J1792" s="5">
        <f>HYPERLINK("https://map.naver.com/p/search/나성동 829", "지도Link")</f>
        <v/>
      </c>
      <c r="K1792" s="5">
        <f>HYPERLINK("http://www.eum.go.kr/web/ar/lu/luLandDet.jsp?pnu=3611010700108290000&amp;isNoScr=script&amp;mode=search", "토지이음")</f>
        <v/>
      </c>
      <c r="L1792" s="3" t="inlineStr">
        <is>
          <t>김하연</t>
        </is>
      </c>
      <c r="M1792" s="3" t="n">
        <v>2</v>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3" t="inlineStr">
        <is>
          <t>자연녹지 창고, 공장용지 대토용 투자용</t>
        </is>
      </c>
      <c r="I1793" s="5">
        <f>HYPERLINK("https://fin.land.naver.com/articles/2646974063", "매물Link")</f>
        <v/>
      </c>
      <c r="J1793" s="5">
        <f>HYPERLINK("https://map.naver.com/p/search/나성동 829", "지도Link")</f>
        <v/>
      </c>
      <c r="K1793" s="5">
        <f>HYPERLINK("http://www.eum.go.kr/web/ar/lu/luLandDet.jsp?pnu=3611010700108290000&amp;isNoScr=script&amp;mode=search", "토지이음")</f>
        <v/>
      </c>
      <c r="L1793" s="3" t="inlineStr">
        <is>
          <t>명문</t>
        </is>
      </c>
      <c r="M1793" s="3" t="n">
        <v>1</v>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3" t="inlineStr">
        <is>
          <t>공장 창고 야적장 차고지</t>
        </is>
      </c>
      <c r="I1794" s="5">
        <f>HYPERLINK("https://fin.land.naver.com/articles/2646975060", "매물Link")</f>
        <v/>
      </c>
      <c r="J1794" s="5">
        <f>HYPERLINK("https://map.naver.com/p/search/나성동 829", "지도Link")</f>
        <v/>
      </c>
      <c r="K1794" s="5">
        <f>HYPERLINK("http://www.eum.go.kr/web/ar/lu/luLandDet.jsp?pnu=3611010700108290000&amp;isNoScr=script&amp;mode=search", "토지이음")</f>
        <v/>
      </c>
      <c r="L1794" s="3" t="inlineStr">
        <is>
          <t>명문</t>
        </is>
      </c>
      <c r="M1794" s="3" t="n">
        <v>1</v>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3" t="inlineStr">
        <is>
          <t>nan</t>
        </is>
      </c>
      <c r="I1795" s="5">
        <f>HYPERLINK("https://fin.land.naver.com/articles/2647031023", "매물Link")</f>
        <v/>
      </c>
      <c r="J1795" s="5">
        <f>HYPERLINK("https://map.naver.com/p/search/나성동 829", "지도Link")</f>
        <v/>
      </c>
      <c r="K1795" s="5">
        <f>HYPERLINK("http://www.eum.go.kr/web/ar/lu/luLandDet.jsp?pnu=3611010700108290000&amp;isNoScr=script&amp;mode=search", "토지이음")</f>
        <v/>
      </c>
      <c r="L1795" s="3" t="inlineStr">
        <is>
          <t>강남</t>
        </is>
      </c>
      <c r="M1795" s="3" t="n">
        <v>1</v>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3" t="inlineStr">
        <is>
          <t>외남동 3순환로 인근 토지 매매</t>
        </is>
      </c>
      <c r="I1796" s="5">
        <f>HYPERLINK("https://fin.land.naver.com/articles/2648640504", "매물Link")</f>
        <v/>
      </c>
      <c r="J1796" s="5">
        <f>HYPERLINK("https://map.naver.com/p/search/나성동 829", "지도Link")</f>
        <v/>
      </c>
      <c r="K1796" s="5">
        <f>HYPERLINK("http://www.eum.go.kr/web/ar/lu/luLandDet.jsp?pnu=3611010700108290000&amp;isNoScr=script&amp;mode=search", "토지이음")</f>
        <v/>
      </c>
      <c r="L1796" s="3" t="inlineStr">
        <is>
          <t>두꺼비</t>
        </is>
      </c>
      <c r="M1796" s="3" t="n">
        <v>1</v>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3" t="inlineStr">
        <is>
          <t>3순환로 인근 토지 급매</t>
        </is>
      </c>
      <c r="I1797" s="5">
        <f>HYPERLINK("https://fin.land.naver.com/articles/2648640677", "매물Link")</f>
        <v/>
      </c>
      <c r="J1797" s="5">
        <f>HYPERLINK("https://map.naver.com/p/search/나성동 829", "지도Link")</f>
        <v/>
      </c>
      <c r="K1797" s="5">
        <f>HYPERLINK("http://www.eum.go.kr/web/ar/lu/luLandDet.jsp?pnu=3611010700108290000&amp;isNoScr=script&amp;mode=search", "토지이음")</f>
        <v/>
      </c>
      <c r="L1797" s="3" t="inlineStr">
        <is>
          <t>두꺼비</t>
        </is>
      </c>
      <c r="M1797" s="3" t="n">
        <v>1</v>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3" t="inlineStr">
        <is>
          <t>청원구 외남동 제3순환로 인접 토지 매매(진출입로 인접으로 접근성 좋음)</t>
        </is>
      </c>
      <c r="I1798" s="5">
        <f>HYPERLINK("https://fin.land.naver.com/articles/2649015008", "매물Link")</f>
        <v/>
      </c>
      <c r="J1798" s="5">
        <f>HYPERLINK("https://map.naver.com/p/search/나성동 829", "지도Link")</f>
        <v/>
      </c>
      <c r="K1798" s="5">
        <f>HYPERLINK("http://www.eum.go.kr/web/ar/lu/luLandDet.jsp?pnu=3611010700108290000&amp;isNoScr=script&amp;mode=search", "토지이음")</f>
        <v/>
      </c>
      <c r="L1798" s="3" t="inlineStr">
        <is>
          <t>오창대성</t>
        </is>
      </c>
      <c r="M1798" s="3" t="n">
        <v>1</v>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3" t="inlineStr">
        <is>
          <t>자연녹지 현재나대지 도로5m 건축허가득함 공장 창고 야적장 차고지 고물상</t>
        </is>
      </c>
      <c r="I1799" s="5">
        <f>HYPERLINK("https://fin.land.naver.com/articles/2644028476", "매물Link")</f>
        <v/>
      </c>
      <c r="J1799" s="5">
        <f>HYPERLINK("https://map.naver.com/p/search/나성동 829", "지도Link")</f>
        <v/>
      </c>
      <c r="K1799" s="5">
        <f>HYPERLINK("http://www.eum.go.kr/web/ar/lu/luLandDet.jsp?pnu=3611010700108290000&amp;isNoScr=script&amp;mode=search", "토지이음")</f>
        <v/>
      </c>
      <c r="L1799" s="3" t="inlineStr">
        <is>
          <t>명문</t>
        </is>
      </c>
      <c r="M1799" s="3" t="n">
        <v>1</v>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3" t="inlineStr">
        <is>
          <t>경지정리, 주변시세보다 저렴</t>
        </is>
      </c>
      <c r="I1800" s="5">
        <f>HYPERLINK("https://fin.land.naver.com/articles/2647709998", "매물Link")</f>
        <v/>
      </c>
      <c r="J1800" s="5">
        <f>HYPERLINK("https://map.naver.com/p/search/나성동 829", "지도Link")</f>
        <v/>
      </c>
      <c r="K1800" s="5">
        <f>HYPERLINK("http://www.eum.go.kr/web/ar/lu/luLandDet.jsp?pnu=3611010700108290000&amp;isNoScr=script&amp;mode=search", "토지이음")</f>
        <v/>
      </c>
      <c r="L1800" s="3" t="inlineStr">
        <is>
          <t>한우리</t>
        </is>
      </c>
      <c r="M1800" s="3" t="n">
        <v>1</v>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3" t="inlineStr">
        <is>
          <t>나대지 예쁜전원주택지최적화.도시지역</t>
        </is>
      </c>
      <c r="I1801" s="5">
        <f>HYPERLINK("https://fin.land.naver.com/articles/2648792899", "매물Link")</f>
        <v/>
      </c>
      <c r="J1801" s="5">
        <f>HYPERLINK("https://map.naver.com/p/search/나성동 829", "지도Link")</f>
        <v/>
      </c>
      <c r="K1801" s="5">
        <f>HYPERLINK("http://www.eum.go.kr/web/ar/lu/luLandDet.jsp?pnu=3611010700108290000&amp;isNoScr=script&amp;mode=search", "토지이음")</f>
        <v/>
      </c>
      <c r="L1801" s="3" t="inlineStr">
        <is>
          <t>조은</t>
        </is>
      </c>
      <c r="M1801" s="3" t="n">
        <v>1</v>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3" t="inlineStr">
        <is>
          <t>nan</t>
        </is>
      </c>
      <c r="I1802" s="5">
        <f>HYPERLINK("https://fin.land.naver.com/articles/2646409348", "매물Link")</f>
        <v/>
      </c>
      <c r="J1802" s="5">
        <f>HYPERLINK("https://map.naver.com/p/search/나성동 829", "지도Link")</f>
        <v/>
      </c>
      <c r="K1802" s="5">
        <f>HYPERLINK("http://www.eum.go.kr/web/ar/lu/luLandDet.jsp?pnu=3611010700108290000&amp;isNoScr=script&amp;mode=search", "토지이음")</f>
        <v/>
      </c>
      <c r="L1802" s="3" t="inlineStr">
        <is>
          <t>덕성</t>
        </is>
      </c>
      <c r="M1802" s="3" t="n">
        <v>1</v>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3" t="inlineStr">
        <is>
          <t>투자용 매물</t>
        </is>
      </c>
      <c r="I1803" s="5">
        <f>HYPERLINK("https://fin.land.naver.com/articles/2647373844", "매물Link")</f>
        <v/>
      </c>
      <c r="J1803" s="5">
        <f>HYPERLINK("https://map.naver.com/p/search/나성동 829", "지도Link")</f>
        <v/>
      </c>
      <c r="K1803" s="5">
        <f>HYPERLINK("http://www.eum.go.kr/web/ar/lu/luLandDet.jsp?pnu=3611010700108290000&amp;isNoScr=script&amp;mode=search", "토지이음")</f>
        <v/>
      </c>
      <c r="L1803" s="3" t="inlineStr">
        <is>
          <t>제우스</t>
        </is>
      </c>
      <c r="M1803" s="3" t="n">
        <v>1</v>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3" t="inlineStr">
        <is>
          <t>nan</t>
        </is>
      </c>
      <c r="I1804" s="5">
        <f>HYPERLINK("https://fin.land.naver.com/articles/2648467974", "매물Link")</f>
        <v/>
      </c>
      <c r="J1804" s="5">
        <f>HYPERLINK("https://map.naver.com/p/search/나성동 829", "지도Link")</f>
        <v/>
      </c>
      <c r="K1804" s="5">
        <f>HYPERLINK("http://www.eum.go.kr/web/ar/lu/luLandDet.jsp?pnu=3611010700108290000&amp;isNoScr=script&amp;mode=search", "토지이음")</f>
        <v/>
      </c>
      <c r="L1804" s="3" t="inlineStr">
        <is>
          <t>진</t>
        </is>
      </c>
      <c r="M1804" s="3" t="n">
        <v>1</v>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3" t="inlineStr">
        <is>
          <t>청주시내 저렴한 전원주택지</t>
        </is>
      </c>
      <c r="I1805" s="5">
        <f>HYPERLINK("https://fin.land.naver.com/articles/2648641704", "매물Link")</f>
        <v/>
      </c>
      <c r="J1805" s="5">
        <f>HYPERLINK("https://map.naver.com/p/search/나성동 829", "지도Link")</f>
        <v/>
      </c>
      <c r="K1805" s="5">
        <f>HYPERLINK("http://www.eum.go.kr/web/ar/lu/luLandDet.jsp?pnu=3611010700108290000&amp;isNoScr=script&amp;mode=search", "토지이음")</f>
        <v/>
      </c>
      <c r="L1805" s="3" t="inlineStr">
        <is>
          <t>두꺼비</t>
        </is>
      </c>
      <c r="M1805" s="3" t="n">
        <v>1</v>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3" t="inlineStr">
        <is>
          <t>nan</t>
        </is>
      </c>
      <c r="I1806" s="5">
        <f>HYPERLINK("https://fin.land.naver.com/articles/2649191858", "매물Link")</f>
        <v/>
      </c>
      <c r="J1806" s="5">
        <f>HYPERLINK("https://map.naver.com/p/search/나성동 829", "지도Link")</f>
        <v/>
      </c>
      <c r="K1806" s="5">
        <f>HYPERLINK("http://www.eum.go.kr/web/ar/lu/luLandDet.jsp?pnu=3611010700108290000&amp;isNoScr=script&amp;mode=search", "토지이음")</f>
        <v/>
      </c>
      <c r="L1806" s="3" t="inlineStr">
        <is>
          <t>양지푸르지오</t>
        </is>
      </c>
      <c r="M1806" s="3" t="n">
        <v>1</v>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3" t="inlineStr">
        <is>
          <t>nan</t>
        </is>
      </c>
      <c r="I1807" s="5">
        <f>HYPERLINK("https://fin.land.naver.com/articles/2646656379", "매물Link")</f>
        <v/>
      </c>
      <c r="J1807" s="5">
        <f>HYPERLINK("https://map.naver.com/p/search/나성동 829", "지도Link")</f>
        <v/>
      </c>
      <c r="K1807" s="5">
        <f>HYPERLINK("http://www.eum.go.kr/web/ar/lu/luLandDet.jsp?pnu=3611010700108290000&amp;isNoScr=script&amp;mode=search", "토지이음")</f>
        <v/>
      </c>
      <c r="L1807" s="3" t="inlineStr">
        <is>
          <t>덕성</t>
        </is>
      </c>
      <c r="M1807" s="3" t="n">
        <v>1</v>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3" t="inlineStr">
        <is>
          <t>밀레니엄타운 부근</t>
        </is>
      </c>
      <c r="I1808" s="5">
        <f>HYPERLINK("https://fin.land.naver.com/articles/2646011339", "매물Link")</f>
        <v/>
      </c>
      <c r="J1808" s="5">
        <f>HYPERLINK("https://map.naver.com/p/search/나성동 829", "지도Link")</f>
        <v/>
      </c>
      <c r="K1808" s="5">
        <f>HYPERLINK("http://www.eum.go.kr/web/ar/lu/luLandDet.jsp?pnu=3611010700108290000&amp;isNoScr=script&amp;mode=search", "토지이음")</f>
        <v/>
      </c>
      <c r="L1808" s="3" t="inlineStr">
        <is>
          <t>케이투(k2)</t>
        </is>
      </c>
      <c r="M1808" s="3" t="n">
        <v>1</v>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3" t="inlineStr">
        <is>
          <t>내덕초앞 주택밀집지역 주통행로 입구 도로변 단층학원 건물있음 투자강추</t>
        </is>
      </c>
      <c r="I1809" s="5">
        <f>HYPERLINK("https://fin.land.naver.com/articles/2645326410", "매물Link")</f>
        <v/>
      </c>
      <c r="J1809" s="5">
        <f>HYPERLINK("https://map.naver.com/p/search/나성동 829", "지도Link")</f>
        <v/>
      </c>
      <c r="K1809" s="5">
        <f>HYPERLINK("http://www.eum.go.kr/web/ar/lu/luLandDet.jsp?pnu=3611010700108290000&amp;isNoScr=script&amp;mode=search", "토지이음")</f>
        <v/>
      </c>
      <c r="L1809" s="3" t="inlineStr">
        <is>
          <t>세종</t>
        </is>
      </c>
      <c r="M1809" s="3" t="n">
        <v>1</v>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3" t="inlineStr">
        <is>
          <t>중로2류(폭 15m~20m)(접함)빈터.철거하고 창고로 쓰고있슴.</t>
        </is>
      </c>
      <c r="I1810" s="5">
        <f>HYPERLINK("https://fin.land.naver.com/articles/2645791697", "매물Link")</f>
        <v/>
      </c>
      <c r="J1810" s="5">
        <f>HYPERLINK("https://map.naver.com/p/search/나성동 829", "지도Link")</f>
        <v/>
      </c>
      <c r="K1810" s="5">
        <f>HYPERLINK("http://www.eum.go.kr/web/ar/lu/luLandDet.jsp?pnu=3611010700108290000&amp;isNoScr=script&amp;mode=search", "토지이음")</f>
        <v/>
      </c>
      <c r="L1810" s="3" t="inlineStr">
        <is>
          <t>정은경</t>
        </is>
      </c>
      <c r="M1810" s="3" t="n">
        <v>1</v>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3" t="inlineStr">
        <is>
          <t>상춘고택 인근, 현 전원주택 사용중,요지에 넓은 대지로 다양한 용도 가능</t>
        </is>
      </c>
      <c r="I1811" s="5">
        <f>HYPERLINK("https://fin.land.naver.com/articles/2644815937", "매물Link")</f>
        <v/>
      </c>
      <c r="J1811" s="5">
        <f>HYPERLINK("https://map.naver.com/p/search/나성동 829", "지도Link")</f>
        <v/>
      </c>
      <c r="K1811" s="5">
        <f>HYPERLINK("http://www.eum.go.kr/web/ar/lu/luLandDet.jsp?pnu=3611010700108290000&amp;isNoScr=script&amp;mode=search", "토지이음")</f>
        <v/>
      </c>
      <c r="L1811" s="3" t="inlineStr">
        <is>
          <t>코아루수지</t>
        </is>
      </c>
      <c r="M1811" s="3" t="n">
        <v>1</v>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3" t="inlineStr">
        <is>
          <t>오산네거리 농수산물시장 대로변의 특급 매물입니다</t>
        </is>
      </c>
      <c r="I1812" s="5">
        <f>HYPERLINK("https://fin.land.naver.com/articles/2645198751", "매물Link")</f>
        <v/>
      </c>
      <c r="J1812" s="5">
        <f>HYPERLINK("https://map.naver.com/p/search/나성동 829", "지도Link")</f>
        <v/>
      </c>
      <c r="K1812" s="5">
        <f>HYPERLINK("http://www.eum.go.kr/web/ar/lu/luLandDet.jsp?pnu=3611010700108290000&amp;isNoScr=script&amp;mode=search", "토지이음")</f>
        <v/>
      </c>
      <c r="L1812" s="3" t="inlineStr">
        <is>
          <t>KSK</t>
        </is>
      </c>
      <c r="M1812" s="3" t="n">
        <v>1</v>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3" t="inlineStr">
        <is>
          <t>옥산 동림리3필지 대지,전,답</t>
        </is>
      </c>
      <c r="I1813" s="5">
        <f>HYPERLINK("https://fin.land.naver.com/articles/2646983381", "매물Link")</f>
        <v/>
      </c>
      <c r="J1813" s="5">
        <f>HYPERLINK("https://map.naver.com/p/search/나성동 829", "지도Link")</f>
        <v/>
      </c>
      <c r="K1813" s="5">
        <f>HYPERLINK("http://www.eum.go.kr/web/ar/lu/luLandDet.jsp?pnu=3611010700108290000&amp;isNoScr=script&amp;mode=search", "토지이음")</f>
        <v/>
      </c>
      <c r="L1813" s="3" t="inlineStr">
        <is>
          <t>수풀림</t>
        </is>
      </c>
      <c r="M1813" s="3" t="n">
        <v>1</v>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3" t="inlineStr">
        <is>
          <t>옥산산업단지내 주차장(차고지)엘지하우시스정문앞 위치 최상 현항좋은토지</t>
        </is>
      </c>
      <c r="I1814" s="5">
        <f>HYPERLINK("https://fin.land.naver.com/articles/2647103271", "매물Link")</f>
        <v/>
      </c>
      <c r="J1814" s="5">
        <f>HYPERLINK("https://map.naver.com/p/search/나성동 829", "지도Link")</f>
        <v/>
      </c>
      <c r="K1814" s="5">
        <f>HYPERLINK("http://www.eum.go.kr/web/ar/lu/luLandDet.jsp?pnu=3611010700108290000&amp;isNoScr=script&amp;mode=search", "토지이음")</f>
        <v/>
      </c>
      <c r="L1814" s="3" t="inlineStr">
        <is>
          <t>옥산리버자이</t>
        </is>
      </c>
      <c r="M1814" s="3" t="n">
        <v>1</v>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3" t="inlineStr">
        <is>
          <t>대교리 계획관리지역 임야. 저렴한 토지</t>
        </is>
      </c>
      <c r="I1815" s="5">
        <f>HYPERLINK("https://fin.land.naver.com/articles/2648510655", "매물Link")</f>
        <v/>
      </c>
      <c r="J1815" s="5">
        <f>HYPERLINK("https://map.naver.com/p/search/나성동 829", "지도Link")</f>
        <v/>
      </c>
      <c r="K1815" s="5">
        <f>HYPERLINK("http://www.eum.go.kr/web/ar/lu/luLandDet.jsp?pnu=3611010700108290000&amp;isNoScr=script&amp;mode=search", "토지이음")</f>
        <v/>
      </c>
      <c r="L1815" s="3" t="inlineStr">
        <is>
          <t>세종금밭</t>
        </is>
      </c>
      <c r="M1815" s="3" t="n">
        <v>1</v>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3" t="inlineStr">
        <is>
          <t>nan</t>
        </is>
      </c>
      <c r="I1816" s="5">
        <f>HYPERLINK("https://fin.land.naver.com/articles/2647650438", "매물Link")</f>
        <v/>
      </c>
      <c r="J1816" s="5">
        <f>HYPERLINK("https://map.naver.com/p/search/나성동 829", "지도Link")</f>
        <v/>
      </c>
      <c r="K1816" s="5">
        <f>HYPERLINK("http://www.eum.go.kr/web/ar/lu/luLandDet.jsp?pnu=3611010700108290000&amp;isNoScr=script&amp;mode=search", "토지이음")</f>
        <v/>
      </c>
      <c r="L1816" s="3" t="inlineStr">
        <is>
          <t>늘푸른 사무소</t>
        </is>
      </c>
      <c r="M1816" s="3" t="n">
        <v>1</v>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3" t="inlineStr">
        <is>
          <t>경작용.옥산이 발전하고 있기 때문에 투자용적합.</t>
        </is>
      </c>
      <c r="I1817" s="5">
        <f>HYPERLINK("https://fin.land.naver.com/articles/2648352175", "매물Link")</f>
        <v/>
      </c>
      <c r="J1817" s="5">
        <f>HYPERLINK("https://map.naver.com/p/search/나성동 829", "지도Link")</f>
        <v/>
      </c>
      <c r="K1817" s="5">
        <f>HYPERLINK("http://www.eum.go.kr/web/ar/lu/luLandDet.jsp?pnu=3611010700108290000&amp;isNoScr=script&amp;mode=search", "토지이음")</f>
        <v/>
      </c>
      <c r="L1817" s="3" t="inlineStr">
        <is>
          <t>청와대합동</t>
        </is>
      </c>
      <c r="M1817" s="3" t="n">
        <v>1</v>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3" t="inlineStr">
        <is>
          <t>전원주택 및 주말농장 부지</t>
        </is>
      </c>
      <c r="I1818" s="5">
        <f>HYPERLINK("https://fin.land.naver.com/articles/2649277047", "매물Link")</f>
        <v/>
      </c>
      <c r="J1818" s="5">
        <f>HYPERLINK("https://map.naver.com/p/search/나성동 829", "지도Link")</f>
        <v/>
      </c>
      <c r="K1818" s="5">
        <f>HYPERLINK("http://www.eum.go.kr/web/ar/lu/luLandDet.jsp?pnu=3611010700108290000&amp;isNoScr=script&amp;mode=search", "토지이음")</f>
        <v/>
      </c>
      <c r="L1818" s="3" t="inlineStr">
        <is>
          <t>온나라</t>
        </is>
      </c>
      <c r="M1818" s="3" t="n">
        <v>1</v>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3" t="inlineStr">
        <is>
          <t>나대지 10분거리내 청주,오창,오송인접</t>
        </is>
      </c>
      <c r="I1819" s="5">
        <f>HYPERLINK("https://fin.land.naver.com/articles/2649822161", "매물Link")</f>
        <v/>
      </c>
      <c r="J1819" s="5">
        <f>HYPERLINK("https://map.naver.com/p/search/나성동 829", "지도Link")</f>
        <v/>
      </c>
      <c r="K1819" s="5">
        <f>HYPERLINK("http://www.eum.go.kr/web/ar/lu/luLandDet.jsp?pnu=3611010700108290000&amp;isNoScr=script&amp;mode=search", "토지이음")</f>
        <v/>
      </c>
      <c r="L1819" s="3" t="inlineStr">
        <is>
          <t>갑부</t>
        </is>
      </c>
      <c r="M1819" s="3" t="n">
        <v>1</v>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3" t="inlineStr">
        <is>
          <t>2차선 도로에 접한 농지</t>
        </is>
      </c>
      <c r="I1820" s="5">
        <f>HYPERLINK("https://fin.land.naver.com/articles/2647357961", "매물Link")</f>
        <v/>
      </c>
      <c r="J1820" s="5">
        <f>HYPERLINK("https://map.naver.com/p/search/나성동 829", "지도Link")</f>
        <v/>
      </c>
      <c r="K1820" s="5">
        <f>HYPERLINK("http://www.eum.go.kr/web/ar/lu/luLandDet.jsp?pnu=3611010700108290000&amp;isNoScr=script&amp;mode=search", "토지이음")</f>
        <v/>
      </c>
      <c r="L1820" s="3" t="inlineStr">
        <is>
          <t>연주영</t>
        </is>
      </c>
      <c r="M1820" s="3" t="n">
        <v>1</v>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3" t="inlineStr">
        <is>
          <t>자연녹지지역으로 식당 공장 창고 전원주택지</t>
        </is>
      </c>
      <c r="I1821" s="5">
        <f>HYPERLINK("https://fin.land.naver.com/articles/2648252896", "매물Link")</f>
        <v/>
      </c>
      <c r="J1821" s="5">
        <f>HYPERLINK("https://map.naver.com/p/search/나성동 829", "지도Link")</f>
        <v/>
      </c>
      <c r="K1821" s="5">
        <f>HYPERLINK("http://www.eum.go.kr/web/ar/lu/luLandDet.jsp?pnu=3611010700108290000&amp;isNoScr=script&amp;mode=search", "토지이음")</f>
        <v/>
      </c>
      <c r="L1821" s="3" t="inlineStr">
        <is>
          <t>영재</t>
        </is>
      </c>
      <c r="M1821" s="3" t="n">
        <v>1</v>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3" t="inlineStr">
        <is>
          <t>코너 상가주택 건축하실분</t>
        </is>
      </c>
      <c r="I1822" s="5">
        <f>HYPERLINK("https://fin.land.naver.com/articles/2646010492", "매물Link")</f>
        <v/>
      </c>
      <c r="J1822" s="5">
        <f>HYPERLINK("https://map.naver.com/p/search/나성동 829", "지도Link")</f>
        <v/>
      </c>
      <c r="K1822" s="5">
        <f>HYPERLINK("http://www.eum.go.kr/web/ar/lu/luLandDet.jsp?pnu=3611010700108290000&amp;isNoScr=script&amp;mode=search", "토지이음")</f>
        <v/>
      </c>
      <c r="L1822" s="3" t="inlineStr">
        <is>
          <t>케이투(k2)</t>
        </is>
      </c>
      <c r="M1822" s="3" t="n">
        <v>1</v>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3" t="inlineStr">
        <is>
          <t>율량동 상리교차로 인근에 위치,6미터도로접</t>
        </is>
      </c>
      <c r="I1823" s="5">
        <f>HYPERLINK("https://fin.land.naver.com/articles/2648573231", "매물Link")</f>
        <v/>
      </c>
      <c r="J1823" s="5">
        <f>HYPERLINK("https://map.naver.com/p/search/나성동 829", "지도Link")</f>
        <v/>
      </c>
      <c r="K1823" s="5">
        <f>HYPERLINK("http://www.eum.go.kr/web/ar/lu/luLandDet.jsp?pnu=3611010700108290000&amp;isNoScr=script&amp;mode=search", "토지이음")</f>
        <v/>
      </c>
      <c r="L1823" s="3" t="inlineStr">
        <is>
          <t>일조</t>
        </is>
      </c>
      <c r="M1823" s="3" t="n">
        <v>1</v>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3" t="inlineStr">
        <is>
          <t>자연녹지 공장 창고 야적장 차고지 투자용 등 다용도</t>
        </is>
      </c>
      <c r="I1824" s="5">
        <f>HYPERLINK("https://fin.land.naver.com/articles/2647030611", "매물Link")</f>
        <v/>
      </c>
      <c r="J1824" s="5">
        <f>HYPERLINK("https://map.naver.com/p/search/나성동 829", "지도Link")</f>
        <v/>
      </c>
      <c r="K1824" s="5">
        <f>HYPERLINK("http://www.eum.go.kr/web/ar/lu/luLandDet.jsp?pnu=3611010700108290000&amp;isNoScr=script&amp;mode=search", "토지이음")</f>
        <v/>
      </c>
      <c r="L1824" s="3" t="inlineStr">
        <is>
          <t>명문</t>
        </is>
      </c>
      <c r="M1824" s="3" t="n">
        <v>1</v>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3" t="inlineStr">
        <is>
          <t>자연녹지 도로5m접함 창고 사무실 주택 식당등 다용도 현 나대지</t>
        </is>
      </c>
      <c r="I1825" s="5">
        <f>HYPERLINK("https://fin.land.naver.com/articles/2647420502", "매물Link")</f>
        <v/>
      </c>
      <c r="J1825" s="5">
        <f>HYPERLINK("https://map.naver.com/p/search/나성동 829", "지도Link")</f>
        <v/>
      </c>
      <c r="K1825" s="5">
        <f>HYPERLINK("http://www.eum.go.kr/web/ar/lu/luLandDet.jsp?pnu=3611010700108290000&amp;isNoScr=script&amp;mode=search", "토지이음")</f>
        <v/>
      </c>
      <c r="L1825" s="3" t="inlineStr">
        <is>
          <t>명문</t>
        </is>
      </c>
      <c r="M1825" s="3" t="n">
        <v>1</v>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3" t="inlineStr">
        <is>
          <t>현재 밭으로 사용</t>
        </is>
      </c>
      <c r="I1826" s="5">
        <f>HYPERLINK("https://fin.land.naver.com/articles/2645975288", "매물Link")</f>
        <v/>
      </c>
      <c r="J1826" s="5">
        <f>HYPERLINK("https://map.naver.com/p/search/나성동 829", "지도Link")</f>
        <v/>
      </c>
      <c r="K1826" s="5">
        <f>HYPERLINK("http://www.eum.go.kr/web/ar/lu/luLandDet.jsp?pnu=3611010700108290000&amp;isNoScr=script&amp;mode=search", "토지이음")</f>
        <v/>
      </c>
      <c r="L1826" s="3" t="inlineStr">
        <is>
          <t>하니</t>
        </is>
      </c>
      <c r="M1826" s="3" t="n">
        <v>1</v>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3" t="inlineStr">
        <is>
          <t>접근이 용이한 나대지 매매입니다.</t>
        </is>
      </c>
      <c r="I1827" s="5">
        <f>HYPERLINK("https://fin.land.naver.com/articles/2646997284", "매물Link")</f>
        <v/>
      </c>
      <c r="J1827" s="5">
        <f>HYPERLINK("https://map.naver.com/p/search/나성동 829", "지도Link")</f>
        <v/>
      </c>
      <c r="K1827" s="5">
        <f>HYPERLINK("http://www.eum.go.kr/web/ar/lu/luLandDet.jsp?pnu=3611010700108290000&amp;isNoScr=script&amp;mode=search", "토지이음")</f>
        <v/>
      </c>
      <c r="L1827" s="3" t="inlineStr">
        <is>
          <t>임광</t>
        </is>
      </c>
      <c r="M1827" s="3" t="n">
        <v>1</v>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3" t="inlineStr">
        <is>
          <t>건축 추천 (주택,상가 등)</t>
        </is>
      </c>
      <c r="I1828" s="5">
        <f>HYPERLINK("https://fin.land.naver.com/articles/2647374128", "매물Link")</f>
        <v/>
      </c>
      <c r="J1828" s="5">
        <f>HYPERLINK("https://map.naver.com/p/search/나성동 829", "지도Link")</f>
        <v/>
      </c>
      <c r="K1828" s="5">
        <f>HYPERLINK("http://www.eum.go.kr/web/ar/lu/luLandDet.jsp?pnu=3611010700108290000&amp;isNoScr=script&amp;mode=search", "토지이음")</f>
        <v/>
      </c>
      <c r="L1828" s="3" t="inlineStr">
        <is>
          <t>제우스</t>
        </is>
      </c>
      <c r="M1828" s="3" t="n">
        <v>1</v>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3" t="inlineStr">
        <is>
          <t>도로접함 창고 사무실 주택 식당 커피숍등</t>
        </is>
      </c>
      <c r="I1829" s="5">
        <f>HYPERLINK("https://fin.land.naver.com/articles/2647918736", "매물Link")</f>
        <v/>
      </c>
      <c r="J1829" s="5">
        <f>HYPERLINK("https://map.naver.com/p/search/나성동 829", "지도Link")</f>
        <v/>
      </c>
      <c r="K1829" s="5">
        <f>HYPERLINK("http://www.eum.go.kr/web/ar/lu/luLandDet.jsp?pnu=3611010700108290000&amp;isNoScr=script&amp;mode=search", "토지이음")</f>
        <v/>
      </c>
      <c r="L1829" s="3" t="inlineStr">
        <is>
          <t>명문</t>
        </is>
      </c>
      <c r="M1829" s="3" t="n">
        <v>1</v>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3" t="inlineStr">
        <is>
          <t>원통리 토지매매, 자경하시거나 대토하실분 추천.</t>
        </is>
      </c>
      <c r="I1830" s="5">
        <f>HYPERLINK("https://fin.land.naver.com/articles/2649237182", "매물Link")</f>
        <v/>
      </c>
      <c r="J1830" s="5">
        <f>HYPERLINK("https://map.naver.com/p/search/나성동 829", "지도Link")</f>
        <v/>
      </c>
      <c r="K1830" s="5">
        <f>HYPERLINK("http://www.eum.go.kr/web/ar/lu/luLandDet.jsp?pnu=3611010700108290000&amp;isNoScr=script&amp;mode=search", "토지이음")</f>
        <v/>
      </c>
      <c r="L1830" s="3" t="inlineStr">
        <is>
          <t>진</t>
        </is>
      </c>
      <c r="M1830" s="3" t="n">
        <v>1</v>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3" t="inlineStr">
        <is>
          <t>nan</t>
        </is>
      </c>
      <c r="I1831" s="5">
        <f>HYPERLINK("https://fin.land.naver.com/articles/2649597728", "매물Link")</f>
        <v/>
      </c>
      <c r="J1831" s="5">
        <f>HYPERLINK("https://map.naver.com/p/search/나성동 829", "지도Link")</f>
        <v/>
      </c>
      <c r="K1831" s="5">
        <f>HYPERLINK("http://www.eum.go.kr/web/ar/lu/luLandDet.jsp?pnu=3611010700108290000&amp;isNoScr=script&amp;mode=search", "토지이음")</f>
        <v/>
      </c>
      <c r="L1831" s="3" t="inlineStr">
        <is>
          <t>하이</t>
        </is>
      </c>
      <c r="M1831" s="3" t="n">
        <v>1</v>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3" t="inlineStr">
        <is>
          <t>사천선 대로변에  있으며 도로에서 진입좋음 교통편리</t>
        </is>
      </c>
      <c r="I1832" s="5">
        <f>HYPERLINK("https://fin.land.naver.com/articles/2643988146", "매물Link")</f>
        <v/>
      </c>
      <c r="J1832" s="5">
        <f>HYPERLINK("https://map.naver.com/p/search/나성동 829", "지도Link")</f>
        <v/>
      </c>
      <c r="K1832" s="5">
        <f>HYPERLINK("http://www.eum.go.kr/web/ar/lu/luLandDet.jsp?pnu=3611010700108290000&amp;isNoScr=script&amp;mode=search", "토지이음")</f>
        <v/>
      </c>
      <c r="L1832" s="3" t="inlineStr">
        <is>
          <t>비타민</t>
        </is>
      </c>
      <c r="M1832" s="3" t="n">
        <v>1</v>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3" t="inlineStr">
        <is>
          <t>8M 개설 예정도로와 접하게 됨.2종근생.전원주택지로 추천</t>
        </is>
      </c>
      <c r="I1833" s="5">
        <f>HYPERLINK("https://fin.land.naver.com/articles/2644629110", "매물Link")</f>
        <v/>
      </c>
      <c r="J1833" s="5">
        <f>HYPERLINK("https://map.naver.com/p/search/나성동 829", "지도Link")</f>
        <v/>
      </c>
      <c r="K1833" s="5">
        <f>HYPERLINK("http://www.eum.go.kr/web/ar/lu/luLandDet.jsp?pnu=3611010700108290000&amp;isNoScr=script&amp;mode=search", "토지이음")</f>
        <v/>
      </c>
      <c r="L1833" s="3" t="inlineStr">
        <is>
          <t>명당</t>
        </is>
      </c>
      <c r="M1833" s="3" t="n">
        <v>1</v>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3" t="inlineStr">
        <is>
          <t>마산리 구옥 단독주택 조용하고 위치 좋고 주택수에 미포함 주택이예요</t>
        </is>
      </c>
      <c r="I1834" s="5">
        <f>HYPERLINK("https://fin.land.naver.com/articles/2645058738", "매물Link")</f>
        <v/>
      </c>
      <c r="J1834" s="5">
        <f>HYPERLINK("https://map.naver.com/p/search/나성동 829", "지도Link")</f>
        <v/>
      </c>
      <c r="K1834" s="5">
        <f>HYPERLINK("http://www.eum.go.kr/web/ar/lu/luLandDet.jsp?pnu=3611010700108290000&amp;isNoScr=script&amp;mode=search", "토지이음")</f>
        <v/>
      </c>
      <c r="L1834" s="3" t="inlineStr">
        <is>
          <t>4989명품</t>
        </is>
      </c>
      <c r="M1834" s="3" t="n">
        <v>1</v>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3" t="inlineStr">
        <is>
          <t>농업용전기,지하수 ,하우스 농사짖고있음.</t>
        </is>
      </c>
      <c r="I1835" s="5">
        <f>HYPERLINK("https://fin.land.naver.com/articles/2645258136", "매물Link")</f>
        <v/>
      </c>
      <c r="J1835" s="5">
        <f>HYPERLINK("https://map.naver.com/p/search/나성동 829", "지도Link")</f>
        <v/>
      </c>
      <c r="K1835" s="5">
        <f>HYPERLINK("http://www.eum.go.kr/web/ar/lu/luLandDet.jsp?pnu=3611010700108290000&amp;isNoScr=script&amp;mode=search", "토지이음")</f>
        <v/>
      </c>
      <c r="L1835" s="3" t="inlineStr">
        <is>
          <t>토지</t>
        </is>
      </c>
      <c r="M1835" s="3" t="n">
        <v>1</v>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3" t="inlineStr">
        <is>
          <t>형동리 토지매매,  도로접, 주택 창고 공장 식당 가능, 잘생긴토지</t>
        </is>
      </c>
      <c r="I1836" s="5">
        <f>HYPERLINK("https://fin.land.naver.com/articles/2645784853", "매물Link")</f>
        <v/>
      </c>
      <c r="J1836" s="5">
        <f>HYPERLINK("https://map.naver.com/p/search/나성동 829", "지도Link")</f>
        <v/>
      </c>
      <c r="K1836" s="5">
        <f>HYPERLINK("http://www.eum.go.kr/web/ar/lu/luLandDet.jsp?pnu=3611010700108290000&amp;isNoScr=script&amp;mode=search", "토지이음")</f>
        <v/>
      </c>
      <c r="L1836" s="3" t="inlineStr">
        <is>
          <t>진</t>
        </is>
      </c>
      <c r="M1836" s="3" t="n">
        <v>1</v>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3" t="inlineStr">
        <is>
          <t>초정리 토지 매매</t>
        </is>
      </c>
      <c r="I1837" s="5">
        <f>HYPERLINK("https://fin.land.naver.com/articles/2645876433", "매물Link")</f>
        <v/>
      </c>
      <c r="J1837" s="5">
        <f>HYPERLINK("https://map.naver.com/p/search/나성동 829", "지도Link")</f>
        <v/>
      </c>
      <c r="K1837" s="5">
        <f>HYPERLINK("http://www.eum.go.kr/web/ar/lu/luLandDet.jsp?pnu=3611010700108290000&amp;isNoScr=script&amp;mode=search", "토지이음")</f>
        <v/>
      </c>
      <c r="L1837" s="3" t="inlineStr">
        <is>
          <t>사거리</t>
        </is>
      </c>
      <c r="M1837" s="3" t="n">
        <v>1</v>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3" t="inlineStr">
        <is>
          <t>내수읍내 소재 개발용이한 잡종지,전,답등 요지, 절충가능</t>
        </is>
      </c>
      <c r="I1838" s="5">
        <f>HYPERLINK("https://fin.land.naver.com/articles/2646643421", "매물Link")</f>
        <v/>
      </c>
      <c r="J1838" s="5">
        <f>HYPERLINK("https://map.naver.com/p/search/나성동 829", "지도Link")</f>
        <v/>
      </c>
      <c r="K1838" s="5">
        <f>HYPERLINK("http://www.eum.go.kr/web/ar/lu/luLandDet.jsp?pnu=3611010700108290000&amp;isNoScr=script&amp;mode=search", "토지이음")</f>
        <v/>
      </c>
      <c r="L1838" s="3" t="inlineStr">
        <is>
          <t>가경자이</t>
        </is>
      </c>
      <c r="M1838" s="3" t="n">
        <v>1</v>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3" t="inlineStr">
        <is>
          <t>3순환로인접 2종근생제조허가득 공장.창고등가능 광고효과좋음음</t>
        </is>
      </c>
      <c r="I1839" s="5">
        <f>HYPERLINK("https://fin.land.naver.com/articles/2646667930", "매물Link")</f>
        <v/>
      </c>
      <c r="J1839" s="5">
        <f>HYPERLINK("https://map.naver.com/p/search/나성동 829", "지도Link")</f>
        <v/>
      </c>
      <c r="K1839" s="5">
        <f>HYPERLINK("http://www.eum.go.kr/web/ar/lu/luLandDet.jsp?pnu=3611010700108290000&amp;isNoScr=script&amp;mode=search", "토지이음")</f>
        <v/>
      </c>
      <c r="L1839" s="3" t="inlineStr">
        <is>
          <t>더원</t>
        </is>
      </c>
      <c r="M1839" s="3" t="n">
        <v>1</v>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3" t="inlineStr">
        <is>
          <t>묵방리 단독주택과 농지 일괄매매</t>
        </is>
      </c>
      <c r="I1840" s="5">
        <f>HYPERLINK("https://fin.land.naver.com/articles/2645747757", "매물Link")</f>
        <v/>
      </c>
      <c r="J1840" s="5">
        <f>HYPERLINK("https://map.naver.com/p/search/나성동 829", "지도Link")</f>
        <v/>
      </c>
      <c r="K1840" s="5">
        <f>HYPERLINK("http://www.eum.go.kr/web/ar/lu/luLandDet.jsp?pnu=3611010700108290000&amp;isNoScr=script&amp;mode=search", "토지이음")</f>
        <v/>
      </c>
      <c r="L1840" s="3" t="inlineStr">
        <is>
          <t>우주</t>
        </is>
      </c>
      <c r="M1840" s="3" t="n">
        <v>1</v>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3" t="inlineStr">
        <is>
          <t>학평리 예쁜땅 태양광설치 공장추천</t>
        </is>
      </c>
      <c r="I1841" s="5">
        <f>HYPERLINK("https://fin.land.naver.com/articles/2648790399", "매물Link")</f>
        <v/>
      </c>
      <c r="J1841" s="5">
        <f>HYPERLINK("https://map.naver.com/p/search/나성동 829", "지도Link")</f>
        <v/>
      </c>
      <c r="K1841" s="5">
        <f>HYPERLINK("http://www.eum.go.kr/web/ar/lu/luLandDet.jsp?pnu=3611010700108290000&amp;isNoScr=script&amp;mode=search", "토지이음")</f>
        <v/>
      </c>
      <c r="L1841" s="3" t="inlineStr">
        <is>
          <t>조은</t>
        </is>
      </c>
      <c r="M1841" s="3" t="n">
        <v>1</v>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3" t="inlineStr">
        <is>
          <t>저렴한 토지입니다~</t>
        </is>
      </c>
      <c r="I1842" s="5">
        <f>HYPERLINK("https://fin.land.naver.com/articles/2648701926", "매물Link")</f>
        <v/>
      </c>
      <c r="J1842" s="5">
        <f>HYPERLINK("https://map.naver.com/p/search/나성동 829", "지도Link")</f>
        <v/>
      </c>
      <c r="K1842" s="5">
        <f>HYPERLINK("http://www.eum.go.kr/web/ar/lu/luLandDet.jsp?pnu=3611010700108290000&amp;isNoScr=script&amp;mode=search", "토지이음")</f>
        <v/>
      </c>
      <c r="L1842" s="3" t="inlineStr">
        <is>
          <t>해뜨는  사무소</t>
        </is>
      </c>
      <c r="M1842" s="3" t="n">
        <v>1</v>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3" t="inlineStr">
        <is>
          <t>대토투자용</t>
        </is>
      </c>
      <c r="I1843" s="5">
        <f>HYPERLINK("https://fin.land.naver.com/articles/2648311277", "매물Link")</f>
        <v/>
      </c>
      <c r="J1843" s="5">
        <f>HYPERLINK("https://map.naver.com/p/search/나성동 829", "지도Link")</f>
        <v/>
      </c>
      <c r="K1843" s="5">
        <f>HYPERLINK("http://www.eum.go.kr/web/ar/lu/luLandDet.jsp?pnu=3611010700108290000&amp;isNoScr=script&amp;mode=search", "토지이음")</f>
        <v/>
      </c>
      <c r="L1843" s="3" t="inlineStr">
        <is>
          <t>내수정보</t>
        </is>
      </c>
      <c r="M1843" s="3" t="n">
        <v>1</v>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3" t="inlineStr">
        <is>
          <t>공장 창고 차고지 야적장</t>
        </is>
      </c>
      <c r="I1844" s="5">
        <f>HYPERLINK("https://fin.land.naver.com/articles/2646974972", "매물Link")</f>
        <v/>
      </c>
      <c r="J1844" s="5">
        <f>HYPERLINK("https://map.naver.com/p/search/나성동 829", "지도Link")</f>
        <v/>
      </c>
      <c r="K1844" s="5">
        <f>HYPERLINK("http://www.eum.go.kr/web/ar/lu/luLandDet.jsp?pnu=3611010700108290000&amp;isNoScr=script&amp;mode=search", "토지이음")</f>
        <v/>
      </c>
      <c r="L1844" s="3" t="inlineStr">
        <is>
          <t>명문</t>
        </is>
      </c>
      <c r="M1844" s="3" t="n">
        <v>1</v>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3" t="inlineStr">
        <is>
          <t>청주 수름재에서 증평방향약 3Km 3차우회도로 구성초분기점인근</t>
        </is>
      </c>
      <c r="I1845" s="5">
        <f>HYPERLINK("https://fin.land.naver.com/articles/2647079057", "매물Link")</f>
        <v/>
      </c>
      <c r="J1845" s="5">
        <f>HYPERLINK("https://map.naver.com/p/search/나성동 829", "지도Link")</f>
        <v/>
      </c>
      <c r="K1845" s="5">
        <f>HYPERLINK("http://www.eum.go.kr/web/ar/lu/luLandDet.jsp?pnu=3611010700108290000&amp;isNoScr=script&amp;mode=search", "토지이음")</f>
        <v/>
      </c>
      <c r="L1845" s="3" t="inlineStr">
        <is>
          <t>지구촌무소</t>
        </is>
      </c>
      <c r="M1845" s="3" t="n">
        <v>1</v>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3" t="inlineStr">
        <is>
          <t>구성리 대영자동차 운전학원 안쪽마을 어귀에 자리한 토지입니다</t>
        </is>
      </c>
      <c r="I1846" s="5">
        <f>HYPERLINK("https://fin.land.naver.com/articles/2647133651", "매물Link")</f>
        <v/>
      </c>
      <c r="J1846" s="5">
        <f>HYPERLINK("https://map.naver.com/p/search/나성동 829", "지도Link")</f>
        <v/>
      </c>
      <c r="K1846" s="5">
        <f>HYPERLINK("http://www.eum.go.kr/web/ar/lu/luLandDet.jsp?pnu=3611010700108290000&amp;isNoScr=script&amp;mode=search", "토지이음")</f>
        <v/>
      </c>
      <c r="L1846" s="3" t="inlineStr">
        <is>
          <t>지구촌무소</t>
        </is>
      </c>
      <c r="M1846" s="3" t="n">
        <v>1</v>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3" t="inlineStr">
        <is>
          <t>nan</t>
        </is>
      </c>
      <c r="I1847" s="5">
        <f>HYPERLINK("https://fin.land.naver.com/articles/2647192025", "매물Link")</f>
        <v/>
      </c>
      <c r="J1847" s="5">
        <f>HYPERLINK("https://map.naver.com/p/search/나성동 829", "지도Link")</f>
        <v/>
      </c>
      <c r="K1847" s="5">
        <f>HYPERLINK("http://www.eum.go.kr/web/ar/lu/luLandDet.jsp?pnu=3611010700108290000&amp;isNoScr=script&amp;mode=search", "토지이음")</f>
        <v/>
      </c>
      <c r="L1847" s="3" t="inlineStr">
        <is>
          <t>덕성</t>
        </is>
      </c>
      <c r="M1847" s="3" t="n">
        <v>1</v>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3" t="inlineStr">
        <is>
          <t>nan</t>
        </is>
      </c>
      <c r="I1848" s="5">
        <f>HYPERLINK("https://fin.land.naver.com/articles/2647192517", "매물Link")</f>
        <v/>
      </c>
      <c r="J1848" s="5">
        <f>HYPERLINK("https://map.naver.com/p/search/나성동 829", "지도Link")</f>
        <v/>
      </c>
      <c r="K1848" s="5">
        <f>HYPERLINK("http://www.eum.go.kr/web/ar/lu/luLandDet.jsp?pnu=3611010700108290000&amp;isNoScr=script&amp;mode=search", "토지이음")</f>
        <v/>
      </c>
      <c r="L1848" s="3" t="inlineStr">
        <is>
          <t>덕성</t>
        </is>
      </c>
      <c r="M1848" s="3" t="n">
        <v>1</v>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3" t="inlineStr">
        <is>
          <t>nan</t>
        </is>
      </c>
      <c r="I1849" s="5">
        <f>HYPERLINK("https://fin.land.naver.com/articles/2647309421", "매물Link")</f>
        <v/>
      </c>
      <c r="J1849" s="5">
        <f>HYPERLINK("https://map.naver.com/p/search/나성동 829", "지도Link")</f>
        <v/>
      </c>
      <c r="K1849" s="5">
        <f>HYPERLINK("http://www.eum.go.kr/web/ar/lu/luLandDet.jsp?pnu=3611010700108290000&amp;isNoScr=script&amp;mode=search", "토지이음")</f>
        <v/>
      </c>
      <c r="L1849" s="3" t="inlineStr">
        <is>
          <t>황금</t>
        </is>
      </c>
      <c r="M1849" s="3" t="n">
        <v>1</v>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3" t="inlineStr">
        <is>
          <t>급매, 창고용지나 대토용 토지</t>
        </is>
      </c>
      <c r="I1850" s="5">
        <f>HYPERLINK("https://fin.land.naver.com/articles/2648052186", "매물Link")</f>
        <v/>
      </c>
      <c r="J1850" s="5">
        <f>HYPERLINK("https://map.naver.com/p/search/나성동 829", "지도Link")</f>
        <v/>
      </c>
      <c r="K1850" s="5">
        <f>HYPERLINK("http://www.eum.go.kr/web/ar/lu/luLandDet.jsp?pnu=3611010700108290000&amp;isNoScr=script&amp;mode=search", "토지이음")</f>
        <v/>
      </c>
      <c r="L1850" s="3" t="inlineStr">
        <is>
          <t>용암</t>
        </is>
      </c>
      <c r="M1850" s="3" t="n">
        <v>1</v>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3" t="inlineStr">
        <is>
          <t>농진구역,직사각형 양쪽면이 도로,6차로,2차로 접</t>
        </is>
      </c>
      <c r="I1851" s="5">
        <f>HYPERLINK("https://fin.land.naver.com/articles/2648232814", "매물Link")</f>
        <v/>
      </c>
      <c r="J1851" s="5">
        <f>HYPERLINK("https://map.naver.com/p/search/나성동 829", "지도Link")</f>
        <v/>
      </c>
      <c r="K1851" s="5">
        <f>HYPERLINK("http://www.eum.go.kr/web/ar/lu/luLandDet.jsp?pnu=3611010700108290000&amp;isNoScr=script&amp;mode=search", "토지이음")</f>
        <v/>
      </c>
      <c r="L1851" s="3" t="inlineStr">
        <is>
          <t>청와대합동사무소</t>
        </is>
      </c>
      <c r="M1851" s="3" t="n">
        <v>1</v>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3" t="inlineStr">
        <is>
          <t>계획관리,마을도로(4m) 접함.</t>
        </is>
      </c>
      <c r="I1852" s="5">
        <f>HYPERLINK("https://fin.land.naver.com/articles/2648233382", "매물Link")</f>
        <v/>
      </c>
      <c r="J1852" s="5">
        <f>HYPERLINK("https://map.naver.com/p/search/나성동 829", "지도Link")</f>
        <v/>
      </c>
      <c r="K1852" s="5">
        <f>HYPERLINK("http://www.eum.go.kr/web/ar/lu/luLandDet.jsp?pnu=3611010700108290000&amp;isNoScr=script&amp;mode=search", "토지이음")</f>
        <v/>
      </c>
      <c r="L1852" s="3" t="inlineStr">
        <is>
          <t>청와대합동사무소</t>
        </is>
      </c>
      <c r="M1852" s="3" t="n">
        <v>1</v>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3" t="inlineStr">
        <is>
          <t>nan</t>
        </is>
      </c>
      <c r="I1853" s="5">
        <f>HYPERLINK("https://fin.land.naver.com/articles/2648271274", "매물Link")</f>
        <v/>
      </c>
      <c r="J1853" s="5">
        <f>HYPERLINK("https://map.naver.com/p/search/나성동 829", "지도Link")</f>
        <v/>
      </c>
      <c r="K1853" s="5">
        <f>HYPERLINK("http://www.eum.go.kr/web/ar/lu/luLandDet.jsp?pnu=3611010700108290000&amp;isNoScr=script&amp;mode=search", "토지이음")</f>
        <v/>
      </c>
      <c r="L1853" s="3" t="inlineStr">
        <is>
          <t>신영</t>
        </is>
      </c>
      <c r="M1853" s="3" t="n">
        <v>1</v>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3" t="inlineStr">
        <is>
          <t>진입 도로 확보 및 우수한 접근성</t>
        </is>
      </c>
      <c r="I1854" s="5">
        <f>HYPERLINK("https://fin.land.naver.com/articles/2648272805", "매물Link")</f>
        <v/>
      </c>
      <c r="J1854" s="5">
        <f>HYPERLINK("https://map.naver.com/p/search/나성동 829", "지도Link")</f>
        <v/>
      </c>
      <c r="K1854" s="5">
        <f>HYPERLINK("http://www.eum.go.kr/web/ar/lu/luLandDet.jsp?pnu=3611010700108290000&amp;isNoScr=script&amp;mode=search", "토지이음")</f>
        <v/>
      </c>
      <c r="L1854" s="3" t="inlineStr">
        <is>
          <t>신영</t>
        </is>
      </c>
      <c r="M1854" s="3" t="n">
        <v>1</v>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3" t="inlineStr">
        <is>
          <t>개발 계획선과 호재와 관광지로 충분한 가치 상승</t>
        </is>
      </c>
      <c r="I1855" s="5">
        <f>HYPERLINK("https://fin.land.naver.com/articles/2648273052", "매물Link")</f>
        <v/>
      </c>
      <c r="J1855" s="5">
        <f>HYPERLINK("https://map.naver.com/p/search/나성동 829", "지도Link")</f>
        <v/>
      </c>
      <c r="K1855" s="5">
        <f>HYPERLINK("http://www.eum.go.kr/web/ar/lu/luLandDet.jsp?pnu=3611010700108290000&amp;isNoScr=script&amp;mode=search", "토지이음")</f>
        <v/>
      </c>
      <c r="L1855" s="3" t="inlineStr">
        <is>
          <t>신영</t>
        </is>
      </c>
      <c r="M1855" s="3" t="n">
        <v>1</v>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3" t="inlineStr">
        <is>
          <t>3차우회도로 500미터,토목,인,허가 완료된 부지</t>
        </is>
      </c>
      <c r="I1856" s="5">
        <f>HYPERLINK("https://fin.land.naver.com/articles/2646748878", "매물Link")</f>
        <v/>
      </c>
      <c r="J1856" s="5">
        <f>HYPERLINK("https://map.naver.com/p/search/나성동 829", "지도Link")</f>
        <v/>
      </c>
      <c r="K1856" s="5">
        <f>HYPERLINK("http://www.eum.go.kr/web/ar/lu/luLandDet.jsp?pnu=3611010700108290000&amp;isNoScr=script&amp;mode=search", "토지이음")</f>
        <v/>
      </c>
      <c r="L1856" s="3" t="inlineStr">
        <is>
          <t>공장365</t>
        </is>
      </c>
      <c r="M1856" s="3" t="n">
        <v>1</v>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3" t="inlineStr">
        <is>
          <t>제3순환로 구성교차로 인접 2종근생제조허가득 광고효과최상</t>
        </is>
      </c>
      <c r="I1857" s="5">
        <f>HYPERLINK("https://fin.land.naver.com/articles/2649656609", "매물Link")</f>
        <v/>
      </c>
      <c r="J1857" s="5">
        <f>HYPERLINK("https://map.naver.com/p/search/나성동 829", "지도Link")</f>
        <v/>
      </c>
      <c r="K1857" s="5">
        <f>HYPERLINK("http://www.eum.go.kr/web/ar/lu/luLandDet.jsp?pnu=3611010700108290000&amp;isNoScr=script&amp;mode=search", "토지이음")</f>
        <v/>
      </c>
      <c r="L1857" s="3" t="inlineStr">
        <is>
          <t>더원</t>
        </is>
      </c>
      <c r="M1857" s="3" t="n">
        <v>1</v>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3" t="inlineStr">
        <is>
          <t>방3욕실2심야전기 텃밭가능.거실넓음.</t>
        </is>
      </c>
      <c r="I1858" s="5">
        <f>HYPERLINK("https://fin.land.naver.com/articles/2650199196", "매물Link")</f>
        <v/>
      </c>
      <c r="J1858" s="5">
        <f>HYPERLINK("https://map.naver.com/p/search/나성동 829", "지도Link")</f>
        <v/>
      </c>
      <c r="K1858" s="5">
        <f>HYPERLINK("http://www.eum.go.kr/web/ar/lu/luLandDet.jsp?pnu=3611010700108290000&amp;isNoScr=script&amp;mode=search", "토지이음")</f>
        <v/>
      </c>
      <c r="L1858" s="3" t="inlineStr">
        <is>
          <t>듀오</t>
        </is>
      </c>
      <c r="M1858" s="3" t="n">
        <v>1</v>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3" t="inlineStr">
        <is>
          <t>위치좋은곳 주말농장 추천합니다.</t>
        </is>
      </c>
      <c r="I1859" s="5">
        <f>HYPERLINK("https://fin.land.naver.com/articles/2649742790", "매물Link")</f>
        <v/>
      </c>
      <c r="J1859" s="5">
        <f>HYPERLINK("https://map.naver.com/p/search/나성동 829", "지도Link")</f>
        <v/>
      </c>
      <c r="K1859" s="5">
        <f>HYPERLINK("http://www.eum.go.kr/web/ar/lu/luLandDet.jsp?pnu=3611010700108290000&amp;isNoScr=script&amp;mode=search", "토지이음")</f>
        <v/>
      </c>
      <c r="L1859" s="3" t="inlineStr">
        <is>
          <t>하니힐데스</t>
        </is>
      </c>
      <c r="M1859" s="3" t="n">
        <v>1</v>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3" t="inlineStr">
        <is>
          <t>생산녹지 대토용 투자용 농사용</t>
        </is>
      </c>
      <c r="I1860" s="5">
        <f>HYPERLINK("https://fin.land.naver.com/articles/2648632360", "매물Link")</f>
        <v/>
      </c>
      <c r="J1860" s="5">
        <f>HYPERLINK("https://map.naver.com/p/search/나성동 829", "지도Link")</f>
        <v/>
      </c>
      <c r="K1860" s="5">
        <f>HYPERLINK("http://www.eum.go.kr/web/ar/lu/luLandDet.jsp?pnu=3611010700108290000&amp;isNoScr=script&amp;mode=search", "토지이음")</f>
        <v/>
      </c>
      <c r="L1860" s="3" t="inlineStr">
        <is>
          <t>명문</t>
        </is>
      </c>
      <c r="M1860" s="3" t="n">
        <v>1</v>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3" t="inlineStr">
        <is>
          <t>청주 3순환로 인근 도로접한 토지</t>
        </is>
      </c>
      <c r="I1861" s="5">
        <f>HYPERLINK("https://fin.land.naver.com/articles/2649018089", "매물Link")</f>
        <v/>
      </c>
      <c r="J1861" s="5">
        <f>HYPERLINK("https://map.naver.com/p/search/나성동 829", "지도Link")</f>
        <v/>
      </c>
      <c r="K1861" s="5">
        <f>HYPERLINK("http://www.eum.go.kr/web/ar/lu/luLandDet.jsp?pnu=3611010700108290000&amp;isNoScr=script&amp;mode=search", "토지이음")</f>
        <v/>
      </c>
      <c r="L1861" s="3" t="inlineStr">
        <is>
          <t>신나라</t>
        </is>
      </c>
      <c r="M1861" s="3" t="n">
        <v>1</v>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3" t="inlineStr">
        <is>
          <t>내수읍 묵방리 토지매매</t>
        </is>
      </c>
      <c r="I1862" s="5">
        <f>HYPERLINK("https://fin.land.naver.com/articles/2648224866", "매물Link")</f>
        <v/>
      </c>
      <c r="J1862" s="5">
        <f>HYPERLINK("https://map.naver.com/p/search/나성동 829", "지도Link")</f>
        <v/>
      </c>
      <c r="K1862" s="5">
        <f>HYPERLINK("http://www.eum.go.kr/web/ar/lu/luLandDet.jsp?pnu=3611010700108290000&amp;isNoScr=script&amp;mode=search", "토지이음")</f>
        <v/>
      </c>
      <c r="L1862" s="3" t="inlineStr">
        <is>
          <t>세원</t>
        </is>
      </c>
      <c r="M1862" s="3" t="n">
        <v>1</v>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3" t="inlineStr">
        <is>
          <t>3차우회도로 구성사거리 바로 인접 4차선진입 부지</t>
        </is>
      </c>
      <c r="I1863" s="5">
        <f>HYPERLINK("https://fin.land.naver.com/articles/2646749561", "매물Link")</f>
        <v/>
      </c>
      <c r="J1863" s="5">
        <f>HYPERLINK("https://map.naver.com/p/search/나성동 829", "지도Link")</f>
        <v/>
      </c>
      <c r="K1863" s="5">
        <f>HYPERLINK("http://www.eum.go.kr/web/ar/lu/luLandDet.jsp?pnu=3611010700108290000&amp;isNoScr=script&amp;mode=search", "토지이음")</f>
        <v/>
      </c>
      <c r="L1863" s="3" t="inlineStr">
        <is>
          <t>공장365</t>
        </is>
      </c>
      <c r="M1863" s="3" t="n">
        <v>1</v>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3" t="inlineStr">
        <is>
          <t>초정리 2차선 도로변 토지 매매</t>
        </is>
      </c>
      <c r="I1864" s="5">
        <f>HYPERLINK("https://fin.land.naver.com/articles/2646932428", "매물Link")</f>
        <v/>
      </c>
      <c r="J1864" s="5">
        <f>HYPERLINK("https://map.naver.com/p/search/나성동 829", "지도Link")</f>
        <v/>
      </c>
      <c r="K1864" s="5">
        <f>HYPERLINK("http://www.eum.go.kr/web/ar/lu/luLandDet.jsp?pnu=3611010700108290000&amp;isNoScr=script&amp;mode=search", "토지이음")</f>
        <v/>
      </c>
      <c r="L1864" s="3" t="inlineStr">
        <is>
          <t>사거리</t>
        </is>
      </c>
      <c r="M1864" s="3" t="n">
        <v>1</v>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3" t="inlineStr">
        <is>
          <t>묵방리 도로접함 자연녹지 전원주택 주말농장 야적장 투자용 적합</t>
        </is>
      </c>
      <c r="I1865" s="5">
        <f>HYPERLINK("https://fin.land.naver.com/articles/2647028393", "매물Link")</f>
        <v/>
      </c>
      <c r="J1865" s="5">
        <f>HYPERLINK("https://map.naver.com/p/search/나성동 829", "지도Link")</f>
        <v/>
      </c>
      <c r="K1865" s="5">
        <f>HYPERLINK("http://www.eum.go.kr/web/ar/lu/luLandDet.jsp?pnu=3611010700108290000&amp;isNoScr=script&amp;mode=search", "토지이음")</f>
        <v/>
      </c>
      <c r="L1865" s="3" t="inlineStr">
        <is>
          <t>명문</t>
        </is>
      </c>
      <c r="M1865" s="3" t="n">
        <v>1</v>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3" t="inlineStr">
        <is>
          <t>nan</t>
        </is>
      </c>
      <c r="I1866" s="5">
        <f>HYPERLINK("https://fin.land.naver.com/articles/2647342246", "매물Link")</f>
        <v/>
      </c>
      <c r="J1866" s="5">
        <f>HYPERLINK("https://map.naver.com/p/search/나성동 829", "지도Link")</f>
        <v/>
      </c>
      <c r="K1866" s="5">
        <f>HYPERLINK("http://www.eum.go.kr/web/ar/lu/luLandDet.jsp?pnu=3611010700108290000&amp;isNoScr=script&amp;mode=search", "토지이음")</f>
        <v/>
      </c>
      <c r="L1866" s="3" t="inlineStr">
        <is>
          <t>노블</t>
        </is>
      </c>
      <c r="M1866" s="3" t="n">
        <v>1</v>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3" t="inlineStr">
        <is>
          <t>내수 학평 교차로 인근 자연녹지</t>
        </is>
      </c>
      <c r="I1867" s="5">
        <f>HYPERLINK("https://fin.land.naver.com/articles/2647360607", "매물Link")</f>
        <v/>
      </c>
      <c r="J1867" s="5">
        <f>HYPERLINK("https://map.naver.com/p/search/나성동 829", "지도Link")</f>
        <v/>
      </c>
      <c r="K1867" s="5">
        <f>HYPERLINK("http://www.eum.go.kr/web/ar/lu/luLandDet.jsp?pnu=3611010700108290000&amp;isNoScr=script&amp;mode=search", "토지이음")</f>
        <v/>
      </c>
      <c r="L1867" s="3" t="inlineStr">
        <is>
          <t>윤</t>
        </is>
      </c>
      <c r="M1867" s="3" t="n">
        <v>1</v>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3" t="inlineStr">
        <is>
          <t>청주도심15분,도시지역자연녹지 지정, 생활권 확장지 토지 매물</t>
        </is>
      </c>
      <c r="I1868" s="5">
        <f>HYPERLINK("https://fin.land.naver.com/articles/2645850897", "매물Link")</f>
        <v/>
      </c>
      <c r="J1868" s="5">
        <f>HYPERLINK("https://map.naver.com/p/search/나성동 829", "지도Link")</f>
        <v/>
      </c>
      <c r="K1868" s="5">
        <f>HYPERLINK("http://www.eum.go.kr/web/ar/lu/luLandDet.jsp?pnu=3611010700108290000&amp;isNoScr=script&amp;mode=search", "토지이음")</f>
        <v/>
      </c>
      <c r="L1868" s="3" t="inlineStr">
        <is>
          <t>삼성래미안</t>
        </is>
      </c>
      <c r="M1868" s="3" t="n">
        <v>1</v>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3" t="inlineStr">
        <is>
          <t>공장인허가토목완료.허가조건계약가능</t>
        </is>
      </c>
      <c r="I1869" s="5">
        <f>HYPERLINK("https://fin.land.naver.com/articles/2649901210", "매물Link")</f>
        <v/>
      </c>
      <c r="J1869" s="5">
        <f>HYPERLINK("https://map.naver.com/p/search/나성동 829", "지도Link")</f>
        <v/>
      </c>
      <c r="K1869" s="5">
        <f>HYPERLINK("http://www.eum.go.kr/web/ar/lu/luLandDet.jsp?pnu=3611010700108290000&amp;isNoScr=script&amp;mode=search", "토지이음")</f>
        <v/>
      </c>
      <c r="L1869" s="3" t="inlineStr">
        <is>
          <t>정세영</t>
        </is>
      </c>
      <c r="M1869" s="3" t="n">
        <v>1</v>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3" t="inlineStr">
        <is>
          <t>계획관리지역</t>
        </is>
      </c>
      <c r="I1870" s="5">
        <f>HYPERLINK("https://fin.land.naver.com/articles/2644009658", "매물Link")</f>
        <v/>
      </c>
      <c r="J1870" s="5">
        <f>HYPERLINK("https://map.naver.com/p/search/나성동 829", "지도Link")</f>
        <v/>
      </c>
      <c r="K1870" s="5">
        <f>HYPERLINK("http://www.eum.go.kr/web/ar/lu/luLandDet.jsp?pnu=3611010700108290000&amp;isNoScr=script&amp;mode=search", "토지이음")</f>
        <v/>
      </c>
      <c r="L1870" s="3" t="inlineStr">
        <is>
          <t>오송원</t>
        </is>
      </c>
      <c r="M1870" s="3" t="n">
        <v>1</v>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3" t="inlineStr">
        <is>
          <t>태양광설치 사업 토지,수익률 좋음</t>
        </is>
      </c>
      <c r="I1871" s="5">
        <f>HYPERLINK("https://fin.land.naver.com/articles/2645456555", "매물Link")</f>
        <v/>
      </c>
      <c r="J1871" s="5">
        <f>HYPERLINK("https://map.naver.com/p/search/나성동 829", "지도Link")</f>
        <v/>
      </c>
      <c r="K1871" s="5">
        <f>HYPERLINK("http://www.eum.go.kr/web/ar/lu/luLandDet.jsp?pnu=3611010700108290000&amp;isNoScr=script&amp;mode=search", "토지이음")</f>
        <v/>
      </c>
      <c r="L1871" s="3" t="inlineStr">
        <is>
          <t>금빛힐스</t>
        </is>
      </c>
      <c r="M1871" s="3" t="n">
        <v>1</v>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3" t="inlineStr">
        <is>
          <t>공장.창고부지</t>
        </is>
      </c>
      <c r="I1872" s="5">
        <f>HYPERLINK("https://fin.land.naver.com/articles/2646011332", "매물Link")</f>
        <v/>
      </c>
      <c r="J1872" s="5">
        <f>HYPERLINK("https://map.naver.com/p/search/나성동 829", "지도Link")</f>
        <v/>
      </c>
      <c r="K1872" s="5">
        <f>HYPERLINK("http://www.eum.go.kr/web/ar/lu/luLandDet.jsp?pnu=3611010700108290000&amp;isNoScr=script&amp;mode=search", "토지이음")</f>
        <v/>
      </c>
      <c r="L1872" s="3" t="inlineStr">
        <is>
          <t>케이투(k2)</t>
        </is>
      </c>
      <c r="M1872" s="3" t="n">
        <v>1</v>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3" t="inlineStr">
        <is>
          <t>월곡리 대로변 광고효과 좋은 토지</t>
        </is>
      </c>
      <c r="I1873" s="5">
        <f>HYPERLINK("https://fin.land.naver.com/articles/2645443477", "매물Link")</f>
        <v/>
      </c>
      <c r="J1873" s="5">
        <f>HYPERLINK("https://map.naver.com/p/search/나성동 829", "지도Link")</f>
        <v/>
      </c>
      <c r="K1873" s="5">
        <f>HYPERLINK("http://www.eum.go.kr/web/ar/lu/luLandDet.jsp?pnu=3611010700108290000&amp;isNoScr=script&amp;mode=search", "토지이음")</f>
        <v/>
      </c>
      <c r="L1873" s="3" t="inlineStr">
        <is>
          <t>노블</t>
        </is>
      </c>
      <c r="M1873" s="3" t="n">
        <v>1</v>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3" t="inlineStr">
        <is>
          <t>도로변 계획관리지역</t>
        </is>
      </c>
      <c r="I1874" s="5">
        <f>HYPERLINK("https://fin.land.naver.com/articles/2646287974", "매물Link")</f>
        <v/>
      </c>
      <c r="J1874" s="5">
        <f>HYPERLINK("https://map.naver.com/p/search/나성동 829", "지도Link")</f>
        <v/>
      </c>
      <c r="K1874" s="5">
        <f>HYPERLINK("http://www.eum.go.kr/web/ar/lu/luLandDet.jsp?pnu=3611010700108290000&amp;isNoScr=script&amp;mode=search", "토지이음")</f>
        <v/>
      </c>
      <c r="L1874" s="3" t="inlineStr">
        <is>
          <t>수풀림</t>
        </is>
      </c>
      <c r="M1874" s="3" t="n">
        <v>1</v>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3" t="inlineStr">
        <is>
          <t>대형 토지  야적장등으로 임대합니다</t>
        </is>
      </c>
      <c r="I1875" s="5">
        <f>HYPERLINK("https://fin.land.naver.com/articles/2646356953", "매물Link")</f>
        <v/>
      </c>
      <c r="J1875" s="5">
        <f>HYPERLINK("https://map.naver.com/p/search/나성동 829", "지도Link")</f>
        <v/>
      </c>
      <c r="K1875" s="5">
        <f>HYPERLINK("http://www.eum.go.kr/web/ar/lu/luLandDet.jsp?pnu=3611010700108290000&amp;isNoScr=script&amp;mode=search", "토지이음")</f>
        <v/>
      </c>
      <c r="L1875" s="3" t="inlineStr">
        <is>
          <t>더행복</t>
        </is>
      </c>
      <c r="M1875" s="3" t="n">
        <v>1</v>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3" t="inlineStr">
        <is>
          <t>충북 청주시 흥덕구 토지 매매</t>
        </is>
      </c>
      <c r="I1876" s="5">
        <f>HYPERLINK("https://fin.land.naver.com/articles/2644347903", "매물Link")</f>
        <v/>
      </c>
      <c r="J1876" s="5">
        <f>HYPERLINK("https://map.naver.com/p/search/나성동 829", "지도Link")</f>
        <v/>
      </c>
      <c r="K1876" s="5">
        <f>HYPERLINK("http://www.eum.go.kr/web/ar/lu/luLandDet.jsp?pnu=3611010700108290000&amp;isNoScr=script&amp;mode=search", "토지이음")</f>
        <v/>
      </c>
      <c r="L1876" s="3" t="inlineStr">
        <is>
          <t>연성</t>
        </is>
      </c>
      <c r="M1876" s="3" t="n">
        <v>1</v>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3" t="inlineStr">
        <is>
          <t>도시지역 자연녹지지역</t>
        </is>
      </c>
      <c r="I1877" s="5">
        <f>HYPERLINK("https://fin.land.naver.com/articles/2644716568", "매물Link")</f>
        <v/>
      </c>
      <c r="J1877" s="5">
        <f>HYPERLINK("https://map.naver.com/p/search/나성동 829", "지도Link")</f>
        <v/>
      </c>
      <c r="K1877" s="5">
        <f>HYPERLINK("http://www.eum.go.kr/web/ar/lu/luLandDet.jsp?pnu=3611010700108290000&amp;isNoScr=script&amp;mode=search", "토지이음")</f>
        <v/>
      </c>
      <c r="L1877" s="3" t="inlineStr">
        <is>
          <t>오송퍼스트영웅</t>
        </is>
      </c>
      <c r="M1877" s="3" t="n">
        <v>1</v>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3" t="inlineStr">
        <is>
          <t>궁현리 토지 매매</t>
        </is>
      </c>
      <c r="I1878" s="5">
        <f>HYPERLINK("https://fin.land.naver.com/articles/2645097669", "매물Link")</f>
        <v/>
      </c>
      <c r="J1878" s="5">
        <f>HYPERLINK("https://map.naver.com/p/search/나성동 829", "지도Link")</f>
        <v/>
      </c>
      <c r="K1878" s="5">
        <f>HYPERLINK("http://www.eum.go.kr/web/ar/lu/luLandDet.jsp?pnu=3611010700108290000&amp;isNoScr=script&amp;mode=search", "토지이음")</f>
        <v/>
      </c>
      <c r="L1878" s="3" t="inlineStr">
        <is>
          <t>사거리</t>
        </is>
      </c>
      <c r="M1878" s="3" t="n">
        <v>2</v>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3" t="inlineStr">
        <is>
          <t>저산리 단독 주택 지 매매</t>
        </is>
      </c>
      <c r="I1879" s="5">
        <f>HYPERLINK("https://fin.land.naver.com/articles/2645095762", "매물Link")</f>
        <v/>
      </c>
      <c r="J1879" s="5">
        <f>HYPERLINK("https://map.naver.com/p/search/나성동 829", "지도Link")</f>
        <v/>
      </c>
      <c r="K1879" s="5">
        <f>HYPERLINK("http://www.eum.go.kr/web/ar/lu/luLandDet.jsp?pnu=3611010700108290000&amp;isNoScr=script&amp;mode=search", "토지이음")</f>
        <v/>
      </c>
      <c r="L1879" s="3" t="inlineStr">
        <is>
          <t>사거리</t>
        </is>
      </c>
      <c r="M1879" s="3" t="n">
        <v>1</v>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3" t="inlineStr">
        <is>
          <t>은적산 자락애 위치한 직사각형 형태의 토지임</t>
        </is>
      </c>
      <c r="I1880" s="5">
        <f>HYPERLINK("https://fin.land.naver.com/articles/2648670435", "매물Link")</f>
        <v/>
      </c>
      <c r="J1880" s="5">
        <f>HYPERLINK("https://map.naver.com/p/search/나성동 829", "지도Link")</f>
        <v/>
      </c>
      <c r="K1880" s="5">
        <f>HYPERLINK("http://www.eum.go.kr/web/ar/lu/luLandDet.jsp?pnu=3611010700108290000&amp;isNoScr=script&amp;mode=search", "토지이음")</f>
        <v/>
      </c>
      <c r="L1880" s="3" t="inlineStr">
        <is>
          <t>교차로</t>
        </is>
      </c>
      <c r="M1880" s="3" t="n">
        <v>1</v>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3" t="inlineStr">
        <is>
          <t>nan</t>
        </is>
      </c>
      <c r="I1881" s="5">
        <f>HYPERLINK("https://fin.land.naver.com/articles/2649554409", "매물Link")</f>
        <v/>
      </c>
      <c r="J1881" s="5">
        <f>HYPERLINK("https://map.naver.com/p/search/나성동 829", "지도Link")</f>
        <v/>
      </c>
      <c r="K1881" s="5">
        <f>HYPERLINK("http://www.eum.go.kr/web/ar/lu/luLandDet.jsp?pnu=3611010700108290000&amp;isNoScr=script&amp;mode=search", "토지이음")</f>
        <v/>
      </c>
      <c r="L1881" s="3" t="inlineStr">
        <is>
          <t>좋은터</t>
        </is>
      </c>
      <c r="M1881" s="3" t="n">
        <v>1</v>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3" t="inlineStr">
        <is>
          <t>2차선에 접해있는 나대지 상태의 공장용지입니다</t>
        </is>
      </c>
      <c r="I1882" s="5">
        <f>HYPERLINK("https://fin.land.naver.com/articles/2649905501", "매물Link")</f>
        <v/>
      </c>
      <c r="J1882" s="5">
        <f>HYPERLINK("https://map.naver.com/p/search/나성동 829", "지도Link")</f>
        <v/>
      </c>
      <c r="K1882" s="5">
        <f>HYPERLINK("http://www.eum.go.kr/web/ar/lu/luLandDet.jsp?pnu=3611010700108290000&amp;isNoScr=script&amp;mode=search", "토지이음")</f>
        <v/>
      </c>
      <c r="L1882" s="3" t="inlineStr">
        <is>
          <t>복댕이무소</t>
        </is>
      </c>
      <c r="M1882" s="3" t="n">
        <v>1</v>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3" t="inlineStr">
        <is>
          <t>접근성좋은 매물입니다</t>
        </is>
      </c>
      <c r="I1883" s="5">
        <f>HYPERLINK("https://fin.land.naver.com/articles/2649907687", "매물Link")</f>
        <v/>
      </c>
      <c r="J1883" s="5">
        <f>HYPERLINK("https://map.naver.com/p/search/나성동 829", "지도Link")</f>
        <v/>
      </c>
      <c r="K1883" s="5">
        <f>HYPERLINK("http://www.eum.go.kr/web/ar/lu/luLandDet.jsp?pnu=3611010700108290000&amp;isNoScr=script&amp;mode=search", "토지이음")</f>
        <v/>
      </c>
      <c r="L1883" s="3" t="inlineStr">
        <is>
          <t>복댕이무소</t>
        </is>
      </c>
      <c r="M1883" s="3" t="n">
        <v>1</v>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3" t="inlineStr">
        <is>
          <t>강내면 토지매매</t>
        </is>
      </c>
      <c r="I1884" s="5">
        <f>HYPERLINK("https://fin.land.naver.com/articles/2644401739", "매물Link")</f>
        <v/>
      </c>
      <c r="J1884" s="5">
        <f>HYPERLINK("https://map.naver.com/p/search/나성동 829", "지도Link")</f>
        <v/>
      </c>
      <c r="K1884" s="5">
        <f>HYPERLINK("http://www.eum.go.kr/web/ar/lu/luLandDet.jsp?pnu=3611010700108290000&amp;isNoScr=script&amp;mode=search", "토지이음")</f>
        <v/>
      </c>
      <c r="L1884" s="3" t="inlineStr">
        <is>
          <t>민들레</t>
        </is>
      </c>
      <c r="M1884" s="3" t="n">
        <v>1</v>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3" t="inlineStr">
        <is>
          <t>진입도로 10미터   2차선접</t>
        </is>
      </c>
      <c r="I1885" s="5">
        <f>HYPERLINK("https://fin.land.naver.com/articles/2644678287", "매물Link")</f>
        <v/>
      </c>
      <c r="J1885" s="5">
        <f>HYPERLINK("https://map.naver.com/p/search/나성동 829", "지도Link")</f>
        <v/>
      </c>
      <c r="K1885" s="5">
        <f>HYPERLINK("http://www.eum.go.kr/web/ar/lu/luLandDet.jsp?pnu=3611010700108290000&amp;isNoScr=script&amp;mode=search", "토지이음")</f>
        <v/>
      </c>
      <c r="L1885" s="3" t="inlineStr">
        <is>
          <t>하니</t>
        </is>
      </c>
      <c r="M1885" s="3" t="n">
        <v>1</v>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3" t="inlineStr">
        <is>
          <t>nan</t>
        </is>
      </c>
      <c r="I1886" s="5">
        <f>HYPERLINK("https://fin.land.naver.com/articles/2644876790", "매물Link")</f>
        <v/>
      </c>
      <c r="J1886" s="5">
        <f>HYPERLINK("https://map.naver.com/p/search/나성동 829", "지도Link")</f>
        <v/>
      </c>
      <c r="K1886" s="5">
        <f>HYPERLINK("http://www.eum.go.kr/web/ar/lu/luLandDet.jsp?pnu=3611010700108290000&amp;isNoScr=script&amp;mode=search", "토지이음")</f>
        <v/>
      </c>
      <c r="L1886" s="3" t="inlineStr">
        <is>
          <t>동원탑</t>
        </is>
      </c>
      <c r="M1886" s="3" t="n">
        <v>1</v>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3" t="inlineStr">
        <is>
          <t>강내 하이테크밸리산업단지 인접한 위치의 토목공사 완료된 대형부지</t>
        </is>
      </c>
      <c r="I1887" s="5">
        <f>HYPERLINK("https://fin.land.naver.com/articles/2646668323", "매물Link")</f>
        <v/>
      </c>
      <c r="J1887" s="5">
        <f>HYPERLINK("https://map.naver.com/p/search/나성동 829", "지도Link")</f>
        <v/>
      </c>
      <c r="K1887" s="5">
        <f>HYPERLINK("http://www.eum.go.kr/web/ar/lu/luLandDet.jsp?pnu=3611010700108290000&amp;isNoScr=script&amp;mode=search", "토지이음")</f>
        <v/>
      </c>
      <c r="L1887" s="3" t="inlineStr">
        <is>
          <t>더원</t>
        </is>
      </c>
      <c r="M1887" s="3" t="n">
        <v>1</v>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3" t="inlineStr">
        <is>
          <t>강내면 공장용지 도로지분포함  바로 건축가능</t>
        </is>
      </c>
      <c r="I1888" s="5">
        <f>HYPERLINK("https://fin.land.naver.com/articles/2646669448", "매물Link")</f>
        <v/>
      </c>
      <c r="J1888" s="5">
        <f>HYPERLINK("https://map.naver.com/p/search/나성동 829", "지도Link")</f>
        <v/>
      </c>
      <c r="K1888" s="5">
        <f>HYPERLINK("http://www.eum.go.kr/web/ar/lu/luLandDet.jsp?pnu=3611010700108290000&amp;isNoScr=script&amp;mode=search", "토지이음")</f>
        <v/>
      </c>
      <c r="L1888" s="3" t="inlineStr">
        <is>
          <t>더원</t>
        </is>
      </c>
      <c r="M1888" s="3" t="n">
        <v>1</v>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3" t="inlineStr">
        <is>
          <t>절충가능 성토완료 도로접</t>
        </is>
      </c>
      <c r="I1889" s="5">
        <f>HYPERLINK("https://fin.land.naver.com/articles/2646287784", "매물Link")</f>
        <v/>
      </c>
      <c r="J1889" s="5">
        <f>HYPERLINK("https://map.naver.com/p/search/나성동 829", "지도Link")</f>
        <v/>
      </c>
      <c r="K1889" s="5">
        <f>HYPERLINK("http://www.eum.go.kr/web/ar/lu/luLandDet.jsp?pnu=3611010700108290000&amp;isNoScr=script&amp;mode=search", "토지이음")</f>
        <v/>
      </c>
      <c r="L1889" s="3" t="inlineStr">
        <is>
          <t>수풀림</t>
        </is>
      </c>
      <c r="M1889" s="3" t="n">
        <v>1</v>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3" t="inlineStr">
        <is>
          <t>청주세종로 진출입로 강내IC 예정지 바로옆 계획관리</t>
        </is>
      </c>
      <c r="I1890" s="5">
        <f>HYPERLINK("https://fin.land.naver.com/articles/2648844475", "매물Link")</f>
        <v/>
      </c>
      <c r="J1890" s="5">
        <f>HYPERLINK("https://map.naver.com/p/search/나성동 829", "지도Link")</f>
        <v/>
      </c>
      <c r="K1890" s="5">
        <f>HYPERLINK("http://www.eum.go.kr/web/ar/lu/luLandDet.jsp?pnu=3611010700108290000&amp;isNoScr=script&amp;mode=search", "토지이음")</f>
        <v/>
      </c>
      <c r="L1890" s="3" t="inlineStr">
        <is>
          <t>좋은터</t>
        </is>
      </c>
      <c r="M1890" s="3" t="n">
        <v>1</v>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3" t="inlineStr">
        <is>
          <t>8미터도로접, 개인주택용지로 추천  충청대사거리인근</t>
        </is>
      </c>
      <c r="I1891" s="5">
        <f>HYPERLINK("https://fin.land.naver.com/articles/2648907831", "매물Link")</f>
        <v/>
      </c>
      <c r="J1891" s="5">
        <f>HYPERLINK("https://map.naver.com/p/search/나성동 829", "지도Link")</f>
        <v/>
      </c>
      <c r="K1891" s="5">
        <f>HYPERLINK("http://www.eum.go.kr/web/ar/lu/luLandDet.jsp?pnu=3611010700108290000&amp;isNoScr=script&amp;mode=search", "토지이음")</f>
        <v/>
      </c>
      <c r="L1891" s="3" t="inlineStr">
        <is>
          <t>금빛힐스</t>
        </is>
      </c>
      <c r="M1891" s="3" t="n">
        <v>1</v>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3" t="inlineStr">
        <is>
          <t>nan</t>
        </is>
      </c>
      <c r="I1892" s="5">
        <f>HYPERLINK("https://fin.land.naver.com/articles/2649158229", "매물Link")</f>
        <v/>
      </c>
      <c r="J1892" s="5">
        <f>HYPERLINK("https://map.naver.com/p/search/나성동 829", "지도Link")</f>
        <v/>
      </c>
      <c r="K1892" s="5">
        <f>HYPERLINK("http://www.eum.go.kr/web/ar/lu/luLandDet.jsp?pnu=3611010700108290000&amp;isNoScr=script&amp;mode=search", "토지이음")</f>
        <v/>
      </c>
      <c r="L1892" s="3" t="inlineStr">
        <is>
          <t>동남명품</t>
        </is>
      </c>
      <c r="M1892" s="3" t="n">
        <v>1</v>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3" t="inlineStr">
        <is>
          <t>한국교원대인근 단독 다가구주택용으로 최적 분할매매가능</t>
        </is>
      </c>
      <c r="I1893" s="5">
        <f>HYPERLINK("https://fin.land.naver.com/articles/2646992620", "매물Link")</f>
        <v/>
      </c>
      <c r="J1893" s="5">
        <f>HYPERLINK("https://map.naver.com/p/search/나성동 829", "지도Link")</f>
        <v/>
      </c>
      <c r="K1893" s="5">
        <f>HYPERLINK("http://www.eum.go.kr/web/ar/lu/luLandDet.jsp?pnu=3611010700108290000&amp;isNoScr=script&amp;mode=search", "토지이음")</f>
        <v/>
      </c>
      <c r="L1893" s="3" t="inlineStr">
        <is>
          <t>더원</t>
        </is>
      </c>
      <c r="M1893" s="3" t="n">
        <v>1</v>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3" t="inlineStr">
        <is>
          <t>강내 하이테크밸리산업단지 인접 땅모양 좋음</t>
        </is>
      </c>
      <c r="I1894" s="5">
        <f>HYPERLINK("https://fin.land.naver.com/articles/2646993556", "매물Link")</f>
        <v/>
      </c>
      <c r="J1894" s="5">
        <f>HYPERLINK("https://map.naver.com/p/search/나성동 829", "지도Link")</f>
        <v/>
      </c>
      <c r="K1894" s="5">
        <f>HYPERLINK("http://www.eum.go.kr/web/ar/lu/luLandDet.jsp?pnu=3611010700108290000&amp;isNoScr=script&amp;mode=search", "토지이음")</f>
        <v/>
      </c>
      <c r="L1894" s="3" t="inlineStr">
        <is>
          <t>더원</t>
        </is>
      </c>
      <c r="M1894" s="3" t="n">
        <v>1</v>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3" t="inlineStr">
        <is>
          <t>강내하이테크밸리 접근성 좋고 청주시내권10분거리</t>
        </is>
      </c>
      <c r="I1895" s="5">
        <f>HYPERLINK("https://fin.land.naver.com/articles/2646994204", "매물Link")</f>
        <v/>
      </c>
      <c r="J1895" s="5">
        <f>HYPERLINK("https://map.naver.com/p/search/나성동 829", "지도Link")</f>
        <v/>
      </c>
      <c r="K1895" s="5">
        <f>HYPERLINK("http://www.eum.go.kr/web/ar/lu/luLandDet.jsp?pnu=3611010700108290000&amp;isNoScr=script&amp;mode=search", "토지이음")</f>
        <v/>
      </c>
      <c r="L1895" s="3" t="inlineStr">
        <is>
          <t>더원</t>
        </is>
      </c>
      <c r="M1895" s="3" t="n">
        <v>1</v>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3" t="inlineStr">
        <is>
          <t>당곡리 소형 토지</t>
        </is>
      </c>
      <c r="I1896" s="5">
        <f>HYPERLINK("https://fin.land.naver.com/articles/2649559797", "매물Link")</f>
        <v/>
      </c>
      <c r="J1896" s="5">
        <f>HYPERLINK("https://map.naver.com/p/search/나성동 829", "지도Link")</f>
        <v/>
      </c>
      <c r="K1896" s="5">
        <f>HYPERLINK("http://www.eum.go.kr/web/ar/lu/luLandDet.jsp?pnu=3611010700108290000&amp;isNoScr=script&amp;mode=search", "토지이음")</f>
        <v/>
      </c>
      <c r="L1896" s="3" t="inlineStr">
        <is>
          <t>사거리</t>
        </is>
      </c>
      <c r="M1896" s="3" t="n">
        <v>1</v>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3" t="inlineStr">
        <is>
          <t>강내 산업단지 인근 급매 토목공사 공장허가득 즉시 건축가능</t>
        </is>
      </c>
      <c r="I1897" s="5">
        <f>HYPERLINK("https://fin.land.naver.com/articles/2649684509", "매물Link")</f>
        <v/>
      </c>
      <c r="J1897" s="5">
        <f>HYPERLINK("https://map.naver.com/p/search/나성동 829", "지도Link")</f>
        <v/>
      </c>
      <c r="K1897" s="5">
        <f>HYPERLINK("http://www.eum.go.kr/web/ar/lu/luLandDet.jsp?pnu=3611010700108290000&amp;isNoScr=script&amp;mode=search", "토지이음")</f>
        <v/>
      </c>
      <c r="L1897" s="3" t="inlineStr">
        <is>
          <t>더원</t>
        </is>
      </c>
      <c r="M1897" s="3" t="n">
        <v>1</v>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3" t="inlineStr">
        <is>
          <t>연정리 도로 접 토지 매매</t>
        </is>
      </c>
      <c r="I1898" s="5">
        <f>HYPERLINK("https://fin.land.naver.com/articles/2648218241", "매물Link")</f>
        <v/>
      </c>
      <c r="J1898" s="5">
        <f>HYPERLINK("https://map.naver.com/p/search/나성동 829", "지도Link")</f>
        <v/>
      </c>
      <c r="K1898" s="5">
        <f>HYPERLINK("http://www.eum.go.kr/web/ar/lu/luLandDet.jsp?pnu=3611010700108290000&amp;isNoScr=script&amp;mode=search", "토지이음")</f>
        <v/>
      </c>
      <c r="L1898" s="3" t="inlineStr">
        <is>
          <t>사거리</t>
        </is>
      </c>
      <c r="M1898" s="3" t="n">
        <v>1</v>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3" t="inlineStr">
        <is>
          <t>복토해서 전으로 사용중,세컨하우스로 활용하기 좋은 위치</t>
        </is>
      </c>
      <c r="I1899" s="5">
        <f>HYPERLINK("https://fin.land.naver.com/articles/2648664177", "매물Link")</f>
        <v/>
      </c>
      <c r="J1899" s="5">
        <f>HYPERLINK("https://map.naver.com/p/search/나성동 829", "지도Link")</f>
        <v/>
      </c>
      <c r="K1899" s="5">
        <f>HYPERLINK("http://www.eum.go.kr/web/ar/lu/luLandDet.jsp?pnu=3611010700108290000&amp;isNoScr=script&amp;mode=search", "토지이음")</f>
        <v/>
      </c>
      <c r="L1899" s="3" t="inlineStr">
        <is>
          <t>필 무소</t>
        </is>
      </c>
      <c r="M1899" s="3" t="n">
        <v>1</v>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3" t="inlineStr">
        <is>
          <t>세종청주로 인접  석곡사거리 10분 공장허가득  토목공사완료조건</t>
        </is>
      </c>
      <c r="I1900" s="5">
        <f>HYPERLINK("https://fin.land.naver.com/articles/2646669556", "매물Link")</f>
        <v/>
      </c>
      <c r="J1900" s="5">
        <f>HYPERLINK("https://map.naver.com/p/search/나성동 829", "지도Link")</f>
        <v/>
      </c>
      <c r="K1900" s="5">
        <f>HYPERLINK("http://www.eum.go.kr/web/ar/lu/luLandDet.jsp?pnu=3611010700108290000&amp;isNoScr=script&amp;mode=search", "토지이음")</f>
        <v/>
      </c>
      <c r="L1900" s="3" t="inlineStr">
        <is>
          <t>더원</t>
        </is>
      </c>
      <c r="M1900" s="3" t="n">
        <v>1</v>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3" t="inlineStr">
        <is>
          <t>세종청주로 인접 석곡사거리 10분  토목공사 완료조건</t>
        </is>
      </c>
      <c r="I1901" s="5">
        <f>HYPERLINK("https://fin.land.naver.com/articles/2646669569", "매물Link")</f>
        <v/>
      </c>
      <c r="J1901" s="5">
        <f>HYPERLINK("https://map.naver.com/p/search/나성동 829", "지도Link")</f>
        <v/>
      </c>
      <c r="K1901" s="5">
        <f>HYPERLINK("http://www.eum.go.kr/web/ar/lu/luLandDet.jsp?pnu=3611010700108290000&amp;isNoScr=script&amp;mode=search", "토지이음")</f>
        <v/>
      </c>
      <c r="L1901" s="3" t="inlineStr">
        <is>
          <t>더원</t>
        </is>
      </c>
      <c r="M1901" s="3" t="n">
        <v>1</v>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3" t="inlineStr">
        <is>
          <t>사두면 무조건 오르는땅</t>
        </is>
      </c>
      <c r="I1902" s="5">
        <f>HYPERLINK("https://fin.land.naver.com/articles/2646918220", "매물Link")</f>
        <v/>
      </c>
      <c r="J1902" s="5">
        <f>HYPERLINK("https://map.naver.com/p/search/나성동 829", "지도Link")</f>
        <v/>
      </c>
      <c r="K1902" s="5">
        <f>HYPERLINK("http://www.eum.go.kr/web/ar/lu/luLandDet.jsp?pnu=3611010700108290000&amp;isNoScr=script&amp;mode=search", "토지이음")</f>
        <v/>
      </c>
      <c r="L1902" s="3" t="inlineStr">
        <is>
          <t>부엉이</t>
        </is>
      </c>
      <c r="M1902" s="3" t="n">
        <v>1</v>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3" t="inlineStr">
        <is>
          <t>태성리 토지 매매</t>
        </is>
      </c>
      <c r="I1903" s="5">
        <f>HYPERLINK("https://fin.land.naver.com/articles/2647332149", "매물Link")</f>
        <v/>
      </c>
      <c r="J1903" s="5">
        <f>HYPERLINK("https://map.naver.com/p/search/나성동 829", "지도Link")</f>
        <v/>
      </c>
      <c r="K1903" s="5">
        <f>HYPERLINK("http://www.eum.go.kr/web/ar/lu/luLandDet.jsp?pnu=3611010700108290000&amp;isNoScr=script&amp;mode=search", "토지이음")</f>
        <v/>
      </c>
      <c r="L1903" s="3" t="inlineStr">
        <is>
          <t>사거리</t>
        </is>
      </c>
      <c r="M1903" s="3" t="n">
        <v>1</v>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3" t="inlineStr">
        <is>
          <t>토지 매매</t>
        </is>
      </c>
      <c r="I1904" s="5">
        <f>HYPERLINK("https://fin.land.naver.com/articles/2647338184", "매물Link")</f>
        <v/>
      </c>
      <c r="J1904" s="5">
        <f>HYPERLINK("https://map.naver.com/p/search/나성동 829", "지도Link")</f>
        <v/>
      </c>
      <c r="K1904" s="5">
        <f>HYPERLINK("http://www.eum.go.kr/web/ar/lu/luLandDet.jsp?pnu=3611010700108290000&amp;isNoScr=script&amp;mode=search", "토지이음")</f>
        <v/>
      </c>
      <c r="L1904" s="3" t="inlineStr">
        <is>
          <t>사거리</t>
        </is>
      </c>
      <c r="M1904" s="3" t="n">
        <v>1</v>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3" t="inlineStr">
        <is>
          <t>태성리 공장용 토지 매매</t>
        </is>
      </c>
      <c r="I1905" s="5">
        <f>HYPERLINK("https://fin.land.naver.com/articles/2647339860", "매물Link")</f>
        <v/>
      </c>
      <c r="J1905" s="5">
        <f>HYPERLINK("https://map.naver.com/p/search/나성동 829", "지도Link")</f>
        <v/>
      </c>
      <c r="K1905" s="5">
        <f>HYPERLINK("http://www.eum.go.kr/web/ar/lu/luLandDet.jsp?pnu=3611010700108290000&amp;isNoScr=script&amp;mode=search", "토지이음")</f>
        <v/>
      </c>
      <c r="L1905" s="3" t="inlineStr">
        <is>
          <t>사거리</t>
        </is>
      </c>
      <c r="M1905" s="3" t="n">
        <v>1</v>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3" t="inlineStr">
        <is>
          <t>신축 흥덕구청인근 2차선확포장도로 접</t>
        </is>
      </c>
      <c r="I1906" s="5">
        <f>HYPERLINK("https://fin.land.naver.com/articles/2647758808", "매물Link")</f>
        <v/>
      </c>
      <c r="J1906" s="5">
        <f>HYPERLINK("https://map.naver.com/p/search/나성동 829", "지도Link")</f>
        <v/>
      </c>
      <c r="K1906" s="5">
        <f>HYPERLINK("http://www.eum.go.kr/web/ar/lu/luLandDet.jsp?pnu=3611010700108290000&amp;isNoScr=script&amp;mode=search", "토지이음")</f>
        <v/>
      </c>
      <c r="L1906" s="3" t="inlineStr">
        <is>
          <t>좋은</t>
        </is>
      </c>
      <c r="M1906" s="3" t="n">
        <v>1</v>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3" t="inlineStr">
        <is>
          <t>청주하이테크밸리 산업단지 인근 공장창고등 적지</t>
        </is>
      </c>
      <c r="I1907" s="5">
        <f>HYPERLINK("https://fin.land.naver.com/articles/2647770752", "매물Link")</f>
        <v/>
      </c>
      <c r="J1907" s="5">
        <f>HYPERLINK("https://map.naver.com/p/search/나성동 829", "지도Link")</f>
        <v/>
      </c>
      <c r="K1907" s="5">
        <f>HYPERLINK("http://www.eum.go.kr/web/ar/lu/luLandDet.jsp?pnu=3611010700108290000&amp;isNoScr=script&amp;mode=search", "토지이음")</f>
        <v/>
      </c>
      <c r="L1907" s="3" t="inlineStr">
        <is>
          <t>좋은</t>
        </is>
      </c>
      <c r="M1907" s="3" t="n">
        <v>1</v>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3" t="inlineStr">
        <is>
          <t>세종시 및 오송단지 인접지역 공장인허가득한 토지</t>
        </is>
      </c>
      <c r="I1908" s="5">
        <f>HYPERLINK("https://fin.land.naver.com/articles/2647776406", "매물Link")</f>
        <v/>
      </c>
      <c r="J1908" s="5">
        <f>HYPERLINK("https://map.naver.com/p/search/나성동 829", "지도Link")</f>
        <v/>
      </c>
      <c r="K1908" s="5">
        <f>HYPERLINK("http://www.eum.go.kr/web/ar/lu/luLandDet.jsp?pnu=3611010700108290000&amp;isNoScr=script&amp;mode=search", "토지이음")</f>
        <v/>
      </c>
      <c r="L1908" s="3" t="inlineStr">
        <is>
          <t>좋은</t>
        </is>
      </c>
      <c r="M1908" s="3" t="n">
        <v>1</v>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3" t="inlineStr">
        <is>
          <t>인접 아파트단지 등 토지이용도 최고</t>
        </is>
      </c>
      <c r="I1909" s="5">
        <f>HYPERLINK("https://fin.land.naver.com/articles/2647777694", "매물Link")</f>
        <v/>
      </c>
      <c r="J1909" s="5">
        <f>HYPERLINK("https://map.naver.com/p/search/나성동 829", "지도Link")</f>
        <v/>
      </c>
      <c r="K1909" s="5">
        <f>HYPERLINK("http://www.eum.go.kr/web/ar/lu/luLandDet.jsp?pnu=3611010700108290000&amp;isNoScr=script&amp;mode=search", "토지이음")</f>
        <v/>
      </c>
      <c r="L1909" s="3" t="inlineStr">
        <is>
          <t>좋은</t>
        </is>
      </c>
      <c r="M1909" s="3" t="n">
        <v>1</v>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3" t="inlineStr">
        <is>
          <t>내수읍 은곡무지개아파트 인근에 위치,2층단독주택</t>
        </is>
      </c>
      <c r="I1910" s="5">
        <f>HYPERLINK("https://fin.land.naver.com/articles/2646867669", "매물Link")</f>
        <v/>
      </c>
      <c r="J1910" s="5">
        <f>HYPERLINK("https://map.naver.com/p/search/나성동 829", "지도Link")</f>
        <v/>
      </c>
      <c r="K1910" s="5">
        <f>HYPERLINK("http://www.eum.go.kr/web/ar/lu/luLandDet.jsp?pnu=3611010700108290000&amp;isNoScr=script&amp;mode=search", "토지이음")</f>
        <v/>
      </c>
      <c r="L1910" s="3" t="inlineStr">
        <is>
          <t>일조</t>
        </is>
      </c>
      <c r="M1910" s="3" t="n">
        <v>1</v>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3" t="inlineStr">
        <is>
          <t>nan</t>
        </is>
      </c>
      <c r="I1911" s="5">
        <f>HYPERLINK("https://fin.land.naver.com/articles/2648572452", "매물Link")</f>
        <v/>
      </c>
      <c r="J1911" s="5">
        <f>HYPERLINK("https://map.naver.com/p/search/나성동 829", "지도Link")</f>
        <v/>
      </c>
      <c r="K1911" s="5">
        <f>HYPERLINK("http://www.eum.go.kr/web/ar/lu/luLandDet.jsp?pnu=3611010700108290000&amp;isNoScr=script&amp;mode=search", "토지이음")</f>
        <v/>
      </c>
      <c r="L1911" s="3" t="inlineStr">
        <is>
          <t>청주더존</t>
        </is>
      </c>
      <c r="M1911" s="3" t="n">
        <v>1</v>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3" t="inlineStr">
        <is>
          <t>대지이면서 가격이 저렴함</t>
        </is>
      </c>
      <c r="I1912" s="5">
        <f>HYPERLINK("https://fin.land.naver.com/articles/2648191559", "매물Link")</f>
        <v/>
      </c>
      <c r="J1912" s="5">
        <f>HYPERLINK("https://map.naver.com/p/search/나성동 829", "지도Link")</f>
        <v/>
      </c>
      <c r="K1912" s="5">
        <f>HYPERLINK("http://www.eum.go.kr/web/ar/lu/luLandDet.jsp?pnu=3611010700108290000&amp;isNoScr=script&amp;mode=search", "토지이음")</f>
        <v/>
      </c>
      <c r="L1912" s="3" t="inlineStr">
        <is>
          <t>이은숙</t>
        </is>
      </c>
      <c r="M1912" s="3" t="n">
        <v>2</v>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3" t="inlineStr">
        <is>
          <t>현 구축 공장 있음 옥산면 공장용지 매매</t>
        </is>
      </c>
      <c r="I1913" s="5">
        <f>HYPERLINK("https://fin.land.naver.com/articles/2646418032", "매물Link")</f>
        <v/>
      </c>
      <c r="J1913" s="5">
        <f>HYPERLINK("https://map.naver.com/p/search/나성동 829", "지도Link")</f>
        <v/>
      </c>
      <c r="K1913" s="5">
        <f>HYPERLINK("http://www.eum.go.kr/web/ar/lu/luLandDet.jsp?pnu=3611010700108290000&amp;isNoScr=script&amp;mode=search", "토지이음")</f>
        <v/>
      </c>
      <c r="L1913" s="3" t="inlineStr">
        <is>
          <t>옥산금정</t>
        </is>
      </c>
      <c r="M1913" s="3" t="n">
        <v>1</v>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3" t="inlineStr">
        <is>
          <t>동림리 잡종지 매매</t>
        </is>
      </c>
      <c r="I1914" s="5">
        <f>HYPERLINK("https://fin.land.naver.com/articles/2646423608", "매물Link")</f>
        <v/>
      </c>
      <c r="J1914" s="5">
        <f>HYPERLINK("https://map.naver.com/p/search/나성동 829", "지도Link")</f>
        <v/>
      </c>
      <c r="K1914" s="5">
        <f>HYPERLINK("http://www.eum.go.kr/web/ar/lu/luLandDet.jsp?pnu=3611010700108290000&amp;isNoScr=script&amp;mode=search", "토지이음")</f>
        <v/>
      </c>
      <c r="L1914" s="3" t="inlineStr">
        <is>
          <t>옥산금정</t>
        </is>
      </c>
      <c r="M1914" s="3" t="n">
        <v>1</v>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3" t="inlineStr">
        <is>
          <t>농수산물시장 바로 앞 투자용</t>
        </is>
      </c>
      <c r="I1915" s="5">
        <f>HYPERLINK("https://fin.land.naver.com/articles/2646664370", "매물Link")</f>
        <v/>
      </c>
      <c r="J1915" s="5">
        <f>HYPERLINK("https://map.naver.com/p/search/나성동 829", "지도Link")</f>
        <v/>
      </c>
      <c r="K1915" s="5">
        <f>HYPERLINK("http://www.eum.go.kr/web/ar/lu/luLandDet.jsp?pnu=3611010700108290000&amp;isNoScr=script&amp;mode=search", "토지이음")</f>
        <v/>
      </c>
      <c r="L1915" s="3" t="inlineStr">
        <is>
          <t>좋은터</t>
        </is>
      </c>
      <c r="M1915" s="3" t="n">
        <v>1</v>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3" t="inlineStr">
        <is>
          <t>저렴한 농지 매매</t>
        </is>
      </c>
      <c r="I1916" s="5">
        <f>HYPERLINK("https://fin.land.naver.com/articles/2646703656", "매물Link")</f>
        <v/>
      </c>
      <c r="J1916" s="5">
        <f>HYPERLINK("https://map.naver.com/p/search/나성동 829", "지도Link")</f>
        <v/>
      </c>
      <c r="K1916" s="5">
        <f>HYPERLINK("http://www.eum.go.kr/web/ar/lu/luLandDet.jsp?pnu=3611010700108290000&amp;isNoScr=script&amp;mode=search", "토지이음")</f>
        <v/>
      </c>
      <c r="L1916" s="3" t="inlineStr">
        <is>
          <t>옥산금정</t>
        </is>
      </c>
      <c r="M1916" s="3" t="n">
        <v>1</v>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3" t="inlineStr">
        <is>
          <t>전원주택및 농막설치 위치로 최상 저렴한 토지 매매</t>
        </is>
      </c>
      <c r="I1917" s="5">
        <f>HYPERLINK("https://fin.land.naver.com/articles/2646066587", "매물Link")</f>
        <v/>
      </c>
      <c r="J1917" s="5">
        <f>HYPERLINK("https://map.naver.com/p/search/나성동 829", "지도Link")</f>
        <v/>
      </c>
      <c r="K1917" s="5">
        <f>HYPERLINK("http://www.eum.go.kr/web/ar/lu/luLandDet.jsp?pnu=3611010700108290000&amp;isNoScr=script&amp;mode=search", "토지이음")</f>
        <v/>
      </c>
      <c r="L1917" s="3" t="inlineStr">
        <is>
          <t>옥산리버자이</t>
        </is>
      </c>
      <c r="M1917" s="3" t="n">
        <v>1</v>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3" t="inlineStr">
        <is>
          <t>장동리 저렴한 농지 매매</t>
        </is>
      </c>
      <c r="I1918" s="5">
        <f>HYPERLINK("https://fin.land.naver.com/articles/2645950084", "매물Link")</f>
        <v/>
      </c>
      <c r="J1918" s="5">
        <f>HYPERLINK("https://map.naver.com/p/search/나성동 829", "지도Link")</f>
        <v/>
      </c>
      <c r="K1918" s="5">
        <f>HYPERLINK("http://www.eum.go.kr/web/ar/lu/luLandDet.jsp?pnu=3611010700108290000&amp;isNoScr=script&amp;mode=search", "토지이음")</f>
        <v/>
      </c>
      <c r="L1918" s="3" t="inlineStr">
        <is>
          <t>옥산금정</t>
        </is>
      </c>
      <c r="M1918" s="3" t="n">
        <v>1</v>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3" t="inlineStr">
        <is>
          <t>공장이나 창고,주택 건축 가능 합니다.</t>
        </is>
      </c>
      <c r="I1919" s="5">
        <f>HYPERLINK("https://fin.land.naver.com/articles/2644693197", "매물Link")</f>
        <v/>
      </c>
      <c r="J1919" s="5">
        <f>HYPERLINK("https://map.naver.com/p/search/나성동 829", "지도Link")</f>
        <v/>
      </c>
      <c r="K1919" s="5">
        <f>HYPERLINK("http://www.eum.go.kr/web/ar/lu/luLandDet.jsp?pnu=3611010700108290000&amp;isNoScr=script&amp;mode=search", "토지이음")</f>
        <v/>
      </c>
      <c r="L1919" s="3" t="inlineStr">
        <is>
          <t>코오롱하늘채</t>
        </is>
      </c>
      <c r="M1919" s="3" t="n">
        <v>1</v>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3" t="inlineStr">
        <is>
          <t>옥산면 호죽리전 매매 2차선접한  사정상 매매 창고등 목적 용이한 토지</t>
        </is>
      </c>
      <c r="I1920" s="5">
        <f>HYPERLINK("https://fin.land.naver.com/articles/2644695541", "매물Link")</f>
        <v/>
      </c>
      <c r="J1920" s="5">
        <f>HYPERLINK("https://map.naver.com/p/search/나성동 829", "지도Link")</f>
        <v/>
      </c>
      <c r="K1920" s="5">
        <f>HYPERLINK("http://www.eum.go.kr/web/ar/lu/luLandDet.jsp?pnu=3611010700108290000&amp;isNoScr=script&amp;mode=search", "토지이음")</f>
        <v/>
      </c>
      <c r="L1920" s="3" t="inlineStr">
        <is>
          <t>옥산리버자이</t>
        </is>
      </c>
      <c r="M1920" s="3" t="n">
        <v>1</v>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3" t="inlineStr">
        <is>
          <t>큰하우스두동설치된 논매매 호박농사등 특수작물가능한 옥산논 매매</t>
        </is>
      </c>
      <c r="I1921" s="5">
        <f>HYPERLINK("https://fin.land.naver.com/articles/2644696273", "매물Link")</f>
        <v/>
      </c>
      <c r="J1921" s="5">
        <f>HYPERLINK("https://map.naver.com/p/search/나성동 829", "지도Link")</f>
        <v/>
      </c>
      <c r="K1921" s="5">
        <f>HYPERLINK("http://www.eum.go.kr/web/ar/lu/luLandDet.jsp?pnu=3611010700108290000&amp;isNoScr=script&amp;mode=search", "토지이음")</f>
        <v/>
      </c>
      <c r="L1921" s="3" t="inlineStr">
        <is>
          <t>옥산리버자이</t>
        </is>
      </c>
      <c r="M1921" s="3" t="n">
        <v>1</v>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3" t="inlineStr">
        <is>
          <t>옥산산업단지 앞의 대형차 진출입 원활하고 땅모양 좋은 토지</t>
        </is>
      </c>
      <c r="I1922" s="5">
        <f>HYPERLINK("https://fin.land.naver.com/articles/2644708259", "매물Link")</f>
        <v/>
      </c>
      <c r="J1922" s="5">
        <f>HYPERLINK("https://map.naver.com/p/search/나성동 829", "지도Link")</f>
        <v/>
      </c>
      <c r="K1922" s="5">
        <f>HYPERLINK("http://www.eum.go.kr/web/ar/lu/luLandDet.jsp?pnu=3611010700108290000&amp;isNoScr=script&amp;mode=search", "토지이음")</f>
        <v/>
      </c>
      <c r="L1922" s="3" t="inlineStr">
        <is>
          <t>더원</t>
        </is>
      </c>
      <c r="M1922" s="3" t="n">
        <v>1</v>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3" t="inlineStr">
        <is>
          <t>2차선도로변 현 공장있음  철거후 신축가능</t>
        </is>
      </c>
      <c r="I1923" s="5">
        <f>HYPERLINK("https://fin.land.naver.com/articles/2644712513", "매물Link")</f>
        <v/>
      </c>
      <c r="J1923" s="5">
        <f>HYPERLINK("https://map.naver.com/p/search/나성동 829", "지도Link")</f>
        <v/>
      </c>
      <c r="K1923" s="5">
        <f>HYPERLINK("http://www.eum.go.kr/web/ar/lu/luLandDet.jsp?pnu=3611010700108290000&amp;isNoScr=script&amp;mode=search", "토지이음")</f>
        <v/>
      </c>
      <c r="L1923" s="3" t="inlineStr">
        <is>
          <t>더원</t>
        </is>
      </c>
      <c r="M1923" s="3" t="n">
        <v>1</v>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3" t="inlineStr">
        <is>
          <t>옥산면 수락리 답 매매</t>
        </is>
      </c>
      <c r="I1924" s="5">
        <f>HYPERLINK("https://fin.land.naver.com/articles/2644755871", "매물Link")</f>
        <v/>
      </c>
      <c r="J1924" s="5">
        <f>HYPERLINK("https://map.naver.com/p/search/나성동 829", "지도Link")</f>
        <v/>
      </c>
      <c r="K1924" s="5">
        <f>HYPERLINK("http://www.eum.go.kr/web/ar/lu/luLandDet.jsp?pnu=3611010700108290000&amp;isNoScr=script&amp;mode=search", "토지이음")</f>
        <v/>
      </c>
      <c r="L1924" s="3" t="inlineStr">
        <is>
          <t>보배</t>
        </is>
      </c>
      <c r="M1924" s="3" t="n">
        <v>1</v>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3" t="inlineStr">
        <is>
          <t>현재논농사중. 옥산현대자동차써비스쎈터근처</t>
        </is>
      </c>
      <c r="I1925" s="5">
        <f>HYPERLINK("https://fin.land.naver.com/articles/2645117542", "매물Link")</f>
        <v/>
      </c>
      <c r="J1925" s="5">
        <f>HYPERLINK("https://map.naver.com/p/search/나성동 829", "지도Link")</f>
        <v/>
      </c>
      <c r="K1925" s="5">
        <f>HYPERLINK("http://www.eum.go.kr/web/ar/lu/luLandDet.jsp?pnu=3611010700108290000&amp;isNoScr=script&amp;mode=search", "토지이음")</f>
        <v/>
      </c>
      <c r="L1925" s="3" t="inlineStr">
        <is>
          <t>옥산제일사무소</t>
        </is>
      </c>
      <c r="M1925" s="3" t="n">
        <v>1</v>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3" t="inlineStr">
        <is>
          <t>도로변 생산관리 매매</t>
        </is>
      </c>
      <c r="I1926" s="5">
        <f>HYPERLINK("https://fin.land.naver.com/articles/2645349906", "매물Link")</f>
        <v/>
      </c>
      <c r="J1926" s="5">
        <f>HYPERLINK("https://map.naver.com/p/search/나성동 829", "지도Link")</f>
        <v/>
      </c>
      <c r="K1926" s="5">
        <f>HYPERLINK("http://www.eum.go.kr/web/ar/lu/luLandDet.jsp?pnu=3611010700108290000&amp;isNoScr=script&amp;mode=search", "토지이음")</f>
        <v/>
      </c>
      <c r="L1926" s="3" t="inlineStr">
        <is>
          <t>옥산금정</t>
        </is>
      </c>
      <c r="M1926" s="3" t="n">
        <v>1</v>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3" t="inlineStr">
        <is>
          <t>도로접,공장이나 창고,주택 추천합니다.</t>
        </is>
      </c>
      <c r="I1927" s="5">
        <f>HYPERLINK("https://fin.land.naver.com/articles/2645366875", "매물Link")</f>
        <v/>
      </c>
      <c r="J1927" s="5">
        <f>HYPERLINK("https://map.naver.com/p/search/나성동 829", "지도Link")</f>
        <v/>
      </c>
      <c r="K1927" s="5">
        <f>HYPERLINK("http://www.eum.go.kr/web/ar/lu/luLandDet.jsp?pnu=3611010700108290000&amp;isNoScr=script&amp;mode=search", "토지이음")</f>
        <v/>
      </c>
      <c r="L1927" s="3" t="inlineStr">
        <is>
          <t>코오롱하늘채</t>
        </is>
      </c>
      <c r="M1927" s="3" t="n">
        <v>1</v>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3" t="inlineStr">
        <is>
          <t>주말농자이나 투자 추천합니다.</t>
        </is>
      </c>
      <c r="I1928" s="5">
        <f>HYPERLINK("https://fin.land.naver.com/articles/2647203491", "매물Link")</f>
        <v/>
      </c>
      <c r="J1928" s="5">
        <f>HYPERLINK("https://map.naver.com/p/search/나성동 829", "지도Link")</f>
        <v/>
      </c>
      <c r="K1928" s="5">
        <f>HYPERLINK("http://www.eum.go.kr/web/ar/lu/luLandDet.jsp?pnu=3611010700108290000&amp;isNoScr=script&amp;mode=search", "토지이음")</f>
        <v/>
      </c>
      <c r="L1928" s="3" t="inlineStr">
        <is>
          <t>코오롱하늘채</t>
        </is>
      </c>
      <c r="M1928" s="3" t="n">
        <v>1</v>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3" t="inlineStr">
        <is>
          <t>옥산시내위치.옥사ic근접,청주농산물쎈터옥산이전예정.교통중심지</t>
        </is>
      </c>
      <c r="I1929" s="5">
        <f>HYPERLINK("https://fin.land.naver.com/articles/2646415996", "매물Link")</f>
        <v/>
      </c>
      <c r="J1929" s="5">
        <f>HYPERLINK("https://map.naver.com/p/search/나성동 829", "지도Link")</f>
        <v/>
      </c>
      <c r="K1929" s="5">
        <f>HYPERLINK("http://www.eum.go.kr/web/ar/lu/luLandDet.jsp?pnu=3611010700108290000&amp;isNoScr=script&amp;mode=search", "토지이음")</f>
        <v/>
      </c>
      <c r="L1929" s="3" t="inlineStr">
        <is>
          <t>옥산제일사무소</t>
        </is>
      </c>
      <c r="M1929" s="3" t="n">
        <v>1</v>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3" t="inlineStr">
        <is>
          <t>창고 혹은 원룸주택 추천</t>
        </is>
      </c>
      <c r="I1930" s="5">
        <f>HYPERLINK("https://fin.land.naver.com/articles/2648840762", "매물Link")</f>
        <v/>
      </c>
      <c r="J1930" s="5">
        <f>HYPERLINK("https://map.naver.com/p/search/나성동 829", "지도Link")</f>
        <v/>
      </c>
      <c r="K1930" s="5">
        <f>HYPERLINK("http://www.eum.go.kr/web/ar/lu/luLandDet.jsp?pnu=3611010700108290000&amp;isNoScr=script&amp;mode=search", "토지이음")</f>
        <v/>
      </c>
      <c r="L1930" s="3" t="inlineStr">
        <is>
          <t>옥산금정</t>
        </is>
      </c>
      <c r="M1930" s="3" t="n">
        <v>1</v>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3" t="inlineStr">
        <is>
          <t>교원대정문 남쪽으로 바로 위치하며,청주하이테크밸리 산단(30만평)</t>
        </is>
      </c>
      <c r="I1931" s="5">
        <f>HYPERLINK("https://fin.land.naver.com/articles/2644289317", "매물Link")</f>
        <v/>
      </c>
      <c r="J1931" s="5">
        <f>HYPERLINK("https://map.naver.com/p/search/나성동 829", "지도Link")</f>
        <v/>
      </c>
      <c r="K1931" s="5">
        <f>HYPERLINK("http://www.eum.go.kr/web/ar/lu/luLandDet.jsp?pnu=3611010700108290000&amp;isNoScr=script&amp;mode=search", "토지이음")</f>
        <v/>
      </c>
      <c r="L1931" s="3" t="inlineStr">
        <is>
          <t>명당</t>
        </is>
      </c>
      <c r="M1931" s="3" t="n">
        <v>1</v>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3" t="inlineStr">
        <is>
          <t>nan</t>
        </is>
      </c>
      <c r="I1932" s="5">
        <f>HYPERLINK("https://fin.land.naver.com/articles/2645480021", "매물Link")</f>
        <v/>
      </c>
      <c r="J1932" s="5">
        <f>HYPERLINK("https://map.naver.com/p/search/나성동 829", "지도Link")</f>
        <v/>
      </c>
      <c r="K1932" s="5">
        <f>HYPERLINK("http://www.eum.go.kr/web/ar/lu/luLandDet.jsp?pnu=3611010700108290000&amp;isNoScr=script&amp;mode=search", "토지이음")</f>
        <v/>
      </c>
      <c r="L1932" s="3" t="inlineStr">
        <is>
          <t>규담무소</t>
        </is>
      </c>
      <c r="M1932" s="3" t="n">
        <v>1</v>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3" t="inlineStr">
        <is>
          <t>흥덕구청도보5분거리,오송역인근지역,기존주택있음</t>
        </is>
      </c>
      <c r="I1933" s="5">
        <f>HYPERLINK("https://fin.land.naver.com/articles/2645974730", "매물Link")</f>
        <v/>
      </c>
      <c r="J1933" s="5">
        <f>HYPERLINK("https://map.naver.com/p/search/나성동 829", "지도Link")</f>
        <v/>
      </c>
      <c r="K1933" s="5">
        <f>HYPERLINK("http://www.eum.go.kr/web/ar/lu/luLandDet.jsp?pnu=3611010700108290000&amp;isNoScr=script&amp;mode=search", "토지이음")</f>
        <v/>
      </c>
      <c r="L1933" s="3" t="inlineStr">
        <is>
          <t>신한</t>
        </is>
      </c>
      <c r="M1933" s="3" t="n">
        <v>1</v>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3" t="inlineStr">
        <is>
          <t>nan</t>
        </is>
      </c>
      <c r="I1934" s="5">
        <f>HYPERLINK("https://fin.land.naver.com/articles/2647126830", "매물Link")</f>
        <v/>
      </c>
      <c r="J1934" s="5">
        <f>HYPERLINK("https://map.naver.com/p/search/나성동 829", "지도Link")</f>
        <v/>
      </c>
      <c r="K1934" s="5">
        <f>HYPERLINK("http://www.eum.go.kr/web/ar/lu/luLandDet.jsp?pnu=3611010700108290000&amp;isNoScr=script&amp;mode=search", "토지이음")</f>
        <v/>
      </c>
      <c r="L1934" s="3" t="inlineStr">
        <is>
          <t>세종</t>
        </is>
      </c>
      <c r="M1934" s="3" t="n">
        <v>1</v>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3" t="inlineStr">
        <is>
          <t>도로에 접한 계획관리</t>
        </is>
      </c>
      <c r="I1935" s="5">
        <f>HYPERLINK("https://fin.land.naver.com/articles/2647369241", "매물Link")</f>
        <v/>
      </c>
      <c r="J1935" s="5">
        <f>HYPERLINK("https://map.naver.com/p/search/나성동 829", "지도Link")</f>
        <v/>
      </c>
      <c r="K1935" s="5">
        <f>HYPERLINK("http://www.eum.go.kr/web/ar/lu/luLandDet.jsp?pnu=3611010700108290000&amp;isNoScr=script&amp;mode=search", "토지이음")</f>
        <v/>
      </c>
      <c r="L1935" s="3" t="inlineStr">
        <is>
          <t>새온누리</t>
        </is>
      </c>
      <c r="M1935" s="3" t="n">
        <v>1</v>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3" t="inlineStr">
        <is>
          <t>부지조성완료, 공장, 창고 추천</t>
        </is>
      </c>
      <c r="I1936" s="5">
        <f>HYPERLINK("https://fin.land.naver.com/articles/2647676343", "매물Link")</f>
        <v/>
      </c>
      <c r="J1936" s="5">
        <f>HYPERLINK("https://map.naver.com/p/search/나성동 829", "지도Link")</f>
        <v/>
      </c>
      <c r="K1936" s="5">
        <f>HYPERLINK("http://www.eum.go.kr/web/ar/lu/luLandDet.jsp?pnu=3611010700108290000&amp;isNoScr=script&amp;mode=search", "토지이음")</f>
        <v/>
      </c>
      <c r="L1936" s="3" t="inlineStr">
        <is>
          <t>황제</t>
        </is>
      </c>
      <c r="M1936" s="3" t="n">
        <v>1</v>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3" t="inlineStr">
        <is>
          <t>3m 농로에 접한 토지임</t>
        </is>
      </c>
      <c r="I1937" s="5">
        <f>HYPERLINK("https://fin.land.naver.com/articles/2647682779", "매물Link")</f>
        <v/>
      </c>
      <c r="J1937" s="5">
        <f>HYPERLINK("https://map.naver.com/p/search/나성동 829", "지도Link")</f>
        <v/>
      </c>
      <c r="K1937" s="5">
        <f>HYPERLINK("http://www.eum.go.kr/web/ar/lu/luLandDet.jsp?pnu=3611010700108290000&amp;isNoScr=script&amp;mode=search", "토지이음")</f>
        <v/>
      </c>
      <c r="L1937" s="3" t="inlineStr">
        <is>
          <t>교차로</t>
        </is>
      </c>
      <c r="M1937" s="3" t="n">
        <v>1</v>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3" t="inlineStr">
        <is>
          <t>계획관리지역, 성장관리지역, 세종시와 직선거리 3.5km, 투자가치기대</t>
        </is>
      </c>
      <c r="I1938" s="5">
        <f>HYPERLINK("https://fin.land.naver.com/articles/2648047436", "매물Link")</f>
        <v/>
      </c>
      <c r="J1938" s="5">
        <f>HYPERLINK("https://map.naver.com/p/search/나성동 829", "지도Link")</f>
        <v/>
      </c>
      <c r="K1938" s="5">
        <f>HYPERLINK("http://www.eum.go.kr/web/ar/lu/luLandDet.jsp?pnu=3611010700108290000&amp;isNoScr=script&amp;mode=search", "토지이음")</f>
        <v/>
      </c>
      <c r="L1938" s="3" t="inlineStr">
        <is>
          <t>대화탑</t>
        </is>
      </c>
      <c r="M1938" s="3" t="n">
        <v>1</v>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3" t="inlineStr">
        <is>
          <t>청주에서 가까워 접근성 좋은 주말농장, 전원주택 적합</t>
        </is>
      </c>
      <c r="I1939" s="5">
        <f>HYPERLINK("https://fin.land.naver.com/articles/2648136263", "매물Link")</f>
        <v/>
      </c>
      <c r="J1939" s="5">
        <f>HYPERLINK("https://map.naver.com/p/search/나성동 829", "지도Link")</f>
        <v/>
      </c>
      <c r="K1939" s="5">
        <f>HYPERLINK("http://www.eum.go.kr/web/ar/lu/luLandDet.jsp?pnu=3611010700108290000&amp;isNoScr=script&amp;mode=search", "토지이음")</f>
        <v/>
      </c>
      <c r="L1939" s="3" t="inlineStr">
        <is>
          <t>개신푸르지오</t>
        </is>
      </c>
      <c r="M1939" s="3" t="n">
        <v>1</v>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3" t="inlineStr">
        <is>
          <t>농업 및 창고 또는 주택가능</t>
        </is>
      </c>
      <c r="I1940" s="5">
        <f>HYPERLINK("https://fin.land.naver.com/articles/2648139329", "매물Link")</f>
        <v/>
      </c>
      <c r="J1940" s="5">
        <f>HYPERLINK("https://map.naver.com/p/search/나성동 829", "지도Link")</f>
        <v/>
      </c>
      <c r="K1940" s="5">
        <f>HYPERLINK("http://www.eum.go.kr/web/ar/lu/luLandDet.jsp?pnu=3611010700108290000&amp;isNoScr=script&amp;mode=search", "토지이음")</f>
        <v/>
      </c>
      <c r="L1940" s="3" t="inlineStr">
        <is>
          <t>G세계로무소</t>
        </is>
      </c>
      <c r="M1940" s="3" t="n">
        <v>1</v>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3" t="inlineStr">
        <is>
          <t>흥덕구청 뒷편
흥덕구청뒷편</t>
        </is>
      </c>
      <c r="I1941" s="5">
        <f>HYPERLINK("https://fin.land.naver.com/articles/2648141618", "매물Link")</f>
        <v/>
      </c>
      <c r="J1941" s="5">
        <f>HYPERLINK("https://map.naver.com/p/search/나성동 829", "지도Link")</f>
        <v/>
      </c>
      <c r="K1941" s="5">
        <f>HYPERLINK("http://www.eum.go.kr/web/ar/lu/luLandDet.jsp?pnu=3611010700108290000&amp;isNoScr=script&amp;mode=search", "토지이음")</f>
        <v/>
      </c>
      <c r="L1941" s="3" t="inlineStr">
        <is>
          <t>G세계로무소</t>
        </is>
      </c>
      <c r="M1941" s="3" t="n">
        <v>1</v>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3" t="inlineStr">
        <is>
          <t>nan</t>
        </is>
      </c>
      <c r="I1942" s="5">
        <f>HYPERLINK("https://fin.land.naver.com/articles/2648142756", "매물Link")</f>
        <v/>
      </c>
      <c r="J1942" s="5">
        <f>HYPERLINK("https://map.naver.com/p/search/나성동 829", "지도Link")</f>
        <v/>
      </c>
      <c r="K1942" s="5">
        <f>HYPERLINK("http://www.eum.go.kr/web/ar/lu/luLandDet.jsp?pnu=3611010700108290000&amp;isNoScr=script&amp;mode=search", "토지이음")</f>
        <v/>
      </c>
      <c r="L1942" s="3" t="inlineStr">
        <is>
          <t>G세계로무소</t>
        </is>
      </c>
      <c r="M1942" s="3" t="n">
        <v>1</v>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3" t="inlineStr">
        <is>
          <t>분할매매 가능</t>
        </is>
      </c>
      <c r="I1943" s="5">
        <f>HYPERLINK("https://fin.land.naver.com/articles/2648143265", "매물Link")</f>
        <v/>
      </c>
      <c r="J1943" s="5">
        <f>HYPERLINK("https://map.naver.com/p/search/나성동 829", "지도Link")</f>
        <v/>
      </c>
      <c r="K1943" s="5">
        <f>HYPERLINK("http://www.eum.go.kr/web/ar/lu/luLandDet.jsp?pnu=3611010700108290000&amp;isNoScr=script&amp;mode=search", "토지이음")</f>
        <v/>
      </c>
      <c r="L1943" s="3" t="inlineStr">
        <is>
          <t>G세계로무소</t>
        </is>
      </c>
      <c r="M1943" s="3" t="n">
        <v>1</v>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3" t="inlineStr">
        <is>
          <t>nan</t>
        </is>
      </c>
      <c r="I1944" s="5">
        <f>HYPERLINK("https://fin.land.naver.com/articles/2648143894", "매물Link")</f>
        <v/>
      </c>
      <c r="J1944" s="5">
        <f>HYPERLINK("https://map.naver.com/p/search/나성동 829", "지도Link")</f>
        <v/>
      </c>
      <c r="K1944" s="5">
        <f>HYPERLINK("http://www.eum.go.kr/web/ar/lu/luLandDet.jsp?pnu=3611010700108290000&amp;isNoScr=script&amp;mode=search", "토지이음")</f>
        <v/>
      </c>
      <c r="L1944" s="3" t="inlineStr">
        <is>
          <t>G세계로무소</t>
        </is>
      </c>
      <c r="M1944" s="3" t="n">
        <v>1</v>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3" t="inlineStr">
        <is>
          <t>nan</t>
        </is>
      </c>
      <c r="I1945" s="5">
        <f>HYPERLINK("https://fin.land.naver.com/articles/2648147142", "매물Link")</f>
        <v/>
      </c>
      <c r="J1945" s="5">
        <f>HYPERLINK("https://map.naver.com/p/search/나성동 829", "지도Link")</f>
        <v/>
      </c>
      <c r="K1945" s="5">
        <f>HYPERLINK("http://www.eum.go.kr/web/ar/lu/luLandDet.jsp?pnu=3611010700108290000&amp;isNoScr=script&amp;mode=search", "토지이음")</f>
        <v/>
      </c>
      <c r="L1945" s="3" t="inlineStr">
        <is>
          <t>G세계로무소</t>
        </is>
      </c>
      <c r="M1945" s="3" t="n">
        <v>1</v>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3" t="inlineStr">
        <is>
          <t>nan</t>
        </is>
      </c>
      <c r="I1946" s="5">
        <f>HYPERLINK("https://fin.land.naver.com/articles/2648148713", "매물Link")</f>
        <v/>
      </c>
      <c r="J1946" s="5">
        <f>HYPERLINK("https://map.naver.com/p/search/나성동 829", "지도Link")</f>
        <v/>
      </c>
      <c r="K1946" s="5">
        <f>HYPERLINK("http://www.eum.go.kr/web/ar/lu/luLandDet.jsp?pnu=3611010700108290000&amp;isNoScr=script&amp;mode=search", "토지이음")</f>
        <v/>
      </c>
      <c r="L1946" s="3" t="inlineStr">
        <is>
          <t>G세계로무소</t>
        </is>
      </c>
      <c r="M1946" s="3" t="n">
        <v>1</v>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3" t="inlineStr">
        <is>
          <t>생산녹지지역</t>
        </is>
      </c>
      <c r="I1947" s="5">
        <f>HYPERLINK("https://fin.land.naver.com/articles/2644278027", "매물Link")</f>
        <v/>
      </c>
      <c r="J1947" s="5">
        <f>HYPERLINK("https://map.naver.com/p/search/나성동 829", "지도Link")</f>
        <v/>
      </c>
      <c r="K1947" s="5">
        <f>HYPERLINK("http://www.eum.go.kr/web/ar/lu/luLandDet.jsp?pnu=3611010700108290000&amp;isNoScr=script&amp;mode=search", "토지이음")</f>
        <v/>
      </c>
      <c r="L1947" s="3" t="inlineStr">
        <is>
          <t>신나라</t>
        </is>
      </c>
      <c r="M1947" s="3" t="n">
        <v>1</v>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3" t="inlineStr">
        <is>
          <t>nan</t>
        </is>
      </c>
      <c r="I1948" s="5">
        <f>HYPERLINK("https://fin.land.naver.com/articles/2644177518", "매물Link")</f>
        <v/>
      </c>
      <c r="J1948" s="5">
        <f>HYPERLINK("https://map.naver.com/p/search/나성동 829", "지도Link")</f>
        <v/>
      </c>
      <c r="K1948" s="5">
        <f>HYPERLINK("http://www.eum.go.kr/web/ar/lu/luLandDet.jsp?pnu=3611010700108290000&amp;isNoScr=script&amp;mode=search", "토지이음")</f>
        <v/>
      </c>
      <c r="L1948" s="3" t="inlineStr">
        <is>
          <t>최프로</t>
        </is>
      </c>
      <c r="M1948" s="3" t="n">
        <v>1</v>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3" t="inlineStr">
        <is>
          <t>단독주택및 상가주택토지 저렴한 가격에 매매 기반시설모두 갖춘곳</t>
        </is>
      </c>
      <c r="I1949" s="5">
        <f>HYPERLINK("https://fin.land.naver.com/articles/2649493393", "매물Link")</f>
        <v/>
      </c>
      <c r="J1949" s="5">
        <f>HYPERLINK("https://map.naver.com/p/search/나성동 829", "지도Link")</f>
        <v/>
      </c>
      <c r="K1949" s="5">
        <f>HYPERLINK("http://www.eum.go.kr/web/ar/lu/luLandDet.jsp?pnu=3611010700108290000&amp;isNoScr=script&amp;mode=search", "토지이음")</f>
        <v/>
      </c>
      <c r="L1949" s="3" t="inlineStr">
        <is>
          <t>옥산리버자이</t>
        </is>
      </c>
      <c r="M1949" s="3" t="n">
        <v>1</v>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3" t="inlineStr">
        <is>
          <t>도로접.현재논농사중</t>
        </is>
      </c>
      <c r="I1950" s="5">
        <f>HYPERLINK("https://fin.land.naver.com/articles/2649042268", "매물Link")</f>
        <v/>
      </c>
      <c r="J1950" s="5">
        <f>HYPERLINK("https://map.naver.com/p/search/나성동 829", "지도Link")</f>
        <v/>
      </c>
      <c r="K1950" s="5">
        <f>HYPERLINK("http://www.eum.go.kr/web/ar/lu/luLandDet.jsp?pnu=3611010700108290000&amp;isNoScr=script&amp;mode=search", "토지이음")</f>
        <v/>
      </c>
      <c r="L1950" s="3" t="inlineStr">
        <is>
          <t>옥산제일사무소</t>
        </is>
      </c>
      <c r="M1950" s="3" t="n">
        <v>1</v>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3" t="inlineStr">
        <is>
          <t>옥산ic근접.사통팔달교통요지.생활체육관근처.</t>
        </is>
      </c>
      <c r="I1951" s="5">
        <f>HYPERLINK("https://fin.land.naver.com/articles/2647122565", "매물Link")</f>
        <v/>
      </c>
      <c r="J1951" s="5">
        <f>HYPERLINK("https://map.naver.com/p/search/나성동 829", "지도Link")</f>
        <v/>
      </c>
      <c r="K1951" s="5">
        <f>HYPERLINK("http://www.eum.go.kr/web/ar/lu/luLandDet.jsp?pnu=3611010700108290000&amp;isNoScr=script&amp;mode=search", "토지이음")</f>
        <v/>
      </c>
      <c r="L1951" s="3" t="inlineStr">
        <is>
          <t>옥산제일사무소</t>
        </is>
      </c>
      <c r="M1951" s="3" t="n">
        <v>1</v>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3" t="inlineStr">
        <is>
          <t>계획관리, 도로접성장관리계획구역</t>
        </is>
      </c>
      <c r="I1952" s="5">
        <f>HYPERLINK("https://fin.land.naver.com/articles/2649572717", "매물Link")</f>
        <v/>
      </c>
      <c r="J1952" s="5">
        <f>HYPERLINK("https://map.naver.com/p/search/나성동 829", "지도Link")</f>
        <v/>
      </c>
      <c r="K1952" s="5">
        <f>HYPERLINK("http://www.eum.go.kr/web/ar/lu/luLandDet.jsp?pnu=3611010700108290000&amp;isNoScr=script&amp;mode=search", "토지이음")</f>
        <v/>
      </c>
      <c r="L1952" s="3" t="inlineStr">
        <is>
          <t>두진하트</t>
        </is>
      </c>
      <c r="M1952" s="3" t="n">
        <v>1</v>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3" t="inlineStr">
        <is>
          <t>nan</t>
        </is>
      </c>
      <c r="I1953" s="5">
        <f>HYPERLINK("https://fin.land.naver.com/articles/2649726540", "매물Link")</f>
        <v/>
      </c>
      <c r="J1953" s="5">
        <f>HYPERLINK("https://map.naver.com/p/search/나성동 829", "지도Link")</f>
        <v/>
      </c>
      <c r="K1953" s="5">
        <f>HYPERLINK("http://www.eum.go.kr/web/ar/lu/luLandDet.jsp?pnu=3611010700108290000&amp;isNoScr=script&amp;mode=search", "토지이음")</f>
        <v/>
      </c>
      <c r="L1953" s="3" t="inlineStr">
        <is>
          <t>옥산제일사무소</t>
        </is>
      </c>
      <c r="M1953" s="3" t="n">
        <v>1</v>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3" t="inlineStr">
        <is>
          <t>옥산 리버파크자이 아파트 인근 앞마당 투자가치 높은 토지</t>
        </is>
      </c>
      <c r="I1954" s="5">
        <f>HYPERLINK("https://fin.land.naver.com/articles/2649795288", "매물Link")</f>
        <v/>
      </c>
      <c r="J1954" s="5">
        <f>HYPERLINK("https://map.naver.com/p/search/나성동 829", "지도Link")</f>
        <v/>
      </c>
      <c r="K1954" s="5">
        <f>HYPERLINK("http://www.eum.go.kr/web/ar/lu/luLandDet.jsp?pnu=3611010700108290000&amp;isNoScr=script&amp;mode=search", "토지이음")</f>
        <v/>
      </c>
      <c r="L1954" s="3" t="inlineStr">
        <is>
          <t>바로</t>
        </is>
      </c>
      <c r="M1954" s="3" t="n">
        <v>1</v>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3" t="inlineStr">
        <is>
          <t>맹지. 시내권 저렴한 임야</t>
        </is>
      </c>
      <c r="I1955" s="5">
        <f>HYPERLINK("https://fin.land.naver.com/articles/2649797556", "매물Link")</f>
        <v/>
      </c>
      <c r="J1955" s="5">
        <f>HYPERLINK("https://map.naver.com/p/search/나성동 829", "지도Link")</f>
        <v/>
      </c>
      <c r="K1955" s="5">
        <f>HYPERLINK("http://www.eum.go.kr/web/ar/lu/luLandDet.jsp?pnu=3611010700108290000&amp;isNoScr=script&amp;mode=search", "토지이음")</f>
        <v/>
      </c>
      <c r="L1955" s="3" t="inlineStr">
        <is>
          <t>바로</t>
        </is>
      </c>
      <c r="M1955" s="3" t="n">
        <v>1</v>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3" t="inlineStr">
        <is>
          <t>덕촌리전원주택지 저렴한 가격에 사정상 급매</t>
        </is>
      </c>
      <c r="I1956" s="5">
        <f>HYPERLINK("https://fin.land.naver.com/articles/2648877178", "매물Link")</f>
        <v/>
      </c>
      <c r="J1956" s="5">
        <f>HYPERLINK("https://map.naver.com/p/search/나성동 829", "지도Link")</f>
        <v/>
      </c>
      <c r="K1956" s="5">
        <f>HYPERLINK("http://www.eum.go.kr/web/ar/lu/luLandDet.jsp?pnu=3611010700108290000&amp;isNoScr=script&amp;mode=search", "토지이음")</f>
        <v/>
      </c>
      <c r="L1956" s="3" t="inlineStr">
        <is>
          <t>옥산리버자이</t>
        </is>
      </c>
      <c r="M1956" s="3" t="n">
        <v>1</v>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3" t="inlineStr">
        <is>
          <t>nan</t>
        </is>
      </c>
      <c r="I1957" s="5">
        <f>HYPERLINK("https://fin.land.naver.com/articles/2650163171", "매물Link")</f>
        <v/>
      </c>
      <c r="J1957" s="5">
        <f>HYPERLINK("https://map.naver.com/p/search/나성동 829", "지도Link")</f>
        <v/>
      </c>
      <c r="K1957" s="5">
        <f>HYPERLINK("http://www.eum.go.kr/web/ar/lu/luLandDet.jsp?pnu=3611010700108290000&amp;isNoScr=script&amp;mode=search", "토지이음")</f>
        <v/>
      </c>
      <c r="L1957" s="3" t="inlineStr">
        <is>
          <t>오송서한894</t>
        </is>
      </c>
      <c r="M1957" s="3" t="n">
        <v>1</v>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3" t="inlineStr">
        <is>
          <t>2차선도로접 생산관리지역 컨테이너 있고 전기들어옴</t>
        </is>
      </c>
      <c r="I1958" s="5">
        <f>HYPERLINK("https://fin.land.naver.com/articles/2648282479", "매물Link")</f>
        <v/>
      </c>
      <c r="J1958" s="5">
        <f>HYPERLINK("https://map.naver.com/p/search/나성동 829", "지도Link")</f>
        <v/>
      </c>
      <c r="K1958" s="5">
        <f>HYPERLINK("http://www.eum.go.kr/web/ar/lu/luLandDet.jsp?pnu=3611010700108290000&amp;isNoScr=script&amp;mode=search", "토지이음")</f>
        <v/>
      </c>
      <c r="L1958" s="3" t="inlineStr">
        <is>
          <t>더원</t>
        </is>
      </c>
      <c r="M1958" s="3" t="n">
        <v>2</v>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3" t="inlineStr">
        <is>
          <t>내수읍 은곡리 크라운빌 인근에 위치</t>
        </is>
      </c>
      <c r="I1959" s="5">
        <f>HYPERLINK("https://fin.land.naver.com/articles/2646867549", "매물Link")</f>
        <v/>
      </c>
      <c r="J1959" s="5">
        <f>HYPERLINK("https://map.naver.com/p/search/나성동 829", "지도Link")</f>
        <v/>
      </c>
      <c r="K1959" s="5">
        <f>HYPERLINK("http://www.eum.go.kr/web/ar/lu/luLandDet.jsp?pnu=3611010700108290000&amp;isNoScr=script&amp;mode=search", "토지이음")</f>
        <v/>
      </c>
      <c r="L1959" s="3" t="inlineStr">
        <is>
          <t>일조</t>
        </is>
      </c>
      <c r="M1959" s="3" t="n">
        <v>1</v>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3" t="inlineStr">
        <is>
          <t>초정세종스파 근처 밭 개발수익 기대됨 도로확장예정</t>
        </is>
      </c>
      <c r="I1960" s="5">
        <f>HYPERLINK("https://fin.land.naver.com/articles/2646794041", "매물Link")</f>
        <v/>
      </c>
      <c r="J1960" s="5">
        <f>HYPERLINK("https://map.naver.com/p/search/나성동 829", "지도Link")</f>
        <v/>
      </c>
      <c r="K1960" s="5">
        <f>HYPERLINK("http://www.eum.go.kr/web/ar/lu/luLandDet.jsp?pnu=3611010700108290000&amp;isNoScr=script&amp;mode=search", "토지이음")</f>
        <v/>
      </c>
      <c r="L1960" s="3" t="inlineStr">
        <is>
          <t>시티</t>
        </is>
      </c>
      <c r="M1960" s="3" t="n">
        <v>1</v>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3" t="inlineStr">
        <is>
          <t>마산리 위치 좋음 용도 다양</t>
        </is>
      </c>
      <c r="I1961" s="5">
        <f>HYPERLINK("https://fin.land.naver.com/articles/2646773745", "매물Link")</f>
        <v/>
      </c>
      <c r="J1961" s="5">
        <f>HYPERLINK("https://map.naver.com/p/search/나성동 829", "지도Link")</f>
        <v/>
      </c>
      <c r="K1961" s="5">
        <f>HYPERLINK("http://www.eum.go.kr/web/ar/lu/luLandDet.jsp?pnu=3611010700108290000&amp;isNoScr=script&amp;mode=search", "토지이음")</f>
        <v/>
      </c>
      <c r="L1961" s="3" t="inlineStr">
        <is>
          <t>시티</t>
        </is>
      </c>
      <c r="M1961" s="3" t="n">
        <v>1</v>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3" t="inlineStr">
        <is>
          <t>전원 주택,근생 허가 상왕동 냇물가인접지 용도다양 정남향가능</t>
        </is>
      </c>
      <c r="I1962" s="5">
        <f>HYPERLINK("https://fin.land.naver.com/articles/2647205349", "매물Link")</f>
        <v/>
      </c>
      <c r="J1962" s="5">
        <f>HYPERLINK("https://map.naver.com/p/search/나성동 829", "지도Link")</f>
        <v/>
      </c>
      <c r="K1962" s="5">
        <f>HYPERLINK("http://www.eum.go.kr/web/ar/lu/luLandDet.jsp?pnu=3611010700108290000&amp;isNoScr=script&amp;mode=search", "토지이음")</f>
        <v/>
      </c>
      <c r="L1962" s="3" t="inlineStr">
        <is>
          <t>태성</t>
        </is>
      </c>
      <c r="M1962" s="3" t="n">
        <v>1</v>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3" t="inlineStr">
        <is>
          <t>연접해서 1천평 가능,세종이마트 차량 20분거리 , 금강 150m거리</t>
        </is>
      </c>
      <c r="I1963" s="5">
        <f>HYPERLINK("https://fin.land.naver.com/articles/2648227916", "매물Link")</f>
        <v/>
      </c>
      <c r="J1963" s="5">
        <f>HYPERLINK("https://map.naver.com/p/search/나성동 829", "지도Link")</f>
        <v/>
      </c>
      <c r="K1963" s="5">
        <f>HYPERLINK("http://www.eum.go.kr/web/ar/lu/luLandDet.jsp?pnu=3611010700108290000&amp;isNoScr=script&amp;mode=search", "토지이음")</f>
        <v/>
      </c>
      <c r="L1963" s="3" t="inlineStr">
        <is>
          <t>새샘6단지</t>
        </is>
      </c>
      <c r="M1963" s="3" t="n">
        <v>1</v>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3" t="inlineStr">
        <is>
          <t>지목상 도로와 접해있지 않으나 차량 출입이 가능합니다.</t>
        </is>
      </c>
      <c r="I1964" s="5">
        <f>HYPERLINK("https://fin.land.naver.com/articles/2648364424", "매물Link")</f>
        <v/>
      </c>
      <c r="J1964" s="5">
        <f>HYPERLINK("https://map.naver.com/p/search/나성동 829", "지도Link")</f>
        <v/>
      </c>
      <c r="K1964" s="5">
        <f>HYPERLINK("http://www.eum.go.kr/web/ar/lu/luLandDet.jsp?pnu=3611010700108290000&amp;isNoScr=script&amp;mode=search", "토지이음")</f>
        <v/>
      </c>
      <c r="L1964" s="3" t="inlineStr">
        <is>
          <t>미당</t>
        </is>
      </c>
      <c r="M1964" s="3" t="n">
        <v>1</v>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3" t="inlineStr">
        <is>
          <t>nan</t>
        </is>
      </c>
      <c r="I1965" s="5">
        <f>HYPERLINK("https://fin.land.naver.com/articles/2645104811", "매물Link")</f>
        <v/>
      </c>
      <c r="J1965" s="5">
        <f>HYPERLINK("https://map.naver.com/p/search/나성동 829", "지도Link")</f>
        <v/>
      </c>
      <c r="K1965" s="5">
        <f>HYPERLINK("http://www.eum.go.kr/web/ar/lu/luLandDet.jsp?pnu=3611010700108290000&amp;isNoScr=script&amp;mode=search", "토지이음")</f>
        <v/>
      </c>
      <c r="L1965" s="3" t="inlineStr">
        <is>
          <t>명성</t>
        </is>
      </c>
      <c r="M1965" s="3" t="n">
        <v>1</v>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3" t="inlineStr">
        <is>
          <t>가격조정가,논산 공주간 도로 접,공주15거리</t>
        </is>
      </c>
      <c r="I1966" s="5">
        <f>HYPERLINK("https://fin.land.naver.com/articles/2646278866", "매물Link")</f>
        <v/>
      </c>
      <c r="J1966" s="5">
        <f>HYPERLINK("https://map.naver.com/p/search/나성동 829", "지도Link")</f>
        <v/>
      </c>
      <c r="K1966" s="5">
        <f>HYPERLINK("http://www.eum.go.kr/web/ar/lu/luLandDet.jsp?pnu=3611010700108290000&amp;isNoScr=script&amp;mode=search", "토지이음")</f>
        <v/>
      </c>
      <c r="L1966" s="3" t="inlineStr">
        <is>
          <t>물댄동산</t>
        </is>
      </c>
      <c r="M1966" s="3" t="n">
        <v>1</v>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3" t="inlineStr">
        <is>
          <t>가격조정가,공주논산간 국도접함, 식당, 편의점 가능</t>
        </is>
      </c>
      <c r="I1967" s="5">
        <f>HYPERLINK("https://fin.land.naver.com/articles/2646692412", "매물Link")</f>
        <v/>
      </c>
      <c r="J1967" s="5">
        <f>HYPERLINK("https://map.naver.com/p/search/나성동 829", "지도Link")</f>
        <v/>
      </c>
      <c r="K1967" s="5">
        <f>HYPERLINK("http://www.eum.go.kr/web/ar/lu/luLandDet.jsp?pnu=3611010700108290000&amp;isNoScr=script&amp;mode=search", "토지이음")</f>
        <v/>
      </c>
      <c r="L1967" s="3" t="inlineStr">
        <is>
          <t>물댄동산</t>
        </is>
      </c>
      <c r="M1967" s="3" t="n">
        <v>1</v>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3" t="inlineStr">
        <is>
          <t>지대가높아서 전으로사용가능함</t>
        </is>
      </c>
      <c r="I1968" s="5">
        <f>HYPERLINK("https://fin.land.naver.com/articles/2647017747", "매물Link")</f>
        <v/>
      </c>
      <c r="J1968" s="5">
        <f>HYPERLINK("https://map.naver.com/p/search/나성동 829", "지도Link")</f>
        <v/>
      </c>
      <c r="K1968" s="5">
        <f>HYPERLINK("http://www.eum.go.kr/web/ar/lu/luLandDet.jsp?pnu=3611010700108290000&amp;isNoScr=script&amp;mode=search", "토지이음")</f>
        <v/>
      </c>
      <c r="L1968" s="3" t="inlineStr">
        <is>
          <t>다정</t>
        </is>
      </c>
      <c r="M1968" s="3" t="n">
        <v>1</v>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3" t="inlineStr">
        <is>
          <t>nan</t>
        </is>
      </c>
      <c r="I1969" s="5">
        <f>HYPERLINK("https://fin.land.naver.com/articles/2646482057", "매물Link")</f>
        <v/>
      </c>
      <c r="J1969" s="5">
        <f>HYPERLINK("https://map.naver.com/p/search/나성동 829", "지도Link")</f>
        <v/>
      </c>
      <c r="K1969" s="5">
        <f>HYPERLINK("http://www.eum.go.kr/web/ar/lu/luLandDet.jsp?pnu=3611010700108290000&amp;isNoScr=script&amp;mode=search", "토지이음")</f>
        <v/>
      </c>
      <c r="L1969" s="3" t="inlineStr">
        <is>
          <t>대동</t>
        </is>
      </c>
      <c r="M1969" s="3" t="n">
        <v>1</v>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3" t="inlineStr">
        <is>
          <t>nan</t>
        </is>
      </c>
      <c r="I1970" s="5">
        <f>HYPERLINK("https://fin.land.naver.com/articles/2647119773", "매물Link")</f>
        <v/>
      </c>
      <c r="J1970" s="5">
        <f>HYPERLINK("https://map.naver.com/p/search/나성동 829", "지도Link")</f>
        <v/>
      </c>
      <c r="K1970" s="5">
        <f>HYPERLINK("http://www.eum.go.kr/web/ar/lu/luLandDet.jsp?pnu=3611010700108290000&amp;isNoScr=script&amp;mode=search", "토지이음")</f>
        <v/>
      </c>
      <c r="L1970" s="3" t="inlineStr">
        <is>
          <t>가온</t>
        </is>
      </c>
      <c r="M1970" s="3" t="n">
        <v>1</v>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3" t="inlineStr">
        <is>
          <t>세종시차량 25분,공주시내차량 15분거리로 생활권접근성 양호</t>
        </is>
      </c>
      <c r="I1971" s="5">
        <f>HYPERLINK("https://fin.land.naver.com/articles/2644971417", "매물Link")</f>
        <v/>
      </c>
      <c r="J1971" s="5">
        <f>HYPERLINK("https://map.naver.com/p/search/나성동 829", "지도Link")</f>
        <v/>
      </c>
      <c r="K1971" s="5">
        <f>HYPERLINK("http://www.eum.go.kr/web/ar/lu/luLandDet.jsp?pnu=3611010700108290000&amp;isNoScr=script&amp;mode=search", "토지이음")</f>
        <v/>
      </c>
      <c r="L1971" s="3" t="inlineStr">
        <is>
          <t>세종OK</t>
        </is>
      </c>
      <c r="M1971" s="3" t="n">
        <v>1</v>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3" t="inlineStr">
        <is>
          <t>공주논산간 국도변,비닐하우스 및 건조기,농막,관정</t>
        </is>
      </c>
      <c r="I1972" s="5">
        <f>HYPERLINK("https://fin.land.naver.com/articles/2648250816", "매물Link")</f>
        <v/>
      </c>
      <c r="J1972" s="5">
        <f>HYPERLINK("https://map.naver.com/p/search/나성동 829", "지도Link")</f>
        <v/>
      </c>
      <c r="K1972" s="5">
        <f>HYPERLINK("http://www.eum.go.kr/web/ar/lu/luLandDet.jsp?pnu=3611010700108290000&amp;isNoScr=script&amp;mode=search", "토지이음")</f>
        <v/>
      </c>
      <c r="L1972" s="3" t="inlineStr">
        <is>
          <t>물댄동산</t>
        </is>
      </c>
      <c r="M1972" s="3" t="n">
        <v>1</v>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3" t="inlineStr">
        <is>
          <t>nan</t>
        </is>
      </c>
      <c r="I1973" s="5">
        <f>HYPERLINK("https://fin.land.naver.com/articles/2645601256", "매물Link")</f>
        <v/>
      </c>
      <c r="J1973" s="5">
        <f>HYPERLINK("https://map.naver.com/p/search/나성동 829", "지도Link")</f>
        <v/>
      </c>
      <c r="K1973" s="5">
        <f>HYPERLINK("http://www.eum.go.kr/web/ar/lu/luLandDet.jsp?pnu=3611010700108290000&amp;isNoScr=script&amp;mode=search", "토지이음")</f>
        <v/>
      </c>
      <c r="L1973" s="3" t="inlineStr">
        <is>
          <t>대동</t>
        </is>
      </c>
      <c r="M1973" s="3" t="n">
        <v>1</v>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3" t="inlineStr">
        <is>
          <t>nan</t>
        </is>
      </c>
      <c r="I1974" s="5">
        <f>HYPERLINK("https://fin.land.naver.com/articles/2646619987", "매물Link")</f>
        <v/>
      </c>
      <c r="J1974" s="5">
        <f>HYPERLINK("https://map.naver.com/p/search/나성동 829", "지도Link")</f>
        <v/>
      </c>
      <c r="K1974" s="5">
        <f>HYPERLINK("http://www.eum.go.kr/web/ar/lu/luLandDet.jsp?pnu=3611010700108290000&amp;isNoScr=script&amp;mode=search", "토지이음")</f>
        <v/>
      </c>
      <c r="L1974" s="3" t="inlineStr">
        <is>
          <t>거성  사무소</t>
        </is>
      </c>
      <c r="M1974" s="3" t="n">
        <v>1</v>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3" t="inlineStr">
        <is>
          <t>nan</t>
        </is>
      </c>
      <c r="I1975" s="5">
        <f>HYPERLINK("https://fin.land.naver.com/articles/2646831543", "매물Link")</f>
        <v/>
      </c>
      <c r="J1975" s="5">
        <f>HYPERLINK("https://map.naver.com/p/search/나성동 829", "지도Link")</f>
        <v/>
      </c>
      <c r="K1975" s="5">
        <f>HYPERLINK("http://www.eum.go.kr/web/ar/lu/luLandDet.jsp?pnu=3611010700108290000&amp;isNoScr=script&amp;mode=search", "토지이음")</f>
        <v/>
      </c>
      <c r="L1975" s="3" t="inlineStr">
        <is>
          <t>대복</t>
        </is>
      </c>
      <c r="M1975" s="3" t="n">
        <v>1</v>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3" t="inlineStr">
        <is>
          <t>nan</t>
        </is>
      </c>
      <c r="I1976" s="5">
        <f>HYPERLINK("https://fin.land.naver.com/articles/2649184740", "매물Link")</f>
        <v/>
      </c>
      <c r="J1976" s="5">
        <f>HYPERLINK("https://map.naver.com/p/search/나성동 829", "지도Link")</f>
        <v/>
      </c>
      <c r="K1976" s="5">
        <f>HYPERLINK("http://www.eum.go.kr/web/ar/lu/luLandDet.jsp?pnu=3611010700108290000&amp;isNoScr=script&amp;mode=search", "토지이음")</f>
        <v/>
      </c>
      <c r="L1976" s="3" t="inlineStr">
        <is>
          <t>나래</t>
        </is>
      </c>
      <c r="M1976" s="3" t="n">
        <v>1</v>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3" t="inlineStr">
        <is>
          <t>nan</t>
        </is>
      </c>
      <c r="I1977" s="5">
        <f>HYPERLINK("https://fin.land.naver.com/articles/2645601118", "매물Link")</f>
        <v/>
      </c>
      <c r="J1977" s="5">
        <f>HYPERLINK("https://map.naver.com/p/search/나성동 829", "지도Link")</f>
        <v/>
      </c>
      <c r="K1977" s="5">
        <f>HYPERLINK("http://www.eum.go.kr/web/ar/lu/luLandDet.jsp?pnu=3611010700108290000&amp;isNoScr=script&amp;mode=search", "토지이음")</f>
        <v/>
      </c>
      <c r="L1977" s="3" t="inlineStr">
        <is>
          <t>대동</t>
        </is>
      </c>
      <c r="M1977" s="3" t="n">
        <v>1</v>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3" t="inlineStr">
        <is>
          <t>왕복 4차선 휴게소(가든,주유소,등) 앞,싸게나옴</t>
        </is>
      </c>
      <c r="I1978" s="5">
        <f>HYPERLINK("https://fin.land.naver.com/articles/2647177920", "매물Link")</f>
        <v/>
      </c>
      <c r="J1978" s="5">
        <f>HYPERLINK("https://map.naver.com/p/search/나성동 829", "지도Link")</f>
        <v/>
      </c>
      <c r="K1978" s="5">
        <f>HYPERLINK("http://www.eum.go.kr/web/ar/lu/luLandDet.jsp?pnu=3611010700108290000&amp;isNoScr=script&amp;mode=search", "토지이음")</f>
        <v/>
      </c>
      <c r="L1978" s="3" t="inlineStr">
        <is>
          <t>진솔한</t>
        </is>
      </c>
      <c r="M1978" s="3" t="n">
        <v>1</v>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3" t="inlineStr">
        <is>
          <t>작은목골길에 접함, 구옥 있음, 공주시내에서 10분이내</t>
        </is>
      </c>
      <c r="I1979" s="5">
        <f>HYPERLINK("https://fin.land.naver.com/articles/2646278906", "매물Link")</f>
        <v/>
      </c>
      <c r="J1979" s="5">
        <f>HYPERLINK("https://map.naver.com/p/search/나성동 829", "지도Link")</f>
        <v/>
      </c>
      <c r="K1979" s="5">
        <f>HYPERLINK("http://www.eum.go.kr/web/ar/lu/luLandDet.jsp?pnu=3611010700108290000&amp;isNoScr=script&amp;mode=search", "토지이음")</f>
        <v/>
      </c>
      <c r="L1979" s="3" t="inlineStr">
        <is>
          <t>물댄동산</t>
        </is>
      </c>
      <c r="M1979" s="3" t="n">
        <v>1</v>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3" t="inlineStr">
        <is>
          <t>요양병원 적지</t>
        </is>
      </c>
      <c r="I1980" s="5">
        <f>HYPERLINK("https://fin.land.naver.com/articles/2645145071", "매물Link")</f>
        <v/>
      </c>
      <c r="J1980" s="5">
        <f>HYPERLINK("https://map.naver.com/p/search/나성동 829", "지도Link")</f>
        <v/>
      </c>
      <c r="K1980" s="5">
        <f>HYPERLINK("http://www.eum.go.kr/web/ar/lu/luLandDet.jsp?pnu=3611010700108290000&amp;isNoScr=script&amp;mode=search", "토지이음")</f>
        <v/>
      </c>
      <c r="L1980" s="3" t="inlineStr">
        <is>
          <t>쌍둥이</t>
        </is>
      </c>
      <c r="M1980" s="3" t="n">
        <v>1</v>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3" t="inlineStr">
        <is>
          <t>세종시인근 무릉동 전원주택지</t>
        </is>
      </c>
      <c r="I1981" s="5">
        <f>HYPERLINK("https://fin.land.naver.com/articles/2649884293", "매물Link")</f>
        <v/>
      </c>
      <c r="J1981" s="5">
        <f>HYPERLINK("https://map.naver.com/p/search/나성동 829", "지도Link")</f>
        <v/>
      </c>
      <c r="K1981" s="5">
        <f>HYPERLINK("http://www.eum.go.kr/web/ar/lu/luLandDet.jsp?pnu=3611010700108290000&amp;isNoScr=script&amp;mode=search", "토지이음")</f>
        <v/>
      </c>
      <c r="L1981" s="3" t="inlineStr">
        <is>
          <t>그린</t>
        </is>
      </c>
      <c r="M1981" s="3" t="n">
        <v>1</v>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3" t="inlineStr">
        <is>
          <t>nan</t>
        </is>
      </c>
      <c r="I1982" s="5">
        <f>HYPERLINK("https://fin.land.naver.com/articles/2648664129", "매물Link")</f>
        <v/>
      </c>
      <c r="J1982" s="5">
        <f>HYPERLINK("https://map.naver.com/p/search/나성동 829", "지도Link")</f>
        <v/>
      </c>
      <c r="K1982" s="5">
        <f>HYPERLINK("http://www.eum.go.kr/web/ar/lu/luLandDet.jsp?pnu=3611010700108290000&amp;isNoScr=script&amp;mode=search", "토지이음")</f>
        <v/>
      </c>
      <c r="L1982" s="3" t="inlineStr">
        <is>
          <t>양지컨설팅</t>
        </is>
      </c>
      <c r="M1982" s="3" t="n">
        <v>1</v>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3" t="inlineStr">
        <is>
          <t>공주시 쌍신동,신관동 토지매매,농지매매</t>
        </is>
      </c>
      <c r="I1983" s="5">
        <f>HYPERLINK("https://fin.land.naver.com/articles/2649720128", "매물Link")</f>
        <v/>
      </c>
      <c r="J1983" s="5">
        <f>HYPERLINK("https://map.naver.com/p/search/나성동 829", "지도Link")</f>
        <v/>
      </c>
      <c r="K1983" s="5">
        <f>HYPERLINK("http://www.eum.go.kr/web/ar/lu/luLandDet.jsp?pnu=3611010700108290000&amp;isNoScr=script&amp;mode=search", "토지이음")</f>
        <v/>
      </c>
      <c r="L1983" s="3" t="inlineStr">
        <is>
          <t>가가</t>
        </is>
      </c>
      <c r="M1983" s="3" t="n">
        <v>1</v>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3" t="inlineStr">
        <is>
          <t>왕복 4차선의 도로애 접한 토지</t>
        </is>
      </c>
      <c r="I1984" s="5">
        <f>HYPERLINK("https://fin.land.naver.com/articles/2647109722", "매물Link")</f>
        <v/>
      </c>
      <c r="J1984" s="5">
        <f>HYPERLINK("https://map.naver.com/p/search/나성동 829", "지도Link")</f>
        <v/>
      </c>
      <c r="K1984" s="5">
        <f>HYPERLINK("http://www.eum.go.kr/web/ar/lu/luLandDet.jsp?pnu=3611010700108290000&amp;isNoScr=script&amp;mode=search", "토지이음")</f>
        <v/>
      </c>
      <c r="L1984" s="3" t="inlineStr">
        <is>
          <t>도안7단지 예미지</t>
        </is>
      </c>
      <c r="M1984" s="3" t="n">
        <v>1</v>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3" t="inlineStr">
        <is>
          <t>nan</t>
        </is>
      </c>
      <c r="I1985" s="5">
        <f>HYPERLINK("https://fin.land.naver.com/articles/2647298361", "매물Link")</f>
        <v/>
      </c>
      <c r="J1985" s="5">
        <f>HYPERLINK("https://map.naver.com/p/search/나성동 829", "지도Link")</f>
        <v/>
      </c>
      <c r="K1985" s="5">
        <f>HYPERLINK("http://www.eum.go.kr/web/ar/lu/luLandDet.jsp?pnu=3611010700108290000&amp;isNoScr=script&amp;mode=search", "토지이음")</f>
        <v/>
      </c>
      <c r="L1985" s="3" t="inlineStr">
        <is>
          <t>새한</t>
        </is>
      </c>
      <c r="M1985" s="3" t="n">
        <v>1</v>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3" t="inlineStr">
        <is>
          <t>nan</t>
        </is>
      </c>
      <c r="I1986" s="5">
        <f>HYPERLINK("https://fin.land.naver.com/articles/2647535801", "매물Link")</f>
        <v/>
      </c>
      <c r="J1986" s="5">
        <f>HYPERLINK("https://map.naver.com/p/search/나성동 829", "지도Link")</f>
        <v/>
      </c>
      <c r="K1986" s="5">
        <f>HYPERLINK("http://www.eum.go.kr/web/ar/lu/luLandDet.jsp?pnu=3611010700108290000&amp;isNoScr=script&amp;mode=search", "토지이음")</f>
        <v/>
      </c>
      <c r="L1986" s="3" t="inlineStr">
        <is>
          <t>새한</t>
        </is>
      </c>
      <c r="M1986" s="3" t="n">
        <v>1</v>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3" t="inlineStr">
        <is>
          <t>nan</t>
        </is>
      </c>
      <c r="I1987" s="5">
        <f>HYPERLINK("https://fin.land.naver.com/articles/2647536721", "매물Link")</f>
        <v/>
      </c>
      <c r="J1987" s="5">
        <f>HYPERLINK("https://map.naver.com/p/search/나성동 829", "지도Link")</f>
        <v/>
      </c>
      <c r="K1987" s="5">
        <f>HYPERLINK("http://www.eum.go.kr/web/ar/lu/luLandDet.jsp?pnu=3611010700108290000&amp;isNoScr=script&amp;mode=search", "토지이음")</f>
        <v/>
      </c>
      <c r="L1987" s="3" t="inlineStr">
        <is>
          <t>새한</t>
        </is>
      </c>
      <c r="M1987" s="3" t="n">
        <v>1</v>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3" t="inlineStr">
        <is>
          <t>공주법원뒤 단독주택 부지로 2종일반주거지역이며 상가주택용
토지매매</t>
        </is>
      </c>
      <c r="I1988" s="5">
        <f>HYPERLINK("https://fin.land.naver.com/articles/2650203556", "매물Link")</f>
        <v/>
      </c>
      <c r="J1988" s="5">
        <f>HYPERLINK("https://map.naver.com/p/search/나성동 829", "지도Link")</f>
        <v/>
      </c>
      <c r="K1988" s="5">
        <f>HYPERLINK("http://www.eum.go.kr/web/ar/lu/luLandDet.jsp?pnu=3611010700108290000&amp;isNoScr=script&amp;mode=search", "토지이음")</f>
        <v/>
      </c>
      <c r="L1988" s="3" t="inlineStr">
        <is>
          <t>세종공주노심종사무소</t>
        </is>
      </c>
      <c r="M1988" s="3" t="n">
        <v>1</v>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3" t="inlineStr">
        <is>
          <t>공주시 금흥동 6차선변 사거리코너 대지 매매</t>
        </is>
      </c>
      <c r="I1989" s="5">
        <f>HYPERLINK("https://fin.land.naver.com/articles/2650203728", "매물Link")</f>
        <v/>
      </c>
      <c r="J1989" s="5">
        <f>HYPERLINK("https://map.naver.com/p/search/나성동 829", "지도Link")</f>
        <v/>
      </c>
      <c r="K1989" s="5">
        <f>HYPERLINK("http://www.eum.go.kr/web/ar/lu/luLandDet.jsp?pnu=3611010700108290000&amp;isNoScr=script&amp;mode=search", "토지이음")</f>
        <v/>
      </c>
      <c r="L1989" s="3" t="inlineStr">
        <is>
          <t>세종공주노심종사무소</t>
        </is>
      </c>
      <c r="M1989" s="3" t="n">
        <v>1</v>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3" t="inlineStr">
        <is>
          <t>공주 법원 검찰청과 아파트 단지 바로 옆에있는 대로변에 접한 
토지매매</t>
        </is>
      </c>
      <c r="I1990" s="5">
        <f>HYPERLINK("https://fin.land.naver.com/articles/2650203827", "매물Link")</f>
        <v/>
      </c>
      <c r="J1990" s="5">
        <f>HYPERLINK("https://map.naver.com/p/search/나성동 829", "지도Link")</f>
        <v/>
      </c>
      <c r="K1990" s="5">
        <f>HYPERLINK("http://www.eum.go.kr/web/ar/lu/luLandDet.jsp?pnu=3611010700108290000&amp;isNoScr=script&amp;mode=search", "토지이음")</f>
        <v/>
      </c>
      <c r="L1990" s="3" t="inlineStr">
        <is>
          <t>세종공주노심종사무소</t>
        </is>
      </c>
      <c r="M1990" s="3" t="n">
        <v>2</v>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3" t="inlineStr">
        <is>
          <t>nan</t>
        </is>
      </c>
      <c r="I1991" s="5">
        <f>HYPERLINK("https://fin.land.naver.com/articles/2649845344", "매물Link")</f>
        <v/>
      </c>
      <c r="J1991" s="5">
        <f>HYPERLINK("https://map.naver.com/p/search/나성동 829", "지도Link")</f>
        <v/>
      </c>
      <c r="K1991" s="5">
        <f>HYPERLINK("http://www.eum.go.kr/web/ar/lu/luLandDet.jsp?pnu=3611010700108290000&amp;isNoScr=script&amp;mode=search", "토지이음")</f>
        <v/>
      </c>
      <c r="L1991" s="3" t="inlineStr">
        <is>
          <t>스마트 사무소</t>
        </is>
      </c>
      <c r="M1991" s="3" t="n">
        <v>2</v>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3" t="inlineStr">
        <is>
          <t>분할매매가능합니다.</t>
        </is>
      </c>
      <c r="I1992" s="5">
        <f>HYPERLINK("https://fin.land.naver.com/articles/2645600743", "매물Link")</f>
        <v/>
      </c>
      <c r="J1992" s="5">
        <f>HYPERLINK("https://map.naver.com/p/search/나성동 829", "지도Link")</f>
        <v/>
      </c>
      <c r="K1992" s="5">
        <f>HYPERLINK("http://www.eum.go.kr/web/ar/lu/luLandDet.jsp?pnu=3611010700108290000&amp;isNoScr=script&amp;mode=search", "토지이음")</f>
        <v/>
      </c>
      <c r="L1992" s="3" t="inlineStr">
        <is>
          <t>대동</t>
        </is>
      </c>
      <c r="M1992" s="3" t="n">
        <v>1</v>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3" t="inlineStr">
        <is>
          <t>nan</t>
        </is>
      </c>
      <c r="I1993" s="5">
        <f>HYPERLINK("https://fin.land.naver.com/articles/2647295220", "매물Link")</f>
        <v/>
      </c>
      <c r="J1993" s="5">
        <f>HYPERLINK("https://map.naver.com/p/search/나성동 829", "지도Link")</f>
        <v/>
      </c>
      <c r="K1993" s="5">
        <f>HYPERLINK("http://www.eum.go.kr/web/ar/lu/luLandDet.jsp?pnu=3611010700108290000&amp;isNoScr=script&amp;mode=search", "토지이음")</f>
        <v/>
      </c>
      <c r="L1993" s="3" t="inlineStr">
        <is>
          <t>새한</t>
        </is>
      </c>
      <c r="M1993" s="3" t="n">
        <v>1</v>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3" t="inlineStr">
        <is>
          <t>nan</t>
        </is>
      </c>
      <c r="I1994" s="5">
        <f>HYPERLINK("https://fin.land.naver.com/articles/2647534009", "매물Link")</f>
        <v/>
      </c>
      <c r="J1994" s="5">
        <f>HYPERLINK("https://map.naver.com/p/search/나성동 829", "지도Link")</f>
        <v/>
      </c>
      <c r="K1994" s="5">
        <f>HYPERLINK("http://www.eum.go.kr/web/ar/lu/luLandDet.jsp?pnu=3611010700108290000&amp;isNoScr=script&amp;mode=search", "토지이음")</f>
        <v/>
      </c>
      <c r="L1994" s="3" t="inlineStr">
        <is>
          <t>새한</t>
        </is>
      </c>
      <c r="M1994" s="3" t="n">
        <v>1</v>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3" t="inlineStr">
        <is>
          <t>지목이 대지인바 농지전용부담금  불필요</t>
        </is>
      </c>
      <c r="I1995" s="5">
        <f>HYPERLINK("https://fin.land.naver.com/articles/2648112407", "매물Link")</f>
        <v/>
      </c>
      <c r="J1995" s="5">
        <f>HYPERLINK("https://map.naver.com/p/search/나성동 829", "지도Link")</f>
        <v/>
      </c>
      <c r="K1995" s="5">
        <f>HYPERLINK("http://www.eum.go.kr/web/ar/lu/luLandDet.jsp?pnu=3611010700108290000&amp;isNoScr=script&amp;mode=search", "토지이음")</f>
        <v/>
      </c>
      <c r="L1995" s="3" t="inlineStr">
        <is>
          <t>마당발</t>
        </is>
      </c>
      <c r="M1995" s="3" t="n">
        <v>1</v>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3" t="inlineStr">
        <is>
          <t>nan</t>
        </is>
      </c>
      <c r="I1996" s="5">
        <f>HYPERLINK("https://fin.land.naver.com/articles/2648119533", "매물Link")</f>
        <v/>
      </c>
      <c r="J1996" s="5">
        <f>HYPERLINK("https://map.naver.com/p/search/나성동 829", "지도Link")</f>
        <v/>
      </c>
      <c r="K1996" s="5">
        <f>HYPERLINK("http://www.eum.go.kr/web/ar/lu/luLandDet.jsp?pnu=3611010700108290000&amp;isNoScr=script&amp;mode=search", "토지이음")</f>
        <v/>
      </c>
      <c r="L1996" s="3" t="inlineStr">
        <is>
          <t>새한</t>
        </is>
      </c>
      <c r="M1996" s="3" t="n">
        <v>1</v>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3" t="inlineStr">
        <is>
          <t>nan</t>
        </is>
      </c>
      <c r="I1997" s="5">
        <f>HYPERLINK("https://fin.land.naver.com/articles/2647436395", "매물Link")</f>
        <v/>
      </c>
      <c r="J1997" s="5">
        <f>HYPERLINK("https://map.naver.com/p/search/나성동 829", "지도Link")</f>
        <v/>
      </c>
      <c r="K1997" s="5">
        <f>HYPERLINK("http://www.eum.go.kr/web/ar/lu/luLandDet.jsp?pnu=3611010700108290000&amp;isNoScr=script&amp;mode=search", "토지이음")</f>
        <v/>
      </c>
      <c r="L1997" s="3" t="inlineStr">
        <is>
          <t>삼하</t>
        </is>
      </c>
      <c r="M1997" s="3" t="n">
        <v>1</v>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3" t="inlineStr">
        <is>
          <t>도로접함, 계획관리지역, 하천이 있어서 전원주택지로 좋음</t>
        </is>
      </c>
      <c r="I1998" s="5">
        <f>HYPERLINK("https://fin.land.naver.com/articles/2647718836", "매물Link")</f>
        <v/>
      </c>
      <c r="J1998" s="5">
        <f>HYPERLINK("https://map.naver.com/p/search/나성동 829", "지도Link")</f>
        <v/>
      </c>
      <c r="K1998" s="5">
        <f>HYPERLINK("http://www.eum.go.kr/web/ar/lu/luLandDet.jsp?pnu=3611010700108290000&amp;isNoScr=script&amp;mode=search", "토지이음")</f>
        <v/>
      </c>
      <c r="L1998" s="3" t="inlineStr">
        <is>
          <t>대방탑</t>
        </is>
      </c>
      <c r="M1998" s="3" t="n">
        <v>1</v>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3" t="inlineStr">
        <is>
          <t>nan</t>
        </is>
      </c>
      <c r="I1999" s="5">
        <f>HYPERLINK("https://fin.land.naver.com/articles/2647120174", "매물Link")</f>
        <v/>
      </c>
      <c r="J1999" s="5">
        <f>HYPERLINK("https://map.naver.com/p/search/나성동 829", "지도Link")</f>
        <v/>
      </c>
      <c r="K1999" s="5">
        <f>HYPERLINK("http://www.eum.go.kr/web/ar/lu/luLandDet.jsp?pnu=3611010700108290000&amp;isNoScr=script&amp;mode=search", "토지이음")</f>
        <v/>
      </c>
      <c r="L1999" s="3" t="inlineStr">
        <is>
          <t>가온</t>
        </is>
      </c>
      <c r="M1999" s="3" t="n">
        <v>2</v>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3" t="inlineStr">
        <is>
          <t>nan</t>
        </is>
      </c>
      <c r="I2000" s="5">
        <f>HYPERLINK("https://fin.land.naver.com/articles/2645947773", "매물Link")</f>
        <v/>
      </c>
      <c r="J2000" s="5">
        <f>HYPERLINK("https://map.naver.com/p/search/나성동 829", "지도Link")</f>
        <v/>
      </c>
      <c r="K2000" s="5">
        <f>HYPERLINK("http://www.eum.go.kr/web/ar/lu/luLandDet.jsp?pnu=3611010700108290000&amp;isNoScr=script&amp;mode=search", "토지이음")</f>
        <v/>
      </c>
      <c r="L2000" s="3" t="inlineStr">
        <is>
          <t>가온</t>
        </is>
      </c>
      <c r="M2000" s="3" t="n">
        <v>1</v>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3" t="inlineStr">
        <is>
          <t>도시지역,자연녹지지역</t>
        </is>
      </c>
      <c r="I2001" s="5">
        <f>HYPERLINK("https://fin.land.naver.com/articles/2650204729", "매물Link")</f>
        <v/>
      </c>
      <c r="J2001" s="5">
        <f>HYPERLINK("https://map.naver.com/p/search/나성동 829", "지도Link")</f>
        <v/>
      </c>
      <c r="K2001" s="5">
        <f>HYPERLINK("http://www.eum.go.kr/web/ar/lu/luLandDet.jsp?pnu=3611010700108290000&amp;isNoScr=script&amp;mode=search", "토지이음")</f>
        <v/>
      </c>
      <c r="L2001" s="3" t="inlineStr">
        <is>
          <t>세종힐데스</t>
        </is>
      </c>
      <c r="M2001" s="3" t="n">
        <v>1</v>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3" t="inlineStr">
        <is>
          <t>공주시내권 외지인마을이 만들어지는곳에 자리한 정남향의 전원주택지</t>
        </is>
      </c>
      <c r="I2002" s="5">
        <f>HYPERLINK("https://fin.land.naver.com/articles/2649836360", "매물Link")</f>
        <v/>
      </c>
      <c r="J2002" s="5">
        <f>HYPERLINK("https://map.naver.com/p/search/나성동 829", "지도Link")</f>
        <v/>
      </c>
      <c r="K2002" s="5">
        <f>HYPERLINK("http://www.eum.go.kr/web/ar/lu/luLandDet.jsp?pnu=3611010700108290000&amp;isNoScr=script&amp;mode=search", "토지이음")</f>
        <v/>
      </c>
      <c r="L2002" s="3" t="inlineStr">
        <is>
          <t>흙사랑</t>
        </is>
      </c>
      <c r="M2002" s="3" t="n">
        <v>1</v>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3" t="inlineStr">
        <is>
          <t>nan</t>
        </is>
      </c>
      <c r="I2003" s="5">
        <f>HYPERLINK("https://fin.land.naver.com/articles/2647115384", "매물Link")</f>
        <v/>
      </c>
      <c r="J2003" s="5">
        <f>HYPERLINK("https://map.naver.com/p/search/나성동 829", "지도Link")</f>
        <v/>
      </c>
      <c r="K2003" s="5">
        <f>HYPERLINK("http://www.eum.go.kr/web/ar/lu/luLandDet.jsp?pnu=3611010700108290000&amp;isNoScr=script&amp;mode=search", "토지이음")</f>
        <v/>
      </c>
      <c r="L2003" s="3" t="inlineStr">
        <is>
          <t>삼성사무소</t>
        </is>
      </c>
      <c r="M2003" s="3" t="n">
        <v>1</v>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3" t="inlineStr">
        <is>
          <t>nan</t>
        </is>
      </c>
      <c r="I2004" s="5">
        <f>HYPERLINK("https://fin.land.naver.com/articles/2647309628", "매물Link")</f>
        <v/>
      </c>
      <c r="J2004" s="5">
        <f>HYPERLINK("https://map.naver.com/p/search/나성동 829", "지도Link")</f>
        <v/>
      </c>
      <c r="K2004" s="5">
        <f>HYPERLINK("http://www.eum.go.kr/web/ar/lu/luLandDet.jsp?pnu=3611010700108290000&amp;isNoScr=script&amp;mode=search", "토지이음")</f>
        <v/>
      </c>
      <c r="L2004" s="3" t="inlineStr">
        <is>
          <t>황금</t>
        </is>
      </c>
      <c r="M2004" s="3" t="n">
        <v>1</v>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3" t="inlineStr">
        <is>
          <t>체류형쉼터</t>
        </is>
      </c>
      <c r="I2005" s="5">
        <f>HYPERLINK("https://fin.land.naver.com/articles/2647439239", "매물Link")</f>
        <v/>
      </c>
      <c r="J2005" s="5">
        <f>HYPERLINK("https://map.naver.com/p/search/나성동 829", "지도Link")</f>
        <v/>
      </c>
      <c r="K2005" s="5">
        <f>HYPERLINK("http://www.eum.go.kr/web/ar/lu/luLandDet.jsp?pnu=3611010700108290000&amp;isNoScr=script&amp;mode=search", "토지이음")</f>
        <v/>
      </c>
      <c r="L2005" s="3" t="inlineStr">
        <is>
          <t>내수정보</t>
        </is>
      </c>
      <c r="M2005" s="3" t="n">
        <v>1</v>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3" t="inlineStr">
        <is>
          <t>경지정리된 논</t>
        </is>
      </c>
      <c r="I2006" s="5">
        <f>HYPERLINK("https://fin.land.naver.com/articles/2647715691", "매물Link")</f>
        <v/>
      </c>
      <c r="J2006" s="5">
        <f>HYPERLINK("https://map.naver.com/p/search/나성동 829", "지도Link")</f>
        <v/>
      </c>
      <c r="K2006" s="5">
        <f>HYPERLINK("http://www.eum.go.kr/web/ar/lu/luLandDet.jsp?pnu=3611010700108290000&amp;isNoScr=script&amp;mode=search", "토지이음")</f>
        <v/>
      </c>
      <c r="L2006" s="3" t="inlineStr">
        <is>
          <t>한우리</t>
        </is>
      </c>
      <c r="M2006" s="3" t="n">
        <v>1</v>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3" t="inlineStr">
        <is>
          <t>계획관리 지역 마을내 농지로 주택 내지 체류형 쉄터로 적합</t>
        </is>
      </c>
      <c r="I2007" s="5">
        <f>HYPERLINK("https://fin.land.naver.com/articles/2647826918", "매물Link")</f>
        <v/>
      </c>
      <c r="J2007" s="5">
        <f>HYPERLINK("https://map.naver.com/p/search/나성동 829", "지도Link")</f>
        <v/>
      </c>
      <c r="K2007" s="5">
        <f>HYPERLINK("http://www.eum.go.kr/web/ar/lu/luLandDet.jsp?pnu=3611010700108290000&amp;isNoScr=script&amp;mode=search", "토지이음")</f>
        <v/>
      </c>
      <c r="L2007" s="3" t="inlineStr">
        <is>
          <t>아트에비뉴</t>
        </is>
      </c>
      <c r="M2007" s="3" t="n">
        <v>1</v>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3" t="inlineStr">
        <is>
          <t>토성리 계획관리 전원주택지 주말농장</t>
        </is>
      </c>
      <c r="I2008" s="5">
        <f>HYPERLINK("https://fin.land.naver.com/articles/2647920306", "매물Link")</f>
        <v/>
      </c>
      <c r="J2008" s="5">
        <f>HYPERLINK("https://map.naver.com/p/search/나성동 829", "지도Link")</f>
        <v/>
      </c>
      <c r="K2008" s="5">
        <f>HYPERLINK("http://www.eum.go.kr/web/ar/lu/luLandDet.jsp?pnu=3611010700108290000&amp;isNoScr=script&amp;mode=search", "토지이음")</f>
        <v/>
      </c>
      <c r="L2008" s="3" t="inlineStr">
        <is>
          <t>명문</t>
        </is>
      </c>
      <c r="M2008" s="3" t="n">
        <v>1</v>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3" t="inlineStr">
        <is>
          <t>청주국제공항과 대형 산업단지의 중심</t>
        </is>
      </c>
      <c r="I2009" s="5">
        <f>HYPERLINK("https://fin.land.naver.com/articles/2648270530", "매물Link")</f>
        <v/>
      </c>
      <c r="J2009" s="5">
        <f>HYPERLINK("https://map.naver.com/p/search/나성동 829", "지도Link")</f>
        <v/>
      </c>
      <c r="K2009" s="5">
        <f>HYPERLINK("http://www.eum.go.kr/web/ar/lu/luLandDet.jsp?pnu=3611010700108290000&amp;isNoScr=script&amp;mode=search", "토지이음")</f>
        <v/>
      </c>
      <c r="L2009" s="3" t="inlineStr">
        <is>
          <t>신영</t>
        </is>
      </c>
      <c r="M2009" s="3" t="n">
        <v>1</v>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3" t="inlineStr">
        <is>
          <t>증평IC에서 약2.5㎞에 위치해 있으며, 공장및 물류창고로 적극추천함.</t>
        </is>
      </c>
      <c r="I2010" s="5">
        <f>HYPERLINK("https://fin.land.naver.com/articles/2648293128", "매물Link")</f>
        <v/>
      </c>
      <c r="J2010" s="5">
        <f>HYPERLINK("https://map.naver.com/p/search/나성동 829", "지도Link")</f>
        <v/>
      </c>
      <c r="K2010" s="5">
        <f>HYPERLINK("http://www.eum.go.kr/web/ar/lu/luLandDet.jsp?pnu=3611010700108290000&amp;isNoScr=script&amp;mode=search", "토지이음")</f>
        <v/>
      </c>
      <c r="L2010" s="3" t="inlineStr">
        <is>
          <t>오송역에이스</t>
        </is>
      </c>
      <c r="M2010" s="3" t="n">
        <v>1</v>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3" t="inlineStr">
        <is>
          <t>대토투자용</t>
        </is>
      </c>
      <c r="I2011" s="5">
        <f>HYPERLINK("https://fin.land.naver.com/articles/2648312818", "매물Link")</f>
        <v/>
      </c>
      <c r="J2011" s="5">
        <f>HYPERLINK("https://map.naver.com/p/search/나성동 829", "지도Link")</f>
        <v/>
      </c>
      <c r="K2011" s="5">
        <f>HYPERLINK("http://www.eum.go.kr/web/ar/lu/luLandDet.jsp?pnu=3611010700108290000&amp;isNoScr=script&amp;mode=search", "토지이음")</f>
        <v/>
      </c>
      <c r="L2011" s="3" t="inlineStr">
        <is>
          <t>내수정보</t>
        </is>
      </c>
      <c r="M2011" s="3" t="n">
        <v>1</v>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3" t="inlineStr">
        <is>
          <t>현암리 농사용 대토용 투자용</t>
        </is>
      </c>
      <c r="I2012" s="5">
        <f>HYPERLINK("https://fin.land.naver.com/articles/2648632143", "매물Link")</f>
        <v/>
      </c>
      <c r="J2012" s="5">
        <f>HYPERLINK("https://map.naver.com/p/search/나성동 829", "지도Link")</f>
        <v/>
      </c>
      <c r="K2012" s="5">
        <f>HYPERLINK("http://www.eum.go.kr/web/ar/lu/luLandDet.jsp?pnu=3611010700108290000&amp;isNoScr=script&amp;mode=search", "토지이음")</f>
        <v/>
      </c>
      <c r="L2012" s="3" t="inlineStr">
        <is>
          <t>명문</t>
        </is>
      </c>
      <c r="M2012" s="3" t="n">
        <v>1</v>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3" t="inlineStr">
        <is>
          <t>농림진흥지역의 농사짓기 좋은 토지</t>
        </is>
      </c>
      <c r="I2013" s="5">
        <f>HYPERLINK("https://fin.land.naver.com/articles/2648652447", "매물Link")</f>
        <v/>
      </c>
      <c r="J2013" s="5">
        <f>HYPERLINK("https://map.naver.com/p/search/나성동 829", "지도Link")</f>
        <v/>
      </c>
      <c r="K2013" s="5">
        <f>HYPERLINK("http://www.eum.go.kr/web/ar/lu/luLandDet.jsp?pnu=3611010700108290000&amp;isNoScr=script&amp;mode=search", "토지이음")</f>
        <v/>
      </c>
      <c r="L2013" s="3" t="inlineStr">
        <is>
          <t>일등</t>
        </is>
      </c>
      <c r="M2013" s="3" t="n">
        <v>1</v>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3" t="inlineStr">
        <is>
          <t>현황도로접 휀스 콘테이너 밭으로 사용 과실수 다수 전원주택 주말농장 추천</t>
        </is>
      </c>
      <c r="I2014" s="5">
        <f>HYPERLINK("https://fin.land.naver.com/articles/2649814560", "매물Link")</f>
        <v/>
      </c>
      <c r="J2014" s="5">
        <f>HYPERLINK("https://map.naver.com/p/search/나성동 829", "지도Link")</f>
        <v/>
      </c>
      <c r="K2014" s="5">
        <f>HYPERLINK("http://www.eum.go.kr/web/ar/lu/luLandDet.jsp?pnu=3611010700108290000&amp;isNoScr=script&amp;mode=search", "토지이음")</f>
        <v/>
      </c>
      <c r="L2014" s="3" t="inlineStr">
        <is>
          <t>두리</t>
        </is>
      </c>
      <c r="M2014" s="3" t="n">
        <v>1</v>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3" t="inlineStr">
        <is>
          <t>초정약수길인근 투자가치 좋은땅</t>
        </is>
      </c>
      <c r="I2015" s="5">
        <f>HYPERLINK("https://fin.land.naver.com/articles/2649822138", "매물Link")</f>
        <v/>
      </c>
      <c r="J2015" s="5">
        <f>HYPERLINK("https://map.naver.com/p/search/나성동 829", "지도Link")</f>
        <v/>
      </c>
      <c r="K2015" s="5">
        <f>HYPERLINK("http://www.eum.go.kr/web/ar/lu/luLandDet.jsp?pnu=3611010700108290000&amp;isNoScr=script&amp;mode=search", "토지이음")</f>
        <v/>
      </c>
      <c r="L2015" s="3" t="inlineStr">
        <is>
          <t>갑부</t>
        </is>
      </c>
      <c r="M2015" s="3" t="n">
        <v>1</v>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3" t="inlineStr">
        <is>
          <t>화하리 농림지역 대토용 투자용 농사용</t>
        </is>
      </c>
      <c r="I2016" s="5">
        <f>HYPERLINK("https://fin.land.naver.com/articles/2646974160", "매물Link")</f>
        <v/>
      </c>
      <c r="J2016" s="5">
        <f>HYPERLINK("https://map.naver.com/p/search/나성동 829", "지도Link")</f>
        <v/>
      </c>
      <c r="K2016" s="5">
        <f>HYPERLINK("http://www.eum.go.kr/web/ar/lu/luLandDet.jsp?pnu=3611010700108290000&amp;isNoScr=script&amp;mode=search", "토지이음")</f>
        <v/>
      </c>
      <c r="L2016" s="3" t="inlineStr">
        <is>
          <t>명문</t>
        </is>
      </c>
      <c r="M2016" s="3" t="n">
        <v>1</v>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3" t="inlineStr">
        <is>
          <t>nan</t>
        </is>
      </c>
      <c r="I2017" s="5">
        <f>HYPERLINK("https://fin.land.naver.com/articles/2649010988", "매물Link")</f>
        <v/>
      </c>
      <c r="J2017" s="5">
        <f>HYPERLINK("https://map.naver.com/p/search/나성동 829", "지도Link")</f>
        <v/>
      </c>
      <c r="K2017" s="5">
        <f>HYPERLINK("http://www.eum.go.kr/web/ar/lu/luLandDet.jsp?pnu=3611010700108290000&amp;isNoScr=script&amp;mode=search", "토지이음")</f>
        <v/>
      </c>
      <c r="L2017" s="3" t="inlineStr">
        <is>
          <t>다정</t>
        </is>
      </c>
      <c r="M2017" s="3" t="n">
        <v>1</v>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3" t="inlineStr">
        <is>
          <t>nan</t>
        </is>
      </c>
      <c r="I2018" s="5">
        <f>HYPERLINK("https://fin.land.naver.com/articles/2645502028", "매물Link")</f>
        <v/>
      </c>
      <c r="J2018" s="5">
        <f>HYPERLINK("https://map.naver.com/p/search/나성동 829", "지도Link")</f>
        <v/>
      </c>
      <c r="K2018" s="5">
        <f>HYPERLINK("http://www.eum.go.kr/web/ar/lu/luLandDet.jsp?pnu=3611010700108290000&amp;isNoScr=script&amp;mode=search", "토지이음")</f>
        <v/>
      </c>
      <c r="L2018" s="3" t="inlineStr">
        <is>
          <t>규담무소</t>
        </is>
      </c>
      <c r="M2018" s="3" t="n">
        <v>1</v>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3" t="inlineStr">
        <is>
          <t>공주시내권 인근 세종과 접근성 좋은 저렴한 금액의 작은 토지</t>
        </is>
      </c>
      <c r="I2019" s="5">
        <f>HYPERLINK("https://fin.land.naver.com/articles/2649866838", "매물Link")</f>
        <v/>
      </c>
      <c r="J2019" s="5">
        <f>HYPERLINK("https://map.naver.com/p/search/나성동 829", "지도Link")</f>
        <v/>
      </c>
      <c r="K2019" s="5">
        <f>HYPERLINK("http://www.eum.go.kr/web/ar/lu/luLandDet.jsp?pnu=3611010700108290000&amp;isNoScr=script&amp;mode=search", "토지이음")</f>
        <v/>
      </c>
      <c r="L2019" s="3" t="inlineStr">
        <is>
          <t>흙사랑</t>
        </is>
      </c>
      <c r="M2019" s="3" t="n">
        <v>1</v>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3" t="inlineStr">
        <is>
          <t>세종과 공주시내 인접한 생활환경 및 접근성 좋은 도시지역 토지</t>
        </is>
      </c>
      <c r="I2020" s="5">
        <f>HYPERLINK("https://fin.land.naver.com/articles/2649891938", "매물Link")</f>
        <v/>
      </c>
      <c r="J2020" s="5">
        <f>HYPERLINK("https://map.naver.com/p/search/나성동 829", "지도Link")</f>
        <v/>
      </c>
      <c r="K2020" s="5">
        <f>HYPERLINK("http://www.eum.go.kr/web/ar/lu/luLandDet.jsp?pnu=3611010700108290000&amp;isNoScr=script&amp;mode=search", "토지이음")</f>
        <v/>
      </c>
      <c r="L2020" s="3" t="inlineStr">
        <is>
          <t>흙사랑</t>
        </is>
      </c>
      <c r="M2020" s="3" t="n">
        <v>1</v>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3" t="inlineStr">
        <is>
          <t>세종과 공주시내 인접, 생활환경 좋은 도시지역 토지</t>
        </is>
      </c>
      <c r="I2021" s="5">
        <f>HYPERLINK("https://fin.land.naver.com/articles/2649897996", "매물Link")</f>
        <v/>
      </c>
      <c r="J2021" s="5">
        <f>HYPERLINK("https://map.naver.com/p/search/나성동 829", "지도Link")</f>
        <v/>
      </c>
      <c r="K2021" s="5">
        <f>HYPERLINK("http://www.eum.go.kr/web/ar/lu/luLandDet.jsp?pnu=3611010700108290000&amp;isNoScr=script&amp;mode=search", "토지이음")</f>
        <v/>
      </c>
      <c r="L2021" s="3" t="inlineStr">
        <is>
          <t>흙사랑</t>
        </is>
      </c>
      <c r="M2021" s="3" t="n">
        <v>1</v>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3" t="inlineStr">
        <is>
          <t>nan</t>
        </is>
      </c>
      <c r="I2022" s="5">
        <f>HYPERLINK("https://fin.land.naver.com/articles/2645082267", "매물Link")</f>
        <v/>
      </c>
      <c r="J2022" s="5">
        <f>HYPERLINK("https://map.naver.com/p/search/나성동 829", "지도Link")</f>
        <v/>
      </c>
      <c r="K2022" s="5">
        <f>HYPERLINK("http://www.eum.go.kr/web/ar/lu/luLandDet.jsp?pnu=3611010700108290000&amp;isNoScr=script&amp;mode=search", "토지이음")</f>
        <v/>
      </c>
      <c r="L2022" s="3" t="inlineStr">
        <is>
          <t>가온</t>
        </is>
      </c>
      <c r="M2022" s="3" t="n">
        <v>1</v>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3" t="inlineStr">
        <is>
          <t>농막용</t>
        </is>
      </c>
      <c r="I2023" s="5">
        <f>HYPERLINK("https://fin.land.naver.com/articles/2648619618", "매물Link")</f>
        <v/>
      </c>
      <c r="J2023" s="5">
        <f>HYPERLINK("https://map.naver.com/p/search/나성동 829", "지도Link")</f>
        <v/>
      </c>
      <c r="K2023" s="5">
        <f>HYPERLINK("http://www.eum.go.kr/web/ar/lu/luLandDet.jsp?pnu=3611010700108290000&amp;isNoScr=script&amp;mode=search", "토지이음")</f>
        <v/>
      </c>
      <c r="L2023" s="3" t="inlineStr">
        <is>
          <t>땅사랑</t>
        </is>
      </c>
      <c r="M2023" s="3" t="n">
        <v>1</v>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3" t="inlineStr">
        <is>
          <t>nan</t>
        </is>
      </c>
      <c r="I2024" s="5">
        <f>HYPERLINK("https://fin.land.naver.com/articles/2645105148", "매물Link")</f>
        <v/>
      </c>
      <c r="J2024" s="5">
        <f>HYPERLINK("https://map.naver.com/p/search/나성동 829", "지도Link")</f>
        <v/>
      </c>
      <c r="K2024" s="5">
        <f>HYPERLINK("http://www.eum.go.kr/web/ar/lu/luLandDet.jsp?pnu=3611010700108290000&amp;isNoScr=script&amp;mode=search", "토지이음")</f>
        <v/>
      </c>
      <c r="L2024" s="3" t="inlineStr">
        <is>
          <t>명성</t>
        </is>
      </c>
      <c r="M2024" s="3" t="n">
        <v>1</v>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3" t="inlineStr">
        <is>
          <t>도로접 주택지</t>
        </is>
      </c>
      <c r="I2025" s="5">
        <f>HYPERLINK("https://fin.land.naver.com/articles/2647293167", "매물Link")</f>
        <v/>
      </c>
      <c r="J2025" s="5">
        <f>HYPERLINK("https://map.naver.com/p/search/나성동 829", "지도Link")</f>
        <v/>
      </c>
      <c r="K2025" s="5">
        <f>HYPERLINK("http://www.eum.go.kr/web/ar/lu/luLandDet.jsp?pnu=3611010700108290000&amp;isNoScr=script&amp;mode=search", "토지이음")</f>
        <v/>
      </c>
      <c r="L2025" s="3" t="inlineStr">
        <is>
          <t>공주114</t>
        </is>
      </c>
      <c r="M2025" s="3" t="n">
        <v>1</v>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3" t="inlineStr">
        <is>
          <t>대지</t>
        </is>
      </c>
      <c r="I2026" s="5">
        <f>HYPERLINK("https://fin.land.naver.com/articles/2647293558", "매물Link")</f>
        <v/>
      </c>
      <c r="J2026" s="5">
        <f>HYPERLINK("https://map.naver.com/p/search/나성동 829", "지도Link")</f>
        <v/>
      </c>
      <c r="K2026" s="5">
        <f>HYPERLINK("http://www.eum.go.kr/web/ar/lu/luLandDet.jsp?pnu=3611010700108290000&amp;isNoScr=script&amp;mode=search", "토지이음")</f>
        <v/>
      </c>
      <c r="L2026" s="3" t="inlineStr">
        <is>
          <t>공주114</t>
        </is>
      </c>
      <c r="M2026" s="3" t="n">
        <v>1</v>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3" t="inlineStr">
        <is>
          <t>농지분담금없음,좌우도로,세종접근성,창고및주택</t>
        </is>
      </c>
      <c r="I2027" s="5">
        <f>HYPERLINK("https://fin.land.naver.com/articles/2648026299", "매물Link")</f>
        <v/>
      </c>
      <c r="J2027" s="5">
        <f>HYPERLINK("https://map.naver.com/p/search/나성동 829", "지도Link")</f>
        <v/>
      </c>
      <c r="K2027" s="5">
        <f>HYPERLINK("http://www.eum.go.kr/web/ar/lu/luLandDet.jsp?pnu=3611010700108290000&amp;isNoScr=script&amp;mode=search", "토지이음")</f>
        <v/>
      </c>
      <c r="L2027" s="3" t="inlineStr">
        <is>
          <t>백억사사무소</t>
        </is>
      </c>
      <c r="M2027" s="3" t="n">
        <v>1</v>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3" t="inlineStr">
        <is>
          <t>정부종합 청사 대전광역시인근. 연구소,수련원, 종합요양시설</t>
        </is>
      </c>
      <c r="I2028" s="5">
        <f>HYPERLINK("https://fin.land.naver.com/articles/2645239118", "매물Link")</f>
        <v/>
      </c>
      <c r="J2028" s="5">
        <f>HYPERLINK("https://map.naver.com/p/search/나성동 829", "지도Link")</f>
        <v/>
      </c>
      <c r="K2028" s="5">
        <f>HYPERLINK("http://www.eum.go.kr/web/ar/lu/luLandDet.jsp?pnu=3611010700108290000&amp;isNoScr=script&amp;mode=search", "토지이음")</f>
        <v/>
      </c>
      <c r="L2028" s="3" t="inlineStr">
        <is>
          <t>딸기(02-848-2300단지내)</t>
        </is>
      </c>
      <c r="M2028" s="3" t="n">
        <v>1</v>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3" t="inlineStr">
        <is>
          <t>세종정부종합청사,대전광역시청 공주시청 인근,종합요양센터,물류창고부지 급매</t>
        </is>
      </c>
      <c r="I2029" s="5">
        <f>HYPERLINK("https://fin.land.naver.com/articles/2648935334", "매물Link")</f>
        <v/>
      </c>
      <c r="J2029" s="5">
        <f>HYPERLINK("https://map.naver.com/p/search/나성동 829", "지도Link")</f>
        <v/>
      </c>
      <c r="K2029" s="5">
        <f>HYPERLINK("http://www.eum.go.kr/web/ar/lu/luLandDet.jsp?pnu=3611010700108290000&amp;isNoScr=script&amp;mode=search", "토지이음")</f>
        <v/>
      </c>
      <c r="L2029" s="3" t="inlineStr">
        <is>
          <t>딸기(02-848-2300단지내)</t>
        </is>
      </c>
      <c r="M2029" s="3" t="n">
        <v>1</v>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3" t="inlineStr">
        <is>
          <t>nan</t>
        </is>
      </c>
      <c r="I2030" s="5">
        <f>HYPERLINK("https://fin.land.naver.com/articles/2646822475", "매물Link")</f>
        <v/>
      </c>
      <c r="J2030" s="5">
        <f>HYPERLINK("https://map.naver.com/p/search/나성동 829", "지도Link")</f>
        <v/>
      </c>
      <c r="K2030" s="5">
        <f>HYPERLINK("http://www.eum.go.kr/web/ar/lu/luLandDet.jsp?pnu=3611010700108290000&amp;isNoScr=script&amp;mode=search", "토지이음")</f>
        <v/>
      </c>
      <c r="L2030" s="3" t="inlineStr">
        <is>
          <t>시원</t>
        </is>
      </c>
      <c r="M2030" s="3" t="n">
        <v>1</v>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3" t="inlineStr">
        <is>
          <t>주택지매매</t>
        </is>
      </c>
      <c r="I2031" s="5">
        <f>HYPERLINK("https://fin.land.naver.com/articles/2647978102", "매물Link")</f>
        <v/>
      </c>
      <c r="J2031" s="5">
        <f>HYPERLINK("https://map.naver.com/p/search/나성동 829", "지도Link")</f>
        <v/>
      </c>
      <c r="K2031" s="5">
        <f>HYPERLINK("http://www.eum.go.kr/web/ar/lu/luLandDet.jsp?pnu=3611010700108290000&amp;isNoScr=script&amp;mode=search", "토지이음")</f>
        <v/>
      </c>
      <c r="L2031" s="3" t="inlineStr">
        <is>
          <t>스카이</t>
        </is>
      </c>
      <c r="M2031" s="3" t="n">
        <v>1</v>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3" t="inlineStr">
        <is>
          <t>nan</t>
        </is>
      </c>
      <c r="I2032" s="5">
        <f>HYPERLINK("https://fin.land.naver.com/articles/2649860371", "매물Link")</f>
        <v/>
      </c>
      <c r="J2032" s="5">
        <f>HYPERLINK("https://map.naver.com/p/search/나성동 829", "지도Link")</f>
        <v/>
      </c>
      <c r="K2032" s="5">
        <f>HYPERLINK("http://www.eum.go.kr/web/ar/lu/luLandDet.jsp?pnu=3611010700108290000&amp;isNoScr=script&amp;mode=search", "토지이음")</f>
        <v/>
      </c>
      <c r="L2032" s="3" t="inlineStr">
        <is>
          <t>흙사랑</t>
        </is>
      </c>
      <c r="M2032" s="3" t="n">
        <v>1</v>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3" t="inlineStr">
        <is>
          <t>2차선 도로에 공장.창고부지. 계획관리</t>
        </is>
      </c>
      <c r="I2033" s="5">
        <f>HYPERLINK("https://fin.land.naver.com/articles/2644286143", "매물Link")</f>
        <v/>
      </c>
      <c r="J2033" s="5">
        <f>HYPERLINK("https://map.naver.com/p/search/나성동 829", "지도Link")</f>
        <v/>
      </c>
      <c r="K2033" s="5">
        <f>HYPERLINK("http://www.eum.go.kr/web/ar/lu/luLandDet.jsp?pnu=3611010700108290000&amp;isNoScr=script&amp;mode=search", "토지이음")</f>
        <v/>
      </c>
      <c r="L2033" s="3" t="inlineStr">
        <is>
          <t>명당</t>
        </is>
      </c>
      <c r="M2033" s="3" t="n">
        <v>1</v>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3" t="inlineStr">
        <is>
          <t>교통,주변 여가,힐링 전원풍경 두루갖춘 가성비 좋은 전원주택지
교통,주</t>
        </is>
      </c>
      <c r="I2034" s="5">
        <f>HYPERLINK("https://fin.land.naver.com/articles/2644497391", "매물Link")</f>
        <v/>
      </c>
      <c r="J2034" s="5">
        <f>HYPERLINK("https://map.naver.com/p/search/나성동 829", "지도Link")</f>
        <v/>
      </c>
      <c r="K2034" s="5">
        <f>HYPERLINK("http://www.eum.go.kr/web/ar/lu/luLandDet.jsp?pnu=3611010700108290000&amp;isNoScr=script&amp;mode=search", "토지이음")</f>
        <v/>
      </c>
      <c r="L2034" s="3" t="inlineStr">
        <is>
          <t>좋은선택</t>
        </is>
      </c>
      <c r="M2034" s="3" t="n">
        <v>1</v>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3" t="inlineStr">
        <is>
          <t>청주 북이면 신대리 대로변 계획관리 토지매매</t>
        </is>
      </c>
      <c r="I2035" s="5">
        <f>HYPERLINK("https://fin.land.naver.com/articles/2646084763", "매물Link")</f>
        <v/>
      </c>
      <c r="J2035" s="5">
        <f>HYPERLINK("https://map.naver.com/p/search/나성동 829", "지도Link")</f>
        <v/>
      </c>
      <c r="K2035" s="5">
        <f>HYPERLINK("http://www.eum.go.kr/web/ar/lu/luLandDet.jsp?pnu=3611010700108290000&amp;isNoScr=script&amp;mode=search", "토지이음")</f>
        <v/>
      </c>
      <c r="L2035" s="3" t="inlineStr">
        <is>
          <t>땅야박영수사무소</t>
        </is>
      </c>
      <c r="M2035" s="3" t="n">
        <v>1</v>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3" t="inlineStr">
        <is>
          <t>nan</t>
        </is>
      </c>
      <c r="I2036" s="5">
        <f>HYPERLINK("https://fin.land.naver.com/articles/2647602517", "매물Link")</f>
        <v/>
      </c>
      <c r="J2036" s="5">
        <f>HYPERLINK("https://map.naver.com/p/search/나성동 829", "지도Link")</f>
        <v/>
      </c>
      <c r="K2036" s="5">
        <f>HYPERLINK("http://www.eum.go.kr/web/ar/lu/luLandDet.jsp?pnu=3611010700108290000&amp;isNoScr=script&amp;mode=search", "토지이음")</f>
        <v/>
      </c>
      <c r="L2036" s="3" t="inlineStr">
        <is>
          <t>미르</t>
        </is>
      </c>
      <c r="M2036" s="3" t="n">
        <v>1</v>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3" t="inlineStr">
        <is>
          <t>nan</t>
        </is>
      </c>
      <c r="I2037" s="5">
        <f>HYPERLINK("https://fin.land.naver.com/articles/2644558121", "매물Link")</f>
        <v/>
      </c>
      <c r="J2037" s="5">
        <f>HYPERLINK("https://map.naver.com/p/search/나성동 829", "지도Link")</f>
        <v/>
      </c>
      <c r="K2037" s="5">
        <f>HYPERLINK("http://www.eum.go.kr/web/ar/lu/luLandDet.jsp?pnu=3611010700108290000&amp;isNoScr=script&amp;mode=search", "토지이음")</f>
        <v/>
      </c>
      <c r="L2037" s="3" t="inlineStr">
        <is>
          <t>나래</t>
        </is>
      </c>
      <c r="M2037" s="3" t="n">
        <v>1</v>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3" t="inlineStr">
        <is>
          <t>전기,수도,정화조등 기반시설이 준비 된 계획관리 토지</t>
        </is>
      </c>
      <c r="I2038" s="5">
        <f>HYPERLINK("https://fin.land.naver.com/articles/2649868930", "매물Link")</f>
        <v/>
      </c>
      <c r="J2038" s="5">
        <f>HYPERLINK("https://map.naver.com/p/search/나성동 829", "지도Link")</f>
        <v/>
      </c>
      <c r="K2038" s="5">
        <f>HYPERLINK("http://www.eum.go.kr/web/ar/lu/luLandDet.jsp?pnu=3611010700108290000&amp;isNoScr=script&amp;mode=search", "토지이음")</f>
        <v/>
      </c>
      <c r="L2038" s="3" t="inlineStr">
        <is>
          <t>흙사랑</t>
        </is>
      </c>
      <c r="M2038" s="3" t="n">
        <v>1</v>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3" t="inlineStr">
        <is>
          <t>전기, 수도, 농막등 모두 갖추어진 계획관리 주말주택</t>
        </is>
      </c>
      <c r="I2039" s="5">
        <f>HYPERLINK("https://fin.land.naver.com/articles/2649874111", "매물Link")</f>
        <v/>
      </c>
      <c r="J2039" s="5">
        <f>HYPERLINK("https://map.naver.com/p/search/나성동 829", "지도Link")</f>
        <v/>
      </c>
      <c r="K2039" s="5">
        <f>HYPERLINK("http://www.eum.go.kr/web/ar/lu/luLandDet.jsp?pnu=3611010700108290000&amp;isNoScr=script&amp;mode=search", "토지이음")</f>
        <v/>
      </c>
      <c r="L2039" s="3" t="inlineStr">
        <is>
          <t>흙사랑</t>
        </is>
      </c>
      <c r="M2039" s="3" t="n">
        <v>1</v>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3" t="inlineStr">
        <is>
          <t>주말농장에 적합한 농막 포함된 생산관리지역 농지(전)</t>
        </is>
      </c>
      <c r="I2040" s="5">
        <f>HYPERLINK("https://fin.land.naver.com/articles/2645526202", "매물Link")</f>
        <v/>
      </c>
      <c r="J2040" s="5">
        <f>HYPERLINK("https://map.naver.com/p/search/나성동 829", "지도Link")</f>
        <v/>
      </c>
      <c r="K2040" s="5">
        <f>HYPERLINK("http://www.eum.go.kr/web/ar/lu/luLandDet.jsp?pnu=3611010700108290000&amp;isNoScr=script&amp;mode=search", "토지이음")</f>
        <v/>
      </c>
      <c r="L2040" s="3" t="inlineStr">
        <is>
          <t>랜드맥스</t>
        </is>
      </c>
      <c r="M2040" s="3" t="n">
        <v>1</v>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3" t="inlineStr">
        <is>
          <t>nan</t>
        </is>
      </c>
      <c r="I2041" s="5">
        <f>HYPERLINK("https://fin.land.naver.com/articles/2645947582", "매물Link")</f>
        <v/>
      </c>
      <c r="J2041" s="5">
        <f>HYPERLINK("https://map.naver.com/p/search/나성동 829", "지도Link")</f>
        <v/>
      </c>
      <c r="K2041" s="5">
        <f>HYPERLINK("http://www.eum.go.kr/web/ar/lu/luLandDet.jsp?pnu=3611010700108290000&amp;isNoScr=script&amp;mode=search", "토지이음")</f>
        <v/>
      </c>
      <c r="L2041" s="3" t="inlineStr">
        <is>
          <t>가온</t>
        </is>
      </c>
      <c r="M2041" s="3" t="n">
        <v>1</v>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3" t="inlineStr">
        <is>
          <t>이인면내위치,저렴,대로변,자연취락지구</t>
        </is>
      </c>
      <c r="I2042" s="5">
        <f>HYPERLINK("https://fin.land.naver.com/articles/2646406285", "매물Link")</f>
        <v/>
      </c>
      <c r="J2042" s="5">
        <f>HYPERLINK("https://map.naver.com/p/search/나성동 829", "지도Link")</f>
        <v/>
      </c>
      <c r="K2042" s="5">
        <f>HYPERLINK("http://www.eum.go.kr/web/ar/lu/luLandDet.jsp?pnu=3611010700108290000&amp;isNoScr=script&amp;mode=search", "토지이음")</f>
        <v/>
      </c>
      <c r="L2042" s="3" t="inlineStr">
        <is>
          <t>명동</t>
        </is>
      </c>
      <c r="M2042" s="3" t="n">
        <v>1</v>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3" t="inlineStr">
        <is>
          <t>nan</t>
        </is>
      </c>
      <c r="I2043" s="5">
        <f>HYPERLINK("https://fin.land.naver.com/articles/2647186162", "매물Link")</f>
        <v/>
      </c>
      <c r="J2043" s="5">
        <f>HYPERLINK("https://map.naver.com/p/search/나성동 829", "지도Link")</f>
        <v/>
      </c>
      <c r="K2043" s="5">
        <f>HYPERLINK("http://www.eum.go.kr/web/ar/lu/luLandDet.jsp?pnu=3611010700108290000&amp;isNoScr=script&amp;mode=search", "토지이음")</f>
        <v/>
      </c>
      <c r="L2043" s="3" t="inlineStr">
        <is>
          <t>중흥</t>
        </is>
      </c>
      <c r="M2043" s="3" t="n">
        <v>1</v>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3" t="inlineStr">
        <is>
          <t>민가와 떨어져 민원소지 적을듯한 산아래 캠핑장 부지</t>
        </is>
      </c>
      <c r="I2044" s="5">
        <f>HYPERLINK("https://fin.land.naver.com/articles/2649837797", "매물Link")</f>
        <v/>
      </c>
      <c r="J2044" s="5">
        <f>HYPERLINK("https://map.naver.com/p/search/나성동 829", "지도Link")</f>
        <v/>
      </c>
      <c r="K2044" s="5">
        <f>HYPERLINK("http://www.eum.go.kr/web/ar/lu/luLandDet.jsp?pnu=3611010700108290000&amp;isNoScr=script&amp;mode=search", "토지이음")</f>
        <v/>
      </c>
      <c r="L2044" s="3" t="inlineStr">
        <is>
          <t>흙사랑</t>
        </is>
      </c>
      <c r="M2044" s="3" t="n">
        <v>1</v>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3" t="inlineStr">
        <is>
          <t>도로접한 임야로 약11만평정도이며 골프장 추천함</t>
        </is>
      </c>
      <c r="I2045" s="5">
        <f>HYPERLINK("https://fin.land.naver.com/articles/2647598145", "매물Link")</f>
        <v/>
      </c>
      <c r="J2045" s="5">
        <f>HYPERLINK("https://map.naver.com/p/search/나성동 829", "지도Link")</f>
        <v/>
      </c>
      <c r="K2045" s="5">
        <f>HYPERLINK("http://www.eum.go.kr/web/ar/lu/luLandDet.jsp?pnu=3611010700108290000&amp;isNoScr=script&amp;mode=search", "토지이음")</f>
        <v/>
      </c>
      <c r="L2045" s="3" t="inlineStr">
        <is>
          <t>삼익</t>
        </is>
      </c>
      <c r="M2045" s="3" t="n">
        <v>2</v>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3" t="inlineStr">
        <is>
          <t>현재 축사(노후됨)이나 전원주택 등으로 추천</t>
        </is>
      </c>
      <c r="I2046" s="5">
        <f>HYPERLINK("https://fin.land.naver.com/articles/2648634108", "매물Link")</f>
        <v/>
      </c>
      <c r="J2046" s="5">
        <f>HYPERLINK("https://map.naver.com/p/search/나성동 829", "지도Link")</f>
        <v/>
      </c>
      <c r="K2046" s="5">
        <f>HYPERLINK("http://www.eum.go.kr/web/ar/lu/luLandDet.jsp?pnu=3611010700108290000&amp;isNoScr=script&amp;mode=search", "토지이음")</f>
        <v/>
      </c>
      <c r="L2046" s="3" t="inlineStr">
        <is>
          <t>백제</t>
        </is>
      </c>
      <c r="M2046" s="3" t="n">
        <v>1</v>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3" t="inlineStr">
        <is>
          <t>본 토지는 계획관리 지역이며 농장 하실분 접합</t>
        </is>
      </c>
      <c r="I2047" s="5">
        <f>HYPERLINK("https://fin.land.naver.com/articles/2649539270", "매물Link")</f>
        <v/>
      </c>
      <c r="J2047" s="5">
        <f>HYPERLINK("https://map.naver.com/p/search/나성동 829", "지도Link")</f>
        <v/>
      </c>
      <c r="K2047" s="5">
        <f>HYPERLINK("http://www.eum.go.kr/web/ar/lu/luLandDet.jsp?pnu=3611010700108290000&amp;isNoScr=script&amp;mode=search", "토지이음")</f>
        <v/>
      </c>
      <c r="L2047" s="3" t="inlineStr">
        <is>
          <t>마당발</t>
        </is>
      </c>
      <c r="M2047" s="3" t="n">
        <v>1</v>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3" t="inlineStr">
        <is>
          <t>공주시 이인면 주봉교차로 인근 주봉초등학교 경계에 접해있는 
토지매매</t>
        </is>
      </c>
      <c r="I2048" s="5">
        <f>HYPERLINK("https://fin.land.naver.com/articles/2650202945", "매물Link")</f>
        <v/>
      </c>
      <c r="J2048" s="5">
        <f>HYPERLINK("https://map.naver.com/p/search/나성동 829", "지도Link")</f>
        <v/>
      </c>
      <c r="K2048" s="5">
        <f>HYPERLINK("http://www.eum.go.kr/web/ar/lu/luLandDet.jsp?pnu=3611010700108290000&amp;isNoScr=script&amp;mode=search", "토지이음")</f>
        <v/>
      </c>
      <c r="L2048" s="3" t="inlineStr">
        <is>
          <t>세종공주노심종사무소</t>
        </is>
      </c>
      <c r="M2048" s="3" t="n">
        <v>1</v>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3" t="inlineStr">
        <is>
          <t>전망좋은 남향의 전원주택부지 매매</t>
        </is>
      </c>
      <c r="I2049" s="5">
        <f>HYPERLINK("https://fin.land.naver.com/articles/2650203027", "매물Link")</f>
        <v/>
      </c>
      <c r="J2049" s="5">
        <f>HYPERLINK("https://map.naver.com/p/search/나성동 829", "지도Link")</f>
        <v/>
      </c>
      <c r="K2049" s="5">
        <f>HYPERLINK("http://www.eum.go.kr/web/ar/lu/luLandDet.jsp?pnu=3611010700108290000&amp;isNoScr=script&amp;mode=search", "토지이음")</f>
        <v/>
      </c>
      <c r="L2049" s="3" t="inlineStr">
        <is>
          <t>세종공주노심종사무소</t>
        </is>
      </c>
      <c r="M2049" s="3" t="n">
        <v>1</v>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3" t="inlineStr">
        <is>
          <t>남공주산업단지인근</t>
        </is>
      </c>
      <c r="I2050" s="5">
        <f>HYPERLINK("https://fin.land.naver.com/articles/2650206086", "매물Link")</f>
        <v/>
      </c>
      <c r="J2050" s="5">
        <f>HYPERLINK("https://map.naver.com/p/search/나성동 829", "지도Link")</f>
        <v/>
      </c>
      <c r="K2050" s="5">
        <f>HYPERLINK("http://www.eum.go.kr/web/ar/lu/luLandDet.jsp?pnu=3611010700108290000&amp;isNoScr=script&amp;mode=search", "토지이음")</f>
        <v/>
      </c>
      <c r="L2050" s="3" t="inlineStr">
        <is>
          <t>세종힐데스</t>
        </is>
      </c>
      <c r="M2050" s="3" t="n">
        <v>1</v>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3" t="inlineStr">
        <is>
          <t>nan</t>
        </is>
      </c>
      <c r="I2051" s="5">
        <f>HYPERLINK("https://fin.land.naver.com/articles/2646029227", "매물Link")</f>
        <v/>
      </c>
      <c r="J2051" s="5">
        <f>HYPERLINK("https://map.naver.com/p/search/나성동 829", "지도Link")</f>
        <v/>
      </c>
      <c r="K2051" s="5">
        <f>HYPERLINK("http://www.eum.go.kr/web/ar/lu/luLandDet.jsp?pnu=3611010700108290000&amp;isNoScr=script&amp;mode=search", "토지이음")</f>
        <v/>
      </c>
      <c r="L2051" s="3" t="inlineStr">
        <is>
          <t>나래</t>
        </is>
      </c>
      <c r="M2051" s="3" t="n">
        <v>1</v>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3" t="inlineStr">
        <is>
          <t>희소  공주 축사기득권 완벽 승계대지즉시 건축 가능 통합매매</t>
        </is>
      </c>
      <c r="I2052" s="5">
        <f>HYPERLINK("https://fin.land.naver.com/articles/2646010571", "매물Link")</f>
        <v/>
      </c>
      <c r="J2052" s="5">
        <f>HYPERLINK("https://map.naver.com/p/search/나성동 829", "지도Link")</f>
        <v/>
      </c>
      <c r="K2052" s="5">
        <f>HYPERLINK("http://www.eum.go.kr/web/ar/lu/luLandDet.jsp?pnu=3611010700108290000&amp;isNoScr=script&amp;mode=search", "토지이음")</f>
        <v/>
      </c>
      <c r="L2052" s="3" t="inlineStr">
        <is>
          <t>월정</t>
        </is>
      </c>
      <c r="M2052" s="3" t="n">
        <v>1</v>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3" t="inlineStr">
        <is>
          <t>nan</t>
        </is>
      </c>
      <c r="I2053" s="5">
        <f>HYPERLINK("https://fin.land.naver.com/articles/2647677567", "매물Link")</f>
        <v/>
      </c>
      <c r="J2053" s="5">
        <f>HYPERLINK("https://map.naver.com/p/search/나성동 829", "지도Link")</f>
        <v/>
      </c>
      <c r="K2053" s="5">
        <f>HYPERLINK("http://www.eum.go.kr/web/ar/lu/luLandDet.jsp?pnu=3611010700108290000&amp;isNoScr=script&amp;mode=search", "토지이음")</f>
        <v/>
      </c>
      <c r="L2053" s="3" t="inlineStr">
        <is>
          <t>백제</t>
        </is>
      </c>
      <c r="M2053" s="3" t="n">
        <v>1</v>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3" t="inlineStr">
        <is>
          <t>금강 인접 청정 마을, 농막 놓고 주말농장 하기 딱 좋은 상급 토지 매매</t>
        </is>
      </c>
      <c r="I2054" s="5">
        <f>HYPERLINK("https://fin.land.naver.com/articles/2646348471", "매물Link")</f>
        <v/>
      </c>
      <c r="J2054" s="5">
        <f>HYPERLINK("https://map.naver.com/p/search/나성동 829", "지도Link")</f>
        <v/>
      </c>
      <c r="K2054" s="5">
        <f>HYPERLINK("http://www.eum.go.kr/web/ar/lu/luLandDet.jsp?pnu=3611010700108290000&amp;isNoScr=script&amp;mode=search", "토지이음")</f>
        <v/>
      </c>
      <c r="L2054" s="3" t="inlineStr">
        <is>
          <t>귀빈</t>
        </is>
      </c>
      <c r="M2054" s="3" t="n">
        <v>1</v>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3" t="inlineStr">
        <is>
          <t>2차로 도로접 남산리 게획관리지역의 저렴하게 나온 전</t>
        </is>
      </c>
      <c r="I2055" s="5">
        <f>HYPERLINK("https://fin.land.naver.com/articles/2645201326", "매물Link")</f>
        <v/>
      </c>
      <c r="J2055" s="5">
        <f>HYPERLINK("https://map.naver.com/p/search/나성동 829", "지도Link")</f>
        <v/>
      </c>
      <c r="K2055" s="5">
        <f>HYPERLINK("http://www.eum.go.kr/web/ar/lu/luLandDet.jsp?pnu=3611010700108290000&amp;isNoScr=script&amp;mode=search", "토지이음")</f>
        <v/>
      </c>
      <c r="L2055" s="3" t="inlineStr">
        <is>
          <t>귀빈</t>
        </is>
      </c>
      <c r="M2055" s="3" t="n">
        <v>1</v>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3" t="inlineStr">
        <is>
          <t>nan</t>
        </is>
      </c>
      <c r="I2056" s="5">
        <f>HYPERLINK("https://fin.land.naver.com/articles/2646820006", "매물Link")</f>
        <v/>
      </c>
      <c r="J2056" s="5">
        <f>HYPERLINK("https://map.naver.com/p/search/나성동 829", "지도Link")</f>
        <v/>
      </c>
      <c r="K2056" s="5">
        <f>HYPERLINK("http://www.eum.go.kr/web/ar/lu/luLandDet.jsp?pnu=3611010700108290000&amp;isNoScr=script&amp;mode=search", "토지이음")</f>
        <v/>
      </c>
      <c r="L2056" s="3" t="inlineStr">
        <is>
          <t>세종대평</t>
        </is>
      </c>
      <c r="M2056" s="3" t="n">
        <v>1</v>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3" t="inlineStr">
        <is>
          <t>nan</t>
        </is>
      </c>
      <c r="I2057" s="5">
        <f>HYPERLINK("https://fin.land.naver.com/articles/2646823385", "매물Link")</f>
        <v/>
      </c>
      <c r="J2057" s="5">
        <f>HYPERLINK("https://map.naver.com/p/search/나성동 829", "지도Link")</f>
        <v/>
      </c>
      <c r="K2057" s="5">
        <f>HYPERLINK("http://www.eum.go.kr/web/ar/lu/luLandDet.jsp?pnu=3611010700108290000&amp;isNoScr=script&amp;mode=search", "토지이음")</f>
        <v/>
      </c>
      <c r="L2057" s="3" t="inlineStr">
        <is>
          <t>세종대평</t>
        </is>
      </c>
      <c r="M2057" s="3" t="n">
        <v>1</v>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3" t="inlineStr">
        <is>
          <t>포장도로인접, 차량진입편리, 주변상권인접하여 편리합니다.</t>
        </is>
      </c>
      <c r="I2058" s="5">
        <f>HYPERLINK("https://fin.land.naver.com/articles/2645891339", "매물Link")</f>
        <v/>
      </c>
      <c r="J2058" s="5">
        <f>HYPERLINK("https://map.naver.com/p/search/나성동 829", "지도Link")</f>
        <v/>
      </c>
      <c r="K2058" s="5">
        <f>HYPERLINK("http://www.eum.go.kr/web/ar/lu/luLandDet.jsp?pnu=3611010700108290000&amp;isNoScr=script&amp;mode=search", "토지이음")</f>
        <v/>
      </c>
      <c r="L2058" s="3" t="inlineStr">
        <is>
          <t>세종소담</t>
        </is>
      </c>
      <c r="M2058" s="3" t="n">
        <v>1</v>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3" t="inlineStr">
        <is>
          <t>계룡산자락 아래 공기 맑고 풍광 좋은 기반시설 완비 된 주말주택</t>
        </is>
      </c>
      <c r="I2059" s="5">
        <f>HYPERLINK("https://fin.land.naver.com/articles/2649838478", "매물Link")</f>
        <v/>
      </c>
      <c r="J2059" s="5">
        <f>HYPERLINK("https://map.naver.com/p/search/나성동 829", "지도Link")</f>
        <v/>
      </c>
      <c r="K2059" s="5">
        <f>HYPERLINK("http://www.eum.go.kr/web/ar/lu/luLandDet.jsp?pnu=3611010700108290000&amp;isNoScr=script&amp;mode=search", "토지이음")</f>
        <v/>
      </c>
      <c r="L2059" s="3" t="inlineStr">
        <is>
          <t>흙사랑</t>
        </is>
      </c>
      <c r="M2059" s="3" t="n">
        <v>1</v>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3" t="inlineStr">
        <is>
          <t>계룡산자락 아래 공주,세종,대전과 접근성 좋은 네모반듯한 토지</t>
        </is>
      </c>
      <c r="I2060" s="5">
        <f>HYPERLINK("https://fin.land.naver.com/articles/2649864244", "매물Link")</f>
        <v/>
      </c>
      <c r="J2060" s="5">
        <f>HYPERLINK("https://map.naver.com/p/search/나성동 829", "지도Link")</f>
        <v/>
      </c>
      <c r="K2060" s="5">
        <f>HYPERLINK("http://www.eum.go.kr/web/ar/lu/luLandDet.jsp?pnu=3611010700108290000&amp;isNoScr=script&amp;mode=search", "토지이음")</f>
        <v/>
      </c>
      <c r="L2060" s="3" t="inlineStr">
        <is>
          <t>흙사랑</t>
        </is>
      </c>
      <c r="M2060" s="3" t="n">
        <v>1</v>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3" t="inlineStr">
        <is>
          <t>마을 가생이 상단부 괜찮은 전망의 농막과 텃밭</t>
        </is>
      </c>
      <c r="I2061" s="5">
        <f>HYPERLINK("https://fin.land.naver.com/articles/2649873210", "매물Link")</f>
        <v/>
      </c>
      <c r="J2061" s="5">
        <f>HYPERLINK("https://map.naver.com/p/search/나성동 829", "지도Link")</f>
        <v/>
      </c>
      <c r="K2061" s="5">
        <f>HYPERLINK("http://www.eum.go.kr/web/ar/lu/luLandDet.jsp?pnu=3611010700108290000&amp;isNoScr=script&amp;mode=search", "토지이음")</f>
        <v/>
      </c>
      <c r="L2061" s="3" t="inlineStr">
        <is>
          <t>흙사랑</t>
        </is>
      </c>
      <c r="M2061" s="3" t="n">
        <v>1</v>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3" t="inlineStr">
        <is>
          <t>nan</t>
        </is>
      </c>
      <c r="I2062" s="5">
        <f>HYPERLINK("https://fin.land.naver.com/articles/2644553306", "매물Link")</f>
        <v/>
      </c>
      <c r="J2062" s="5">
        <f>HYPERLINK("https://map.naver.com/p/search/나성동 829", "지도Link")</f>
        <v/>
      </c>
      <c r="K2062" s="5">
        <f>HYPERLINK("http://www.eum.go.kr/web/ar/lu/luLandDet.jsp?pnu=3611010700108290000&amp;isNoScr=script&amp;mode=search", "토지이음")</f>
        <v/>
      </c>
      <c r="L2062" s="3" t="inlineStr">
        <is>
          <t>거성  사무소</t>
        </is>
      </c>
      <c r="M2062" s="3" t="n">
        <v>1</v>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3" t="inlineStr">
        <is>
          <t>2차선도로접, 2면도로접, 마을인접, 전원주택, 태양광, 창고</t>
        </is>
      </c>
      <c r="I2063" s="5">
        <f>HYPERLINK("https://fin.land.naver.com/articles/2644798800", "매물Link")</f>
        <v/>
      </c>
      <c r="J2063" s="5">
        <f>HYPERLINK("https://map.naver.com/p/search/나성동 829", "지도Link")</f>
        <v/>
      </c>
      <c r="K2063" s="5">
        <f>HYPERLINK("http://www.eum.go.kr/web/ar/lu/luLandDet.jsp?pnu=3611010700108290000&amp;isNoScr=script&amp;mode=search", "토지이음")</f>
        <v/>
      </c>
      <c r="L2063" s="3" t="inlineStr">
        <is>
          <t>뉴욕</t>
        </is>
      </c>
      <c r="M2063" s="3" t="n">
        <v>1</v>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3" t="inlineStr">
        <is>
          <t>급매. 주말농장이나 조그많게 농사짓고싶으신분, 경영체가필요하신분 추천</t>
        </is>
      </c>
      <c r="I2064" s="5">
        <f>HYPERLINK("https://fin.land.naver.com/articles/2644808770", "매물Link")</f>
        <v/>
      </c>
      <c r="J2064" s="5">
        <f>HYPERLINK("https://map.naver.com/p/search/나성동 829", "지도Link")</f>
        <v/>
      </c>
      <c r="K2064" s="5">
        <f>HYPERLINK("http://www.eum.go.kr/web/ar/lu/luLandDet.jsp?pnu=3611010700108290000&amp;isNoScr=script&amp;mode=search", "토지이음")</f>
        <v/>
      </c>
      <c r="L2064" s="3" t="inlineStr">
        <is>
          <t>스마트랜드</t>
        </is>
      </c>
      <c r="M2064" s="3" t="n">
        <v>1</v>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3" t="inlineStr">
        <is>
          <t>2차선 도로변 생산관리지역 준보존산지 임야</t>
        </is>
      </c>
      <c r="I2065" s="5">
        <f>HYPERLINK("https://fin.land.naver.com/articles/2645526507", "매물Link")</f>
        <v/>
      </c>
      <c r="J2065" s="5">
        <f>HYPERLINK("https://map.naver.com/p/search/나성동 829", "지도Link")</f>
        <v/>
      </c>
      <c r="K2065" s="5">
        <f>HYPERLINK("http://www.eum.go.kr/web/ar/lu/luLandDet.jsp?pnu=3611010700108290000&amp;isNoScr=script&amp;mode=search", "토지이음")</f>
        <v/>
      </c>
      <c r="L2065" s="3" t="inlineStr">
        <is>
          <t>랜드맥스</t>
        </is>
      </c>
      <c r="M2065" s="3" t="n">
        <v>1</v>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3" t="inlineStr">
        <is>
          <t>nan</t>
        </is>
      </c>
      <c r="I2066" s="5">
        <f>HYPERLINK("https://fin.land.naver.com/articles/2645947417", "매물Link")</f>
        <v/>
      </c>
      <c r="J2066" s="5">
        <f>HYPERLINK("https://map.naver.com/p/search/나성동 829", "지도Link")</f>
        <v/>
      </c>
      <c r="K2066" s="5">
        <f>HYPERLINK("http://www.eum.go.kr/web/ar/lu/luLandDet.jsp?pnu=3611010700108290000&amp;isNoScr=script&amp;mode=search", "토지이음")</f>
        <v/>
      </c>
      <c r="L2066" s="3" t="inlineStr">
        <is>
          <t>가온</t>
        </is>
      </c>
      <c r="M2066" s="3" t="n">
        <v>1</v>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3" t="inlineStr">
        <is>
          <t>대학리 저렴한 임야매물,포장도로접함,관리지역,기타협의</t>
        </is>
      </c>
      <c r="I2067" s="5">
        <f>HYPERLINK("https://fin.land.naver.com/articles/2647674257", "매물Link")</f>
        <v/>
      </c>
      <c r="J2067" s="5">
        <f>HYPERLINK("https://map.naver.com/p/search/나성동 829", "지도Link")</f>
        <v/>
      </c>
      <c r="K2067" s="5">
        <f>HYPERLINK("http://www.eum.go.kr/web/ar/lu/luLandDet.jsp?pnu=3611010700108290000&amp;isNoScr=script&amp;mode=search", "토지이음")</f>
        <v/>
      </c>
      <c r="L2067" s="3" t="inlineStr">
        <is>
          <t>도안우미린사랑무소</t>
        </is>
      </c>
      <c r="M2067" s="3" t="n">
        <v>1</v>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3" t="inlineStr">
        <is>
          <t>nan</t>
        </is>
      </c>
      <c r="I2068" s="5">
        <f>HYPERLINK("https://fin.land.naver.com/articles/2648143209", "매물Link")</f>
        <v/>
      </c>
      <c r="J2068" s="5">
        <f>HYPERLINK("https://map.naver.com/p/search/나성동 829", "지도Link")</f>
        <v/>
      </c>
      <c r="K2068" s="5">
        <f>HYPERLINK("http://www.eum.go.kr/web/ar/lu/luLandDet.jsp?pnu=3611010700108290000&amp;isNoScr=script&amp;mode=search", "토지이음")</f>
        <v/>
      </c>
      <c r="L2068" s="3" t="inlineStr">
        <is>
          <t>가경</t>
        </is>
      </c>
      <c r="M2068" s="3" t="n">
        <v>1</v>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3" t="inlineStr">
        <is>
          <t>공주ktx역 인근 계획관리 농지</t>
        </is>
      </c>
      <c r="I2069" s="5">
        <f>HYPERLINK("https://fin.land.naver.com/articles/2649272613", "매물Link")</f>
        <v/>
      </c>
      <c r="J2069" s="5">
        <f>HYPERLINK("https://map.naver.com/p/search/나성동 829", "지도Link")</f>
        <v/>
      </c>
      <c r="K2069" s="5">
        <f>HYPERLINK("http://www.eum.go.kr/web/ar/lu/luLandDet.jsp?pnu=3611010700108290000&amp;isNoScr=script&amp;mode=search", "토지이음")</f>
        <v/>
      </c>
      <c r="L2069" s="3" t="inlineStr">
        <is>
          <t>금강</t>
        </is>
      </c>
      <c r="M2069" s="3" t="n">
        <v>1</v>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3" t="inlineStr">
        <is>
          <t>대지,전,답으로구성,4필지포괄매매,전원주택지와 농장으로 이용추천,도로접</t>
        </is>
      </c>
      <c r="I2070" s="5">
        <f>HYPERLINK("https://fin.land.naver.com/articles/2644517432", "매물Link")</f>
        <v/>
      </c>
      <c r="J2070" s="5">
        <f>HYPERLINK("https://map.naver.com/p/search/나성동 829", "지도Link")</f>
        <v/>
      </c>
      <c r="K2070" s="5">
        <f>HYPERLINK("http://www.eum.go.kr/web/ar/lu/luLandDet.jsp?pnu=3611010700108290000&amp;isNoScr=script&amp;mode=search", "토지이음")</f>
        <v/>
      </c>
      <c r="L2070" s="3" t="inlineStr">
        <is>
          <t>담뜰</t>
        </is>
      </c>
      <c r="M2070" s="3" t="n">
        <v>1</v>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3" t="inlineStr">
        <is>
          <t>이인면 만수리 임야, 남공주IC에서 가까우며 철탑, 분묘 없음</t>
        </is>
      </c>
      <c r="I2071" s="5">
        <f>HYPERLINK("https://fin.land.naver.com/articles/2649085971", "매물Link")</f>
        <v/>
      </c>
      <c r="J2071" s="5">
        <f>HYPERLINK("https://map.naver.com/p/search/나성동 829", "지도Link")</f>
        <v/>
      </c>
      <c r="K2071" s="5">
        <f>HYPERLINK("http://www.eum.go.kr/web/ar/lu/luLandDet.jsp?pnu=3611010700108290000&amp;isNoScr=script&amp;mode=search", "토지이음")</f>
        <v/>
      </c>
      <c r="L2071" s="3" t="inlineStr">
        <is>
          <t>(주)미르</t>
        </is>
      </c>
      <c r="M2071" s="3" t="n">
        <v>1</v>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3" t="inlineStr">
        <is>
          <t>nan</t>
        </is>
      </c>
      <c r="I2072" s="5">
        <f>HYPERLINK("https://fin.land.naver.com/articles/2644499008", "매물Link")</f>
        <v/>
      </c>
      <c r="J2072" s="5">
        <f>HYPERLINK("https://map.naver.com/p/search/나성동 829", "지도Link")</f>
        <v/>
      </c>
      <c r="K2072" s="5">
        <f>HYPERLINK("http://www.eum.go.kr/web/ar/lu/luLandDet.jsp?pnu=3611010700108290000&amp;isNoScr=script&amp;mode=search", "토지이음")</f>
        <v/>
      </c>
      <c r="L2072" s="3" t="inlineStr">
        <is>
          <t>좋은선택</t>
        </is>
      </c>
      <c r="M2072" s="3" t="n">
        <v>1</v>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3" t="inlineStr">
        <is>
          <t>현 비포장 도로 약 20미터</t>
        </is>
      </c>
      <c r="I2073" s="5">
        <f>HYPERLINK("https://fin.land.naver.com/articles/2646783876", "매물Link")</f>
        <v/>
      </c>
      <c r="J2073" s="5">
        <f>HYPERLINK("https://map.naver.com/p/search/나성동 829", "지도Link")</f>
        <v/>
      </c>
      <c r="K2073" s="5">
        <f>HYPERLINK("http://www.eum.go.kr/web/ar/lu/luLandDet.jsp?pnu=3611010700108290000&amp;isNoScr=script&amp;mode=search", "토지이음")</f>
        <v/>
      </c>
      <c r="L2073" s="3" t="inlineStr">
        <is>
          <t>동행 공인중개 사무소</t>
        </is>
      </c>
      <c r="M2073" s="3" t="n">
        <v>1</v>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3" t="inlineStr">
        <is>
          <t>계획관리지역이며 평지이고 완경사함.</t>
        </is>
      </c>
      <c r="I2074" s="5">
        <f>HYPERLINK("https://fin.land.naver.com/articles/2647081095", "매물Link")</f>
        <v/>
      </c>
      <c r="J2074" s="5">
        <f>HYPERLINK("https://map.naver.com/p/search/나성동 829", "지도Link")</f>
        <v/>
      </c>
      <c r="K2074" s="5">
        <f>HYPERLINK("http://www.eum.go.kr/web/ar/lu/luLandDet.jsp?pnu=3611010700108290000&amp;isNoScr=script&amp;mode=search", "토지이음")</f>
        <v/>
      </c>
      <c r="L2074" s="3" t="inlineStr">
        <is>
          <t>석교</t>
        </is>
      </c>
      <c r="M2074" s="3" t="n">
        <v>1</v>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3" t="inlineStr">
        <is>
          <t>nan</t>
        </is>
      </c>
      <c r="I2075" s="5">
        <f>HYPERLINK("https://fin.land.naver.com/articles/2645601301", "매물Link")</f>
        <v/>
      </c>
      <c r="J2075" s="5">
        <f>HYPERLINK("https://map.naver.com/p/search/나성동 829", "지도Link")</f>
        <v/>
      </c>
      <c r="K2075" s="5">
        <f>HYPERLINK("http://www.eum.go.kr/web/ar/lu/luLandDet.jsp?pnu=3611010700108290000&amp;isNoScr=script&amp;mode=search", "토지이음")</f>
        <v/>
      </c>
      <c r="L2075" s="3" t="inlineStr">
        <is>
          <t>대동</t>
        </is>
      </c>
      <c r="M2075" s="3" t="n">
        <v>1</v>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3" t="inlineStr">
        <is>
          <t>세종시 가까운 투자가능한 땅</t>
        </is>
      </c>
      <c r="I2076" s="5">
        <f>HYPERLINK("https://fin.land.naver.com/articles/2646675090", "매물Link")</f>
        <v/>
      </c>
      <c r="J2076" s="5">
        <f>HYPERLINK("https://map.naver.com/p/search/나성동 829", "지도Link")</f>
        <v/>
      </c>
      <c r="K2076" s="5">
        <f>HYPERLINK("http://www.eum.go.kr/web/ar/lu/luLandDet.jsp?pnu=3611010700108290000&amp;isNoScr=script&amp;mode=search", "토지이음")</f>
        <v/>
      </c>
      <c r="L2076" s="3" t="inlineStr">
        <is>
          <t>세상을여는</t>
        </is>
      </c>
      <c r="M2076" s="3" t="n">
        <v>1</v>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3" t="inlineStr">
        <is>
          <t>송선동 4m 도로에 접한 토지</t>
        </is>
      </c>
      <c r="I2077" s="5">
        <f>HYPERLINK("https://fin.land.naver.com/articles/2647111729", "매물Link")</f>
        <v/>
      </c>
      <c r="J2077" s="5">
        <f>HYPERLINK("https://map.naver.com/p/search/나성동 829", "지도Link")</f>
        <v/>
      </c>
      <c r="K2077" s="5">
        <f>HYPERLINK("http://www.eum.go.kr/web/ar/lu/luLandDet.jsp?pnu=3611010700108290000&amp;isNoScr=script&amp;mode=search", "토지이음")</f>
        <v/>
      </c>
      <c r="L2077" s="3" t="inlineStr">
        <is>
          <t>도안7단지 예미지</t>
        </is>
      </c>
      <c r="M2077" s="3" t="n">
        <v>1</v>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3" t="inlineStr">
        <is>
          <t>고향칼국수옆에 있는 땅, 송선지구 바로옆에 땅,투자가치 너무 좋은 땅</t>
        </is>
      </c>
      <c r="I2078" s="5">
        <f>HYPERLINK("https://fin.land.naver.com/articles/2648743681", "매물Link")</f>
        <v/>
      </c>
      <c r="J2078" s="5">
        <f>HYPERLINK("https://map.naver.com/p/search/나성동 829", "지도Link")</f>
        <v/>
      </c>
      <c r="K2078" s="5">
        <f>HYPERLINK("http://www.eum.go.kr/web/ar/lu/luLandDet.jsp?pnu=3611010700108290000&amp;isNoScr=script&amp;mode=search", "토지이음")</f>
        <v/>
      </c>
      <c r="L2078" s="3" t="inlineStr">
        <is>
          <t>하이스트정원</t>
        </is>
      </c>
      <c r="M2078" s="3" t="n">
        <v>1</v>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3" t="inlineStr">
        <is>
          <t>공주시 송선동 세종공주아울렛옆 부지 매매</t>
        </is>
      </c>
      <c r="I2079" s="5">
        <f>HYPERLINK("https://fin.land.naver.com/articles/2650203332", "매물Link")</f>
        <v/>
      </c>
      <c r="J2079" s="5">
        <f>HYPERLINK("https://map.naver.com/p/search/나성동 829", "지도Link")</f>
        <v/>
      </c>
      <c r="K2079" s="5">
        <f>HYPERLINK("http://www.eum.go.kr/web/ar/lu/luLandDet.jsp?pnu=3611010700108290000&amp;isNoScr=script&amp;mode=search", "토지이음")</f>
        <v/>
      </c>
      <c r="L2079" s="3" t="inlineStr">
        <is>
          <t>세종공주노심종사무소</t>
        </is>
      </c>
      <c r="M2079" s="3" t="n">
        <v>1</v>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3" t="inlineStr">
        <is>
          <t>금강 바라보는 귀한 토지 매매(식당, 판매시설, 사옥부지 추천)</t>
        </is>
      </c>
      <c r="I2080" s="5">
        <f>HYPERLINK("https://fin.land.naver.com/articles/2647120044", "매물Link")</f>
        <v/>
      </c>
      <c r="J2080" s="5">
        <f>HYPERLINK("https://map.naver.com/p/search/나성동 829", "지도Link")</f>
        <v/>
      </c>
      <c r="K2080" s="5">
        <f>HYPERLINK("http://www.eum.go.kr/web/ar/lu/luLandDet.jsp?pnu=3611010700108290000&amp;isNoScr=script&amp;mode=search", "토지이음")</f>
        <v/>
      </c>
      <c r="L2080" s="3" t="inlineStr">
        <is>
          <t>삼성사무소</t>
        </is>
      </c>
      <c r="M2080" s="3" t="n">
        <v>1</v>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3" t="inlineStr">
        <is>
          <t>금강뷰 남향 세종시청10분, 공주시 서장리동 금강이내려다보임</t>
        </is>
      </c>
      <c r="I2081" s="5">
        <f>HYPERLINK("https://fin.land.naver.com/articles/2647168835", "매물Link")</f>
        <v/>
      </c>
      <c r="J2081" s="5">
        <f>HYPERLINK("https://map.naver.com/p/search/나성동 829", "지도Link")</f>
        <v/>
      </c>
      <c r="K2081" s="5">
        <f>HYPERLINK("http://www.eum.go.kr/web/ar/lu/luLandDet.jsp?pnu=3611010700108290000&amp;isNoScr=script&amp;mode=search", "토지이음")</f>
        <v/>
      </c>
      <c r="L2081" s="3" t="inlineStr">
        <is>
          <t>마메종</t>
        </is>
      </c>
      <c r="M2081" s="3" t="n">
        <v>1</v>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3" t="inlineStr">
        <is>
          <t>농막촌집단지역으로 주말농장겸 농막지역</t>
        </is>
      </c>
      <c r="I2082" s="5">
        <f>HYPERLINK("https://fin.land.naver.com/articles/2649315962", "매물Link")</f>
        <v/>
      </c>
      <c r="J2082" s="5">
        <f>HYPERLINK("https://map.naver.com/p/search/나성동 829", "지도Link")</f>
        <v/>
      </c>
      <c r="K2082" s="5">
        <f>HYPERLINK("http://www.eum.go.kr/web/ar/lu/luLandDet.jsp?pnu=3611010700108290000&amp;isNoScr=script&amp;mode=search", "토지이음")</f>
        <v/>
      </c>
      <c r="L2082" s="3" t="inlineStr">
        <is>
          <t>새일</t>
        </is>
      </c>
      <c r="M2082" s="3" t="n">
        <v>1</v>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3" t="inlineStr">
        <is>
          <t>공주시내 인근 금강변의 네모반듯 한 도로 옆 도시지역 전</t>
        </is>
      </c>
      <c r="I2083" s="5">
        <f>HYPERLINK("https://fin.land.naver.com/articles/2649836556", "매물Link")</f>
        <v/>
      </c>
      <c r="J2083" s="5">
        <f>HYPERLINK("https://map.naver.com/p/search/나성동 829", "지도Link")</f>
        <v/>
      </c>
      <c r="K2083" s="5">
        <f>HYPERLINK("http://www.eum.go.kr/web/ar/lu/luLandDet.jsp?pnu=3611010700108290000&amp;isNoScr=script&amp;mode=search", "토지이음")</f>
        <v/>
      </c>
      <c r="L2083" s="3" t="inlineStr">
        <is>
          <t>흙사랑</t>
        </is>
      </c>
      <c r="M2083" s="3" t="n">
        <v>1</v>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3" t="inlineStr">
        <is>
          <t>공주시내 인접 언덕 위 금강 조망 고급 전원주택단지내 토지</t>
        </is>
      </c>
      <c r="I2084" s="5">
        <f>HYPERLINK("https://fin.land.naver.com/articles/2649845748", "매물Link")</f>
        <v/>
      </c>
      <c r="J2084" s="5">
        <f>HYPERLINK("https://map.naver.com/p/search/나성동 829", "지도Link")</f>
        <v/>
      </c>
      <c r="K2084" s="5">
        <f>HYPERLINK("http://www.eum.go.kr/web/ar/lu/luLandDet.jsp?pnu=3611010700108290000&amp;isNoScr=script&amp;mode=search", "토지이음")</f>
        <v/>
      </c>
      <c r="L2084" s="3" t="inlineStr">
        <is>
          <t>흙사랑</t>
        </is>
      </c>
      <c r="M2084" s="3" t="n">
        <v>1</v>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3" t="inlineStr">
        <is>
          <t>nan</t>
        </is>
      </c>
      <c r="I2085" s="5">
        <f>HYPERLINK("https://fin.land.naver.com/articles/2645773432", "매물Link")</f>
        <v/>
      </c>
      <c r="J2085" s="5">
        <f>HYPERLINK("https://map.naver.com/p/search/나성동 829", "지도Link")</f>
        <v/>
      </c>
      <c r="K2085" s="5">
        <f>HYPERLINK("http://www.eum.go.kr/web/ar/lu/luLandDet.jsp?pnu=3611010700108290000&amp;isNoScr=script&amp;mode=search", "토지이음")</f>
        <v/>
      </c>
      <c r="L2085" s="3" t="inlineStr">
        <is>
          <t>오성</t>
        </is>
      </c>
      <c r="M2085" s="3" t="n">
        <v>1</v>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3" t="inlineStr">
        <is>
          <t>nan</t>
        </is>
      </c>
      <c r="I2086" s="5">
        <f>HYPERLINK("https://fin.land.naver.com/articles/2647425707", "매물Link")</f>
        <v/>
      </c>
      <c r="J2086" s="5">
        <f>HYPERLINK("https://map.naver.com/p/search/나성동 829", "지도Link")</f>
        <v/>
      </c>
      <c r="K2086" s="5">
        <f>HYPERLINK("http://www.eum.go.kr/web/ar/lu/luLandDet.jsp?pnu=3611010700108290000&amp;isNoScr=script&amp;mode=search", "토지이음")</f>
        <v/>
      </c>
      <c r="L2086" s="3" t="inlineStr">
        <is>
          <t>백제</t>
        </is>
      </c>
      <c r="M2086" s="3" t="n">
        <v>1</v>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3" t="inlineStr">
        <is>
          <t>개발 임박한 공주시 동현동 토지입니다.</t>
        </is>
      </c>
      <c r="I2087" s="5">
        <f>HYPERLINK("https://fin.land.naver.com/articles/2646625690", "매물Link")</f>
        <v/>
      </c>
      <c r="J2087" s="5">
        <f>HYPERLINK("https://map.naver.com/p/search/나성동 829", "지도Link")</f>
        <v/>
      </c>
      <c r="K2087" s="5">
        <f>HYPERLINK("http://www.eum.go.kr/web/ar/lu/luLandDet.jsp?pnu=3611010700108290000&amp;isNoScr=script&amp;mode=search", "토지이음")</f>
        <v/>
      </c>
      <c r="L2087" s="3" t="inlineStr">
        <is>
          <t>새땅</t>
        </is>
      </c>
      <c r="M2087" s="3" t="n">
        <v>1</v>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3" t="inlineStr">
        <is>
          <t>도로수용후남는삼각형땅</t>
        </is>
      </c>
      <c r="I2088" s="5">
        <f>HYPERLINK("https://fin.land.naver.com/articles/2647437233", "매물Link")</f>
        <v/>
      </c>
      <c r="J2088" s="5">
        <f>HYPERLINK("https://map.naver.com/p/search/나성동 829", "지도Link")</f>
        <v/>
      </c>
      <c r="K2088" s="5">
        <f>HYPERLINK("http://www.eum.go.kr/web/ar/lu/luLandDet.jsp?pnu=3611010700108290000&amp;isNoScr=script&amp;mode=search", "토지이음")</f>
        <v/>
      </c>
      <c r="L2088" s="3" t="inlineStr">
        <is>
          <t>공주신세계</t>
        </is>
      </c>
      <c r="M2088" s="3" t="n">
        <v>1</v>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3" t="inlineStr">
        <is>
          <t>공주시 동현동 동현일반산업단지 창고용지 매매</t>
        </is>
      </c>
      <c r="I2089" s="5">
        <f>HYPERLINK("https://fin.land.naver.com/articles/2650203467", "매물Link")</f>
        <v/>
      </c>
      <c r="J2089" s="5">
        <f>HYPERLINK("https://map.naver.com/p/search/나성동 829", "지도Link")</f>
        <v/>
      </c>
      <c r="K2089" s="5">
        <f>HYPERLINK("http://www.eum.go.kr/web/ar/lu/luLandDet.jsp?pnu=3611010700108290000&amp;isNoScr=script&amp;mode=search", "토지이음")</f>
        <v/>
      </c>
      <c r="L2089" s="3" t="inlineStr">
        <is>
          <t>세종공주노심종사무소</t>
        </is>
      </c>
      <c r="M2089" s="3" t="n">
        <v>1</v>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3" t="inlineStr">
        <is>
          <t>nan</t>
        </is>
      </c>
      <c r="I2090" s="5">
        <f>HYPERLINK("https://fin.land.naver.com/articles/2649890213", "매물Link")</f>
        <v/>
      </c>
      <c r="J2090" s="5">
        <f>HYPERLINK("https://map.naver.com/p/search/나성동 829", "지도Link")</f>
        <v/>
      </c>
      <c r="K2090" s="5">
        <f>HYPERLINK("http://www.eum.go.kr/web/ar/lu/luLandDet.jsp?pnu=3611010700108290000&amp;isNoScr=script&amp;mode=search", "토지이음")</f>
        <v/>
      </c>
      <c r="L2090" s="3" t="inlineStr">
        <is>
          <t>컨설팅박사</t>
        </is>
      </c>
      <c r="M2090" s="3" t="n">
        <v>1</v>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3" t="inlineStr">
        <is>
          <t>nan</t>
        </is>
      </c>
      <c r="I2091" s="5">
        <f>HYPERLINK("https://fin.land.naver.com/articles/2647119937", "매물Link")</f>
        <v/>
      </c>
      <c r="J2091" s="5">
        <f>HYPERLINK("https://map.naver.com/p/search/나성동 829", "지도Link")</f>
        <v/>
      </c>
      <c r="K2091" s="5">
        <f>HYPERLINK("http://www.eum.go.kr/web/ar/lu/luLandDet.jsp?pnu=3611010700108290000&amp;isNoScr=script&amp;mode=search", "토지이음")</f>
        <v/>
      </c>
      <c r="L2091" s="3" t="inlineStr">
        <is>
          <t>가온</t>
        </is>
      </c>
      <c r="M2091" s="3" t="n">
        <v>1</v>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3" t="inlineStr">
        <is>
          <t>nan</t>
        </is>
      </c>
      <c r="I2092" s="5">
        <f>HYPERLINK("https://fin.land.naver.com/articles/2647177386", "매물Link")</f>
        <v/>
      </c>
      <c r="J2092" s="5">
        <f>HYPERLINK("https://map.naver.com/p/search/나성동 829", "지도Link")</f>
        <v/>
      </c>
      <c r="K2092" s="5">
        <f>HYPERLINK("http://www.eum.go.kr/web/ar/lu/luLandDet.jsp?pnu=3611010700108290000&amp;isNoScr=script&amp;mode=search", "토지이음")</f>
        <v/>
      </c>
      <c r="L2092" s="3" t="inlineStr">
        <is>
          <t>진솔한</t>
        </is>
      </c>
      <c r="M2092" s="3" t="n">
        <v>1</v>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3" t="inlineStr">
        <is>
          <t>1.소유자가 연세가 있으셔서 매매원함 
2.대지 413제곱미터 동시진행</t>
        </is>
      </c>
      <c r="I2093" s="5">
        <f>HYPERLINK("https://fin.land.naver.com/articles/2647425328", "매물Link")</f>
        <v/>
      </c>
      <c r="J2093" s="5">
        <f>HYPERLINK("https://map.naver.com/p/search/나성동 829", "지도Link")</f>
        <v/>
      </c>
      <c r="K2093" s="5">
        <f>HYPERLINK("http://www.eum.go.kr/web/ar/lu/luLandDet.jsp?pnu=3611010700108290000&amp;isNoScr=script&amp;mode=search", "토지이음")</f>
        <v/>
      </c>
      <c r="L2093" s="3" t="inlineStr">
        <is>
          <t>뉴위너스</t>
        </is>
      </c>
      <c r="M2093" s="3" t="n">
        <v>1</v>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3" t="inlineStr">
        <is>
          <t>멋진캠핑장 사이트 25개 연수익 25000만원정도나옴</t>
        </is>
      </c>
      <c r="I2094" s="5">
        <f>HYPERLINK("https://fin.land.naver.com/articles/2648574067", "매물Link")</f>
        <v/>
      </c>
      <c r="J2094" s="5">
        <f>HYPERLINK("https://map.naver.com/p/search/나성동 829", "지도Link")</f>
        <v/>
      </c>
      <c r="K2094" s="5">
        <f>HYPERLINK("http://www.eum.go.kr/web/ar/lu/luLandDet.jsp?pnu=3611010700108290000&amp;isNoScr=script&amp;mode=search", "토지이음")</f>
        <v/>
      </c>
      <c r="L2094" s="3" t="inlineStr">
        <is>
          <t>설화</t>
        </is>
      </c>
      <c r="M2094" s="3" t="n">
        <v>1</v>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3" t="inlineStr">
        <is>
          <t>대지, 전, 임야,하천 등 일괄매매.</t>
        </is>
      </c>
      <c r="I2095" s="5">
        <f>HYPERLINK("https://fin.land.naver.com/articles/2648833155", "매물Link")</f>
        <v/>
      </c>
      <c r="J2095" s="5">
        <f>HYPERLINK("https://map.naver.com/p/search/나성동 829", "지도Link")</f>
        <v/>
      </c>
      <c r="K2095" s="5">
        <f>HYPERLINK("http://www.eum.go.kr/web/ar/lu/luLandDet.jsp?pnu=3611010700108290000&amp;isNoScr=script&amp;mode=search", "토지이음")</f>
        <v/>
      </c>
      <c r="L2095" s="3" t="inlineStr">
        <is>
          <t>백제</t>
        </is>
      </c>
      <c r="M2095" s="3" t="n">
        <v>1</v>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3" t="inlineStr">
        <is>
          <t>석산.바로50미터앞공장있음 접근성좋음 개발이익기대</t>
        </is>
      </c>
      <c r="I2096" s="5">
        <f>HYPERLINK("https://fin.land.naver.com/articles/2649078563", "매물Link")</f>
        <v/>
      </c>
      <c r="J2096" s="5">
        <f>HYPERLINK("https://map.naver.com/p/search/나성동 829", "지도Link")</f>
        <v/>
      </c>
      <c r="K2096" s="5">
        <f>HYPERLINK("http://www.eum.go.kr/web/ar/lu/luLandDet.jsp?pnu=3611010700108290000&amp;isNoScr=script&amp;mode=search", "토지이음")</f>
        <v/>
      </c>
      <c r="L2096" s="3" t="inlineStr">
        <is>
          <t>김도희</t>
        </is>
      </c>
      <c r="M2096" s="3" t="n">
        <v>1</v>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3" t="inlineStr">
        <is>
          <t>낮은임야.</t>
        </is>
      </c>
      <c r="I2097" s="5">
        <f>HYPERLINK("https://fin.land.naver.com/articles/2649367225", "매물Link")</f>
        <v/>
      </c>
      <c r="J2097" s="5">
        <f>HYPERLINK("https://map.naver.com/p/search/나성동 829", "지도Link")</f>
        <v/>
      </c>
      <c r="K2097" s="5">
        <f>HYPERLINK("http://www.eum.go.kr/web/ar/lu/luLandDet.jsp?pnu=3611010700108290000&amp;isNoScr=script&amp;mode=search", "토지이음")</f>
        <v/>
      </c>
      <c r="L2097" s="3" t="inlineStr">
        <is>
          <t>신동아</t>
        </is>
      </c>
      <c r="M2097" s="3" t="n">
        <v>1</v>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3" t="inlineStr">
        <is>
          <t>도로접한 임야</t>
        </is>
      </c>
      <c r="I2098" s="5">
        <f>HYPERLINK("https://fin.land.naver.com/articles/2649532709", "매물Link")</f>
        <v/>
      </c>
      <c r="J2098" s="5">
        <f>HYPERLINK("https://map.naver.com/p/search/나성동 829", "지도Link")</f>
        <v/>
      </c>
      <c r="K2098" s="5">
        <f>HYPERLINK("http://www.eum.go.kr/web/ar/lu/luLandDet.jsp?pnu=3611010700108290000&amp;isNoScr=script&amp;mode=search", "토지이음")</f>
        <v/>
      </c>
      <c r="L2098" s="3" t="inlineStr">
        <is>
          <t>천안도시무소</t>
        </is>
      </c>
      <c r="M2098" s="3" t="n">
        <v>1</v>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3" t="inlineStr">
        <is>
          <t>공주시 유구읍 금계산 기슭 자연쉼터,캠핑부지 매매</t>
        </is>
      </c>
      <c r="I2099" s="5">
        <f>HYPERLINK("https://fin.land.naver.com/articles/2650203119", "매물Link")</f>
        <v/>
      </c>
      <c r="J2099" s="5">
        <f>HYPERLINK("https://map.naver.com/p/search/나성동 829", "지도Link")</f>
        <v/>
      </c>
      <c r="K2099" s="5">
        <f>HYPERLINK("http://www.eum.go.kr/web/ar/lu/luLandDet.jsp?pnu=3611010700108290000&amp;isNoScr=script&amp;mode=search", "토지이음")</f>
        <v/>
      </c>
      <c r="L2099" s="3" t="inlineStr">
        <is>
          <t>세종공주노심종사무소</t>
        </is>
      </c>
      <c r="M2099" s="3" t="n">
        <v>1</v>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3" t="inlineStr">
        <is>
          <t>저렴한가격,유구ic인접,투자추천,2필지,</t>
        </is>
      </c>
      <c r="I2100" s="5">
        <f>HYPERLINK("https://fin.land.naver.com/articles/2650213302", "매물Link")</f>
        <v/>
      </c>
      <c r="J2100" s="5">
        <f>HYPERLINK("https://map.naver.com/p/search/나성동 829", "지도Link")</f>
        <v/>
      </c>
      <c r="K2100" s="5">
        <f>HYPERLINK("http://www.eum.go.kr/web/ar/lu/luLandDet.jsp?pnu=3611010700108290000&amp;isNoScr=script&amp;mode=search", "토지이음")</f>
        <v/>
      </c>
      <c r="L2100" s="3" t="inlineStr">
        <is>
          <t>북수원</t>
        </is>
      </c>
      <c r="M2100" s="3" t="n">
        <v>1</v>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3" t="inlineStr">
        <is>
          <t>공주시유구읍석남리토지매매</t>
        </is>
      </c>
      <c r="I2101" s="5">
        <f>HYPERLINK("https://fin.land.naver.com/articles/2644390471", "매물Link")</f>
        <v/>
      </c>
      <c r="J2101" s="5">
        <f>HYPERLINK("https://map.naver.com/p/search/나성동 829", "지도Link")</f>
        <v/>
      </c>
      <c r="K2101" s="5">
        <f>HYPERLINK("http://www.eum.go.kr/web/ar/lu/luLandDet.jsp?pnu=3611010700108290000&amp;isNoScr=script&amp;mode=search", "토지이음")</f>
        <v/>
      </c>
      <c r="L2101" s="3" t="inlineStr">
        <is>
          <t>컨설팅박사</t>
        </is>
      </c>
      <c r="M2101" s="3" t="n">
        <v>1</v>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3" t="inlineStr">
        <is>
          <t>nan</t>
        </is>
      </c>
      <c r="I2102" s="5">
        <f>HYPERLINK("https://fin.land.naver.com/articles/2644261916", "매물Link")</f>
        <v/>
      </c>
      <c r="J2102" s="5">
        <f>HYPERLINK("https://map.naver.com/p/search/나성동 829", "지도Link")</f>
        <v/>
      </c>
      <c r="K2102" s="5">
        <f>HYPERLINK("http://www.eum.go.kr/web/ar/lu/luLandDet.jsp?pnu=3611010700108290000&amp;isNoScr=script&amp;mode=search", "토지이음")</f>
        <v/>
      </c>
      <c r="L2102" s="3" t="inlineStr">
        <is>
          <t>정문리슈빌</t>
        </is>
      </c>
      <c r="M2102" s="3" t="n">
        <v>1</v>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3" t="inlineStr">
        <is>
          <t>Point 자연인 추천 토지, 구거 접한 농림지역 임업용, 계획관리 일부</t>
        </is>
      </c>
      <c r="I2103" s="5">
        <f>HYPERLINK("https://fin.land.naver.com/articles/2646864266", "매물Link")</f>
        <v/>
      </c>
      <c r="J2103" s="5">
        <f>HYPERLINK("https://map.naver.com/p/search/나성동 829", "지도Link")</f>
        <v/>
      </c>
      <c r="K2103" s="5">
        <f>HYPERLINK("http://www.eum.go.kr/web/ar/lu/luLandDet.jsp?pnu=3611010700108290000&amp;isNoScr=script&amp;mode=search", "토지이음")</f>
        <v/>
      </c>
      <c r="L2103" s="3" t="inlineStr">
        <is>
          <t>도마호반</t>
        </is>
      </c>
      <c r="M2103" s="3" t="n">
        <v>1</v>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3" t="inlineStr">
        <is>
          <t>계획관리지역 성장관리계획구역</t>
        </is>
      </c>
      <c r="I2104" s="5">
        <f>HYPERLINK("https://fin.land.naver.com/articles/2646396954", "매물Link")</f>
        <v/>
      </c>
      <c r="J2104" s="5">
        <f>HYPERLINK("https://map.naver.com/p/search/나성동 829", "지도Link")</f>
        <v/>
      </c>
      <c r="K2104" s="5">
        <f>HYPERLINK("http://www.eum.go.kr/web/ar/lu/luLandDet.jsp?pnu=3611010700108290000&amp;isNoScr=script&amp;mode=search", "토지이음")</f>
        <v/>
      </c>
      <c r="L2104" s="3" t="inlineStr">
        <is>
          <t>SM</t>
        </is>
      </c>
      <c r="M2104" s="3" t="n">
        <v>1</v>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3" t="inlineStr">
        <is>
          <t>계획관리지역 성장관리계획구역</t>
        </is>
      </c>
      <c r="I2105" s="5">
        <f>HYPERLINK("https://fin.land.naver.com/articles/2646397522", "매물Link")</f>
        <v/>
      </c>
      <c r="J2105" s="5">
        <f>HYPERLINK("https://map.naver.com/p/search/나성동 829", "지도Link")</f>
        <v/>
      </c>
      <c r="K2105" s="5">
        <f>HYPERLINK("http://www.eum.go.kr/web/ar/lu/luLandDet.jsp?pnu=3611010700108290000&amp;isNoScr=script&amp;mode=search", "토지이음")</f>
        <v/>
      </c>
      <c r="L2105" s="3" t="inlineStr">
        <is>
          <t>SM</t>
        </is>
      </c>
      <c r="M2105" s="3" t="n">
        <v>1</v>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3" t="inlineStr">
        <is>
          <t>혐오시설 없는 청정마을, 저렴한 금액의 계획관리지역 토지</t>
        </is>
      </c>
      <c r="I2106" s="5">
        <f>HYPERLINK("https://fin.land.naver.com/articles/2649837405", "매물Link")</f>
        <v/>
      </c>
      <c r="J2106" s="5">
        <f>HYPERLINK("https://map.naver.com/p/search/나성동 829", "지도Link")</f>
        <v/>
      </c>
      <c r="K2106" s="5">
        <f>HYPERLINK("http://www.eum.go.kr/web/ar/lu/luLandDet.jsp?pnu=3611010700108290000&amp;isNoScr=script&amp;mode=search", "토지이음")</f>
        <v/>
      </c>
      <c r="L2106" s="3" t="inlineStr">
        <is>
          <t>흙사랑</t>
        </is>
      </c>
      <c r="M2106" s="3" t="n">
        <v>1</v>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3" t="inlineStr">
        <is>
          <t>마을 안 산골마을에 위치한 작고 저렴한 금액의 계획관리 토지</t>
        </is>
      </c>
      <c r="I2107" s="5">
        <f>HYPERLINK("https://fin.land.naver.com/articles/2649861224", "매물Link")</f>
        <v/>
      </c>
      <c r="J2107" s="5">
        <f>HYPERLINK("https://map.naver.com/p/search/나성동 829", "지도Link")</f>
        <v/>
      </c>
      <c r="K2107" s="5">
        <f>HYPERLINK("http://www.eum.go.kr/web/ar/lu/luLandDet.jsp?pnu=3611010700108290000&amp;isNoScr=script&amp;mode=search", "토지이음")</f>
        <v/>
      </c>
      <c r="L2107" s="3" t="inlineStr">
        <is>
          <t>흙사랑</t>
        </is>
      </c>
      <c r="M2107" s="3" t="n">
        <v>1</v>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3" t="inlineStr">
        <is>
          <t>nan</t>
        </is>
      </c>
      <c r="I2108" s="5">
        <f>HYPERLINK("https://fin.land.naver.com/articles/2647677857", "매물Link")</f>
        <v/>
      </c>
      <c r="J2108" s="5">
        <f>HYPERLINK("https://map.naver.com/p/search/나성동 829", "지도Link")</f>
        <v/>
      </c>
      <c r="K2108" s="5">
        <f>HYPERLINK("http://www.eum.go.kr/web/ar/lu/luLandDet.jsp?pnu=3611010700108290000&amp;isNoScr=script&amp;mode=search", "토지이음")</f>
        <v/>
      </c>
      <c r="L2108" s="3" t="inlineStr">
        <is>
          <t>백제</t>
        </is>
      </c>
      <c r="M2108" s="3" t="n">
        <v>1</v>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3" t="inlineStr">
        <is>
          <t>매매 강추  한 필지가 아닌 두 필지 상세 설명 필독</t>
        </is>
      </c>
      <c r="I2109" s="5">
        <f>HYPERLINK("https://fin.land.naver.com/articles/2647797622", "매물Link")</f>
        <v/>
      </c>
      <c r="J2109" s="5">
        <f>HYPERLINK("https://map.naver.com/p/search/나성동 829", "지도Link")</f>
        <v/>
      </c>
      <c r="K2109" s="5">
        <f>HYPERLINK("http://www.eum.go.kr/web/ar/lu/luLandDet.jsp?pnu=3611010700108290000&amp;isNoScr=script&amp;mode=search", "토지이음")</f>
        <v/>
      </c>
      <c r="L2109" s="3" t="inlineStr">
        <is>
          <t>오송퍼스트영웅</t>
        </is>
      </c>
      <c r="M2109" s="3" t="n">
        <v>1</v>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3" t="inlineStr">
        <is>
          <t>다가구건축가능한 나대지이며 입지최상임</t>
        </is>
      </c>
      <c r="I2110" s="5">
        <f>HYPERLINK("https://fin.land.naver.com/articles/2647246276", "매물Link")</f>
        <v/>
      </c>
      <c r="J2110" s="5">
        <f>HYPERLINK("https://map.naver.com/p/search/나성동 829", "지도Link")</f>
        <v/>
      </c>
      <c r="K2110" s="5">
        <f>HYPERLINK("http://www.eum.go.kr/web/ar/lu/luLandDet.jsp?pnu=3611010700108290000&amp;isNoScr=script&amp;mode=search", "토지이음")</f>
        <v/>
      </c>
      <c r="L2110" s="3" t="inlineStr">
        <is>
          <t>도안트리풀행운</t>
        </is>
      </c>
      <c r="M2110" s="3" t="n">
        <v>1</v>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3" t="inlineStr">
        <is>
          <t>오창읍 석우뜰로서  미호강 제방 인접 농지</t>
        </is>
      </c>
      <c r="I2111" s="5">
        <f>HYPERLINK("https://fin.land.naver.com/articles/2647734662", "매물Link")</f>
        <v/>
      </c>
      <c r="J2111" s="5">
        <f>HYPERLINK("https://map.naver.com/p/search/나성동 829", "지도Link")</f>
        <v/>
      </c>
      <c r="K2111" s="5">
        <f>HYPERLINK("http://www.eum.go.kr/web/ar/lu/luLandDet.jsp?pnu=3611010700108290000&amp;isNoScr=script&amp;mode=search", "토지이음")</f>
        <v/>
      </c>
      <c r="L2111" s="3" t="inlineStr">
        <is>
          <t>좋은</t>
        </is>
      </c>
      <c r="M2111" s="3" t="n">
        <v>1</v>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3" t="inlineStr">
        <is>
          <t>성산저수지 인근 호수가 보이는 임야로 관광농원,카페,숙박,전원주택개발추천</t>
        </is>
      </c>
      <c r="I2112" s="5">
        <f>HYPERLINK("https://fin.land.naver.com/articles/2647833632", "매물Link")</f>
        <v/>
      </c>
      <c r="J2112" s="5">
        <f>HYPERLINK("https://map.naver.com/p/search/나성동 829", "지도Link")</f>
        <v/>
      </c>
      <c r="K2112" s="5">
        <f>HYPERLINK("http://www.eum.go.kr/web/ar/lu/luLandDet.jsp?pnu=3611010700108290000&amp;isNoScr=script&amp;mode=search", "토지이음")</f>
        <v/>
      </c>
      <c r="L2112" s="3" t="inlineStr">
        <is>
          <t>모아</t>
        </is>
      </c>
      <c r="M2112" s="3" t="n">
        <v>1</v>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3" t="inlineStr">
        <is>
          <t>중부고속도로JC근접 및 중부대로에 근접한 용도 다양한 토지</t>
        </is>
      </c>
      <c r="I2113" s="5">
        <f>HYPERLINK("https://fin.land.naver.com/articles/2647771316", "매물Link")</f>
        <v/>
      </c>
      <c r="J2113" s="5">
        <f>HYPERLINK("https://map.naver.com/p/search/나성동 829", "지도Link")</f>
        <v/>
      </c>
      <c r="K2113" s="5">
        <f>HYPERLINK("http://www.eum.go.kr/web/ar/lu/luLandDet.jsp?pnu=3611010700108290000&amp;isNoScr=script&amp;mode=search", "토지이음")</f>
        <v/>
      </c>
      <c r="L2113" s="3" t="inlineStr">
        <is>
          <t>좋은</t>
        </is>
      </c>
      <c r="M2113" s="3" t="n">
        <v>1</v>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3" t="inlineStr">
        <is>
          <t>방사광가속기가 구축되는 오창테크노폴리스의 주도로에 접한 나대지</t>
        </is>
      </c>
      <c r="I2114" s="5">
        <f>HYPERLINK("https://fin.land.naver.com/articles/2646654665", "매물Link")</f>
        <v/>
      </c>
      <c r="J2114" s="5">
        <f>HYPERLINK("https://map.naver.com/p/search/나성동 829", "지도Link")</f>
        <v/>
      </c>
      <c r="K2114" s="5">
        <f>HYPERLINK("http://www.eum.go.kr/web/ar/lu/luLandDet.jsp?pnu=3611010700108290000&amp;isNoScr=script&amp;mode=search", "토지이음")</f>
        <v/>
      </c>
      <c r="L2114" s="3" t="inlineStr">
        <is>
          <t>강문구</t>
        </is>
      </c>
      <c r="M2114" s="3" t="n">
        <v>1</v>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3" t="inlineStr">
        <is>
          <t>오창테크노폴리스 일반산업단지 인근 투자용 적합</t>
        </is>
      </c>
      <c r="I2115" s="5">
        <f>HYPERLINK("https://fin.land.naver.com/articles/2649662128", "매물Link")</f>
        <v/>
      </c>
      <c r="J2115" s="5">
        <f>HYPERLINK("https://map.naver.com/p/search/나성동 829", "지도Link")</f>
        <v/>
      </c>
      <c r="K2115" s="5">
        <f>HYPERLINK("http://www.eum.go.kr/web/ar/lu/luLandDet.jsp?pnu=3611010700108290000&amp;isNoScr=script&amp;mode=search", "토지이음")</f>
        <v/>
      </c>
      <c r="L2115" s="3" t="inlineStr">
        <is>
          <t>더원</t>
        </is>
      </c>
      <c r="M2115" s="3" t="n">
        <v>1</v>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3" t="inlineStr">
        <is>
          <t>전원주택지최적, 투자,텃밭농사,오창4산단인근</t>
        </is>
      </c>
      <c r="I2116" s="5">
        <f>HYPERLINK("https://fin.land.naver.com/articles/2649775897", "매물Link")</f>
        <v/>
      </c>
      <c r="J2116" s="5">
        <f>HYPERLINK("https://map.naver.com/p/search/나성동 829", "지도Link")</f>
        <v/>
      </c>
      <c r="K2116" s="5">
        <f>HYPERLINK("http://www.eum.go.kr/web/ar/lu/luLandDet.jsp?pnu=3611010700108290000&amp;isNoScr=script&amp;mode=search", "토지이음")</f>
        <v/>
      </c>
      <c r="L2116" s="3" t="inlineStr">
        <is>
          <t>이박사</t>
        </is>
      </c>
      <c r="M2116" s="3" t="n">
        <v>1</v>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3" t="inlineStr">
        <is>
          <t>오창중심상가.용적율1,000,호텔,오피스텔추천,오피허가득,투자</t>
        </is>
      </c>
      <c r="I2117" s="5">
        <f>HYPERLINK("https://fin.land.naver.com/articles/2649776436", "매물Link")</f>
        <v/>
      </c>
      <c r="J2117" s="5">
        <f>HYPERLINK("https://map.naver.com/p/search/나성동 829", "지도Link")</f>
        <v/>
      </c>
      <c r="K2117" s="5">
        <f>HYPERLINK("http://www.eum.go.kr/web/ar/lu/luLandDet.jsp?pnu=3611010700108290000&amp;isNoScr=script&amp;mode=search", "토지이음")</f>
        <v/>
      </c>
      <c r="L2117" s="3" t="inlineStr">
        <is>
          <t>이박사</t>
        </is>
      </c>
      <c r="M2117" s="3" t="n">
        <v>3</v>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3" t="inlineStr">
        <is>
          <t>nan</t>
        </is>
      </c>
      <c r="I2118" s="5">
        <f>HYPERLINK("https://fin.land.naver.com/articles/2644356538", "매물Link")</f>
        <v/>
      </c>
      <c r="J2118" s="5">
        <f>HYPERLINK("https://map.naver.com/p/search/나성동 829", "지도Link")</f>
        <v/>
      </c>
      <c r="K2118" s="5">
        <f>HYPERLINK("http://www.eum.go.kr/web/ar/lu/luLandDet.jsp?pnu=3611010700108290000&amp;isNoScr=script&amp;mode=search", "토지이음")</f>
        <v/>
      </c>
      <c r="L2118" s="3" t="inlineStr">
        <is>
          <t>대한</t>
        </is>
      </c>
      <c r="M2118" s="3" t="n">
        <v>1</v>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3" t="inlineStr">
        <is>
          <t>포장도로에 접한 대지 귀한매물입니다 주택 창고 근생등 다양한 활용가능</t>
        </is>
      </c>
      <c r="I2119" s="5">
        <f>HYPERLINK("https://fin.land.naver.com/articles/2644517971", "매물Link")</f>
        <v/>
      </c>
      <c r="J2119" s="5">
        <f>HYPERLINK("https://map.naver.com/p/search/나성동 829", "지도Link")</f>
        <v/>
      </c>
      <c r="K2119" s="5">
        <f>HYPERLINK("http://www.eum.go.kr/web/ar/lu/luLandDet.jsp?pnu=3611010700108290000&amp;isNoScr=script&amp;mode=search", "토지이음")</f>
        <v/>
      </c>
      <c r="L2119" s="3" t="inlineStr">
        <is>
          <t>미래</t>
        </is>
      </c>
      <c r="M2119" s="3" t="n">
        <v>1</v>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3" t="inlineStr">
        <is>
          <t>nan</t>
        </is>
      </c>
      <c r="I2120" s="5">
        <f>HYPERLINK("https://fin.land.naver.com/articles/2645493309", "매물Link")</f>
        <v/>
      </c>
      <c r="J2120" s="5">
        <f>HYPERLINK("https://map.naver.com/p/search/나성동 829", "지도Link")</f>
        <v/>
      </c>
      <c r="K2120" s="5">
        <f>HYPERLINK("http://www.eum.go.kr/web/ar/lu/luLandDet.jsp?pnu=3611010700108290000&amp;isNoScr=script&amp;mode=search", "토지이음")</f>
        <v/>
      </c>
      <c r="L2120" s="3" t="inlineStr">
        <is>
          <t>규담무소</t>
        </is>
      </c>
      <c r="M2120" s="3" t="n">
        <v>1</v>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3" t="inlineStr">
        <is>
          <t>nan</t>
        </is>
      </c>
      <c r="I2121" s="5">
        <f>HYPERLINK("https://fin.land.naver.com/articles/2645493969", "매물Link")</f>
        <v/>
      </c>
      <c r="J2121" s="5">
        <f>HYPERLINK("https://map.naver.com/p/search/나성동 829", "지도Link")</f>
        <v/>
      </c>
      <c r="K2121" s="5">
        <f>HYPERLINK("http://www.eum.go.kr/web/ar/lu/luLandDet.jsp?pnu=3611010700108290000&amp;isNoScr=script&amp;mode=search", "토지이음")</f>
        <v/>
      </c>
      <c r="L2121" s="3" t="inlineStr">
        <is>
          <t>규담무소</t>
        </is>
      </c>
      <c r="M2121" s="3" t="n">
        <v>1</v>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3" t="inlineStr">
        <is>
          <t>nan</t>
        </is>
      </c>
      <c r="I2122" s="5">
        <f>HYPERLINK("https://fin.land.naver.com/articles/2645494621", "매물Link")</f>
        <v/>
      </c>
      <c r="J2122" s="5">
        <f>HYPERLINK("https://map.naver.com/p/search/나성동 829", "지도Link")</f>
        <v/>
      </c>
      <c r="K2122" s="5">
        <f>HYPERLINK("http://www.eum.go.kr/web/ar/lu/luLandDet.jsp?pnu=3611010700108290000&amp;isNoScr=script&amp;mode=search", "토지이음")</f>
        <v/>
      </c>
      <c r="L2122" s="3" t="inlineStr">
        <is>
          <t>규담무소</t>
        </is>
      </c>
      <c r="M2122" s="3" t="n">
        <v>1</v>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3" t="inlineStr">
        <is>
          <t>nan</t>
        </is>
      </c>
      <c r="I2123" s="5">
        <f>HYPERLINK("https://fin.land.naver.com/articles/2645494847", "매물Link")</f>
        <v/>
      </c>
      <c r="J2123" s="5">
        <f>HYPERLINK("https://map.naver.com/p/search/나성동 829", "지도Link")</f>
        <v/>
      </c>
      <c r="K2123" s="5">
        <f>HYPERLINK("http://www.eum.go.kr/web/ar/lu/luLandDet.jsp?pnu=3611010700108290000&amp;isNoScr=script&amp;mode=search", "토지이음")</f>
        <v/>
      </c>
      <c r="L2123" s="3" t="inlineStr">
        <is>
          <t>규담무소</t>
        </is>
      </c>
      <c r="M2123" s="3" t="n">
        <v>1</v>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3" t="inlineStr">
        <is>
          <t>수름재 삼거리 근접한 주택지 입니다.</t>
        </is>
      </c>
      <c r="I2124" s="5">
        <f>HYPERLINK("https://fin.land.naver.com/articles/2645696942", "매물Link")</f>
        <v/>
      </c>
      <c r="J2124" s="5">
        <f>HYPERLINK("https://map.naver.com/p/search/나성동 829", "지도Link")</f>
        <v/>
      </c>
      <c r="K2124" s="5">
        <f>HYPERLINK("http://www.eum.go.kr/web/ar/lu/luLandDet.jsp?pnu=3611010700108290000&amp;isNoScr=script&amp;mode=search", "토지이음")</f>
        <v/>
      </c>
      <c r="L2124" s="3" t="inlineStr">
        <is>
          <t>굿모닝합동</t>
        </is>
      </c>
      <c r="M2124" s="3" t="n">
        <v>1</v>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3" t="inlineStr">
        <is>
          <t>충북보건전문대학교 인근에 위치</t>
        </is>
      </c>
      <c r="I2125" s="5">
        <f>HYPERLINK("https://fin.land.naver.com/articles/2645774884", "매물Link")</f>
        <v/>
      </c>
      <c r="J2125" s="5">
        <f>HYPERLINK("https://map.naver.com/p/search/나성동 829", "지도Link")</f>
        <v/>
      </c>
      <c r="K2125" s="5">
        <f>HYPERLINK("http://www.eum.go.kr/web/ar/lu/luLandDet.jsp?pnu=3611010700108290000&amp;isNoScr=script&amp;mode=search", "토지이음")</f>
        <v/>
      </c>
      <c r="L2125" s="3" t="inlineStr">
        <is>
          <t>일조</t>
        </is>
      </c>
      <c r="M2125" s="3" t="n">
        <v>1</v>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3" t="inlineStr">
        <is>
          <t>전원주택용지 추천 현재 토목공사진행중</t>
        </is>
      </c>
      <c r="I2126" s="5">
        <f>HYPERLINK("https://fin.land.naver.com/articles/2645839911", "매물Link")</f>
        <v/>
      </c>
      <c r="J2126" s="5">
        <f>HYPERLINK("https://map.naver.com/p/search/나성동 829", "지도Link")</f>
        <v/>
      </c>
      <c r="K2126" s="5">
        <f>HYPERLINK("http://www.eum.go.kr/web/ar/lu/luLandDet.jsp?pnu=3611010700108290000&amp;isNoScr=script&amp;mode=search", "토지이음")</f>
        <v/>
      </c>
      <c r="L2126" s="3" t="inlineStr">
        <is>
          <t>테크노지웰탑</t>
        </is>
      </c>
      <c r="M2126" s="3" t="n">
        <v>1</v>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3" t="inlineStr">
        <is>
          <t>투자용 매42000만원 현황 답</t>
        </is>
      </c>
      <c r="I2127" s="5">
        <f>HYPERLINK("https://fin.land.naver.com/articles/2646480264", "매물Link")</f>
        <v/>
      </c>
      <c r="J2127" s="5">
        <f>HYPERLINK("https://map.naver.com/p/search/나성동 829", "지도Link")</f>
        <v/>
      </c>
      <c r="K2127" s="5">
        <f>HYPERLINK("http://www.eum.go.kr/web/ar/lu/luLandDet.jsp?pnu=3611010700108290000&amp;isNoScr=script&amp;mode=search", "토지이음")</f>
        <v/>
      </c>
      <c r="L2127" s="3" t="inlineStr">
        <is>
          <t>열린호반  사무소</t>
        </is>
      </c>
      <c r="M2127" s="3" t="n">
        <v>1</v>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3" t="inlineStr">
        <is>
          <t>nan</t>
        </is>
      </c>
      <c r="I2128" s="5">
        <f>HYPERLINK("https://fin.land.naver.com/articles/2646499500", "매물Link")</f>
        <v/>
      </c>
      <c r="J2128" s="5">
        <f>HYPERLINK("https://map.naver.com/p/search/나성동 829", "지도Link")</f>
        <v/>
      </c>
      <c r="K2128" s="5">
        <f>HYPERLINK("http://www.eum.go.kr/web/ar/lu/luLandDet.jsp?pnu=3611010700108290000&amp;isNoScr=script&amp;mode=search", "토지이음")</f>
        <v/>
      </c>
      <c r="L2128" s="3" t="inlineStr">
        <is>
          <t>국제</t>
        </is>
      </c>
      <c r="M2128" s="3" t="n">
        <v>1</v>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3" t="inlineStr">
        <is>
          <t>생산관리지역, 전으로 이용중, 주말농장용</t>
        </is>
      </c>
      <c r="I2129" s="5">
        <f>HYPERLINK("https://fin.land.naver.com/articles/2646675072", "매물Link")</f>
        <v/>
      </c>
      <c r="J2129" s="5">
        <f>HYPERLINK("https://map.naver.com/p/search/나성동 829", "지도Link")</f>
        <v/>
      </c>
      <c r="K2129" s="5">
        <f>HYPERLINK("http://www.eum.go.kr/web/ar/lu/luLandDet.jsp?pnu=3611010700108290000&amp;isNoScr=script&amp;mode=search", "토지이음")</f>
        <v/>
      </c>
      <c r="L2129" s="3" t="inlineStr">
        <is>
          <t>세상을여는</t>
        </is>
      </c>
      <c r="M2129" s="3" t="n">
        <v>1</v>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3" t="inlineStr">
        <is>
          <t>계획관리지역 2면이 도로접  창고 주택  투자용으로 추천</t>
        </is>
      </c>
      <c r="I2130" s="5">
        <f>HYPERLINK("https://fin.land.naver.com/articles/2649047399", "매물Link")</f>
        <v/>
      </c>
      <c r="J2130" s="5">
        <f>HYPERLINK("https://map.naver.com/p/search/나성동 829", "지도Link")</f>
        <v/>
      </c>
      <c r="K2130" s="5">
        <f>HYPERLINK("http://www.eum.go.kr/web/ar/lu/luLandDet.jsp?pnu=3611010700108290000&amp;isNoScr=script&amp;mode=search", "토지이음")</f>
        <v/>
      </c>
      <c r="L2130" s="3" t="inlineStr">
        <is>
          <t>조은</t>
        </is>
      </c>
      <c r="M2130" s="3" t="n">
        <v>1</v>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3" t="inlineStr">
        <is>
          <t>오창읍 여천리 토지.2차선접, 배산임수, 체류형쉼터, 주말농장</t>
        </is>
      </c>
      <c r="I2131" s="5">
        <f>HYPERLINK("https://fin.land.naver.com/articles/2649236532", "매물Link")</f>
        <v/>
      </c>
      <c r="J2131" s="5">
        <f>HYPERLINK("https://map.naver.com/p/search/나성동 829", "지도Link")</f>
        <v/>
      </c>
      <c r="K2131" s="5">
        <f>HYPERLINK("http://www.eum.go.kr/web/ar/lu/luLandDet.jsp?pnu=3611010700108290000&amp;isNoScr=script&amp;mode=search", "토지이음")</f>
        <v/>
      </c>
      <c r="L2131" s="3" t="inlineStr">
        <is>
          <t>진</t>
        </is>
      </c>
      <c r="M2131" s="3" t="n">
        <v>1</v>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3" t="inlineStr">
        <is>
          <t>오창i,c 10분 인,허가 토목공사완료된 제조업소부지</t>
        </is>
      </c>
      <c r="I2132" s="5">
        <f>HYPERLINK("https://fin.land.naver.com/articles/2644563255", "매물Link")</f>
        <v/>
      </c>
      <c r="J2132" s="5">
        <f>HYPERLINK("https://map.naver.com/p/search/나성동 829", "지도Link")</f>
        <v/>
      </c>
      <c r="K2132" s="5">
        <f>HYPERLINK("http://www.eum.go.kr/web/ar/lu/luLandDet.jsp?pnu=3611010700108290000&amp;isNoScr=script&amp;mode=search", "토지이음")</f>
        <v/>
      </c>
      <c r="L2132" s="3" t="inlineStr">
        <is>
          <t>공장365</t>
        </is>
      </c>
      <c r="M2132" s="3" t="n">
        <v>1</v>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3" t="inlineStr">
        <is>
          <t>계획관리지역 매실수80그루있어요.</t>
        </is>
      </c>
      <c r="I2133" s="5">
        <f>HYPERLINK("https://fin.land.naver.com/articles/2648781343", "매물Link")</f>
        <v/>
      </c>
      <c r="J2133" s="5">
        <f>HYPERLINK("https://map.naver.com/p/search/나성동 829", "지도Link")</f>
        <v/>
      </c>
      <c r="K2133" s="5">
        <f>HYPERLINK("http://www.eum.go.kr/web/ar/lu/luLandDet.jsp?pnu=3611010700108290000&amp;isNoScr=script&amp;mode=search", "토지이음")</f>
        <v/>
      </c>
      <c r="L2133" s="3" t="inlineStr">
        <is>
          <t>밝은해</t>
        </is>
      </c>
      <c r="M2133" s="3" t="n">
        <v>1</v>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3" t="inlineStr">
        <is>
          <t>청주,증평4차선인근.2차선접.1종근린시설있음</t>
        </is>
      </c>
      <c r="I2134" s="5">
        <f>HYPERLINK("https://fin.land.naver.com/articles/2648996116", "매물Link")</f>
        <v/>
      </c>
      <c r="J2134" s="5">
        <f>HYPERLINK("https://map.naver.com/p/search/나성동 829", "지도Link")</f>
        <v/>
      </c>
      <c r="K2134" s="5">
        <f>HYPERLINK("http://www.eum.go.kr/web/ar/lu/luLandDet.jsp?pnu=3611010700108290000&amp;isNoScr=script&amp;mode=search", "토지이음")</f>
        <v/>
      </c>
      <c r="L2134" s="3" t="inlineStr">
        <is>
          <t>강변</t>
        </is>
      </c>
      <c r="M2134" s="3" t="n">
        <v>1</v>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3" t="inlineStr">
        <is>
          <t>급매.전원주택추천.공기좋은마을.초정약수터1키로.시원한뷰.마을안버스</t>
        </is>
      </c>
      <c r="I2135" s="5">
        <f>HYPERLINK("https://fin.land.naver.com/articles/2647963281", "매물Link")</f>
        <v/>
      </c>
      <c r="J2135" s="5">
        <f>HYPERLINK("https://map.naver.com/p/search/나성동 829", "지도Link")</f>
        <v/>
      </c>
      <c r="K2135" s="5">
        <f>HYPERLINK("http://www.eum.go.kr/web/ar/lu/luLandDet.jsp?pnu=3611010700108290000&amp;isNoScr=script&amp;mode=search", "토지이음")</f>
        <v/>
      </c>
      <c r="L2135" s="3" t="inlineStr">
        <is>
          <t>중흥랜드(294-3999)</t>
        </is>
      </c>
      <c r="M2135" s="3" t="n">
        <v>1</v>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3" t="inlineStr">
        <is>
          <t>충청대로 근접거리 토지</t>
        </is>
      </c>
      <c r="I2136" s="5">
        <f>HYPERLINK("https://fin.land.naver.com/articles/2647792566", "매물Link")</f>
        <v/>
      </c>
      <c r="J2136" s="5">
        <f>HYPERLINK("https://map.naver.com/p/search/나성동 829", "지도Link")</f>
        <v/>
      </c>
      <c r="K2136" s="5">
        <f>HYPERLINK("http://www.eum.go.kr/web/ar/lu/luLandDet.jsp?pnu=3611010700108290000&amp;isNoScr=script&amp;mode=search", "토지이음")</f>
        <v/>
      </c>
      <c r="L2136" s="3" t="inlineStr">
        <is>
          <t>좋은</t>
        </is>
      </c>
      <c r="M2136" s="3" t="n">
        <v>1</v>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3" t="inlineStr">
        <is>
          <t>내추2리삼거리 인접한 위치의  땅모양 좋은 토지</t>
        </is>
      </c>
      <c r="I2137" s="5">
        <f>HYPERLINK("https://fin.land.naver.com/articles/2644201802", "매물Link")</f>
        <v/>
      </c>
      <c r="J2137" s="5">
        <f>HYPERLINK("https://map.naver.com/p/search/나성동 829", "지도Link")</f>
        <v/>
      </c>
      <c r="K2137" s="5">
        <f>HYPERLINK("http://www.eum.go.kr/web/ar/lu/luLandDet.jsp?pnu=3611010700108290000&amp;isNoScr=script&amp;mode=search", "토지이음")</f>
        <v/>
      </c>
      <c r="L2137" s="3" t="inlineStr">
        <is>
          <t>더원</t>
        </is>
      </c>
      <c r="M2137" s="3" t="n">
        <v>1</v>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3" t="inlineStr">
        <is>
          <t>전원주택지 농사짖으며 휴양 하실 분 좋아요</t>
        </is>
      </c>
      <c r="I2138" s="5">
        <f>HYPERLINK("https://fin.land.naver.com/articles/2644788901", "매물Link")</f>
        <v/>
      </c>
      <c r="J2138" s="5">
        <f>HYPERLINK("https://map.naver.com/p/search/나성동 829", "지도Link")</f>
        <v/>
      </c>
      <c r="K2138" s="5">
        <f>HYPERLINK("http://www.eum.go.kr/web/ar/lu/luLandDet.jsp?pnu=3611010700108290000&amp;isNoScr=script&amp;mode=search", "토지이음")</f>
        <v/>
      </c>
      <c r="L2138" s="3" t="inlineStr">
        <is>
          <t>태평</t>
        </is>
      </c>
      <c r="M2138" s="3" t="n">
        <v>1</v>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3" t="inlineStr">
        <is>
          <t>유망지역 계획관리지역 ,지하수, 컨테이너,하우스 설치되어 있음
추천매물</t>
        </is>
      </c>
      <c r="I2139" s="5">
        <f>HYPERLINK("https://fin.land.naver.com/articles/2644816230", "매물Link")</f>
        <v/>
      </c>
      <c r="J2139" s="5">
        <f>HYPERLINK("https://map.naver.com/p/search/나성동 829", "지도Link")</f>
        <v/>
      </c>
      <c r="K2139" s="5">
        <f>HYPERLINK("http://www.eum.go.kr/web/ar/lu/luLandDet.jsp?pnu=3611010700108290000&amp;isNoScr=script&amp;mode=search", "토지이음")</f>
        <v/>
      </c>
      <c r="L2139" s="3" t="inlineStr">
        <is>
          <t>코아루수지</t>
        </is>
      </c>
      <c r="M2139" s="3" t="n">
        <v>1</v>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3" t="inlineStr">
        <is>
          <t>주말농장 추천함</t>
        </is>
      </c>
      <c r="I2140" s="5">
        <f>HYPERLINK("https://fin.land.naver.com/articles/2644974352", "매물Link")</f>
        <v/>
      </c>
      <c r="J2140" s="5">
        <f>HYPERLINK("https://map.naver.com/p/search/나성동 829", "지도Link")</f>
        <v/>
      </c>
      <c r="K2140" s="5">
        <f>HYPERLINK("http://www.eum.go.kr/web/ar/lu/luLandDet.jsp?pnu=3611010700108290000&amp;isNoScr=script&amp;mode=search", "토지이음")</f>
        <v/>
      </c>
      <c r="L2140" s="3" t="inlineStr">
        <is>
          <t>새시대</t>
        </is>
      </c>
      <c r="M2140" s="3" t="n">
        <v>1</v>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3" t="inlineStr">
        <is>
          <t>nan</t>
        </is>
      </c>
      <c r="I2141" s="5">
        <f>HYPERLINK("https://fin.land.naver.com/articles/2645151582", "매물Link")</f>
        <v/>
      </c>
      <c r="J2141" s="5">
        <f>HYPERLINK("https://map.naver.com/p/search/나성동 829", "지도Link")</f>
        <v/>
      </c>
      <c r="K2141" s="5">
        <f>HYPERLINK("http://www.eum.go.kr/web/ar/lu/luLandDet.jsp?pnu=3611010700108290000&amp;isNoScr=script&amp;mode=search", "토지이음")</f>
        <v/>
      </c>
      <c r="L2141" s="3" t="inlineStr">
        <is>
          <t>드리다</t>
        </is>
      </c>
      <c r="M2141" s="3" t="n">
        <v>1</v>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3" t="inlineStr">
        <is>
          <t>현재 창고로 임대중,근린상업지역,산업단지 용도로 추천</t>
        </is>
      </c>
      <c r="I2142" s="5">
        <f>HYPERLINK("https://fin.land.naver.com/articles/2648995612", "매물Link")</f>
        <v/>
      </c>
      <c r="J2142" s="5">
        <f>HYPERLINK("https://map.naver.com/p/search/나성동 829", "지도Link")</f>
        <v/>
      </c>
      <c r="K2142" s="5">
        <f>HYPERLINK("http://www.eum.go.kr/web/ar/lu/luLandDet.jsp?pnu=3611010700108290000&amp;isNoScr=script&amp;mode=search", "토지이음")</f>
        <v/>
      </c>
      <c r="L2142" s="3" t="inlineStr">
        <is>
          <t>에듀퍼스트</t>
        </is>
      </c>
      <c r="M2142" s="3" t="n">
        <v>1</v>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3" t="inlineStr">
        <is>
          <t>오창과학단지 인근 대로변 위치 좋은 상가주택 적지</t>
        </is>
      </c>
      <c r="I2143" s="5">
        <f>HYPERLINK("https://fin.land.naver.com/articles/2649459964", "매물Link")</f>
        <v/>
      </c>
      <c r="J2143" s="5">
        <f>HYPERLINK("https://map.naver.com/p/search/나성동 829", "지도Link")</f>
        <v/>
      </c>
      <c r="K2143" s="5">
        <f>HYPERLINK("http://www.eum.go.kr/web/ar/lu/luLandDet.jsp?pnu=3611010700108290000&amp;isNoScr=script&amp;mode=search", "토지이음")</f>
        <v/>
      </c>
      <c r="L2143" s="3" t="inlineStr">
        <is>
          <t>동산타운</t>
        </is>
      </c>
      <c r="M2143" s="3" t="n">
        <v>2</v>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3" t="inlineStr">
        <is>
          <t>단독택지,공장,창고</t>
        </is>
      </c>
      <c r="I2144" s="5">
        <f>HYPERLINK("https://fin.land.naver.com/articles/2650206343", "매물Link")</f>
        <v/>
      </c>
      <c r="J2144" s="5">
        <f>HYPERLINK("https://map.naver.com/p/search/나성동 829", "지도Link")</f>
        <v/>
      </c>
      <c r="K2144" s="5">
        <f>HYPERLINK("http://www.eum.go.kr/web/ar/lu/luLandDet.jsp?pnu=3611010700108290000&amp;isNoScr=script&amp;mode=search", "토지이음")</f>
        <v/>
      </c>
      <c r="L2144" s="3" t="inlineStr">
        <is>
          <t>세종힐데스</t>
        </is>
      </c>
      <c r="M2144" s="3" t="n">
        <v>1</v>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3" t="inlineStr">
        <is>
          <t>오창과학단지 방사광가속기 초입 서오창i,c 5분위치</t>
        </is>
      </c>
      <c r="I2145" s="5">
        <f>HYPERLINK("https://fin.land.naver.com/articles/2645368167", "매물Link")</f>
        <v/>
      </c>
      <c r="J2145" s="5">
        <f>HYPERLINK("https://map.naver.com/p/search/나성동 829", "지도Link")</f>
        <v/>
      </c>
      <c r="K2145" s="5">
        <f>HYPERLINK("http://www.eum.go.kr/web/ar/lu/luLandDet.jsp?pnu=3611010700108290000&amp;isNoScr=script&amp;mode=search", "토지이음")</f>
        <v/>
      </c>
      <c r="L2145" s="3" t="inlineStr">
        <is>
          <t>공장365</t>
        </is>
      </c>
      <c r="M2145" s="3" t="n">
        <v>1</v>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3" t="inlineStr">
        <is>
          <t>중심상업지.토지매매</t>
        </is>
      </c>
      <c r="I2146" s="5">
        <f>HYPERLINK("https://fin.land.naver.com/articles/2645438138", "매물Link")</f>
        <v/>
      </c>
      <c r="J2146" s="5">
        <f>HYPERLINK("https://map.naver.com/p/search/나성동 829", "지도Link")</f>
        <v/>
      </c>
      <c r="K2146" s="5">
        <f>HYPERLINK("http://www.eum.go.kr/web/ar/lu/luLandDet.jsp?pnu=3611010700108290000&amp;isNoScr=script&amp;mode=search", "토지이음")</f>
        <v/>
      </c>
      <c r="L2146" s="3" t="inlineStr">
        <is>
          <t>정</t>
        </is>
      </c>
      <c r="M2146" s="3" t="n">
        <v>1</v>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3" t="inlineStr">
        <is>
          <t>서오창IC 인근, 활용도 좋은 넓은 토지, 공장 창고 최적지</t>
        </is>
      </c>
      <c r="I2147" s="5">
        <f>HYPERLINK("https://fin.land.naver.com/articles/2645780753", "매물Link")</f>
        <v/>
      </c>
      <c r="J2147" s="5">
        <f>HYPERLINK("https://map.naver.com/p/search/나성동 829", "지도Link")</f>
        <v/>
      </c>
      <c r="K2147" s="5">
        <f>HYPERLINK("http://www.eum.go.kr/web/ar/lu/luLandDet.jsp?pnu=3611010700108290000&amp;isNoScr=script&amp;mode=search", "토지이음")</f>
        <v/>
      </c>
      <c r="L2147" s="3" t="inlineStr">
        <is>
          <t>(주)미르</t>
        </is>
      </c>
      <c r="M2147" s="3" t="n">
        <v>1</v>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3" t="inlineStr">
        <is>
          <t>nan</t>
        </is>
      </c>
      <c r="I2148" s="5">
        <f>HYPERLINK("https://fin.land.naver.com/articles/2648688519", "매물Link")</f>
        <v/>
      </c>
      <c r="J2148" s="5">
        <f>HYPERLINK("https://map.naver.com/p/search/나성동 829", "지도Link")</f>
        <v/>
      </c>
      <c r="K2148" s="5">
        <f>HYPERLINK("http://www.eum.go.kr/web/ar/lu/luLandDet.jsp?pnu=3611010700108290000&amp;isNoScr=script&amp;mode=search", "토지이음")</f>
        <v/>
      </c>
      <c r="L2148" s="3" t="inlineStr">
        <is>
          <t>상생</t>
        </is>
      </c>
      <c r="M2148" s="3" t="n">
        <v>1</v>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3" t="inlineStr">
        <is>
          <t>nan</t>
        </is>
      </c>
      <c r="I2149" s="5">
        <f>HYPERLINK("https://fin.land.naver.com/articles/2648688167", "매물Link")</f>
        <v/>
      </c>
      <c r="J2149" s="5">
        <f>HYPERLINK("https://map.naver.com/p/search/나성동 829", "지도Link")</f>
        <v/>
      </c>
      <c r="K2149" s="5">
        <f>HYPERLINK("http://www.eum.go.kr/web/ar/lu/luLandDet.jsp?pnu=3611010700108290000&amp;isNoScr=script&amp;mode=search", "토지이음")</f>
        <v/>
      </c>
      <c r="L2149" s="3" t="inlineStr">
        <is>
          <t>상생</t>
        </is>
      </c>
      <c r="M2149" s="3" t="n">
        <v>1</v>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3" t="inlineStr">
        <is>
          <t>과수원 토지 및 농가주택 매매</t>
        </is>
      </c>
      <c r="I2150" s="5">
        <f>HYPERLINK("https://fin.land.naver.com/articles/2648641998", "매물Link")</f>
        <v/>
      </c>
      <c r="J2150" s="5">
        <f>HYPERLINK("https://map.naver.com/p/search/나성동 829", "지도Link")</f>
        <v/>
      </c>
      <c r="K2150" s="5">
        <f>HYPERLINK("http://www.eum.go.kr/web/ar/lu/luLandDet.jsp?pnu=3611010700108290000&amp;isNoScr=script&amp;mode=search", "토지이음")</f>
        <v/>
      </c>
      <c r="L2150" s="3" t="inlineStr">
        <is>
          <t>두꺼비</t>
        </is>
      </c>
      <c r="M2150" s="3" t="n">
        <v>1</v>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3" t="inlineStr">
        <is>
          <t>호수공원 인접 전원주택부지</t>
        </is>
      </c>
      <c r="I2151" s="5">
        <f>HYPERLINK("https://fin.land.naver.com/articles/2645151604", "매물Link")</f>
        <v/>
      </c>
      <c r="J2151" s="5">
        <f>HYPERLINK("https://map.naver.com/p/search/나성동 829", "지도Link")</f>
        <v/>
      </c>
      <c r="K2151" s="5">
        <f>HYPERLINK("http://www.eum.go.kr/web/ar/lu/luLandDet.jsp?pnu=3611010700108290000&amp;isNoScr=script&amp;mode=search", "토지이음")</f>
        <v/>
      </c>
      <c r="L2151" s="3" t="inlineStr">
        <is>
          <t>드리다</t>
        </is>
      </c>
      <c r="M2151" s="3" t="n">
        <v>1</v>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3" t="inlineStr">
        <is>
          <t>아파트예정지정문앞 근린생활시설 창고등(현재 나대지)</t>
        </is>
      </c>
      <c r="I2152" s="5">
        <f>HYPERLINK("https://fin.land.naver.com/articles/2645834042", "매물Link")</f>
        <v/>
      </c>
      <c r="J2152" s="5">
        <f>HYPERLINK("https://map.naver.com/p/search/나성동 829", "지도Link")</f>
        <v/>
      </c>
      <c r="K2152" s="5">
        <f>HYPERLINK("http://www.eum.go.kr/web/ar/lu/luLandDet.jsp?pnu=3611010700108290000&amp;isNoScr=script&amp;mode=search", "토지이음")</f>
        <v/>
      </c>
      <c r="L2152" s="3" t="inlineStr">
        <is>
          <t>명문</t>
        </is>
      </c>
      <c r="M2152" s="3" t="n">
        <v>1</v>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3" t="inlineStr">
        <is>
          <t>일반상업용지 나대지 상태임.</t>
        </is>
      </c>
      <c r="I2153" s="5">
        <f>HYPERLINK("https://fin.land.naver.com/articles/2646998664", "매물Link")</f>
        <v/>
      </c>
      <c r="J2153" s="5">
        <f>HYPERLINK("https://map.naver.com/p/search/나성동 829", "지도Link")</f>
        <v/>
      </c>
      <c r="K2153" s="5">
        <f>HYPERLINK("http://www.eum.go.kr/web/ar/lu/luLandDet.jsp?pnu=3611010700108290000&amp;isNoScr=script&amp;mode=search", "토지이음")</f>
        <v/>
      </c>
      <c r="L2153" s="3" t="inlineStr">
        <is>
          <t>임광</t>
        </is>
      </c>
      <c r="M2153" s="3" t="n">
        <v>1</v>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3" t="inlineStr">
        <is>
          <t>증평 톨게이트 가까운 토지</t>
        </is>
      </c>
      <c r="I2154" s="5">
        <f>HYPERLINK("https://fin.land.naver.com/articles/2647276582", "매물Link")</f>
        <v/>
      </c>
      <c r="J2154" s="5">
        <f>HYPERLINK("https://map.naver.com/p/search/나성동 829", "지도Link")</f>
        <v/>
      </c>
      <c r="K2154" s="5">
        <f>HYPERLINK("http://www.eum.go.kr/web/ar/lu/luLandDet.jsp?pnu=3611010700108290000&amp;isNoScr=script&amp;mode=search", "토지이음")</f>
        <v/>
      </c>
      <c r="L2154" s="3" t="inlineStr">
        <is>
          <t>청주114</t>
        </is>
      </c>
      <c r="M2154" s="3" t="n">
        <v>1</v>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3" t="inlineStr">
        <is>
          <t>서향의 종모양의 농지임</t>
        </is>
      </c>
      <c r="I2155" s="5">
        <f>HYPERLINK("https://fin.land.naver.com/articles/2647681288", "매물Link")</f>
        <v/>
      </c>
      <c r="J2155" s="5">
        <f>HYPERLINK("https://map.naver.com/p/search/나성동 829", "지도Link")</f>
        <v/>
      </c>
      <c r="K2155" s="5">
        <f>HYPERLINK("http://www.eum.go.kr/web/ar/lu/luLandDet.jsp?pnu=3611010700108290000&amp;isNoScr=script&amp;mode=search", "토지이음")</f>
        <v/>
      </c>
      <c r="L2155" s="3" t="inlineStr">
        <is>
          <t>교차로</t>
        </is>
      </c>
      <c r="M2155" s="3" t="n">
        <v>1</v>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3" t="inlineStr">
        <is>
          <t>양지리 2차선 근접 대지입니다.</t>
        </is>
      </c>
      <c r="I2156" s="5">
        <f>HYPERLINK("https://fin.land.naver.com/articles/2647686687", "매물Link")</f>
        <v/>
      </c>
      <c r="J2156" s="5">
        <f>HYPERLINK("https://map.naver.com/p/search/나성동 829", "지도Link")</f>
        <v/>
      </c>
      <c r="K2156" s="5">
        <f>HYPERLINK("http://www.eum.go.kr/web/ar/lu/luLandDet.jsp?pnu=3611010700108290000&amp;isNoScr=script&amp;mode=search", "토지이음")</f>
        <v/>
      </c>
      <c r="L2156" s="3" t="inlineStr">
        <is>
          <t>중앙</t>
        </is>
      </c>
      <c r="M2156" s="3" t="n">
        <v>1</v>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3" t="inlineStr">
        <is>
          <t>LG화학인근 일반상업용지에 단층건물입니다.</t>
        </is>
      </c>
      <c r="I2157" s="5">
        <f>HYPERLINK("https://fin.land.naver.com/articles/2647688138", "매물Link")</f>
        <v/>
      </c>
      <c r="J2157" s="5">
        <f>HYPERLINK("https://map.naver.com/p/search/나성동 829", "지도Link")</f>
        <v/>
      </c>
      <c r="K2157" s="5">
        <f>HYPERLINK("http://www.eum.go.kr/web/ar/lu/luLandDet.jsp?pnu=3611010700108290000&amp;isNoScr=script&amp;mode=search", "토지이음")</f>
        <v/>
      </c>
      <c r="L2157" s="3" t="inlineStr">
        <is>
          <t>중앙</t>
        </is>
      </c>
      <c r="M2157" s="3" t="n">
        <v>1</v>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3" t="inlineStr">
        <is>
          <t>양청리 송대공원옆 전원주택지 입니다.</t>
        </is>
      </c>
      <c r="I2158" s="5">
        <f>HYPERLINK("https://fin.land.naver.com/articles/2647688726", "매물Link")</f>
        <v/>
      </c>
      <c r="J2158" s="5">
        <f>HYPERLINK("https://map.naver.com/p/search/나성동 829", "지도Link")</f>
        <v/>
      </c>
      <c r="K2158" s="5">
        <f>HYPERLINK("http://www.eum.go.kr/web/ar/lu/luLandDet.jsp?pnu=3611010700108290000&amp;isNoScr=script&amp;mode=search", "토지이음")</f>
        <v/>
      </c>
      <c r="L2158" s="3" t="inlineStr">
        <is>
          <t>중앙</t>
        </is>
      </c>
      <c r="M2158" s="3" t="n">
        <v>1</v>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3" t="inlineStr">
        <is>
          <t>경지정리된 논 2차선 인접</t>
        </is>
      </c>
      <c r="I2159" s="5">
        <f>HYPERLINK("https://fin.land.naver.com/articles/2647711150", "매물Link")</f>
        <v/>
      </c>
      <c r="J2159" s="5">
        <f>HYPERLINK("https://map.naver.com/p/search/나성동 829", "지도Link")</f>
        <v/>
      </c>
      <c r="K2159" s="5">
        <f>HYPERLINK("http://www.eum.go.kr/web/ar/lu/luLandDet.jsp?pnu=3611010700108290000&amp;isNoScr=script&amp;mode=search", "토지이음")</f>
        <v/>
      </c>
      <c r="L2159" s="3" t="inlineStr">
        <is>
          <t>한우리</t>
        </is>
      </c>
      <c r="M2159" s="3" t="n">
        <v>2</v>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3" t="inlineStr">
        <is>
          <t>충북대학교 오창캠퍼스 입구에 위치
충북대학교 오창캠퍼스 입구에 위치.</t>
        </is>
      </c>
      <c r="I2160" s="5">
        <f>HYPERLINK("https://fin.land.naver.com/articles/2648231291", "매물Link")</f>
        <v/>
      </c>
      <c r="J2160" s="5">
        <f>HYPERLINK("https://map.naver.com/p/search/나성동 829", "지도Link")</f>
        <v/>
      </c>
      <c r="K2160" s="5">
        <f>HYPERLINK("http://www.eum.go.kr/web/ar/lu/luLandDet.jsp?pnu=3611010700108290000&amp;isNoScr=script&amp;mode=search", "토지이음")</f>
        <v/>
      </c>
      <c r="L2160" s="3" t="inlineStr">
        <is>
          <t>청와대합동사무소</t>
        </is>
      </c>
      <c r="M2160" s="3" t="n">
        <v>1</v>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3" t="inlineStr">
        <is>
          <t>nan</t>
        </is>
      </c>
      <c r="I2161" s="5">
        <f>HYPERLINK("https://fin.land.naver.com/articles/2648235509", "매물Link")</f>
        <v/>
      </c>
      <c r="J2161" s="5">
        <f>HYPERLINK("https://map.naver.com/p/search/나성동 829", "지도Link")</f>
        <v/>
      </c>
      <c r="K2161" s="5">
        <f>HYPERLINK("http://www.eum.go.kr/web/ar/lu/luLandDet.jsp?pnu=3611010700108290000&amp;isNoScr=script&amp;mode=search", "토지이음")</f>
        <v/>
      </c>
      <c r="L2161" s="3" t="inlineStr">
        <is>
          <t>청와대합동사무소</t>
        </is>
      </c>
      <c r="M2161" s="3" t="n">
        <v>1</v>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3" t="inlineStr">
        <is>
          <t>nan</t>
        </is>
      </c>
      <c r="I2162" s="5">
        <f>HYPERLINK("https://fin.land.naver.com/articles/2648417834", "매물Link")</f>
        <v/>
      </c>
      <c r="J2162" s="5">
        <f>HYPERLINK("https://map.naver.com/p/search/나성동 829", "지도Link")</f>
        <v/>
      </c>
      <c r="K2162" s="5">
        <f>HYPERLINK("http://www.eum.go.kr/web/ar/lu/luLandDet.jsp?pnu=3611010700108290000&amp;isNoScr=script&amp;mode=search", "토지이음")</f>
        <v/>
      </c>
      <c r="L2162" s="3" t="inlineStr">
        <is>
          <t>굿모닝합동</t>
        </is>
      </c>
      <c r="M2162" s="3" t="n">
        <v>1</v>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3" t="inlineStr">
        <is>
          <t>전원주택지 매매</t>
        </is>
      </c>
      <c r="I2163" s="5">
        <f>HYPERLINK("https://fin.land.naver.com/articles/2648640148", "매물Link")</f>
        <v/>
      </c>
      <c r="J2163" s="5">
        <f>HYPERLINK("https://map.naver.com/p/search/나성동 829", "지도Link")</f>
        <v/>
      </c>
      <c r="K2163" s="5">
        <f>HYPERLINK("http://www.eum.go.kr/web/ar/lu/luLandDet.jsp?pnu=3611010700108290000&amp;isNoScr=script&amp;mode=search", "토지이음")</f>
        <v/>
      </c>
      <c r="L2163" s="3" t="inlineStr">
        <is>
          <t>두꺼비</t>
        </is>
      </c>
      <c r="M2163" s="3" t="n">
        <v>1</v>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3" t="inlineStr">
        <is>
          <t>엘리트 전원마을 인근 잡종지 매매</t>
        </is>
      </c>
      <c r="I2164" s="5">
        <f>HYPERLINK("https://fin.land.naver.com/articles/2648640402", "매물Link")</f>
        <v/>
      </c>
      <c r="J2164" s="5">
        <f>HYPERLINK("https://map.naver.com/p/search/나성동 829", "지도Link")</f>
        <v/>
      </c>
      <c r="K2164" s="5">
        <f>HYPERLINK("http://www.eum.go.kr/web/ar/lu/luLandDet.jsp?pnu=3611010700108290000&amp;isNoScr=script&amp;mode=search", "토지이음")</f>
        <v/>
      </c>
      <c r="L2164" s="3" t="inlineStr">
        <is>
          <t>두꺼비</t>
        </is>
      </c>
      <c r="M2164" s="3" t="n">
        <v>1</v>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3" t="inlineStr">
        <is>
          <t>급매매</t>
        </is>
      </c>
      <c r="I2165" s="5">
        <f>HYPERLINK("https://fin.land.naver.com/articles/2648653377", "매물Link")</f>
        <v/>
      </c>
      <c r="J2165" s="5">
        <f>HYPERLINK("https://map.naver.com/p/search/나성동 829", "지도Link")</f>
        <v/>
      </c>
      <c r="K2165" s="5">
        <f>HYPERLINK("http://www.eum.go.kr/web/ar/lu/luLandDet.jsp?pnu=3611010700108290000&amp;isNoScr=script&amp;mode=search", "토지이음")</f>
        <v/>
      </c>
      <c r="L2165" s="3" t="inlineStr">
        <is>
          <t>일등</t>
        </is>
      </c>
      <c r="M2165" s="3" t="n">
        <v>1</v>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3" t="inlineStr">
        <is>
          <t>도로에 접해 있는 예쁜땅, 킨더동화어린이집 근처 입구땅,하봉교차로.</t>
        </is>
      </c>
      <c r="I2166" s="5">
        <f>HYPERLINK("https://fin.land.naver.com/articles/2648742004", "매물Link")</f>
        <v/>
      </c>
      <c r="J2166" s="5">
        <f>HYPERLINK("https://map.naver.com/p/search/나성동 829", "지도Link")</f>
        <v/>
      </c>
      <c r="K2166" s="5">
        <f>HYPERLINK("http://www.eum.go.kr/web/ar/lu/luLandDet.jsp?pnu=3611010700108290000&amp;isNoScr=script&amp;mode=search", "토지이음")</f>
        <v/>
      </c>
      <c r="L2166" s="3" t="inlineStr">
        <is>
          <t>하이스트정원</t>
        </is>
      </c>
      <c r="M2166" s="3" t="n">
        <v>1</v>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3" t="inlineStr">
        <is>
          <t>투자가치굿 주변 세종시개발 산업단지 인근.모든 업종가능.</t>
        </is>
      </c>
      <c r="I2167" s="5">
        <f>HYPERLINK("https://fin.land.naver.com/articles/2647804338", "매물Link")</f>
        <v/>
      </c>
      <c r="J2167" s="5">
        <f>HYPERLINK("https://map.naver.com/p/search/나성동 829", "지도Link")</f>
        <v/>
      </c>
      <c r="K2167" s="5">
        <f>HYPERLINK("http://www.eum.go.kr/web/ar/lu/luLandDet.jsp?pnu=3611010700108290000&amp;isNoScr=script&amp;mode=search", "토지이음")</f>
        <v/>
      </c>
      <c r="L2167" s="3" t="inlineStr">
        <is>
          <t>세종OK</t>
        </is>
      </c>
      <c r="M2167" s="3" t="n">
        <v>1</v>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3" t="inlineStr">
        <is>
          <t>인근에 현대 아울렛이 있는 생할하기 편리한  최고 좋은 위치의 전원주택지</t>
        </is>
      </c>
      <c r="I2168" s="5">
        <f>HYPERLINK("https://fin.land.naver.com/articles/2646076716", "매물Link")</f>
        <v/>
      </c>
      <c r="J2168" s="5">
        <f>HYPERLINK("https://map.naver.com/p/search/나성동 829", "지도Link")</f>
        <v/>
      </c>
      <c r="K2168" s="5">
        <f>HYPERLINK("http://www.eum.go.kr/web/ar/lu/luLandDet.jsp?pnu=3611010700108290000&amp;isNoScr=script&amp;mode=search", "토지이음")</f>
        <v/>
      </c>
      <c r="L2168" s="3" t="inlineStr">
        <is>
          <t>우림</t>
        </is>
      </c>
      <c r="M2168" s="3" t="n">
        <v>1</v>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3" t="inlineStr">
        <is>
          <t>소공원과 붙어있고 전망 있는 최고급 주택지</t>
        </is>
      </c>
      <c r="I2169" s="5">
        <f>HYPERLINK("https://fin.land.naver.com/articles/2649896715", "매물Link")</f>
        <v/>
      </c>
      <c r="J2169" s="5">
        <f>HYPERLINK("https://map.naver.com/p/search/나성동 829", "지도Link")</f>
        <v/>
      </c>
      <c r="K2169" s="5">
        <f>HYPERLINK("http://www.eum.go.kr/web/ar/lu/luLandDet.jsp?pnu=3611010700108290000&amp;isNoScr=script&amp;mode=search", "토지이음")</f>
        <v/>
      </c>
      <c r="L2169" s="3" t="inlineStr">
        <is>
          <t>우림</t>
        </is>
      </c>
      <c r="M2169" s="3" t="n">
        <v>1</v>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3" t="inlineStr">
        <is>
          <t>2종일반주거지역. 도로변접합. 지구단위계획구역. 직사각형토지</t>
        </is>
      </c>
      <c r="I2170" s="5">
        <f>HYPERLINK("https://fin.land.naver.com/articles/2649656557", "매물Link")</f>
        <v/>
      </c>
      <c r="J2170" s="5">
        <f>HYPERLINK("https://map.naver.com/p/search/나성동 829", "지도Link")</f>
        <v/>
      </c>
      <c r="K2170" s="5">
        <f>HYPERLINK("http://www.eum.go.kr/web/ar/lu/luLandDet.jsp?pnu=3611010700108290000&amp;isNoScr=script&amp;mode=search", "토지이음")</f>
        <v/>
      </c>
      <c r="L2170" s="3" t="inlineStr">
        <is>
          <t>OK</t>
        </is>
      </c>
      <c r="M2170" s="3" t="n">
        <v>1</v>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3" t="inlineStr">
        <is>
          <t>급매 도로 넓고 교통 편리 창고 운수회사 타운하우스 투자용 등 용도 다양</t>
        </is>
      </c>
      <c r="I2171" s="5">
        <f>HYPERLINK("https://fin.land.naver.com/articles/2648976520", "매물Link")</f>
        <v/>
      </c>
      <c r="J2171" s="5">
        <f>HYPERLINK("https://map.naver.com/p/search/나성동 829", "지도Link")</f>
        <v/>
      </c>
      <c r="K2171" s="5">
        <f>HYPERLINK("http://www.eum.go.kr/web/ar/lu/luLandDet.jsp?pnu=3611010700108290000&amp;isNoScr=script&amp;mode=search", "토지이음")</f>
        <v/>
      </c>
      <c r="L2171" s="3" t="inlineStr">
        <is>
          <t>뉴태양</t>
        </is>
      </c>
      <c r="M2171" s="3" t="n">
        <v>1</v>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3" t="inlineStr">
        <is>
          <t>중로변 물류 창고 운수회사 상가건물 다양 용도 이용가능한 토지 투자 최상</t>
        </is>
      </c>
      <c r="I2172" s="5">
        <f>HYPERLINK("https://fin.land.naver.com/articles/2648975686", "매물Link")</f>
        <v/>
      </c>
      <c r="J2172" s="5">
        <f>HYPERLINK("https://map.naver.com/p/search/나성동 829", "지도Link")</f>
        <v/>
      </c>
      <c r="K2172" s="5">
        <f>HYPERLINK("http://www.eum.go.kr/web/ar/lu/luLandDet.jsp?pnu=3611010700108290000&amp;isNoScr=script&amp;mode=search", "토지이음")</f>
        <v/>
      </c>
      <c r="L2172" s="3" t="inlineStr">
        <is>
          <t>뉴태양</t>
        </is>
      </c>
      <c r="M2172" s="3" t="n">
        <v>1</v>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3" t="inlineStr">
        <is>
          <t>상업용 빌딩 또는 회사 사옥 용도로 추천함</t>
        </is>
      </c>
      <c r="I2173" s="5">
        <f>HYPERLINK("https://fin.land.naver.com/articles/2648487780", "매물Link")</f>
        <v/>
      </c>
      <c r="J2173" s="5">
        <f>HYPERLINK("https://map.naver.com/p/search/나성동 829", "지도Link")</f>
        <v/>
      </c>
      <c r="K2173" s="5">
        <f>HYPERLINK("http://www.eum.go.kr/web/ar/lu/luLandDet.jsp?pnu=3611010700108290000&amp;isNoScr=script&amp;mode=search", "토지이음")</f>
        <v/>
      </c>
      <c r="L2173" s="3" t="inlineStr">
        <is>
          <t>천지인</t>
        </is>
      </c>
      <c r="M2173" s="3" t="n">
        <v>1</v>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3" t="inlineStr">
        <is>
          <t>대전 교외  조용한  전원주택지 .공장,창고 등 다용도 개발가능.</t>
        </is>
      </c>
      <c r="I2174" s="5">
        <f>HYPERLINK("https://fin.land.naver.com/articles/2647213192", "매물Link")</f>
        <v/>
      </c>
      <c r="J2174" s="5">
        <f>HYPERLINK("https://map.naver.com/p/search/나성동 829", "지도Link")</f>
        <v/>
      </c>
      <c r="K2174" s="5">
        <f>HYPERLINK("http://www.eum.go.kr/web/ar/lu/luLandDet.jsp?pnu=3611010700108290000&amp;isNoScr=script&amp;mode=search", "토지이음")</f>
        <v/>
      </c>
      <c r="L2174" s="3" t="inlineStr">
        <is>
          <t>대전조은</t>
        </is>
      </c>
      <c r="M2174" s="3" t="n">
        <v>1</v>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3" t="inlineStr">
        <is>
          <t>북대전IC인근, 코너각지 상업용지, 주변 인프라 극강</t>
        </is>
      </c>
      <c r="I2175" s="5">
        <f>HYPERLINK("https://fin.land.naver.com/articles/2649733226", "매물Link")</f>
        <v/>
      </c>
      <c r="J2175" s="5">
        <f>HYPERLINK("https://map.naver.com/p/search/나성동 829", "지도Link")</f>
        <v/>
      </c>
      <c r="K2175" s="5">
        <f>HYPERLINK("http://www.eum.go.kr/web/ar/lu/luLandDet.jsp?pnu=3611010700108290000&amp;isNoScr=script&amp;mode=search", "토지이음")</f>
        <v/>
      </c>
      <c r="L2175" s="3" t="inlineStr">
        <is>
          <t>더책임</t>
        </is>
      </c>
      <c r="M2175" s="3" t="n">
        <v>1</v>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3" t="inlineStr">
        <is>
          <t>호반써밋아파트 근처 전원주택 커피 가든 최적 투자 물건</t>
        </is>
      </c>
      <c r="I2176" s="5">
        <f>HYPERLINK("https://fin.land.naver.com/articles/2647497744", "매물Link")</f>
        <v/>
      </c>
      <c r="J2176" s="5">
        <f>HYPERLINK("https://map.naver.com/p/search/나성동 829", "지도Link")</f>
        <v/>
      </c>
      <c r="K2176" s="5">
        <f>HYPERLINK("http://www.eum.go.kr/web/ar/lu/luLandDet.jsp?pnu=3611010700108290000&amp;isNoScr=script&amp;mode=search", "토지이음")</f>
        <v/>
      </c>
      <c r="L2176" s="3" t="inlineStr">
        <is>
          <t>뉴태양</t>
        </is>
      </c>
      <c r="M2176" s="3" t="n">
        <v>1</v>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3" t="inlineStr">
        <is>
          <t>북대전IC 근처 사옥 연구소 커피 가든 타운하우스 최적 투자 물건</t>
        </is>
      </c>
      <c r="I2177" s="5">
        <f>HYPERLINK("https://fin.land.naver.com/articles/2647436241", "매물Link")</f>
        <v/>
      </c>
      <c r="J2177" s="5">
        <f>HYPERLINK("https://map.naver.com/p/search/나성동 829", "지도Link")</f>
        <v/>
      </c>
      <c r="K2177" s="5">
        <f>HYPERLINK("http://www.eum.go.kr/web/ar/lu/luLandDet.jsp?pnu=3611010700108290000&amp;isNoScr=script&amp;mode=search", "토지이음")</f>
        <v/>
      </c>
      <c r="L2177" s="3" t="inlineStr">
        <is>
          <t>뉴태양</t>
        </is>
      </c>
      <c r="M2177" s="3" t="n">
        <v>1</v>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3" t="inlineStr">
        <is>
          <t>북대전IC근접 대규모 아파트단지옆 교통편리 커피 가든 사옥 상가건물 최상</t>
        </is>
      </c>
      <c r="I2178" s="5">
        <f>HYPERLINK("https://fin.land.naver.com/articles/2646300827", "매물Link")</f>
        <v/>
      </c>
      <c r="J2178" s="5">
        <f>HYPERLINK("https://map.naver.com/p/search/나성동 829", "지도Link")</f>
        <v/>
      </c>
      <c r="K2178" s="5">
        <f>HYPERLINK("http://www.eum.go.kr/web/ar/lu/luLandDet.jsp?pnu=3611010700108290000&amp;isNoScr=script&amp;mode=search", "토지이음")</f>
        <v/>
      </c>
      <c r="L2178" s="3" t="inlineStr">
        <is>
          <t>뉴태양</t>
        </is>
      </c>
      <c r="M2178" s="3" t="n">
        <v>1</v>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3" t="inlineStr">
        <is>
          <t>6차선 도로앞  관평동 토지 ,향후 투자 최상급.</t>
        </is>
      </c>
      <c r="I2179" s="5">
        <f>HYPERLINK("https://fin.land.naver.com/articles/2644389022", "매물Link")</f>
        <v/>
      </c>
      <c r="J2179" s="5">
        <f>HYPERLINK("https://map.naver.com/p/search/나성동 829", "지도Link")</f>
        <v/>
      </c>
      <c r="K2179" s="5">
        <f>HYPERLINK("http://www.eum.go.kr/web/ar/lu/luLandDet.jsp?pnu=3611010700108290000&amp;isNoScr=script&amp;mode=search", "토지이음")</f>
        <v/>
      </c>
      <c r="L2179" s="3" t="inlineStr">
        <is>
          <t>우미</t>
        </is>
      </c>
      <c r="M2179" s="3" t="n">
        <v>1</v>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3" t="inlineStr">
        <is>
          <t>전원주택이나 가든자리로 적극 추천하는 토지 매매</t>
        </is>
      </c>
      <c r="I2180" s="5">
        <f>HYPERLINK("https://fin.land.naver.com/articles/2649719839", "매물Link")</f>
        <v/>
      </c>
      <c r="J2180" s="5">
        <f>HYPERLINK("https://map.naver.com/p/search/나성동 829", "지도Link")</f>
        <v/>
      </c>
      <c r="K2180" s="5">
        <f>HYPERLINK("http://www.eum.go.kr/web/ar/lu/luLandDet.jsp?pnu=3611010700108290000&amp;isNoScr=script&amp;mode=search", "토지이음")</f>
        <v/>
      </c>
      <c r="L2180" s="3" t="inlineStr">
        <is>
          <t>한화타운</t>
        </is>
      </c>
      <c r="M2180" s="3" t="n">
        <v>1</v>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3" t="inlineStr">
        <is>
          <t>현대아울렛 건너편 주차 용지,대덕테크노밸리의 주자창 용지</t>
        </is>
      </c>
      <c r="I2181" s="5">
        <f>HYPERLINK("https://fin.land.naver.com/articles/2647059417", "매물Link")</f>
        <v/>
      </c>
      <c r="J2181" s="5">
        <f>HYPERLINK("https://map.naver.com/p/search/나성동 829", "지도Link")</f>
        <v/>
      </c>
      <c r="K2181" s="5">
        <f>HYPERLINK("http://www.eum.go.kr/web/ar/lu/luLandDet.jsp?pnu=3611010700108290000&amp;isNoScr=script&amp;mode=search", "토지이음")</f>
        <v/>
      </c>
      <c r="L2181" s="3" t="inlineStr">
        <is>
          <t>(주)미르</t>
        </is>
      </c>
      <c r="M2181" s="3" t="n">
        <v>1</v>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3" t="inlineStr">
        <is>
          <t>인근에 현대 아울렛이 있는 생할하기 편리한 전원주택지</t>
        </is>
      </c>
      <c r="I2182" s="5">
        <f>HYPERLINK("https://fin.land.naver.com/articles/2649747237", "매물Link")</f>
        <v/>
      </c>
      <c r="J2182" s="5">
        <f>HYPERLINK("https://map.naver.com/p/search/나성동 829", "지도Link")</f>
        <v/>
      </c>
      <c r="K2182" s="5">
        <f>HYPERLINK("http://www.eum.go.kr/web/ar/lu/luLandDet.jsp?pnu=3611010700108290000&amp;isNoScr=script&amp;mode=search", "토지이음")</f>
        <v/>
      </c>
      <c r="L2182" s="3" t="inlineStr">
        <is>
          <t>우림</t>
        </is>
      </c>
      <c r="M2182" s="3" t="n">
        <v>1</v>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3" t="inlineStr">
        <is>
          <t>그린벨트내 과수원(포도밭)으로 투자용으로 추천함</t>
        </is>
      </c>
      <c r="I2183" s="5">
        <f>HYPERLINK("https://fin.land.naver.com/articles/2646452778", "매물Link")</f>
        <v/>
      </c>
      <c r="J2183" s="5">
        <f>HYPERLINK("https://map.naver.com/p/search/나성동 829", "지도Link")</f>
        <v/>
      </c>
      <c r="K2183" s="5">
        <f>HYPERLINK("http://www.eum.go.kr/web/ar/lu/luLandDet.jsp?pnu=3611010700108290000&amp;isNoScr=script&amp;mode=search", "토지이음")</f>
        <v/>
      </c>
      <c r="L2183" s="3" t="inlineStr">
        <is>
          <t>금정</t>
        </is>
      </c>
      <c r="M2183" s="3" t="n">
        <v>1</v>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3" t="inlineStr">
        <is>
          <t>중로변 최상급 나대지 상가주택 다가구 카페 임대수요 많아 투자 수익 양호</t>
        </is>
      </c>
      <c r="I2184" s="5">
        <f>HYPERLINK("https://fin.land.naver.com/articles/2646670583", "매물Link")</f>
        <v/>
      </c>
      <c r="J2184" s="5">
        <f>HYPERLINK("https://map.naver.com/p/search/나성동 829", "지도Link")</f>
        <v/>
      </c>
      <c r="K2184" s="5">
        <f>HYPERLINK("http://www.eum.go.kr/web/ar/lu/luLandDet.jsp?pnu=3611010700108290000&amp;isNoScr=script&amp;mode=search", "토지이음")</f>
        <v/>
      </c>
      <c r="L2184" s="3" t="inlineStr">
        <is>
          <t>뉴태양</t>
        </is>
      </c>
      <c r="M2184" s="3" t="n">
        <v>1</v>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3" t="inlineStr">
        <is>
          <t>먹자골목 중심상권 유동인구 많아 상가주택 카센터 다가구 단독 다양 용도</t>
        </is>
      </c>
      <c r="I2185" s="5">
        <f>HYPERLINK("https://fin.land.naver.com/articles/2648968206", "매물Link")</f>
        <v/>
      </c>
      <c r="J2185" s="5">
        <f>HYPERLINK("https://map.naver.com/p/search/나성동 829", "지도Link")</f>
        <v/>
      </c>
      <c r="K2185" s="5">
        <f>HYPERLINK("http://www.eum.go.kr/web/ar/lu/luLandDet.jsp?pnu=3611010700108290000&amp;isNoScr=script&amp;mode=search", "토지이음")</f>
        <v/>
      </c>
      <c r="L2185" s="3" t="inlineStr">
        <is>
          <t>뉴태양</t>
        </is>
      </c>
      <c r="M2185" s="3" t="n">
        <v>1</v>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3" t="inlineStr">
        <is>
          <t>조용한 주택가 상가주택 다가구 다중주택 단독주택 부지 최상</t>
        </is>
      </c>
      <c r="I2186" s="5">
        <f>HYPERLINK("https://fin.land.naver.com/articles/2646670935", "매물Link")</f>
        <v/>
      </c>
      <c r="J2186" s="5">
        <f>HYPERLINK("https://map.naver.com/p/search/나성동 829", "지도Link")</f>
        <v/>
      </c>
      <c r="K2186" s="5">
        <f>HYPERLINK("http://www.eum.go.kr/web/ar/lu/luLandDet.jsp?pnu=3611010700108290000&amp;isNoScr=script&amp;mode=search", "토지이음")</f>
        <v/>
      </c>
      <c r="L2186" s="3" t="inlineStr">
        <is>
          <t>뉴태양</t>
        </is>
      </c>
      <c r="M2186" s="3" t="n">
        <v>1</v>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3" t="inlineStr">
        <is>
          <t>원촌동 환지개발예정지 영농 하우스 조경 창고 투자용 최상급 토지</t>
        </is>
      </c>
      <c r="I2187" s="5">
        <f>HYPERLINK("https://fin.land.naver.com/articles/2648964101", "매물Link")</f>
        <v/>
      </c>
      <c r="J2187" s="5">
        <f>HYPERLINK("https://map.naver.com/p/search/나성동 829", "지도Link")</f>
        <v/>
      </c>
      <c r="K2187" s="5">
        <f>HYPERLINK("http://www.eum.go.kr/web/ar/lu/luLandDet.jsp?pnu=3611010700108290000&amp;isNoScr=script&amp;mode=search", "토지이음")</f>
        <v/>
      </c>
      <c r="L2187" s="3" t="inlineStr">
        <is>
          <t>뉴태양</t>
        </is>
      </c>
      <c r="M2187" s="3" t="n">
        <v>1</v>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3" t="inlineStr">
        <is>
          <t>원촌동 상가주택지 환지개발예정지 영농 하우스 조경  투자용 최상급 토지</t>
        </is>
      </c>
      <c r="I2188" s="5">
        <f>HYPERLINK("https://fin.land.naver.com/articles/2646671004", "매물Link")</f>
        <v/>
      </c>
      <c r="J2188" s="5">
        <f>HYPERLINK("https://map.naver.com/p/search/나성동 829", "지도Link")</f>
        <v/>
      </c>
      <c r="K2188" s="5">
        <f>HYPERLINK("http://www.eum.go.kr/web/ar/lu/luLandDet.jsp?pnu=3611010700108290000&amp;isNoScr=script&amp;mode=search", "토지이음")</f>
        <v/>
      </c>
      <c r="L2188" s="3" t="inlineStr">
        <is>
          <t>뉴태양</t>
        </is>
      </c>
      <c r="M2188" s="3" t="n">
        <v>1</v>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3" t="inlineStr">
        <is>
          <t>스마트시티옆 교통편리 상가건물 사옥 커피 갤러리 명상센터 투자용 최상급</t>
        </is>
      </c>
      <c r="I2189" s="5">
        <f>HYPERLINK("https://fin.land.naver.com/articles/2646670316", "매물Link")</f>
        <v/>
      </c>
      <c r="J2189" s="5">
        <f>HYPERLINK("https://map.naver.com/p/search/나성동 829", "지도Link")</f>
        <v/>
      </c>
      <c r="K2189" s="5">
        <f>HYPERLINK("http://www.eum.go.kr/web/ar/lu/luLandDet.jsp?pnu=3611010700108290000&amp;isNoScr=script&amp;mode=search", "토지이음")</f>
        <v/>
      </c>
      <c r="L2189" s="3" t="inlineStr">
        <is>
          <t>뉴태양</t>
        </is>
      </c>
      <c r="M2189" s="3" t="n">
        <v>1</v>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3" t="inlineStr">
        <is>
          <t>대로변 개발 예정지 주유소 상가건물 사옥 투자용 최상급 용지</t>
        </is>
      </c>
      <c r="I2190" s="5">
        <f>HYPERLINK("https://fin.land.naver.com/articles/2643970863", "매물Link")</f>
        <v/>
      </c>
      <c r="J2190" s="5">
        <f>HYPERLINK("https://map.naver.com/p/search/나성동 829", "지도Link")</f>
        <v/>
      </c>
      <c r="K2190" s="5">
        <f>HYPERLINK("http://www.eum.go.kr/web/ar/lu/luLandDet.jsp?pnu=3611010700108290000&amp;isNoScr=script&amp;mode=search", "토지이음")</f>
        <v/>
      </c>
      <c r="L2190" s="3" t="inlineStr">
        <is>
          <t>뉴태양</t>
        </is>
      </c>
      <c r="M2190" s="3" t="n">
        <v>1</v>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3" t="inlineStr">
        <is>
          <t>상업용 건물 또는 사옥용 토지로 적합</t>
        </is>
      </c>
      <c r="I2191" s="5">
        <f>HYPERLINK("https://fin.land.naver.com/articles/2648486117", "매물Link")</f>
        <v/>
      </c>
      <c r="J2191" s="5">
        <f>HYPERLINK("https://map.naver.com/p/search/나성동 829", "지도Link")</f>
        <v/>
      </c>
      <c r="K2191" s="5">
        <f>HYPERLINK("http://www.eum.go.kr/web/ar/lu/luLandDet.jsp?pnu=3611010700108290000&amp;isNoScr=script&amp;mode=search", "토지이음")</f>
        <v/>
      </c>
      <c r="L2191" s="3" t="inlineStr">
        <is>
          <t>천지인</t>
        </is>
      </c>
      <c r="M2191" s="3" t="n">
        <v>2</v>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3" t="inlineStr">
        <is>
          <t>nan</t>
        </is>
      </c>
      <c r="I2192" s="5">
        <f>HYPERLINK("https://fin.land.naver.com/articles/2645388461", "매물Link")</f>
        <v/>
      </c>
      <c r="J2192" s="5">
        <f>HYPERLINK("https://map.naver.com/p/search/나성동 829", "지도Link")</f>
        <v/>
      </c>
      <c r="K2192" s="5">
        <f>HYPERLINK("http://www.eum.go.kr/web/ar/lu/luLandDet.jsp?pnu=3611010700108290000&amp;isNoScr=script&amp;mode=search", "토지이음")</f>
        <v/>
      </c>
      <c r="L2192" s="3" t="inlineStr">
        <is>
          <t>달란트</t>
        </is>
      </c>
      <c r="M2192" s="3" t="n">
        <v>1</v>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3" t="inlineStr">
        <is>
          <t>대규모 아파트단지 근접 중로인근 화원 과수원 묘목 투자용 최상급 토지</t>
        </is>
      </c>
      <c r="I2193" s="5">
        <f>HYPERLINK("https://fin.land.naver.com/articles/2646296598", "매물Link")</f>
        <v/>
      </c>
      <c r="J2193" s="5">
        <f>HYPERLINK("https://map.naver.com/p/search/나성동 829", "지도Link")</f>
        <v/>
      </c>
      <c r="K2193" s="5">
        <f>HYPERLINK("http://www.eum.go.kr/web/ar/lu/luLandDet.jsp?pnu=3611010700108290000&amp;isNoScr=script&amp;mode=search", "토지이음")</f>
        <v/>
      </c>
      <c r="L2193" s="3" t="inlineStr">
        <is>
          <t>뉴태양</t>
        </is>
      </c>
      <c r="M2193" s="3" t="n">
        <v>1</v>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3" t="inlineStr">
        <is>
          <t>급매 저렴 여진미술관 인근 교통 편리한 청정지역 주말농장 투자용 최적</t>
        </is>
      </c>
      <c r="I2194" s="5">
        <f>HYPERLINK("https://fin.land.naver.com/articles/2646293381", "매물Link")</f>
        <v/>
      </c>
      <c r="J2194" s="5">
        <f>HYPERLINK("https://map.naver.com/p/search/나성동 829", "지도Link")</f>
        <v/>
      </c>
      <c r="K2194" s="5">
        <f>HYPERLINK("http://www.eum.go.kr/web/ar/lu/luLandDet.jsp?pnu=3611010700108290000&amp;isNoScr=script&amp;mode=search", "토지이음")</f>
        <v/>
      </c>
      <c r="L2194" s="3" t="inlineStr">
        <is>
          <t>뉴태양</t>
        </is>
      </c>
      <c r="M2194" s="3" t="n">
        <v>1</v>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3" t="inlineStr">
        <is>
          <t>전민탑립지구 개발지 인접 대로변 화원 과수원 묘목 투자용 최상급 토지</t>
        </is>
      </c>
      <c r="I2195" s="5">
        <f>HYPERLINK("https://fin.land.naver.com/articles/2644794412", "매물Link")</f>
        <v/>
      </c>
      <c r="J2195" s="5">
        <f>HYPERLINK("https://map.naver.com/p/search/나성동 829", "지도Link")</f>
        <v/>
      </c>
      <c r="K2195" s="5">
        <f>HYPERLINK("http://www.eum.go.kr/web/ar/lu/luLandDet.jsp?pnu=3611010700108290000&amp;isNoScr=script&amp;mode=search", "토지이음")</f>
        <v/>
      </c>
      <c r="L2195" s="3" t="inlineStr">
        <is>
          <t>뉴태양</t>
        </is>
      </c>
      <c r="M2195" s="3" t="n">
        <v>1</v>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3" t="inlineStr">
        <is>
          <t>명품 입지 상가건물 사옥 커피 베이커리 용도 다양 투자용 물건 최상급</t>
        </is>
      </c>
      <c r="I2196" s="5">
        <f>HYPERLINK("https://fin.land.naver.com/articles/2644032780", "매물Link")</f>
        <v/>
      </c>
      <c r="J2196" s="5">
        <f>HYPERLINK("https://map.naver.com/p/search/나성동 829", "지도Link")</f>
        <v/>
      </c>
      <c r="K2196" s="5">
        <f>HYPERLINK("http://www.eum.go.kr/web/ar/lu/luLandDet.jsp?pnu=3611010700108290000&amp;isNoScr=script&amp;mode=search", "토지이음")</f>
        <v/>
      </c>
      <c r="L2196" s="3" t="inlineStr">
        <is>
          <t>뉴태양</t>
        </is>
      </c>
      <c r="M2196" s="3" t="n">
        <v>1</v>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3" t="inlineStr">
        <is>
          <t>세종시 서세종IC, 제2경부고속도로 IC 인근으로 사옥, 물류창고 외</t>
        </is>
      </c>
      <c r="I2197" s="5">
        <f>HYPERLINK("https://fin.land.naver.com/articles/2646036350", "매물Link")</f>
        <v/>
      </c>
      <c r="J2197" s="5">
        <f>HYPERLINK("https://map.naver.com/p/search/나성동 829", "지도Link")</f>
        <v/>
      </c>
      <c r="K2197" s="5">
        <f>HYPERLINK("http://www.eum.go.kr/web/ar/lu/luLandDet.jsp?pnu=3611010700108290000&amp;isNoScr=script&amp;mode=search", "토지이음")</f>
        <v/>
      </c>
      <c r="L2197" s="3" t="inlineStr">
        <is>
          <t>세종태양</t>
        </is>
      </c>
      <c r="M2197" s="3" t="n">
        <v>1</v>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3" t="inlineStr">
        <is>
          <t>2차선포장도로접</t>
        </is>
      </c>
      <c r="I2198" s="5">
        <f>HYPERLINK("https://fin.land.naver.com/articles/2649138681", "매물Link")</f>
        <v/>
      </c>
      <c r="J2198" s="5">
        <f>HYPERLINK("https://map.naver.com/p/search/나성동 829", "지도Link")</f>
        <v/>
      </c>
      <c r="K2198" s="5">
        <f>HYPERLINK("http://www.eum.go.kr/web/ar/lu/luLandDet.jsp?pnu=3611010700108290000&amp;isNoScr=script&amp;mode=search", "토지이음")</f>
        <v/>
      </c>
      <c r="L2198" s="3" t="inlineStr">
        <is>
          <t>평원</t>
        </is>
      </c>
      <c r="M2198" s="3" t="n">
        <v>1</v>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3" t="inlineStr">
        <is>
          <t>급매 북향 나대지 상가주택 다가구 카페 임대 수요 많아 투자 수익 양호</t>
        </is>
      </c>
      <c r="I2199" s="5">
        <f>HYPERLINK("https://fin.land.naver.com/articles/2648959817", "매물Link")</f>
        <v/>
      </c>
      <c r="J2199" s="5">
        <f>HYPERLINK("https://map.naver.com/p/search/나성동 829", "지도Link")</f>
        <v/>
      </c>
      <c r="K2199" s="5">
        <f>HYPERLINK("http://www.eum.go.kr/web/ar/lu/luLandDet.jsp?pnu=3611010700108290000&amp;isNoScr=script&amp;mode=search", "토지이음")</f>
        <v/>
      </c>
      <c r="L2199" s="3" t="inlineStr">
        <is>
          <t>뉴태양</t>
        </is>
      </c>
      <c r="M2199" s="3" t="n">
        <v>1</v>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3" t="inlineStr">
        <is>
          <t>nan</t>
        </is>
      </c>
      <c r="I2200" s="5">
        <f>HYPERLINK("https://fin.land.naver.com/articles/2645164231", "매물Link")</f>
        <v/>
      </c>
      <c r="J2200" s="5">
        <f>HYPERLINK("https://map.naver.com/p/search/나성동 829", "지도Link")</f>
        <v/>
      </c>
      <c r="K2200" s="5">
        <f>HYPERLINK("http://www.eum.go.kr/web/ar/lu/luLandDet.jsp?pnu=3611010700108290000&amp;isNoScr=script&amp;mode=search", "토지이음")</f>
        <v/>
      </c>
      <c r="L2200" s="3" t="inlineStr">
        <is>
          <t>웰컴</t>
        </is>
      </c>
      <c r="M2200" s="3" t="n">
        <v>1</v>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3" t="inlineStr">
        <is>
          <t>Point 지역호재,주말농장, 구거 접한 현황상 도로 접하여 접근성 좋음</t>
        </is>
      </c>
      <c r="I2201" s="5">
        <f>HYPERLINK("https://fin.land.naver.com/articles/2646504824", "매물Link")</f>
        <v/>
      </c>
      <c r="J2201" s="5">
        <f>HYPERLINK("https://map.naver.com/p/search/나성동 829", "지도Link")</f>
        <v/>
      </c>
      <c r="K2201" s="5">
        <f>HYPERLINK("http://www.eum.go.kr/web/ar/lu/luLandDet.jsp?pnu=3611010700108290000&amp;isNoScr=script&amp;mode=search", "토지이음")</f>
        <v/>
      </c>
      <c r="L2201" s="3" t="inlineStr">
        <is>
          <t>도마호반</t>
        </is>
      </c>
      <c r="M2201" s="3" t="n">
        <v>1</v>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3" t="inlineStr">
        <is>
          <t>nan</t>
        </is>
      </c>
      <c r="I2202" s="5">
        <f>HYPERLINK("https://fin.land.naver.com/articles/2647619785", "매물Link")</f>
        <v/>
      </c>
      <c r="J2202" s="5">
        <f>HYPERLINK("https://map.naver.com/p/search/나성동 829", "지도Link")</f>
        <v/>
      </c>
      <c r="K2202" s="5">
        <f>HYPERLINK("http://www.eum.go.kr/web/ar/lu/luLandDet.jsp?pnu=3611010700108290000&amp;isNoScr=script&amp;mode=search", "토지이음")</f>
        <v/>
      </c>
      <c r="L2202" s="3" t="inlineStr">
        <is>
          <t>새터전</t>
        </is>
      </c>
      <c r="M2202" s="3" t="n">
        <v>1</v>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3" t="inlineStr">
        <is>
          <t>nan</t>
        </is>
      </c>
      <c r="I2203" s="5">
        <f>HYPERLINK("https://fin.land.naver.com/articles/2648919573", "매물Link")</f>
        <v/>
      </c>
      <c r="J2203" s="5">
        <f>HYPERLINK("https://map.naver.com/p/search/나성동 829", "지도Link")</f>
        <v/>
      </c>
      <c r="K2203" s="5">
        <f>HYPERLINK("http://www.eum.go.kr/web/ar/lu/luLandDet.jsp?pnu=3611010700108290000&amp;isNoScr=script&amp;mode=search", "토지이음")</f>
        <v/>
      </c>
      <c r="L2203" s="3" t="inlineStr">
        <is>
          <t>미더스</t>
        </is>
      </c>
      <c r="M2203" s="3" t="n">
        <v>1</v>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3" t="inlineStr">
        <is>
          <t>전하고 임야로 이루어진 토지 신축 공장 부지 추천</t>
        </is>
      </c>
      <c r="I2204" s="5">
        <f>HYPERLINK("https://fin.land.naver.com/articles/2648151427", "매물Link")</f>
        <v/>
      </c>
      <c r="J2204" s="5">
        <f>HYPERLINK("https://map.naver.com/p/search/나성동 829", "지도Link")</f>
        <v/>
      </c>
      <c r="K2204" s="5">
        <f>HYPERLINK("http://www.eum.go.kr/web/ar/lu/luLandDet.jsp?pnu=3611010700108290000&amp;isNoScr=script&amp;mode=search", "토지이음")</f>
        <v/>
      </c>
      <c r="L2204" s="3" t="inlineStr">
        <is>
          <t>삼익</t>
        </is>
      </c>
      <c r="M2204" s="3" t="n">
        <v>1</v>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3" t="inlineStr">
        <is>
          <t>규모있는다용도부지.2차선도로접.행정중심복합도시인접.완만한지세.</t>
        </is>
      </c>
      <c r="I2205" s="5">
        <f>HYPERLINK("https://fin.land.naver.com/articles/2646361643", "매물Link")</f>
        <v/>
      </c>
      <c r="J2205" s="5">
        <f>HYPERLINK("https://map.naver.com/p/search/나성동 829", "지도Link")</f>
        <v/>
      </c>
      <c r="K2205" s="5">
        <f>HYPERLINK("http://www.eum.go.kr/web/ar/lu/luLandDet.jsp?pnu=3611010700108290000&amp;isNoScr=script&amp;mode=search", "토지이음")</f>
        <v/>
      </c>
      <c r="L2205" s="3" t="inlineStr">
        <is>
          <t>무한주식회사</t>
        </is>
      </c>
      <c r="M2205" s="3" t="n">
        <v>1</v>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3" t="inlineStr">
        <is>
          <t>대동금탄지구 개발예정지 경관 수려하고 대토 영농 투자용 최상</t>
        </is>
      </c>
      <c r="I2206" s="5">
        <f>HYPERLINK("https://fin.land.naver.com/articles/2646301873", "매물Link")</f>
        <v/>
      </c>
      <c r="J2206" s="5">
        <f>HYPERLINK("https://map.naver.com/p/search/나성동 829", "지도Link")</f>
        <v/>
      </c>
      <c r="K2206" s="5">
        <f>HYPERLINK("http://www.eum.go.kr/web/ar/lu/luLandDet.jsp?pnu=3611010700108290000&amp;isNoScr=script&amp;mode=search", "토지이음")</f>
        <v/>
      </c>
      <c r="L2206" s="3" t="inlineStr">
        <is>
          <t>뉴태양</t>
        </is>
      </c>
      <c r="M2206" s="3" t="n">
        <v>1</v>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3" t="inlineStr">
        <is>
          <t>토지 공시지가 급매 7천만 과학벨트 접한 금탄동 임야 3필지</t>
        </is>
      </c>
      <c r="I2207" s="5">
        <f>HYPERLINK("https://fin.land.naver.com/articles/2645316038", "매물Link")</f>
        <v/>
      </c>
      <c r="J2207" s="5">
        <f>HYPERLINK("https://map.naver.com/p/search/나성동 829", "지도Link")</f>
        <v/>
      </c>
      <c r="K2207" s="5">
        <f>HYPERLINK("http://www.eum.go.kr/web/ar/lu/luLandDet.jsp?pnu=3611010700108290000&amp;isNoScr=script&amp;mode=search", "토지이음")</f>
        <v/>
      </c>
      <c r="L2207" s="3" t="inlineStr">
        <is>
          <t>귀빈</t>
        </is>
      </c>
      <c r="M2207" s="3" t="n">
        <v>1</v>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3" t="inlineStr">
        <is>
          <t>신동과학베트인접지</t>
        </is>
      </c>
      <c r="I2208" s="5">
        <f>HYPERLINK("https://fin.land.naver.com/articles/2645568186", "매물Link")</f>
        <v/>
      </c>
      <c r="J2208" s="5">
        <f>HYPERLINK("https://map.naver.com/p/search/나성동 829", "지도Link")</f>
        <v/>
      </c>
      <c r="K2208" s="5">
        <f>HYPERLINK("http://www.eum.go.kr/web/ar/lu/luLandDet.jsp?pnu=3611010700108290000&amp;isNoScr=script&amp;mode=search", "토지이음")</f>
        <v/>
      </c>
      <c r="L2208" s="3" t="inlineStr">
        <is>
          <t>강남</t>
        </is>
      </c>
      <c r="M2208" s="3" t="n">
        <v>1</v>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3" t="inlineStr">
        <is>
          <t>둔곡동 근린상업용지 매매</t>
        </is>
      </c>
      <c r="I2209" s="5">
        <f>HYPERLINK("https://fin.land.naver.com/articles/2646119576", "매물Link")</f>
        <v/>
      </c>
      <c r="J2209" s="5">
        <f>HYPERLINK("https://map.naver.com/p/search/나성동 829", "지도Link")</f>
        <v/>
      </c>
      <c r="K2209" s="5">
        <f>HYPERLINK("http://www.eum.go.kr/web/ar/lu/luLandDet.jsp?pnu=3611010700108290000&amp;isNoScr=script&amp;mode=search", "토지이음")</f>
        <v/>
      </c>
      <c r="L2209" s="3" t="inlineStr">
        <is>
          <t>한화타운</t>
        </is>
      </c>
      <c r="M2209" s="3" t="n">
        <v>1</v>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3" t="inlineStr">
        <is>
          <t>OK. 준주거. 15m이상 도로접합. 접근성 용이. 둔곡동산업단지</t>
        </is>
      </c>
      <c r="I2210" s="5">
        <f>HYPERLINK("https://fin.land.naver.com/articles/2645758410", "매물Link")</f>
        <v/>
      </c>
      <c r="J2210" s="5">
        <f>HYPERLINK("https://map.naver.com/p/search/나성동 829", "지도Link")</f>
        <v/>
      </c>
      <c r="K2210" s="5">
        <f>HYPERLINK("http://www.eum.go.kr/web/ar/lu/luLandDet.jsp?pnu=3611010700108290000&amp;isNoScr=script&amp;mode=search", "토지이음")</f>
        <v/>
      </c>
      <c r="L2210" s="3" t="inlineStr">
        <is>
          <t>OK</t>
        </is>
      </c>
      <c r="M2210" s="3" t="n">
        <v>1</v>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3" t="inlineStr">
        <is>
          <t>향후 투자가치 있는 대지입니다</t>
        </is>
      </c>
      <c r="I2211" s="5">
        <f>HYPERLINK("https://fin.land.naver.com/articles/2643935145", "매물Link")</f>
        <v/>
      </c>
      <c r="J2211" s="5">
        <f>HYPERLINK("https://map.naver.com/p/search/나성동 829", "지도Link")</f>
        <v/>
      </c>
      <c r="K2211" s="5">
        <f>HYPERLINK("http://www.eum.go.kr/web/ar/lu/luLandDet.jsp?pnu=3611010700108290000&amp;isNoScr=script&amp;mode=search", "토지이음")</f>
        <v/>
      </c>
      <c r="L2211" s="3" t="inlineStr">
        <is>
          <t>둔곡</t>
        </is>
      </c>
      <c r="M2211" s="3" t="n">
        <v>1</v>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3" t="inlineStr">
        <is>
          <t>nan</t>
        </is>
      </c>
      <c r="I2212" s="5">
        <f>HYPERLINK("https://fin.land.naver.com/articles/2649552946", "매물Link")</f>
        <v/>
      </c>
      <c r="J2212" s="5">
        <f>HYPERLINK("https://map.naver.com/p/search/나성동 829", "지도Link")</f>
        <v/>
      </c>
      <c r="K2212" s="5">
        <f>HYPERLINK("http://www.eum.go.kr/web/ar/lu/luLandDet.jsp?pnu=3611010700108290000&amp;isNoScr=script&amp;mode=search", "토지이음")</f>
        <v/>
      </c>
      <c r="L2212" s="3" t="inlineStr">
        <is>
          <t>드림</t>
        </is>
      </c>
      <c r="M2212" s="3" t="n">
        <v>1</v>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3" t="inlineStr">
        <is>
          <t>둔곡지구 준주거지역 토지 매매</t>
        </is>
      </c>
      <c r="I2213" s="5">
        <f>HYPERLINK("https://fin.land.naver.com/articles/2646975993", "매물Link")</f>
        <v/>
      </c>
      <c r="J2213" s="5">
        <f>HYPERLINK("https://map.naver.com/p/search/나성동 829", "지도Link")</f>
        <v/>
      </c>
      <c r="K2213" s="5">
        <f>HYPERLINK("http://www.eum.go.kr/web/ar/lu/luLandDet.jsp?pnu=3611010700108290000&amp;isNoScr=script&amp;mode=search", "토지이음")</f>
        <v/>
      </c>
      <c r="L2213" s="3" t="inlineStr">
        <is>
          <t>지산</t>
        </is>
      </c>
      <c r="M2213" s="3" t="n">
        <v>1</v>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3" t="inlineStr">
        <is>
          <t>개발제한구역 도로각지</t>
        </is>
      </c>
      <c r="I2214" s="5">
        <f>HYPERLINK("https://fin.land.naver.com/articles/2645164118", "매물Link")</f>
        <v/>
      </c>
      <c r="J2214" s="5">
        <f>HYPERLINK("https://map.naver.com/p/search/나성동 829", "지도Link")</f>
        <v/>
      </c>
      <c r="K2214" s="5">
        <f>HYPERLINK("http://www.eum.go.kr/web/ar/lu/luLandDet.jsp?pnu=3611010700108290000&amp;isNoScr=script&amp;mode=search", "토지이음")</f>
        <v/>
      </c>
      <c r="L2214" s="3" t="inlineStr">
        <is>
          <t>웰컴</t>
        </is>
      </c>
      <c r="M2214" s="3" t="n">
        <v>1</v>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3" t="inlineStr">
        <is>
          <t>대동산업단지 예정지 연구개발특구로 지정된 지역</t>
        </is>
      </c>
      <c r="I2215" s="5">
        <f>HYPERLINK("https://fin.land.naver.com/articles/2644610084", "매물Link")</f>
        <v/>
      </c>
      <c r="J2215" s="5">
        <f>HYPERLINK("https://map.naver.com/p/search/나성동 829", "지도Link")</f>
        <v/>
      </c>
      <c r="K2215" s="5">
        <f>HYPERLINK("http://www.eum.go.kr/web/ar/lu/luLandDet.jsp?pnu=3611010700108290000&amp;isNoScr=script&amp;mode=search", "토지이음")</f>
        <v/>
      </c>
      <c r="L2215" s="3" t="inlineStr">
        <is>
          <t>하늘채</t>
        </is>
      </c>
      <c r="M2215" s="3" t="n">
        <v>1</v>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3" t="inlineStr">
        <is>
          <t>둔곡동공장전용 나대지로되어있습니다</t>
        </is>
      </c>
      <c r="I2216" s="5">
        <f>HYPERLINK("https://fin.land.naver.com/articles/2644477052", "매물Link")</f>
        <v/>
      </c>
      <c r="J2216" s="5">
        <f>HYPERLINK("https://map.naver.com/p/search/나성동 829", "지도Link")</f>
        <v/>
      </c>
      <c r="K2216" s="5">
        <f>HYPERLINK("http://www.eum.go.kr/web/ar/lu/luLandDet.jsp?pnu=3611010700108290000&amp;isNoScr=script&amp;mode=search", "토지이음")</f>
        <v/>
      </c>
      <c r="L2216" s="3" t="inlineStr">
        <is>
          <t>남청주ic합동무소</t>
        </is>
      </c>
      <c r="M2216" s="3" t="n">
        <v>1</v>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3" t="inlineStr">
        <is>
          <t>저수지 주변 토지, 농사짓기에 편리한 토지, 현황도로 있음</t>
        </is>
      </c>
      <c r="I2217" s="5">
        <f>HYPERLINK("https://fin.land.naver.com/articles/2649680566", "매물Link")</f>
        <v/>
      </c>
      <c r="J2217" s="5">
        <f>HYPERLINK("https://map.naver.com/p/search/나성동 829", "지도Link")</f>
        <v/>
      </c>
      <c r="K2217" s="5">
        <f>HYPERLINK("http://www.eum.go.kr/web/ar/lu/luLandDet.jsp?pnu=3611010700108290000&amp;isNoScr=script&amp;mode=search", "토지이음")</f>
        <v/>
      </c>
      <c r="L2217" s="3" t="inlineStr">
        <is>
          <t>OK</t>
        </is>
      </c>
      <c r="M2217" s="3" t="n">
        <v>1</v>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3" t="inlineStr">
        <is>
          <t>위치 좋은 토지, 향후 인기 상가 지역 예상</t>
        </is>
      </c>
      <c r="I2218" s="5">
        <f>HYPERLINK("https://fin.land.naver.com/articles/2647611806", "매물Link")</f>
        <v/>
      </c>
      <c r="J2218" s="5">
        <f>HYPERLINK("https://map.naver.com/p/search/나성동 829", "지도Link")</f>
        <v/>
      </c>
      <c r="K2218" s="5">
        <f>HYPERLINK("http://www.eum.go.kr/web/ar/lu/luLandDet.jsp?pnu=3611010700108290000&amp;isNoScr=script&amp;mode=search", "토지이음")</f>
        <v/>
      </c>
      <c r="L2218" s="3" t="inlineStr">
        <is>
          <t>둔곡우미린부자</t>
        </is>
      </c>
      <c r="M2218" s="3" t="n">
        <v>1</v>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3" t="inlineStr">
        <is>
          <t>투자성 좋은 토지매매</t>
        </is>
      </c>
      <c r="I2219" s="5">
        <f>HYPERLINK("https://fin.land.naver.com/articles/2648426412", "매물Link")</f>
        <v/>
      </c>
      <c r="J2219" s="5">
        <f>HYPERLINK("https://map.naver.com/p/search/나성동 829", "지도Link")</f>
        <v/>
      </c>
      <c r="K2219" s="5">
        <f>HYPERLINK("http://www.eum.go.kr/web/ar/lu/luLandDet.jsp?pnu=3611010700108290000&amp;isNoScr=script&amp;mode=search", "토지이음")</f>
        <v/>
      </c>
      <c r="L2219" s="3" t="inlineStr">
        <is>
          <t>한솔랜드</t>
        </is>
      </c>
      <c r="M2219" s="3" t="n">
        <v>1</v>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3" t="inlineStr">
        <is>
          <t>오정동 천변 인근에 있는 창고용 부지에 적합합니다</t>
        </is>
      </c>
      <c r="I2220" s="5">
        <f>HYPERLINK("https://fin.land.naver.com/articles/2649111490", "매물Link")</f>
        <v/>
      </c>
      <c r="J2220" s="5">
        <f>HYPERLINK("https://map.naver.com/p/search/나성동 829", "지도Link")</f>
        <v/>
      </c>
      <c r="K2220" s="5">
        <f>HYPERLINK("http://www.eum.go.kr/web/ar/lu/luLandDet.jsp?pnu=3611010700108290000&amp;isNoScr=script&amp;mode=search", "토지이음")</f>
        <v/>
      </c>
      <c r="L2220" s="3" t="inlineStr">
        <is>
          <t>지운</t>
        </is>
      </c>
      <c r="M2220" s="3" t="n">
        <v>1</v>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3" t="inlineStr">
        <is>
          <t>유성구 구룡동 감정가 이하로 매입가능,사두면 돈 버는 땅</t>
        </is>
      </c>
      <c r="I2221" s="5">
        <f>HYPERLINK("https://fin.land.naver.com/articles/2649730475", "매물Link")</f>
        <v/>
      </c>
      <c r="J2221" s="5">
        <f>HYPERLINK("https://map.naver.com/p/search/나성동 829", "지도Link")</f>
        <v/>
      </c>
      <c r="K2221" s="5">
        <f>HYPERLINK("http://www.eum.go.kr/web/ar/lu/luLandDet.jsp?pnu=3611010700108290000&amp;isNoScr=script&amp;mode=search", "토지이음")</f>
        <v/>
      </c>
      <c r="L2221" s="3" t="inlineStr">
        <is>
          <t>더책임</t>
        </is>
      </c>
      <c r="M2221" s="3" t="n">
        <v>1</v>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3" t="inlineStr">
        <is>
          <t>현 나대지 상태입니다
단독주택 및 다가구 주택적지</t>
        </is>
      </c>
      <c r="I2222" s="5">
        <f>HYPERLINK("https://fin.land.naver.com/articles/2648315372", "매물Link")</f>
        <v/>
      </c>
      <c r="J2222" s="5">
        <f>HYPERLINK("https://map.naver.com/p/search/나성동 829", "지도Link")</f>
        <v/>
      </c>
      <c r="K2222" s="5">
        <f>HYPERLINK("http://www.eum.go.kr/web/ar/lu/luLandDet.jsp?pnu=3611010700108290000&amp;isNoScr=script&amp;mode=search", "토지이음")</f>
        <v/>
      </c>
      <c r="L2222" s="3" t="inlineStr">
        <is>
          <t>탑</t>
        </is>
      </c>
      <c r="M2222" s="3" t="n">
        <v>1</v>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3" t="inlineStr">
        <is>
          <t>하기중학교 근처에 있는 평당 600만원 2종일반주거지역 나대지입니다</t>
        </is>
      </c>
      <c r="I2223" s="5">
        <f>HYPERLINK("https://fin.land.naver.com/articles/2650107325", "매물Link")</f>
        <v/>
      </c>
      <c r="J2223" s="5">
        <f>HYPERLINK("https://map.naver.com/p/search/나성동 829", "지도Link")</f>
        <v/>
      </c>
      <c r="K2223" s="5">
        <f>HYPERLINK("http://www.eum.go.kr/web/ar/lu/luLandDet.jsp?pnu=3611010700108290000&amp;isNoScr=script&amp;mode=search", "토지이음")</f>
        <v/>
      </c>
      <c r="L2223" s="3" t="inlineStr">
        <is>
          <t>덕명1번지</t>
        </is>
      </c>
      <c r="M2223" s="3" t="n">
        <v>1</v>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3" t="inlineStr">
        <is>
          <t>전면이 18미터 되니 북쪽으로 밀어서 집을 지으면 남향 채광을 다 받음</t>
        </is>
      </c>
      <c r="I2224" s="5">
        <f>HYPERLINK("https://fin.land.naver.com/articles/2650160721", "매물Link")</f>
        <v/>
      </c>
      <c r="J2224" s="5">
        <f>HYPERLINK("https://map.naver.com/p/search/나성동 829", "지도Link")</f>
        <v/>
      </c>
      <c r="K2224" s="5">
        <f>HYPERLINK("http://www.eum.go.kr/web/ar/lu/luLandDet.jsp?pnu=3611010700108290000&amp;isNoScr=script&amp;mode=search", "토지이음")</f>
        <v/>
      </c>
      <c r="L2224" s="3" t="inlineStr">
        <is>
          <t>노은미래</t>
        </is>
      </c>
      <c r="M2224" s="3" t="n">
        <v>1</v>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3" t="inlineStr">
        <is>
          <t>nan</t>
        </is>
      </c>
      <c r="I2225" s="5">
        <f>HYPERLINK("https://fin.land.naver.com/articles/2647674823", "매물Link")</f>
        <v/>
      </c>
      <c r="J2225" s="5">
        <f>HYPERLINK("https://map.naver.com/p/search/나성동 829", "지도Link")</f>
        <v/>
      </c>
      <c r="K2225" s="5">
        <f>HYPERLINK("http://www.eum.go.kr/web/ar/lu/luLandDet.jsp?pnu=3611010700108290000&amp;isNoScr=script&amp;mode=search", "토지이음")</f>
        <v/>
      </c>
      <c r="L2225" s="3" t="inlineStr">
        <is>
          <t>도안우미린사랑무소</t>
        </is>
      </c>
      <c r="M2225" s="3" t="n">
        <v>1</v>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3" t="inlineStr">
        <is>
          <t>대토용 토지 강력추천 세동 초입 방동 투자가치 높은 토지</t>
        </is>
      </c>
      <c r="I2226" s="5">
        <f>HYPERLINK("https://fin.land.naver.com/articles/2647805894", "매물Link")</f>
        <v/>
      </c>
      <c r="J2226" s="5">
        <f>HYPERLINK("https://map.naver.com/p/search/나성동 829", "지도Link")</f>
        <v/>
      </c>
      <c r="K2226" s="5">
        <f>HYPERLINK("http://www.eum.go.kr/web/ar/lu/luLandDet.jsp?pnu=3611010700108290000&amp;isNoScr=script&amp;mode=search", "토지이음")</f>
        <v/>
      </c>
      <c r="L2226" s="3" t="inlineStr">
        <is>
          <t>골든타임</t>
        </is>
      </c>
      <c r="M2226" s="3" t="n">
        <v>1</v>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3" t="inlineStr">
        <is>
          <t>nan</t>
        </is>
      </c>
      <c r="I2227" s="5">
        <f>HYPERLINK("https://fin.land.naver.com/articles/2647909459", "매물Link")</f>
        <v/>
      </c>
      <c r="J2227" s="5">
        <f>HYPERLINK("https://map.naver.com/p/search/나성동 829", "지도Link")</f>
        <v/>
      </c>
      <c r="K2227" s="5">
        <f>HYPERLINK("http://www.eum.go.kr/web/ar/lu/luLandDet.jsp?pnu=3611010700108290000&amp;isNoScr=script&amp;mode=search", "토지이음")</f>
        <v/>
      </c>
      <c r="L2227" s="3" t="inlineStr">
        <is>
          <t>그린</t>
        </is>
      </c>
      <c r="M2227" s="3" t="n">
        <v>1</v>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3" t="inlineStr">
        <is>
          <t>경지정리된 답,진입로 좋음,시세대비저렴,농지원부가능,대로변에서 가까움</t>
        </is>
      </c>
      <c r="I2228" s="5">
        <f>HYPERLINK("https://fin.land.naver.com/articles/2647675554", "매물Link")</f>
        <v/>
      </c>
      <c r="J2228" s="5">
        <f>HYPERLINK("https://map.naver.com/p/search/나성동 829", "지도Link")</f>
        <v/>
      </c>
      <c r="K2228" s="5">
        <f>HYPERLINK("http://www.eum.go.kr/web/ar/lu/luLandDet.jsp?pnu=3611010700108290000&amp;isNoScr=script&amp;mode=search", "토지이음")</f>
        <v/>
      </c>
      <c r="L2228" s="3" t="inlineStr">
        <is>
          <t>도안우미린사랑무소</t>
        </is>
      </c>
      <c r="M2228" s="3" t="n">
        <v>1</v>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3" t="inlineStr">
        <is>
          <t>유성구 방동저수지에서 계룡시방향 잘 꾸며진 가페 및 토지 입니다</t>
        </is>
      </c>
      <c r="I2229" s="5">
        <f>HYPERLINK("https://fin.land.naver.com/articles/2646339162", "매물Link")</f>
        <v/>
      </c>
      <c r="J2229" s="5">
        <f>HYPERLINK("https://map.naver.com/p/search/나성동 829", "지도Link")</f>
        <v/>
      </c>
      <c r="K2229" s="5">
        <f>HYPERLINK("http://www.eum.go.kr/web/ar/lu/luLandDet.jsp?pnu=3611010700108290000&amp;isNoScr=script&amp;mode=search", "토지이음")</f>
        <v/>
      </c>
      <c r="L2229" s="3" t="inlineStr">
        <is>
          <t>더행복</t>
        </is>
      </c>
      <c r="M2229" s="3" t="n">
        <v>1</v>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3" t="inlineStr">
        <is>
          <t>봉명동 역세권에 위치한 대지</t>
        </is>
      </c>
      <c r="I2230" s="5">
        <f>HYPERLINK("https://fin.land.naver.com/articles/2644987952", "매물Link")</f>
        <v/>
      </c>
      <c r="J2230" s="5">
        <f>HYPERLINK("https://map.naver.com/p/search/나성동 829", "지도Link")</f>
        <v/>
      </c>
      <c r="K2230" s="5">
        <f>HYPERLINK("http://www.eum.go.kr/web/ar/lu/luLandDet.jsp?pnu=3611010700108290000&amp;isNoScr=script&amp;mode=search", "토지이음")</f>
        <v/>
      </c>
      <c r="L2230" s="3" t="inlineStr">
        <is>
          <t>정보은행</t>
        </is>
      </c>
      <c r="M2230" s="3" t="n">
        <v>1</v>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3" t="inlineStr">
        <is>
          <t>구암동 대지 매매</t>
        </is>
      </c>
      <c r="I2231" s="5">
        <f>HYPERLINK("https://fin.land.naver.com/articles/2649138588", "매물Link")</f>
        <v/>
      </c>
      <c r="J2231" s="5">
        <f>HYPERLINK("https://map.naver.com/p/search/나성동 829", "지도Link")</f>
        <v/>
      </c>
      <c r="K2231" s="5">
        <f>HYPERLINK("http://www.eum.go.kr/web/ar/lu/luLandDet.jsp?pnu=3611010700108290000&amp;isNoScr=script&amp;mode=search", "토지이음")</f>
        <v/>
      </c>
      <c r="L2231" s="3" t="inlineStr">
        <is>
          <t>예미지탑</t>
        </is>
      </c>
      <c r="M2231" s="3" t="n">
        <v>1</v>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3" t="inlineStr">
        <is>
          <t>접근성 좋은 토지, 주말농장 및 투자용으로 추천드릴 토지</t>
        </is>
      </c>
      <c r="I2232" s="5">
        <f>HYPERLINK("https://fin.land.naver.com/articles/2648932441", "매물Link")</f>
        <v/>
      </c>
      <c r="J2232" s="5">
        <f>HYPERLINK("https://map.naver.com/p/search/나성동 829", "지도Link")</f>
        <v/>
      </c>
      <c r="K2232" s="5">
        <f>HYPERLINK("http://www.eum.go.kr/web/ar/lu/luLandDet.jsp?pnu=3611010700108290000&amp;isNoScr=script&amp;mode=search", "토지이음")</f>
        <v/>
      </c>
      <c r="L2232" s="3" t="inlineStr">
        <is>
          <t>금화랜드</t>
        </is>
      </c>
      <c r="M2232" s="3" t="n">
        <v>1</v>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3" t="inlineStr">
        <is>
          <t>현충원역 인근 2차선접 코너각지 반듯한 토지 입니다</t>
        </is>
      </c>
      <c r="I2233" s="5">
        <f>HYPERLINK("https://fin.land.naver.com/articles/2648744291", "매물Link")</f>
        <v/>
      </c>
      <c r="J2233" s="5">
        <f>HYPERLINK("https://map.naver.com/p/search/나성동 829", "지도Link")</f>
        <v/>
      </c>
      <c r="K2233" s="5">
        <f>HYPERLINK("http://www.eum.go.kr/web/ar/lu/luLandDet.jsp?pnu=3611010700108290000&amp;isNoScr=script&amp;mode=search", "토지이음")</f>
        <v/>
      </c>
      <c r="L2233" s="3" t="inlineStr">
        <is>
          <t>더행복</t>
        </is>
      </c>
      <c r="M2233" s="3" t="n">
        <v>1</v>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3" t="inlineStr">
        <is>
          <t>대로변에 접한 자연 녹지. 개발 제한 구역</t>
        </is>
      </c>
      <c r="I2234" s="5">
        <f>HYPERLINK("https://fin.land.naver.com/articles/2647678401", "매물Link")</f>
        <v/>
      </c>
      <c r="J2234" s="5">
        <f>HYPERLINK("https://map.naver.com/p/search/나성동 829", "지도Link")</f>
        <v/>
      </c>
      <c r="K2234" s="5">
        <f>HYPERLINK("http://www.eum.go.kr/web/ar/lu/luLandDet.jsp?pnu=3611010700108290000&amp;isNoScr=script&amp;mode=search", "토지이음")</f>
        <v/>
      </c>
      <c r="L2234" s="3" t="inlineStr">
        <is>
          <t>SK</t>
        </is>
      </c>
      <c r="M2234" s="3" t="n">
        <v>1</v>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3" t="inlineStr">
        <is>
          <t>대로변 전시효과 좋고 카페 가든 사옥 전시매장 창고 다양 용도 최상</t>
        </is>
      </c>
      <c r="I2235" s="5">
        <f>HYPERLINK("https://fin.land.naver.com/articles/2645359044", "매물Link")</f>
        <v/>
      </c>
      <c r="J2235" s="5">
        <f>HYPERLINK("https://map.naver.com/p/search/나성동 829", "지도Link")</f>
        <v/>
      </c>
      <c r="K2235" s="5">
        <f>HYPERLINK("http://www.eum.go.kr/web/ar/lu/luLandDet.jsp?pnu=3611010700108290000&amp;isNoScr=script&amp;mode=search", "토지이음")</f>
        <v/>
      </c>
      <c r="L2235" s="3" t="inlineStr">
        <is>
          <t>뉴태양</t>
        </is>
      </c>
      <c r="M2235" s="3" t="n">
        <v>1</v>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3" t="inlineStr">
        <is>
          <t>구암역 .종합터미널 인근 토지로  포장도로 접해 있어요 .</t>
        </is>
      </c>
      <c r="I2236" s="5">
        <f>HYPERLINK("https://fin.land.naver.com/articles/2650187959", "매물Link")</f>
        <v/>
      </c>
      <c r="J2236" s="5">
        <f>HYPERLINK("https://map.naver.com/p/search/나성동 829", "지도Link")</f>
        <v/>
      </c>
      <c r="K2236" s="5">
        <f>HYPERLINK("http://www.eum.go.kr/web/ar/lu/luLandDet.jsp?pnu=3611010700108290000&amp;isNoScr=script&amp;mode=search", "토지이음")</f>
        <v/>
      </c>
      <c r="L2236" s="3" t="inlineStr">
        <is>
          <t>용천수</t>
        </is>
      </c>
      <c r="M2236" s="3" t="n">
        <v>1</v>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3" t="inlineStr">
        <is>
          <t>창말  절대농지</t>
        </is>
      </c>
      <c r="I2237" s="5">
        <f>HYPERLINK("https://fin.land.naver.com/articles/2650186920", "매물Link")</f>
        <v/>
      </c>
      <c r="J2237" s="5">
        <f>HYPERLINK("https://map.naver.com/p/search/나성동 829", "지도Link")</f>
        <v/>
      </c>
      <c r="K2237" s="5">
        <f>HYPERLINK("http://www.eum.go.kr/web/ar/lu/luLandDet.jsp?pnu=3611010700108290000&amp;isNoScr=script&amp;mode=search", "토지이음")</f>
        <v/>
      </c>
      <c r="L2237" s="3" t="inlineStr">
        <is>
          <t>롯데</t>
        </is>
      </c>
      <c r="M2237" s="3" t="n">
        <v>1</v>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3" t="inlineStr">
        <is>
          <t>유성복합터미널주변지역으로서 위치가좋고 주말농장으로적합함</t>
        </is>
      </c>
      <c r="I2238" s="5">
        <f>HYPERLINK("https://fin.land.naver.com/articles/2648191844", "매물Link")</f>
        <v/>
      </c>
      <c r="J2238" s="5">
        <f>HYPERLINK("https://map.naver.com/p/search/나성동 829", "지도Link")</f>
        <v/>
      </c>
      <c r="K2238" s="5">
        <f>HYPERLINK("http://www.eum.go.kr/web/ar/lu/luLandDet.jsp?pnu=3611010700108290000&amp;isNoScr=script&amp;mode=search", "토지이음")</f>
        <v/>
      </c>
      <c r="L2238" s="3" t="inlineStr">
        <is>
          <t>이은숙</t>
        </is>
      </c>
      <c r="M2238" s="3" t="n">
        <v>1</v>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3" t="inlineStr">
        <is>
          <t>접근성용이하고투자가치좋음.</t>
        </is>
      </c>
      <c r="I2239" s="5">
        <f>HYPERLINK("https://fin.land.naver.com/articles/2648190782", "매물Link")</f>
        <v/>
      </c>
      <c r="J2239" s="5">
        <f>HYPERLINK("https://map.naver.com/p/search/나성동 829", "지도Link")</f>
        <v/>
      </c>
      <c r="K2239" s="5">
        <f>HYPERLINK("http://www.eum.go.kr/web/ar/lu/luLandDet.jsp?pnu=3611010700108290000&amp;isNoScr=script&amp;mode=search", "토지이음")</f>
        <v/>
      </c>
      <c r="L2239" s="3" t="inlineStr">
        <is>
          <t>이은숙</t>
        </is>
      </c>
      <c r="M2239" s="3" t="n">
        <v>1</v>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3" t="inlineStr">
        <is>
          <t>토지일부가1종일반주거지역임.1372㎡중약595㎡.투자가치좋음</t>
        </is>
      </c>
      <c r="I2240" s="5">
        <f>HYPERLINK("https://fin.land.naver.com/articles/2648187417", "매물Link")</f>
        <v/>
      </c>
      <c r="J2240" s="5">
        <f>HYPERLINK("https://map.naver.com/p/search/나성동 829", "지도Link")</f>
        <v/>
      </c>
      <c r="K2240" s="5">
        <f>HYPERLINK("http://www.eum.go.kr/web/ar/lu/luLandDet.jsp?pnu=3611010700108290000&amp;isNoScr=script&amp;mode=search", "토지이음")</f>
        <v/>
      </c>
      <c r="L2240" s="3" t="inlineStr">
        <is>
          <t>이은숙</t>
        </is>
      </c>
      <c r="M2240" s="3" t="n">
        <v>1</v>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3" t="inlineStr">
        <is>
          <t>그린밸트.유성 터미널주변으로 개발예정지역. 투자용</t>
        </is>
      </c>
      <c r="I2241" s="5">
        <f>HYPERLINK("https://fin.land.naver.com/articles/2647725385", "매물Link")</f>
        <v/>
      </c>
      <c r="J2241" s="5">
        <f>HYPERLINK("https://map.naver.com/p/search/나성동 829", "지도Link")</f>
        <v/>
      </c>
      <c r="K2241" s="5">
        <f>HYPERLINK("http://www.eum.go.kr/web/ar/lu/luLandDet.jsp?pnu=3611010700108290000&amp;isNoScr=script&amp;mode=search", "토지이음")</f>
        <v/>
      </c>
      <c r="L2241" s="3" t="inlineStr">
        <is>
          <t>토지</t>
        </is>
      </c>
      <c r="M2241" s="3" t="n">
        <v>1</v>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3" t="inlineStr">
        <is>
          <t>nan</t>
        </is>
      </c>
      <c r="I2242" s="5">
        <f>HYPERLINK("https://fin.land.naver.com/articles/2647723970", "매물Link")</f>
        <v/>
      </c>
      <c r="J2242" s="5">
        <f>HYPERLINK("https://map.naver.com/p/search/나성동 829", "지도Link")</f>
        <v/>
      </c>
      <c r="K2242" s="5">
        <f>HYPERLINK("http://www.eum.go.kr/web/ar/lu/luLandDet.jsp?pnu=3611010700108290000&amp;isNoScr=script&amp;mode=search", "토지이음")</f>
        <v/>
      </c>
      <c r="L2242" s="3" t="inlineStr">
        <is>
          <t>토지</t>
        </is>
      </c>
      <c r="M2242" s="3" t="n">
        <v>1</v>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3" t="inlineStr">
        <is>
          <t>nan</t>
        </is>
      </c>
      <c r="I2243" s="5">
        <f>HYPERLINK("https://fin.land.naver.com/articles/2647722113", "매물Link")</f>
        <v/>
      </c>
      <c r="J2243" s="5">
        <f>HYPERLINK("https://map.naver.com/p/search/나성동 829", "지도Link")</f>
        <v/>
      </c>
      <c r="K2243" s="5">
        <f>HYPERLINK("http://www.eum.go.kr/web/ar/lu/luLandDet.jsp?pnu=3611010700108290000&amp;isNoScr=script&amp;mode=search", "토지이음")</f>
        <v/>
      </c>
      <c r="L2243" s="3" t="inlineStr">
        <is>
          <t>토지</t>
        </is>
      </c>
      <c r="M2243" s="3" t="n">
        <v>1</v>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3" t="inlineStr">
        <is>
          <t>구암역 및 시외버스 터미널 약 5분 이내거리 위치한 토지 입니다</t>
        </is>
      </c>
      <c r="I2244" s="5">
        <f>HYPERLINK("https://fin.land.naver.com/articles/2647481953", "매물Link")</f>
        <v/>
      </c>
      <c r="J2244" s="5">
        <f>HYPERLINK("https://map.naver.com/p/search/나성동 829", "지도Link")</f>
        <v/>
      </c>
      <c r="K2244" s="5">
        <f>HYPERLINK("http://www.eum.go.kr/web/ar/lu/luLandDet.jsp?pnu=3611010700108290000&amp;isNoScr=script&amp;mode=search", "토지이음")</f>
        <v/>
      </c>
      <c r="L2244" s="3" t="inlineStr">
        <is>
          <t>더행복</t>
        </is>
      </c>
      <c r="M2244" s="3" t="n">
        <v>1</v>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3" t="inlineStr">
        <is>
          <t>야적지나 물품 보관용등 . 20m 도로 인접</t>
        </is>
      </c>
      <c r="I2245" s="5">
        <f>HYPERLINK("https://fin.land.naver.com/articles/2645772109", "매물Link")</f>
        <v/>
      </c>
      <c r="J2245" s="5">
        <f>HYPERLINK("https://map.naver.com/p/search/나성동 829", "지도Link")</f>
        <v/>
      </c>
      <c r="K2245" s="5">
        <f>HYPERLINK("http://www.eum.go.kr/web/ar/lu/luLandDet.jsp?pnu=3611010700108290000&amp;isNoScr=script&amp;mode=search", "토지이음")</f>
        <v/>
      </c>
      <c r="L2245" s="3" t="inlineStr">
        <is>
          <t>낭만</t>
        </is>
      </c>
      <c r="M2245" s="3" t="n">
        <v>1</v>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3" t="inlineStr">
        <is>
          <t>현충원역 맞은편 공주방향 대로에 접한 토지</t>
        </is>
      </c>
      <c r="I2246" s="5">
        <f>HYPERLINK("https://fin.land.naver.com/articles/2644695414", "매물Link")</f>
        <v/>
      </c>
      <c r="J2246" s="5">
        <f>HYPERLINK("https://map.naver.com/p/search/나성동 829", "지도Link")</f>
        <v/>
      </c>
      <c r="K2246" s="5">
        <f>HYPERLINK("http://www.eum.go.kr/web/ar/lu/luLandDet.jsp?pnu=3611010700108290000&amp;isNoScr=script&amp;mode=search", "토지이음")</f>
        <v/>
      </c>
      <c r="L2246" s="3" t="inlineStr">
        <is>
          <t>세종114</t>
        </is>
      </c>
      <c r="M2246" s="3" t="n">
        <v>1</v>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3" t="inlineStr">
        <is>
          <t>유성천변에 위치한 그린밸트</t>
        </is>
      </c>
      <c r="I2247" s="5">
        <f>HYPERLINK("https://fin.land.naver.com/articles/2644694883", "매물Link")</f>
        <v/>
      </c>
      <c r="J2247" s="5">
        <f>HYPERLINK("https://map.naver.com/p/search/나성동 829", "지도Link")</f>
        <v/>
      </c>
      <c r="K2247" s="5">
        <f>HYPERLINK("http://www.eum.go.kr/web/ar/lu/luLandDet.jsp?pnu=3611010700108290000&amp;isNoScr=script&amp;mode=search", "토지이음")</f>
        <v/>
      </c>
      <c r="L2247" s="3" t="inlineStr">
        <is>
          <t>세종114</t>
        </is>
      </c>
      <c r="M2247" s="3" t="n">
        <v>1</v>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3" t="inlineStr">
        <is>
          <t>주말농장 추천</t>
        </is>
      </c>
      <c r="I2248" s="5">
        <f>HYPERLINK("https://fin.land.naver.com/articles/2648129580", "매물Link")</f>
        <v/>
      </c>
      <c r="J2248" s="5">
        <f>HYPERLINK("https://map.naver.com/p/search/나성동 829", "지도Link")</f>
        <v/>
      </c>
      <c r="K2248" s="5">
        <f>HYPERLINK("http://www.eum.go.kr/web/ar/lu/luLandDet.jsp?pnu=3611010700108290000&amp;isNoScr=script&amp;mode=search", "토지이음")</f>
        <v/>
      </c>
      <c r="L2248" s="3" t="inlineStr">
        <is>
          <t>삼익</t>
        </is>
      </c>
      <c r="M2248" s="3" t="n">
        <v>1</v>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3" t="inlineStr">
        <is>
          <t>대전에서 주말농장하기 좋은 위치 저렴한 농지 급매</t>
        </is>
      </c>
      <c r="I2249" s="5">
        <f>HYPERLINK("https://fin.land.naver.com/articles/2650019998", "매물Link")</f>
        <v/>
      </c>
      <c r="J2249" s="5">
        <f>HYPERLINK("https://map.naver.com/p/search/나성동 829", "지도Link")</f>
        <v/>
      </c>
      <c r="K2249" s="5">
        <f>HYPERLINK("http://www.eum.go.kr/web/ar/lu/luLandDet.jsp?pnu=3611010700108290000&amp;isNoScr=script&amp;mode=search", "토지이음")</f>
        <v/>
      </c>
      <c r="L2249" s="3" t="inlineStr">
        <is>
          <t>한별</t>
        </is>
      </c>
      <c r="M2249" s="3" t="n">
        <v>1</v>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3" t="inlineStr">
        <is>
          <t>상세동 마을 동편에 위치</t>
        </is>
      </c>
      <c r="I2250" s="5">
        <f>HYPERLINK("https://fin.land.naver.com/articles/2644700640", "매물Link")</f>
        <v/>
      </c>
      <c r="J2250" s="5">
        <f>HYPERLINK("https://map.naver.com/p/search/나성동 829", "지도Link")</f>
        <v/>
      </c>
      <c r="K2250" s="5">
        <f>HYPERLINK("http://www.eum.go.kr/web/ar/lu/luLandDet.jsp?pnu=3611010700108290000&amp;isNoScr=script&amp;mode=search", "토지이음")</f>
        <v/>
      </c>
      <c r="L2250" s="3" t="inlineStr">
        <is>
          <t>세종114</t>
        </is>
      </c>
      <c r="M2250" s="3" t="n">
        <v>1</v>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3" t="inlineStr">
        <is>
          <t>학의뜰 아파트 부근,도로접한 코너각지,2종일반주거지역,조용한고 경치좋음</t>
        </is>
      </c>
      <c r="I2251" s="5">
        <f>HYPERLINK("https://fin.land.naver.com/articles/2649862283", "매물Link")</f>
        <v/>
      </c>
      <c r="J2251" s="5">
        <f>HYPERLINK("https://map.naver.com/p/search/나성동 829", "지도Link")</f>
        <v/>
      </c>
      <c r="K2251" s="5">
        <f>HYPERLINK("http://www.eum.go.kr/web/ar/lu/luLandDet.jsp?pnu=3611010700108290000&amp;isNoScr=script&amp;mode=search", "토지이음")</f>
        <v/>
      </c>
      <c r="L2251" s="3" t="inlineStr">
        <is>
          <t>천재원</t>
        </is>
      </c>
      <c r="M2251" s="3" t="n">
        <v>1</v>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3" t="inlineStr">
        <is>
          <t>nan</t>
        </is>
      </c>
      <c r="I2252" s="5">
        <f>HYPERLINK("https://fin.land.naver.com/articles/2647247037", "매물Link")</f>
        <v/>
      </c>
      <c r="J2252" s="5">
        <f>HYPERLINK("https://map.naver.com/p/search/나성동 829", "지도Link")</f>
        <v/>
      </c>
      <c r="K2252" s="5">
        <f>HYPERLINK("http://www.eum.go.kr/web/ar/lu/luLandDet.jsp?pnu=3611010700108290000&amp;isNoScr=script&amp;mode=search", "토지이음")</f>
        <v/>
      </c>
      <c r="L2252" s="3" t="inlineStr">
        <is>
          <t>덕명1번지</t>
        </is>
      </c>
      <c r="M2252" s="3" t="n">
        <v>1</v>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3" t="inlineStr">
        <is>
          <t>Point 급매,농지원부,대토용,나노반도체국가산단 지정 호재, 투자 추천</t>
        </is>
      </c>
      <c r="I2253" s="5">
        <f>HYPERLINK("https://fin.land.naver.com/articles/2645152555", "매물Link")</f>
        <v/>
      </c>
      <c r="J2253" s="5">
        <f>HYPERLINK("https://map.naver.com/p/search/나성동 829", "지도Link")</f>
        <v/>
      </c>
      <c r="K2253" s="5">
        <f>HYPERLINK("http://www.eum.go.kr/web/ar/lu/luLandDet.jsp?pnu=3611010700108290000&amp;isNoScr=script&amp;mode=search", "토지이음")</f>
        <v/>
      </c>
      <c r="L2253" s="3" t="inlineStr">
        <is>
          <t>도마호반</t>
        </is>
      </c>
      <c r="M2253" s="3" t="n">
        <v>1</v>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3" t="inlineStr">
        <is>
          <t>코너 각지 사방이 뻥 뚫려있어 입출입 좋고, 한적한 위치 여유있는 주변공</t>
        </is>
      </c>
      <c r="I2254" s="5">
        <f>HYPERLINK("https://fin.land.naver.com/articles/2646132823", "매물Link")</f>
        <v/>
      </c>
      <c r="J2254" s="5">
        <f>HYPERLINK("https://map.naver.com/p/search/나성동 829", "지도Link")</f>
        <v/>
      </c>
      <c r="K2254" s="5">
        <f>HYPERLINK("http://www.eum.go.kr/web/ar/lu/luLandDet.jsp?pnu=3611010700108290000&amp;isNoScr=script&amp;mode=search", "토지이음")</f>
        <v/>
      </c>
      <c r="L2254" s="3" t="inlineStr">
        <is>
          <t>오투꿈</t>
        </is>
      </c>
      <c r="M2254" s="3" t="n">
        <v>1</v>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3" t="inlineStr">
        <is>
          <t>Point 토지거래허가구역, 국가산단 예정,접근성 좋음, 투자 추천</t>
        </is>
      </c>
      <c r="I2255" s="5">
        <f>HYPERLINK("https://fin.land.naver.com/articles/2644915888", "매물Link")</f>
        <v/>
      </c>
      <c r="J2255" s="5">
        <f>HYPERLINK("https://map.naver.com/p/search/나성동 829", "지도Link")</f>
        <v/>
      </c>
      <c r="K2255" s="5">
        <f>HYPERLINK("http://www.eum.go.kr/web/ar/lu/luLandDet.jsp?pnu=3611010700108290000&amp;isNoScr=script&amp;mode=search", "토지이음")</f>
        <v/>
      </c>
      <c r="L2255" s="3" t="inlineStr">
        <is>
          <t>도마호반</t>
        </is>
      </c>
      <c r="M2255" s="3" t="n">
        <v>1</v>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3" t="inlineStr">
        <is>
          <t>대단지 아파트 대로변 토지,광고효과 좋오 공기좋은 숲세권</t>
        </is>
      </c>
      <c r="I2256" s="5">
        <f>HYPERLINK("https://fin.land.naver.com/articles/2644745847", "매물Link")</f>
        <v/>
      </c>
      <c r="J2256" s="5">
        <f>HYPERLINK("https://map.naver.com/p/search/나성동 829", "지도Link")</f>
        <v/>
      </c>
      <c r="K2256" s="5">
        <f>HYPERLINK("http://www.eum.go.kr/web/ar/lu/luLandDet.jsp?pnu=3611010700108290000&amp;isNoScr=script&amp;mode=search", "토지이음")</f>
        <v/>
      </c>
      <c r="L2256" s="3" t="inlineStr">
        <is>
          <t>천재원</t>
        </is>
      </c>
      <c r="M2256" s="3" t="n">
        <v>1</v>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3" t="inlineStr">
        <is>
          <t>미학아파트1,000세대와 계산초교앞에 위치한 상가주택지로 추천</t>
        </is>
      </c>
      <c r="I2257" s="5">
        <f>HYPERLINK("https://fin.land.naver.com/articles/2649133512", "매물Link")</f>
        <v/>
      </c>
      <c r="J2257" s="5">
        <f>HYPERLINK("https://map.naver.com/p/search/나성동 829", "지도Link")</f>
        <v/>
      </c>
      <c r="K2257" s="5">
        <f>HYPERLINK("http://www.eum.go.kr/web/ar/lu/luLandDet.jsp?pnu=3611010700108290000&amp;isNoScr=script&amp;mode=search", "토지이음")</f>
        <v/>
      </c>
      <c r="L2257" s="3" t="inlineStr">
        <is>
          <t>정우</t>
        </is>
      </c>
      <c r="M2257" s="3" t="n">
        <v>2</v>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3" t="inlineStr">
        <is>
          <t>nan</t>
        </is>
      </c>
      <c r="I2258" s="5">
        <f>HYPERLINK("https://fin.land.naver.com/articles/2648141966", "매물Link")</f>
        <v/>
      </c>
      <c r="J2258" s="5">
        <f>HYPERLINK("https://map.naver.com/p/search/나성동 829", "지도Link")</f>
        <v/>
      </c>
      <c r="K2258" s="5">
        <f>HYPERLINK("http://www.eum.go.kr/web/ar/lu/luLandDet.jsp?pnu=3611010700108290000&amp;isNoScr=script&amp;mode=search", "토지이음")</f>
        <v/>
      </c>
      <c r="L2258" s="3" t="inlineStr">
        <is>
          <t>가경</t>
        </is>
      </c>
      <c r="M2258" s="3" t="n">
        <v>1</v>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3" t="inlineStr">
        <is>
          <t>도시지역,자연녹지지역,개발행위허가제한구역</t>
        </is>
      </c>
      <c r="I2259" s="5">
        <f>HYPERLINK("https://fin.land.naver.com/articles/2645118107", "매물Link")</f>
        <v/>
      </c>
      <c r="J2259" s="5">
        <f>HYPERLINK("https://map.naver.com/p/search/나성동 829", "지도Link")</f>
        <v/>
      </c>
      <c r="K2259" s="5">
        <f>HYPERLINK("http://www.eum.go.kr/web/ar/lu/luLandDet.jsp?pnu=3611010700108290000&amp;isNoScr=script&amp;mode=search", "토지이음")</f>
        <v/>
      </c>
      <c r="L2259" s="3" t="inlineStr">
        <is>
          <t>오투꿈무소</t>
        </is>
      </c>
      <c r="M2259" s="3" t="n">
        <v>1</v>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3" t="inlineStr">
        <is>
          <t>8차선 대로변 양면도로 코너각지 포함 대형평수,가격너무좋음</t>
        </is>
      </c>
      <c r="I2260" s="5">
        <f>HYPERLINK("https://fin.land.naver.com/articles/2645115167", "매물Link")</f>
        <v/>
      </c>
      <c r="J2260" s="5">
        <f>HYPERLINK("https://map.naver.com/p/search/나성동 829", "지도Link")</f>
        <v/>
      </c>
      <c r="K2260" s="5">
        <f>HYPERLINK("http://www.eum.go.kr/web/ar/lu/luLandDet.jsp?pnu=3611010700108290000&amp;isNoScr=script&amp;mode=search", "토지이음")</f>
        <v/>
      </c>
      <c r="L2260" s="3" t="inlineStr">
        <is>
          <t>오투꿈무소</t>
        </is>
      </c>
      <c r="M2260" s="3" t="n">
        <v>1</v>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3" t="inlineStr">
        <is>
          <t>BRT예정도로 내측</t>
        </is>
      </c>
      <c r="I2261" s="5">
        <f>HYPERLINK("https://fin.land.naver.com/articles/2644694465", "매물Link")</f>
        <v/>
      </c>
      <c r="J2261" s="5">
        <f>HYPERLINK("https://map.naver.com/p/search/나성동 829", "지도Link")</f>
        <v/>
      </c>
      <c r="K2261" s="5">
        <f>HYPERLINK("http://www.eum.go.kr/web/ar/lu/luLandDet.jsp?pnu=3611010700108290000&amp;isNoScr=script&amp;mode=search", "토지이음")</f>
        <v/>
      </c>
      <c r="L2261" s="3" t="inlineStr">
        <is>
          <t>세종114</t>
        </is>
      </c>
      <c r="M2261" s="3" t="n">
        <v>1</v>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3" t="inlineStr">
        <is>
          <t>도로가 있어서 접근성이 좋음 지적재조사완료됨</t>
        </is>
      </c>
      <c r="I2262" s="5">
        <f>HYPERLINK("https://fin.land.naver.com/articles/2649472949", "매물Link")</f>
        <v/>
      </c>
      <c r="J2262" s="5">
        <f>HYPERLINK("https://map.naver.com/p/search/나성동 829", "지도Link")</f>
        <v/>
      </c>
      <c r="K2262" s="5">
        <f>HYPERLINK("http://www.eum.go.kr/web/ar/lu/luLandDet.jsp?pnu=3611010700108290000&amp;isNoScr=script&amp;mode=search", "토지이음")</f>
        <v/>
      </c>
      <c r="L2262" s="3" t="inlineStr">
        <is>
          <t>향촌114</t>
        </is>
      </c>
      <c r="M2262" s="3" t="n">
        <v>1</v>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3" t="inlineStr">
        <is>
          <t>대지값과 건축값이 포함된금액으로 2층집 잘지음 도로인접 지적재조사완료</t>
        </is>
      </c>
      <c r="I2263" s="5">
        <f>HYPERLINK("https://fin.land.naver.com/articles/2649468333", "매물Link")</f>
        <v/>
      </c>
      <c r="J2263" s="5">
        <f>HYPERLINK("https://map.naver.com/p/search/나성동 829", "지도Link")</f>
        <v/>
      </c>
      <c r="K2263" s="5">
        <f>HYPERLINK("http://www.eum.go.kr/web/ar/lu/luLandDet.jsp?pnu=3611010700108290000&amp;isNoScr=script&amp;mode=search", "토지이음")</f>
        <v/>
      </c>
      <c r="L2263" s="3" t="inlineStr">
        <is>
          <t>향촌114</t>
        </is>
      </c>
      <c r="M2263" s="3" t="n">
        <v>1</v>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3" t="inlineStr">
        <is>
          <t>구옥과  전 으로  옆에는 하천과 낮은산이 있어서  활용도가 좋아요</t>
        </is>
      </c>
      <c r="I2264" s="5">
        <f>HYPERLINK("https://fin.land.naver.com/articles/2644431640", "매물Link")</f>
        <v/>
      </c>
      <c r="J2264" s="5">
        <f>HYPERLINK("https://map.naver.com/p/search/나성동 829", "지도Link")</f>
        <v/>
      </c>
      <c r="K2264" s="5">
        <f>HYPERLINK("http://www.eum.go.kr/web/ar/lu/luLandDet.jsp?pnu=3611010700108290000&amp;isNoScr=script&amp;mode=search", "토지이음")</f>
        <v/>
      </c>
      <c r="L2264" s="3" t="inlineStr">
        <is>
          <t>향촌114</t>
        </is>
      </c>
      <c r="M2264" s="3" t="n">
        <v>1</v>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3" t="inlineStr">
        <is>
          <t>축사와 밭이 있고 진입로 있고 낮은뒷산과 옆에 하천이 있음 조율해드림</t>
        </is>
      </c>
      <c r="I2265" s="5">
        <f>HYPERLINK("https://fin.land.naver.com/articles/2643904805", "매물Link")</f>
        <v/>
      </c>
      <c r="J2265" s="5">
        <f>HYPERLINK("https://map.naver.com/p/search/나성동 829", "지도Link")</f>
        <v/>
      </c>
      <c r="K2265" s="5">
        <f>HYPERLINK("http://www.eum.go.kr/web/ar/lu/luLandDet.jsp?pnu=3611010700108290000&amp;isNoScr=script&amp;mode=search", "토지이음")</f>
        <v/>
      </c>
      <c r="L2265" s="3" t="inlineStr">
        <is>
          <t>향촌114</t>
        </is>
      </c>
      <c r="M2265" s="3" t="n">
        <v>1</v>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3" t="inlineStr">
        <is>
          <t>nan</t>
        </is>
      </c>
      <c r="I2266" s="5">
        <f>HYPERLINK("https://fin.land.naver.com/articles/2647580676", "매물Link")</f>
        <v/>
      </c>
      <c r="J2266" s="5">
        <f>HYPERLINK("https://map.naver.com/p/search/나성동 829", "지도Link")</f>
        <v/>
      </c>
      <c r="K2266" s="5">
        <f>HYPERLINK("http://www.eum.go.kr/web/ar/lu/luLandDet.jsp?pnu=3611010700108290000&amp;isNoScr=script&amp;mode=search", "토지이음")</f>
        <v/>
      </c>
      <c r="L2266" s="3" t="inlineStr">
        <is>
          <t>큐빅</t>
        </is>
      </c>
      <c r="M2266" s="3" t="n">
        <v>1</v>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3" t="inlineStr">
        <is>
          <t>주말농장으로 적극추천드려요~원두막,콘테이너,유실수,지하수등
야생화도 많</t>
        </is>
      </c>
      <c r="I2267" s="5">
        <f>HYPERLINK("https://fin.land.naver.com/articles/2648700211", "매물Link")</f>
        <v/>
      </c>
      <c r="J2267" s="5">
        <f>HYPERLINK("https://map.naver.com/p/search/나성동 829", "지도Link")</f>
        <v/>
      </c>
      <c r="K2267" s="5">
        <f>HYPERLINK("http://www.eum.go.kr/web/ar/lu/luLandDet.jsp?pnu=3611010700108290000&amp;isNoScr=script&amp;mode=search", "토지이음")</f>
        <v/>
      </c>
      <c r="L2267" s="3" t="inlineStr">
        <is>
          <t>해뜨는  사무소</t>
        </is>
      </c>
      <c r="M2267" s="3" t="n">
        <v>2</v>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3" t="inlineStr">
        <is>
          <t>자연취락지구이며코너각지임.위치가좋음</t>
        </is>
      </c>
      <c r="I2268" s="5">
        <f>HYPERLINK("https://fin.land.naver.com/articles/2648192175", "매물Link")</f>
        <v/>
      </c>
      <c r="J2268" s="5">
        <f>HYPERLINK("https://map.naver.com/p/search/나성동 829", "지도Link")</f>
        <v/>
      </c>
      <c r="K2268" s="5">
        <f>HYPERLINK("http://www.eum.go.kr/web/ar/lu/luLandDet.jsp?pnu=3611010700108290000&amp;isNoScr=script&amp;mode=search", "토지이음")</f>
        <v/>
      </c>
      <c r="L2268" s="3" t="inlineStr">
        <is>
          <t>이은숙</t>
        </is>
      </c>
      <c r="M2268" s="3" t="n">
        <v>1</v>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3" t="inlineStr">
        <is>
          <t>도로접한 농지,남선초교인근,청정구역,복토해놓은 상태,개발제한구역,주차장</t>
        </is>
      </c>
      <c r="I2269" s="5">
        <f>HYPERLINK("https://fin.land.naver.com/articles/2647674674", "매물Link")</f>
        <v/>
      </c>
      <c r="J2269" s="5">
        <f>HYPERLINK("https://map.naver.com/p/search/나성동 829", "지도Link")</f>
        <v/>
      </c>
      <c r="K2269" s="5">
        <f>HYPERLINK("http://www.eum.go.kr/web/ar/lu/luLandDet.jsp?pnu=3611010700108290000&amp;isNoScr=script&amp;mode=search", "토지이음")</f>
        <v/>
      </c>
      <c r="L2269" s="3" t="inlineStr">
        <is>
          <t>도안우미린사랑무소</t>
        </is>
      </c>
      <c r="M2269" s="3" t="n">
        <v>1</v>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3" t="inlineStr">
        <is>
          <t>저렴한 물건임</t>
        </is>
      </c>
      <c r="I2270" s="5">
        <f>HYPERLINK("https://fin.land.naver.com/articles/2647598414", "매물Link")</f>
        <v/>
      </c>
      <c r="J2270" s="5">
        <f>HYPERLINK("https://map.naver.com/p/search/나성동 829", "지도Link")</f>
        <v/>
      </c>
      <c r="K2270" s="5">
        <f>HYPERLINK("http://www.eum.go.kr/web/ar/lu/luLandDet.jsp?pnu=3611010700108290000&amp;isNoScr=script&amp;mode=search", "토지이음")</f>
        <v/>
      </c>
      <c r="L2270" s="3" t="inlineStr">
        <is>
          <t>삼익</t>
        </is>
      </c>
      <c r="M2270" s="3" t="n">
        <v>1</v>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3" t="inlineStr">
        <is>
          <t>저렴한 토지임</t>
        </is>
      </c>
      <c r="I2271" s="5">
        <f>HYPERLINK("https://fin.land.naver.com/articles/2647598274", "매물Link")</f>
        <v/>
      </c>
      <c r="J2271" s="5">
        <f>HYPERLINK("https://map.naver.com/p/search/나성동 829", "지도Link")</f>
        <v/>
      </c>
      <c r="K2271" s="5">
        <f>HYPERLINK("http://www.eum.go.kr/web/ar/lu/luLandDet.jsp?pnu=3611010700108290000&amp;isNoScr=script&amp;mode=search", "토지이음")</f>
        <v/>
      </c>
      <c r="L2271" s="3" t="inlineStr">
        <is>
          <t>삼익</t>
        </is>
      </c>
      <c r="M2271" s="3" t="n">
        <v>1</v>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3" t="inlineStr">
        <is>
          <t>취락지 인근 창고지 및 농지,정류장 및 도로접,전기 및 수도</t>
        </is>
      </c>
      <c r="I2272" s="5">
        <f>HYPERLINK("https://fin.land.naver.com/articles/2645114643", "매물Link")</f>
        <v/>
      </c>
      <c r="J2272" s="5">
        <f>HYPERLINK("https://map.naver.com/p/search/나성동 829", "지도Link")</f>
        <v/>
      </c>
      <c r="K2272" s="5">
        <f>HYPERLINK("http://www.eum.go.kr/web/ar/lu/luLandDet.jsp?pnu=3611010700108290000&amp;isNoScr=script&amp;mode=search", "토지이음")</f>
        <v/>
      </c>
      <c r="L2272" s="3" t="inlineStr">
        <is>
          <t>오투꿈무소</t>
        </is>
      </c>
      <c r="M2272" s="3" t="n">
        <v>1</v>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3" t="inlineStr">
        <is>
          <t>상세동 마을 동편 위쪽에 위치한 개발제한구역</t>
        </is>
      </c>
      <c r="I2273" s="5">
        <f>HYPERLINK("https://fin.land.naver.com/articles/2644701478", "매물Link")</f>
        <v/>
      </c>
      <c r="J2273" s="5">
        <f>HYPERLINK("https://map.naver.com/p/search/나성동 829", "지도Link")</f>
        <v/>
      </c>
      <c r="K2273" s="5">
        <f>HYPERLINK("http://www.eum.go.kr/web/ar/lu/luLandDet.jsp?pnu=3611010700108290000&amp;isNoScr=script&amp;mode=search", "토지이음")</f>
        <v/>
      </c>
      <c r="L2273" s="3" t="inlineStr">
        <is>
          <t>세종114</t>
        </is>
      </c>
      <c r="M2273" s="3" t="n">
        <v>1</v>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3" t="inlineStr">
        <is>
          <t>상가주택의 건축이 가능한 대지앞에 공용주차장이 있어 편리한 대지입니다</t>
        </is>
      </c>
      <c r="I2274" s="5">
        <f>HYPERLINK("https://fin.land.naver.com/articles/2647267972", "매물Link")</f>
        <v/>
      </c>
      <c r="J2274" s="5">
        <f>HYPERLINK("https://map.naver.com/p/search/나성동 829", "지도Link")</f>
        <v/>
      </c>
      <c r="K2274" s="5">
        <f>HYPERLINK("http://www.eum.go.kr/web/ar/lu/luLandDet.jsp?pnu=3611010700108290000&amp;isNoScr=script&amp;mode=search", "토지이음")</f>
        <v/>
      </c>
      <c r="L2274" s="3" t="inlineStr">
        <is>
          <t>덕명1번지</t>
        </is>
      </c>
      <c r="M2274" s="3" t="n">
        <v>1</v>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3" t="inlineStr">
        <is>
          <t>죽동 전원주택지로 적합한 나대지 특 매물</t>
        </is>
      </c>
      <c r="I2275" s="5">
        <f>HYPERLINK("https://fin.land.naver.com/articles/2645444546", "매물Link")</f>
        <v/>
      </c>
      <c r="J2275" s="5">
        <f>HYPERLINK("https://map.naver.com/p/search/나성동 829", "지도Link")</f>
        <v/>
      </c>
      <c r="K2275" s="5">
        <f>HYPERLINK("http://www.eum.go.kr/web/ar/lu/luLandDet.jsp?pnu=3611010700108290000&amp;isNoScr=script&amp;mode=search", "토지이음")</f>
        <v/>
      </c>
      <c r="L2275" s="3" t="inlineStr">
        <is>
          <t>죽동</t>
        </is>
      </c>
      <c r="M2275" s="3" t="n">
        <v>1</v>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3" t="inlineStr">
        <is>
          <t>충남대 정문앞 대로변 코너 토지 매매</t>
        </is>
      </c>
      <c r="I2276" s="5">
        <f>HYPERLINK("https://fin.land.naver.com/articles/2646711477", "매물Link")</f>
        <v/>
      </c>
      <c r="J2276" s="5">
        <f>HYPERLINK("https://map.naver.com/p/search/나성동 829", "지도Link")</f>
        <v/>
      </c>
      <c r="K2276" s="5">
        <f>HYPERLINK("http://www.eum.go.kr/web/ar/lu/luLandDet.jsp?pnu=3611010700108290000&amp;isNoScr=script&amp;mode=search", "토지이음")</f>
        <v/>
      </c>
      <c r="L2276" s="3" t="inlineStr">
        <is>
          <t>지상</t>
        </is>
      </c>
      <c r="M2276" s="3" t="n">
        <v>1</v>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3" t="inlineStr">
        <is>
          <t>대로변,충대앞,.가격조정가능</t>
        </is>
      </c>
      <c r="I2277" s="5">
        <f>HYPERLINK("https://fin.land.naver.com/articles/2645329826", "매물Link")</f>
        <v/>
      </c>
      <c r="J2277" s="5">
        <f>HYPERLINK("https://map.naver.com/p/search/나성동 829", "지도Link")</f>
        <v/>
      </c>
      <c r="K2277" s="5">
        <f>HYPERLINK("http://www.eum.go.kr/web/ar/lu/luLandDet.jsp?pnu=3611010700108290000&amp;isNoScr=script&amp;mode=search", "토지이음")</f>
        <v/>
      </c>
      <c r="L2277" s="3" t="inlineStr">
        <is>
          <t>유성베스트</t>
        </is>
      </c>
      <c r="M2277" s="3" t="n">
        <v>1</v>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3" t="inlineStr">
        <is>
          <t>성덕중학교 인근의 공시지가로 매매하는 저렴한 임야</t>
        </is>
      </c>
      <c r="I2278" s="5">
        <f>HYPERLINK("https://fin.land.naver.com/articles/2644984741", "매물Link")</f>
        <v/>
      </c>
      <c r="J2278" s="5">
        <f>HYPERLINK("https://map.naver.com/p/search/나성동 829", "지도Link")</f>
        <v/>
      </c>
      <c r="K2278" s="5">
        <f>HYPERLINK("http://www.eum.go.kr/web/ar/lu/luLandDet.jsp?pnu=3611010700108290000&amp;isNoScr=script&amp;mode=search", "토지이음")</f>
        <v/>
      </c>
      <c r="L2278" s="3" t="inlineStr">
        <is>
          <t>귀빈</t>
        </is>
      </c>
      <c r="M2278" s="3" t="n">
        <v>1</v>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3" t="inlineStr">
        <is>
          <t>도룡동 건물지을 수 있는 토지,가장 가격 좋은 대지입니다</t>
        </is>
      </c>
      <c r="I2279" s="5">
        <f>HYPERLINK("https://fin.land.naver.com/articles/2649482875", "매물Link")</f>
        <v/>
      </c>
      <c r="J2279" s="5">
        <f>HYPERLINK("https://map.naver.com/p/search/나성동 829", "지도Link")</f>
        <v/>
      </c>
      <c r="K2279" s="5">
        <f>HYPERLINK("http://www.eum.go.kr/web/ar/lu/luLandDet.jsp?pnu=3611010700108290000&amp;isNoScr=script&amp;mode=search", "토지이음")</f>
        <v/>
      </c>
      <c r="L2279" s="3" t="inlineStr">
        <is>
          <t>도룡신세계</t>
        </is>
      </c>
      <c r="M2279" s="3" t="n">
        <v>1</v>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3" t="inlineStr">
        <is>
          <t>도룡동 대덕고 앞 나대지 매매</t>
        </is>
      </c>
      <c r="I2280" s="5">
        <f>HYPERLINK("https://fin.land.naver.com/articles/2649484331", "매물Link")</f>
        <v/>
      </c>
      <c r="J2280" s="5">
        <f>HYPERLINK("https://map.naver.com/p/search/나성동 829", "지도Link")</f>
        <v/>
      </c>
      <c r="K2280" s="5">
        <f>HYPERLINK("http://www.eum.go.kr/web/ar/lu/luLandDet.jsp?pnu=3611010700108290000&amp;isNoScr=script&amp;mode=search", "토지이음")</f>
        <v/>
      </c>
      <c r="L2280" s="3" t="inlineStr">
        <is>
          <t>도룡신세계</t>
        </is>
      </c>
      <c r="M2280" s="3" t="n">
        <v>1</v>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3" t="inlineStr">
        <is>
          <t>연구단지 인근 임야, 신세계백화점,도룡동 스마트시티 인근에 위치</t>
        </is>
      </c>
      <c r="I2281" s="5">
        <f>HYPERLINK("https://fin.land.naver.com/articles/2648570438", "매물Link")</f>
        <v/>
      </c>
      <c r="J2281" s="5">
        <f>HYPERLINK("https://map.naver.com/p/search/나성동 829", "지도Link")</f>
        <v/>
      </c>
      <c r="K2281" s="5">
        <f>HYPERLINK("http://www.eum.go.kr/web/ar/lu/luLandDet.jsp?pnu=3611010700108290000&amp;isNoScr=script&amp;mode=search", "토지이음")</f>
        <v/>
      </c>
      <c r="L2281" s="3" t="inlineStr">
        <is>
          <t>(주)미르</t>
        </is>
      </c>
      <c r="M2281" s="3" t="n">
        <v>1</v>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3" t="inlineStr">
        <is>
          <t>제2종일반주거지역</t>
        </is>
      </c>
      <c r="I2282" s="5">
        <f>HYPERLINK("https://fin.land.naver.com/articles/2646432907", "매물Link")</f>
        <v/>
      </c>
      <c r="J2282" s="5">
        <f>HYPERLINK("https://map.naver.com/p/search/나성동 829", "지도Link")</f>
        <v/>
      </c>
      <c r="K2282" s="5">
        <f>HYPERLINK("http://www.eum.go.kr/web/ar/lu/luLandDet.jsp?pnu=3611010700108290000&amp;isNoScr=script&amp;mode=search", "토지이음")</f>
        <v/>
      </c>
      <c r="L2282" s="3" t="inlineStr">
        <is>
          <t>삼흥</t>
        </is>
      </c>
      <c r="M2282" s="3" t="n">
        <v>1</v>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3" t="inlineStr">
        <is>
          <t>nan</t>
        </is>
      </c>
      <c r="I2283" s="5">
        <f>HYPERLINK("https://fin.land.naver.com/articles/2646784310", "매물Link")</f>
        <v/>
      </c>
      <c r="J2283" s="5">
        <f>HYPERLINK("https://map.naver.com/p/search/나성동 829", "지도Link")</f>
        <v/>
      </c>
      <c r="K2283" s="5">
        <f>HYPERLINK("http://www.eum.go.kr/web/ar/lu/luLandDet.jsp?pnu=3611010700108290000&amp;isNoScr=script&amp;mode=search", "토지이음")</f>
        <v/>
      </c>
      <c r="L2283" s="3" t="inlineStr">
        <is>
          <t>번영</t>
        </is>
      </c>
      <c r="M2283" s="3" t="n">
        <v>1</v>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3" t="inlineStr">
        <is>
          <t>남향 토지, 좋은  택지 입니다.</t>
        </is>
      </c>
      <c r="I2284" s="5">
        <f>HYPERLINK("https://fin.land.naver.com/articles/2648481089", "매물Link")</f>
        <v/>
      </c>
      <c r="J2284" s="5">
        <f>HYPERLINK("https://map.naver.com/p/search/나성동 829", "지도Link")</f>
        <v/>
      </c>
      <c r="K2284" s="5">
        <f>HYPERLINK("http://www.eum.go.kr/web/ar/lu/luLandDet.jsp?pnu=3611010700108290000&amp;isNoScr=script&amp;mode=search", "토지이음")</f>
        <v/>
      </c>
      <c r="L2284" s="3" t="inlineStr">
        <is>
          <t>송림</t>
        </is>
      </c>
      <c r="M2284" s="3" t="n">
        <v>1</v>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3" t="inlineStr">
        <is>
          <t>nan</t>
        </is>
      </c>
      <c r="I2285" s="5">
        <f>HYPERLINK("https://fin.land.naver.com/articles/2646783989", "매물Link")</f>
        <v/>
      </c>
      <c r="J2285" s="5">
        <f>HYPERLINK("https://map.naver.com/p/search/나성동 829", "지도Link")</f>
        <v/>
      </c>
      <c r="K2285" s="5">
        <f>HYPERLINK("http://www.eum.go.kr/web/ar/lu/luLandDet.jsp?pnu=3611010700108290000&amp;isNoScr=script&amp;mode=search", "토지이음")</f>
        <v/>
      </c>
      <c r="L2285" s="3" t="inlineStr">
        <is>
          <t>번영</t>
        </is>
      </c>
      <c r="M2285" s="3" t="n">
        <v>1</v>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3" t="inlineStr">
        <is>
          <t>조용한 단독주택 신축부지, 현재 나대지</t>
        </is>
      </c>
      <c r="I2286" s="5">
        <f>HYPERLINK("https://fin.land.naver.com/articles/2644844299", "매물Link")</f>
        <v/>
      </c>
      <c r="J2286" s="5">
        <f>HYPERLINK("https://map.naver.com/p/search/나성동 829", "지도Link")</f>
        <v/>
      </c>
      <c r="K2286" s="5">
        <f>HYPERLINK("http://www.eum.go.kr/web/ar/lu/luLandDet.jsp?pnu=3611010700108290000&amp;isNoScr=script&amp;mode=search", "토지이음")</f>
        <v/>
      </c>
      <c r="L2286" s="3" t="inlineStr">
        <is>
          <t>도룡sk뷰미소</t>
        </is>
      </c>
      <c r="M2286" s="3" t="n">
        <v>1</v>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3" t="inlineStr">
        <is>
          <t>대전 유성 대덕테크노밸리 야적장 임대, 대도로변 위치, 진출입 편리</t>
        </is>
      </c>
      <c r="I2287" s="5">
        <f>HYPERLINK("https://fin.land.naver.com/articles/2647034102", "매물Link")</f>
        <v/>
      </c>
      <c r="J2287" s="5">
        <f>HYPERLINK("https://map.naver.com/p/search/나성동 829", "지도Link")</f>
        <v/>
      </c>
      <c r="K2287" s="5">
        <f>HYPERLINK("http://www.eum.go.kr/web/ar/lu/luLandDet.jsp?pnu=3611010700108290000&amp;isNoScr=script&amp;mode=search", "토지이음")</f>
        <v/>
      </c>
      <c r="L2287" s="3" t="inlineStr">
        <is>
          <t>(주)미르</t>
        </is>
      </c>
      <c r="M2287" s="3" t="n">
        <v>1</v>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3" t="inlineStr">
        <is>
          <t>정방형 모양이 예쁜토지</t>
        </is>
      </c>
      <c r="I2288" s="5">
        <f>HYPERLINK("https://fin.land.naver.com/articles/2650126880", "매물Link")</f>
        <v/>
      </c>
      <c r="J2288" s="5">
        <f>HYPERLINK("https://map.naver.com/p/search/나성동 829", "지도Link")</f>
        <v/>
      </c>
      <c r="K2288" s="5">
        <f>HYPERLINK("http://www.eum.go.kr/web/ar/lu/luLandDet.jsp?pnu=3611010700108290000&amp;isNoScr=script&amp;mode=search", "토지이음")</f>
        <v/>
      </c>
      <c r="L2288" s="3" t="inlineStr">
        <is>
          <t>호반114</t>
        </is>
      </c>
      <c r="M2288" s="3" t="n">
        <v>1</v>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3" t="inlineStr">
        <is>
          <t>대로변 조경 영농 하우스 주말 농장 투자용 교통 편리하고 전시효과 양호</t>
        </is>
      </c>
      <c r="I2289" s="5">
        <f>HYPERLINK("https://fin.land.naver.com/articles/2648970662", "매물Link")</f>
        <v/>
      </c>
      <c r="J2289" s="5">
        <f>HYPERLINK("https://map.naver.com/p/search/나성동 829", "지도Link")</f>
        <v/>
      </c>
      <c r="K2289" s="5">
        <f>HYPERLINK("http://www.eum.go.kr/web/ar/lu/luLandDet.jsp?pnu=3611010700108290000&amp;isNoScr=script&amp;mode=search", "토지이음")</f>
        <v/>
      </c>
      <c r="L2289" s="3" t="inlineStr">
        <is>
          <t>뉴태양</t>
        </is>
      </c>
      <c r="M2289" s="3" t="n">
        <v>1</v>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3" t="inlineStr">
        <is>
          <t>급매 저렴 북대전IC인근 교통 편리 영농 하우스 조경 투자용 토지 최상급</t>
        </is>
      </c>
      <c r="I2290" s="5">
        <f>HYPERLINK("https://fin.land.naver.com/articles/2648964623", "매물Link")</f>
        <v/>
      </c>
      <c r="J2290" s="5">
        <f>HYPERLINK("https://map.naver.com/p/search/나성동 829", "지도Link")</f>
        <v/>
      </c>
      <c r="K2290" s="5">
        <f>HYPERLINK("http://www.eum.go.kr/web/ar/lu/luLandDet.jsp?pnu=3611010700108290000&amp;isNoScr=script&amp;mode=search", "토지이음")</f>
        <v/>
      </c>
      <c r="L2290" s="3" t="inlineStr">
        <is>
          <t>뉴태양</t>
        </is>
      </c>
      <c r="M2290" s="3" t="n">
        <v>1</v>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3" t="inlineStr">
        <is>
          <t>북대전 인근.투자용으로 적합한 추천 매물</t>
        </is>
      </c>
      <c r="I2291" s="5">
        <f>HYPERLINK("https://fin.land.naver.com/articles/2646850592", "매물Link")</f>
        <v/>
      </c>
      <c r="J2291" s="5">
        <f>HYPERLINK("https://map.naver.com/p/search/나성동 829", "지도Link")</f>
        <v/>
      </c>
      <c r="K2291" s="5">
        <f>HYPERLINK("http://www.eum.go.kr/web/ar/lu/luLandDet.jsp?pnu=3611010700108290000&amp;isNoScr=script&amp;mode=search", "토지이음")</f>
        <v/>
      </c>
      <c r="L2291" s="3" t="inlineStr">
        <is>
          <t>테크노114</t>
        </is>
      </c>
      <c r="M2291" s="3" t="n">
        <v>1</v>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3" t="inlineStr">
        <is>
          <t>급매 대로변 전시효과 좋아 사옥 상가건물  커피브런치 사무실 이용 최상</t>
        </is>
      </c>
      <c r="I2292" s="5">
        <f>HYPERLINK("https://fin.land.naver.com/articles/2644032648", "매물Link")</f>
        <v/>
      </c>
      <c r="J2292" s="5">
        <f>HYPERLINK("https://map.naver.com/p/search/나성동 829", "지도Link")</f>
        <v/>
      </c>
      <c r="K2292" s="5">
        <f>HYPERLINK("http://www.eum.go.kr/web/ar/lu/luLandDet.jsp?pnu=3611010700108290000&amp;isNoScr=script&amp;mode=search", "토지이음")</f>
        <v/>
      </c>
      <c r="L2292" s="3" t="inlineStr">
        <is>
          <t>뉴태양</t>
        </is>
      </c>
      <c r="M2292" s="3" t="n">
        <v>1</v>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3" t="inlineStr">
        <is>
          <t>전원주택이 있는 도시 접근성이 좋은 토지 매매</t>
        </is>
      </c>
      <c r="I2293" s="5">
        <f>HYPERLINK("https://fin.land.naver.com/articles/2650082602", "매물Link")</f>
        <v/>
      </c>
      <c r="J2293" s="5">
        <f>HYPERLINK("https://map.naver.com/p/search/나성동 829", "지도Link")</f>
        <v/>
      </c>
      <c r="K2293" s="5">
        <f>HYPERLINK("http://www.eum.go.kr/web/ar/lu/luLandDet.jsp?pnu=3611010700108290000&amp;isNoScr=script&amp;mode=search", "토지이음")</f>
        <v/>
      </c>
      <c r="L2293" s="3" t="inlineStr">
        <is>
          <t>한화타운</t>
        </is>
      </c>
      <c r="M2293" s="3" t="n">
        <v>1</v>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3" t="inlineStr">
        <is>
          <t>nan</t>
        </is>
      </c>
      <c r="I2294" s="5">
        <f>HYPERLINK("https://fin.land.naver.com/articles/2646136081", "매물Link")</f>
        <v/>
      </c>
      <c r="J2294" s="5">
        <f>HYPERLINK("https://map.naver.com/p/search/나성동 829", "지도Link")</f>
        <v/>
      </c>
      <c r="K2294" s="5">
        <f>HYPERLINK("http://www.eum.go.kr/web/ar/lu/luLandDet.jsp?pnu=3611010700108290000&amp;isNoScr=script&amp;mode=search", "토지이음")</f>
        <v/>
      </c>
      <c r="L2294" s="3" t="inlineStr">
        <is>
          <t>성안길</t>
        </is>
      </c>
      <c r="M2294" s="3" t="n">
        <v>1</v>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3" t="inlineStr">
        <is>
          <t>도로에 접한 토지각지 , 개발 제한구역</t>
        </is>
      </c>
      <c r="I2295" s="5">
        <f>HYPERLINK("https://fin.land.naver.com/articles/2647019834", "매물Link")</f>
        <v/>
      </c>
      <c r="J2295" s="5">
        <f>HYPERLINK("https://map.naver.com/p/search/나성동 829", "지도Link")</f>
        <v/>
      </c>
      <c r="K2295" s="5">
        <f>HYPERLINK("http://www.eum.go.kr/web/ar/lu/luLandDet.jsp?pnu=3611010700108290000&amp;isNoScr=script&amp;mode=search", "토지이음")</f>
        <v/>
      </c>
      <c r="L2295" s="3" t="inlineStr">
        <is>
          <t>송림</t>
        </is>
      </c>
      <c r="M2295" s="3" t="n">
        <v>1</v>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3" t="inlineStr">
        <is>
          <t>2차선 도로에 접한  좋은 토지 개발제한구역</t>
        </is>
      </c>
      <c r="I2296" s="5">
        <f>HYPERLINK("https://fin.land.naver.com/articles/2646774829", "매물Link")</f>
        <v/>
      </c>
      <c r="J2296" s="5">
        <f>HYPERLINK("https://map.naver.com/p/search/나성동 829", "지도Link")</f>
        <v/>
      </c>
      <c r="K2296" s="5">
        <f>HYPERLINK("http://www.eum.go.kr/web/ar/lu/luLandDet.jsp?pnu=3611010700108290000&amp;isNoScr=script&amp;mode=search", "토지이음")</f>
        <v/>
      </c>
      <c r="L2296" s="3" t="inlineStr">
        <is>
          <t>송림</t>
        </is>
      </c>
      <c r="M2296" s="3" t="n">
        <v>1</v>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3" t="inlineStr">
        <is>
          <t>전원 주택지,  앞이 탁트인 남동향의  좋은 택지</t>
        </is>
      </c>
      <c r="I2297" s="5">
        <f>HYPERLINK("https://fin.land.naver.com/articles/2645024125", "매물Link")</f>
        <v/>
      </c>
      <c r="J2297" s="5">
        <f>HYPERLINK("https://map.naver.com/p/search/나성동 829", "지도Link")</f>
        <v/>
      </c>
      <c r="K2297" s="5">
        <f>HYPERLINK("http://www.eum.go.kr/web/ar/lu/luLandDet.jsp?pnu=3611010700108290000&amp;isNoScr=script&amp;mode=search", "토지이음")</f>
        <v/>
      </c>
      <c r="L2297" s="3" t="inlineStr">
        <is>
          <t>송림</t>
        </is>
      </c>
      <c r="M2297" s="3" t="n">
        <v>1</v>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3" t="inlineStr">
        <is>
          <t>nan</t>
        </is>
      </c>
      <c r="I2298" s="5">
        <f>HYPERLINK("https://fin.land.naver.com/articles/2645157467", "매물Link")</f>
        <v/>
      </c>
      <c r="J2298" s="5">
        <f>HYPERLINK("https://map.naver.com/p/search/나성동 829", "지도Link")</f>
        <v/>
      </c>
      <c r="K2298" s="5">
        <f>HYPERLINK("http://www.eum.go.kr/web/ar/lu/luLandDet.jsp?pnu=3611010700108290000&amp;isNoScr=script&amp;mode=search", "토지이음")</f>
        <v/>
      </c>
      <c r="L2298" s="3" t="inlineStr">
        <is>
          <t>번영</t>
        </is>
      </c>
      <c r="M2298" s="3" t="n">
        <v>1</v>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3" t="inlineStr">
        <is>
          <t>서세종 IC인접</t>
        </is>
      </c>
      <c r="I2299" s="5">
        <f>HYPERLINK("https://fin.land.naver.com/articles/2646628446", "매물Link")</f>
        <v/>
      </c>
      <c r="J2299" s="5">
        <f>HYPERLINK("https://map.naver.com/p/search/나성동 829", "지도Link")</f>
        <v/>
      </c>
      <c r="K2299" s="5">
        <f>HYPERLINK("http://www.eum.go.kr/web/ar/lu/luLandDet.jsp?pnu=3611010700108290000&amp;isNoScr=script&amp;mode=search", "토지이음")</f>
        <v/>
      </c>
      <c r="L2299" s="3" t="inlineStr">
        <is>
          <t>새땅</t>
        </is>
      </c>
      <c r="M2299" s="3" t="n">
        <v>1</v>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3" t="inlineStr">
        <is>
          <t>교회 물류 작업장등으로 강력 추천</t>
        </is>
      </c>
      <c r="I2300" s="5">
        <f>HYPERLINK("https://fin.land.naver.com/articles/2647430242", "매물Link")</f>
        <v/>
      </c>
      <c r="J2300" s="5">
        <f>HYPERLINK("https://map.naver.com/p/search/나성동 829", "지도Link")</f>
        <v/>
      </c>
      <c r="K2300" s="5">
        <f>HYPERLINK("http://www.eum.go.kr/web/ar/lu/luLandDet.jsp?pnu=3611010700108290000&amp;isNoScr=script&amp;mode=search", "토지이음")</f>
        <v/>
      </c>
      <c r="L2300" s="3" t="inlineStr">
        <is>
          <t>김창덕</t>
        </is>
      </c>
      <c r="M2300" s="3" t="n">
        <v>1</v>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3" t="inlineStr">
        <is>
          <t>지족역 인근 나대지</t>
        </is>
      </c>
      <c r="I2301" s="5">
        <f>HYPERLINK("https://fin.land.naver.com/articles/2648487009", "매물Link")</f>
        <v/>
      </c>
      <c r="J2301" s="5">
        <f>HYPERLINK("https://map.naver.com/p/search/나성동 829", "지도Link")</f>
        <v/>
      </c>
      <c r="K2301" s="5">
        <f>HYPERLINK("http://www.eum.go.kr/web/ar/lu/luLandDet.jsp?pnu=3611010700108290000&amp;isNoScr=script&amp;mode=search", "토지이음")</f>
        <v/>
      </c>
      <c r="L2301" s="3" t="inlineStr">
        <is>
          <t>노은사랑</t>
        </is>
      </c>
      <c r="M2301" s="3" t="n">
        <v>1</v>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3" t="inlineStr">
        <is>
          <t>급매 덕명동 중심에 조용하고 편안해 전원주택에 적합한 토지</t>
        </is>
      </c>
      <c r="I2302" s="5">
        <f>HYPERLINK("https://fin.land.naver.com/articles/2644986934", "매물Link")</f>
        <v/>
      </c>
      <c r="J2302" s="5">
        <f>HYPERLINK("https://map.naver.com/p/search/나성동 829", "지도Link")</f>
        <v/>
      </c>
      <c r="K2302" s="5">
        <f>HYPERLINK("http://www.eum.go.kr/web/ar/lu/luLandDet.jsp?pnu=3611010700108290000&amp;isNoScr=script&amp;mode=search", "토지이음")</f>
        <v/>
      </c>
      <c r="L2302" s="3" t="inlineStr">
        <is>
          <t>정보은행</t>
        </is>
      </c>
      <c r="M2302" s="3" t="n">
        <v>1</v>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3" t="inlineStr">
        <is>
          <t>nan</t>
        </is>
      </c>
      <c r="I2303" s="5">
        <f>HYPERLINK("https://fin.land.naver.com/articles/2646357538", "매물Link")</f>
        <v/>
      </c>
      <c r="J2303" s="5">
        <f>HYPERLINK("https://map.naver.com/p/search/나성동 829", "지도Link")</f>
        <v/>
      </c>
      <c r="K2303" s="5">
        <f>HYPERLINK("http://www.eum.go.kr/web/ar/lu/luLandDet.jsp?pnu=3611010700108290000&amp;isNoScr=script&amp;mode=search", "토지이음")</f>
        <v/>
      </c>
      <c r="L2303" s="3" t="inlineStr">
        <is>
          <t>뉴탑</t>
        </is>
      </c>
      <c r="M2303" s="3" t="n">
        <v>1</v>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3" t="inlineStr">
        <is>
          <t>도로접한 택지 상가주택적지 제1종일반주거 위치좋음</t>
        </is>
      </c>
      <c r="I2304" s="5">
        <f>HYPERLINK("https://fin.land.naver.com/articles/2649453476", "매물Link")</f>
        <v/>
      </c>
      <c r="J2304" s="5">
        <f>HYPERLINK("https://map.naver.com/p/search/나성동 829", "지도Link")</f>
        <v/>
      </c>
      <c r="K2304" s="5">
        <f>HYPERLINK("http://www.eum.go.kr/web/ar/lu/luLandDet.jsp?pnu=3611010700108290000&amp;isNoScr=script&amp;mode=search", "토지이음")</f>
        <v/>
      </c>
      <c r="L2304" s="3" t="inlineStr">
        <is>
          <t>학하랜드</t>
        </is>
      </c>
      <c r="M2304" s="3" t="n">
        <v>1</v>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3" t="inlineStr">
        <is>
          <t>각지, 다용도건축</t>
        </is>
      </c>
      <c r="I2305" s="5">
        <f>HYPERLINK("https://fin.land.naver.com/articles/2646357147", "매물Link")</f>
        <v/>
      </c>
      <c r="J2305" s="5">
        <f>HYPERLINK("https://map.naver.com/p/search/나성동 829", "지도Link")</f>
        <v/>
      </c>
      <c r="K2305" s="5">
        <f>HYPERLINK("http://www.eum.go.kr/web/ar/lu/luLandDet.jsp?pnu=3611010700108290000&amp;isNoScr=script&amp;mode=search", "토지이음")</f>
        <v/>
      </c>
      <c r="L2305" s="3" t="inlineStr">
        <is>
          <t>뉴탑</t>
        </is>
      </c>
      <c r="M2305" s="3" t="n">
        <v>1</v>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3" t="inlineStr">
        <is>
          <t>갑천2블럭 마지막 주차겸용상가 카페 외식타운 전망 최고</t>
        </is>
      </c>
      <c r="I2306" s="5">
        <f>HYPERLINK("https://fin.land.naver.com/articles/2644844746", "매물Link")</f>
        <v/>
      </c>
      <c r="J2306" s="5">
        <f>HYPERLINK("https://map.naver.com/p/search/나성동 829", "지도Link")</f>
        <v/>
      </c>
      <c r="K2306" s="5">
        <f>HYPERLINK("http://www.eum.go.kr/web/ar/lu/luLandDet.jsp?pnu=3611010700108290000&amp;isNoScr=script&amp;mode=search", "토지이음")</f>
        <v/>
      </c>
      <c r="L2306" s="3" t="inlineStr">
        <is>
          <t>위드유</t>
        </is>
      </c>
      <c r="M2306" s="3" t="n">
        <v>1</v>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3" t="inlineStr">
        <is>
          <t>복용동,대도로접한 광고효과 좋은 위치 나대지 매매</t>
        </is>
      </c>
      <c r="I2307" s="5">
        <f>HYPERLINK("https://fin.land.naver.com/articles/2647946341", "매물Link")</f>
        <v/>
      </c>
      <c r="J2307" s="5">
        <f>HYPERLINK("https://map.naver.com/p/search/나성동 829", "지도Link")</f>
        <v/>
      </c>
      <c r="K2307" s="5">
        <f>HYPERLINK("http://www.eum.go.kr/web/ar/lu/luLandDet.jsp?pnu=3611010700108290000&amp;isNoScr=script&amp;mode=search", "토지이음")</f>
        <v/>
      </c>
      <c r="L2307" s="3" t="inlineStr">
        <is>
          <t>천재원</t>
        </is>
      </c>
      <c r="M2307" s="3" t="n">
        <v>1</v>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3" t="inlineStr">
        <is>
          <t>복용동 공원인근 상가주택 다가구 단독주택 임대용 건물 등 건축지</t>
        </is>
      </c>
      <c r="I2308" s="5">
        <f>HYPERLINK("https://fin.land.naver.com/articles/2649904649", "매물Link")</f>
        <v/>
      </c>
      <c r="J2308" s="5">
        <f>HYPERLINK("https://map.naver.com/p/search/나성동 829", "지도Link")</f>
        <v/>
      </c>
      <c r="K2308" s="5">
        <f>HYPERLINK("http://www.eum.go.kr/web/ar/lu/luLandDet.jsp?pnu=3611010700108290000&amp;isNoScr=script&amp;mode=search", "토지이음")</f>
        <v/>
      </c>
      <c r="L2308" s="3" t="inlineStr">
        <is>
          <t>학하랜드</t>
        </is>
      </c>
      <c r="M2308" s="3" t="n">
        <v>1</v>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3" t="inlineStr">
        <is>
          <t>4m도로변에 위치하며, 지구 단위가 풀릴 경우 건축이 가능한 토지</t>
        </is>
      </c>
      <c r="I2309" s="5">
        <f>HYPERLINK("https://fin.land.naver.com/articles/2649711806", "매물Link")</f>
        <v/>
      </c>
      <c r="J2309" s="5">
        <f>HYPERLINK("https://map.naver.com/p/search/나성동 829", "지도Link")</f>
        <v/>
      </c>
      <c r="K2309" s="5">
        <f>HYPERLINK("http://www.eum.go.kr/web/ar/lu/luLandDet.jsp?pnu=3611010700108290000&amp;isNoScr=script&amp;mode=search", "토지이음")</f>
        <v/>
      </c>
      <c r="L2309" s="3" t="inlineStr">
        <is>
          <t>도안뜰</t>
        </is>
      </c>
      <c r="M2309" s="3" t="n">
        <v>1</v>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3" t="inlineStr">
        <is>
          <t>복용동 나대지임대 주차용도등 추천함</t>
        </is>
      </c>
      <c r="I2310" s="5">
        <f>HYPERLINK("https://fin.land.naver.com/articles/2649447091", "매물Link")</f>
        <v/>
      </c>
      <c r="J2310" s="5">
        <f>HYPERLINK("https://map.naver.com/p/search/나성동 829", "지도Link")</f>
        <v/>
      </c>
      <c r="K2310" s="5">
        <f>HYPERLINK("http://www.eum.go.kr/web/ar/lu/luLandDet.jsp?pnu=3611010700108290000&amp;isNoScr=script&amp;mode=search", "토지이음")</f>
        <v/>
      </c>
      <c r="L2310" s="3" t="inlineStr">
        <is>
          <t>학하랜드</t>
        </is>
      </c>
      <c r="M2310" s="3" t="n">
        <v>1</v>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3" t="inlineStr">
        <is>
          <t>대로변, 가시효과 좋음</t>
        </is>
      </c>
      <c r="I2311" s="5">
        <f>HYPERLINK("https://fin.land.naver.com/articles/2646043174", "매물Link")</f>
        <v/>
      </c>
      <c r="J2311" s="5">
        <f>HYPERLINK("https://map.naver.com/p/search/나성동 829", "지도Link")</f>
        <v/>
      </c>
      <c r="K2311" s="5">
        <f>HYPERLINK("http://www.eum.go.kr/web/ar/lu/luLandDet.jsp?pnu=3611010700108290000&amp;isNoScr=script&amp;mode=search", "토지이음")</f>
        <v/>
      </c>
      <c r="L2311" s="3" t="inlineStr">
        <is>
          <t>도안트리풀행운</t>
        </is>
      </c>
      <c r="M2311" s="3" t="n">
        <v>1</v>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3" t="inlineStr">
        <is>
          <t>복용동 천변 귀한토지 상가건물 주택 사옥등 건축 추천</t>
        </is>
      </c>
      <c r="I2312" s="5">
        <f>HYPERLINK("https://fin.land.naver.com/articles/2647091298", "매물Link")</f>
        <v/>
      </c>
      <c r="J2312" s="5">
        <f>HYPERLINK("https://map.naver.com/p/search/나성동 829", "지도Link")</f>
        <v/>
      </c>
      <c r="K2312" s="5">
        <f>HYPERLINK("http://www.eum.go.kr/web/ar/lu/luLandDet.jsp?pnu=3611010700108290000&amp;isNoScr=script&amp;mode=search", "토지이음")</f>
        <v/>
      </c>
      <c r="L2312" s="3" t="inlineStr">
        <is>
          <t>학하랜드</t>
        </is>
      </c>
      <c r="M2312" s="3" t="n">
        <v>1</v>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3" t="inlineStr">
        <is>
          <t>nan</t>
        </is>
      </c>
      <c r="I2313" s="5">
        <f>HYPERLINK("https://fin.land.naver.com/articles/2644863613", "매물Link")</f>
        <v/>
      </c>
      <c r="J2313" s="5">
        <f>HYPERLINK("https://map.naver.com/p/search/나성동 829", "지도Link")</f>
        <v/>
      </c>
      <c r="K2313" s="5">
        <f>HYPERLINK("http://www.eum.go.kr/web/ar/lu/luLandDet.jsp?pnu=3611010700108290000&amp;isNoScr=script&amp;mode=search", "토지이음")</f>
        <v/>
      </c>
      <c r="L2313" s="3" t="inlineStr">
        <is>
          <t>학하랜드</t>
        </is>
      </c>
      <c r="M2313" s="3" t="n">
        <v>1</v>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3" t="inlineStr">
        <is>
          <t>4층까지 상가건물 올근생건물 이나 사옥으로 추천</t>
        </is>
      </c>
      <c r="I2314" s="5">
        <f>HYPERLINK("https://fin.land.naver.com/articles/2647768918", "매물Link")</f>
        <v/>
      </c>
      <c r="J2314" s="5">
        <f>HYPERLINK("https://map.naver.com/p/search/나성동 829", "지도Link")</f>
        <v/>
      </c>
      <c r="K2314" s="5">
        <f>HYPERLINK("http://www.eum.go.kr/web/ar/lu/luLandDet.jsp?pnu=3611010700108290000&amp;isNoScr=script&amp;mode=search", "토지이음")</f>
        <v/>
      </c>
      <c r="L2314" s="3" t="inlineStr">
        <is>
          <t>유성행운</t>
        </is>
      </c>
      <c r="M2314" s="3" t="n">
        <v>1</v>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3" t="inlineStr">
        <is>
          <t>nan</t>
        </is>
      </c>
      <c r="I2315" s="5">
        <f>HYPERLINK("https://fin.land.naver.com/articles/2648145063", "매물Link")</f>
        <v/>
      </c>
      <c r="J2315" s="5">
        <f>HYPERLINK("https://map.naver.com/p/search/나성동 829", "지도Link")</f>
        <v/>
      </c>
      <c r="K2315" s="5">
        <f>HYPERLINK("http://www.eum.go.kr/web/ar/lu/luLandDet.jsp?pnu=3611010700108290000&amp;isNoScr=script&amp;mode=search", "토지이음")</f>
        <v/>
      </c>
      <c r="L2315" s="3" t="inlineStr">
        <is>
          <t>가경</t>
        </is>
      </c>
      <c r="M2315" s="3" t="n">
        <v>1</v>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3" t="inlineStr">
        <is>
          <t>nan</t>
        </is>
      </c>
      <c r="I2316" s="5">
        <f>HYPERLINK("https://fin.land.naver.com/articles/2648142650", "매물Link")</f>
        <v/>
      </c>
      <c r="J2316" s="5">
        <f>HYPERLINK("https://map.naver.com/p/search/나성동 829", "지도Link")</f>
        <v/>
      </c>
      <c r="K2316" s="5">
        <f>HYPERLINK("http://www.eum.go.kr/web/ar/lu/luLandDet.jsp?pnu=3611010700108290000&amp;isNoScr=script&amp;mode=search", "토지이음")</f>
        <v/>
      </c>
      <c r="L2316" s="3" t="inlineStr">
        <is>
          <t>가경</t>
        </is>
      </c>
      <c r="M2316" s="3" t="n">
        <v>1</v>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3" t="inlineStr">
        <is>
          <t>nan</t>
        </is>
      </c>
      <c r="I2317" s="5">
        <f>HYPERLINK("https://fin.land.naver.com/articles/2647084579", "매물Link")</f>
        <v/>
      </c>
      <c r="J2317" s="5">
        <f>HYPERLINK("https://map.naver.com/p/search/나성동 829", "지도Link")</f>
        <v/>
      </c>
      <c r="K2317" s="5">
        <f>HYPERLINK("http://www.eum.go.kr/web/ar/lu/luLandDet.jsp?pnu=3611010700108290000&amp;isNoScr=script&amp;mode=search", "토지이음")</f>
        <v/>
      </c>
      <c r="L2317" s="3" t="inlineStr">
        <is>
          <t>새터전</t>
        </is>
      </c>
      <c r="M2317" s="3" t="n">
        <v>1</v>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3" t="inlineStr">
        <is>
          <t>지식산업센터 근처로 창고 및 근린생활시설,상가주택 다양하게 가능</t>
        </is>
      </c>
      <c r="I2318" s="5">
        <f>HYPERLINK("https://fin.land.naver.com/articles/2645115512", "매물Link")</f>
        <v/>
      </c>
      <c r="J2318" s="5">
        <f>HYPERLINK("https://map.naver.com/p/search/나성동 829", "지도Link")</f>
        <v/>
      </c>
      <c r="K2318" s="5">
        <f>HYPERLINK("http://www.eum.go.kr/web/ar/lu/luLandDet.jsp?pnu=3611010700108290000&amp;isNoScr=script&amp;mode=search", "토지이음")</f>
        <v/>
      </c>
      <c r="L2318" s="3" t="inlineStr">
        <is>
          <t>오투꿈무소</t>
        </is>
      </c>
      <c r="M2318" s="3" t="n">
        <v>1</v>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3" t="inlineStr">
        <is>
          <t>공터임대,</t>
        </is>
      </c>
      <c r="I2319" s="5">
        <f>HYPERLINK("https://fin.land.naver.com/articles/2644167075", "매물Link")</f>
        <v/>
      </c>
      <c r="J2319" s="5">
        <f>HYPERLINK("https://map.naver.com/p/search/나성동 829", "지도Link")</f>
        <v/>
      </c>
      <c r="K2319" s="5">
        <f>HYPERLINK("http://www.eum.go.kr/web/ar/lu/luLandDet.jsp?pnu=3611010700108290000&amp;isNoScr=script&amp;mode=search", "토지이음")</f>
        <v/>
      </c>
      <c r="L2319" s="3" t="inlineStr">
        <is>
          <t>유성베스트</t>
        </is>
      </c>
      <c r="M2319" s="3" t="n">
        <v>1</v>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3" t="inlineStr">
        <is>
          <t>nan</t>
        </is>
      </c>
      <c r="I2320" s="5">
        <f>HYPERLINK("https://fin.land.naver.com/articles/2647015203", "매물Link")</f>
        <v/>
      </c>
      <c r="J2320" s="5">
        <f>HYPERLINK("https://map.naver.com/p/search/나성동 829", "지도Link")</f>
        <v/>
      </c>
      <c r="K2320" s="5">
        <f>HYPERLINK("http://www.eum.go.kr/web/ar/lu/luLandDet.jsp?pnu=3611010700108290000&amp;isNoScr=script&amp;mode=search", "토지이음")</f>
        <v/>
      </c>
      <c r="L2320" s="3" t="inlineStr">
        <is>
          <t>바른사무소</t>
        </is>
      </c>
      <c r="M2320" s="3" t="n">
        <v>1</v>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3" t="inlineStr">
        <is>
          <t>전시효과 탁월 전시매장 대형가든 상가건물 사옥 등 용도 다양 최상급 물건</t>
        </is>
      </c>
      <c r="I2321" s="5">
        <f>HYPERLINK("https://fin.land.naver.com/articles/2649343245", "매물Link")</f>
        <v/>
      </c>
      <c r="J2321" s="5">
        <f>HYPERLINK("https://map.naver.com/p/search/나성동 829", "지도Link")</f>
        <v/>
      </c>
      <c r="K2321" s="5">
        <f>HYPERLINK("http://www.eum.go.kr/web/ar/lu/luLandDet.jsp?pnu=3611010700108290000&amp;isNoScr=script&amp;mode=search", "토지이음")</f>
        <v/>
      </c>
      <c r="L2321" s="3" t="inlineStr">
        <is>
          <t>뉴태양</t>
        </is>
      </c>
      <c r="M2321" s="3" t="n">
        <v>1</v>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3" t="inlineStr">
        <is>
          <t>nan</t>
        </is>
      </c>
      <c r="I2322" s="5">
        <f>HYPERLINK("https://fin.land.naver.com/articles/2647139893", "매물Link")</f>
        <v/>
      </c>
      <c r="J2322" s="5">
        <f>HYPERLINK("https://map.naver.com/p/search/나성동 829", "지도Link")</f>
        <v/>
      </c>
      <c r="K2322" s="5">
        <f>HYPERLINK("http://www.eum.go.kr/web/ar/lu/luLandDet.jsp?pnu=3611010700108290000&amp;isNoScr=script&amp;mode=search", "토지이음")</f>
        <v/>
      </c>
      <c r="L2322" s="3" t="inlineStr">
        <is>
          <t>신일류</t>
        </is>
      </c>
      <c r="M2322" s="3" t="n">
        <v>1</v>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3" t="inlineStr">
        <is>
          <t>작업장, 물류센터, 교회등으로 강력 추천</t>
        </is>
      </c>
      <c r="I2323" s="5">
        <f>HYPERLINK("https://fin.land.naver.com/articles/2646721140", "매물Link")</f>
        <v/>
      </c>
      <c r="J2323" s="5">
        <f>HYPERLINK("https://map.naver.com/p/search/나성동 829", "지도Link")</f>
        <v/>
      </c>
      <c r="K2323" s="5">
        <f>HYPERLINK("http://www.eum.go.kr/web/ar/lu/luLandDet.jsp?pnu=3611010700108290000&amp;isNoScr=script&amp;mode=search", "토지이음")</f>
        <v/>
      </c>
      <c r="L2323" s="3" t="inlineStr">
        <is>
          <t>김창덕</t>
        </is>
      </c>
      <c r="M2323" s="3" t="n">
        <v>1</v>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3" t="inlineStr">
        <is>
          <t>Point 급매, 지족역 주변 주택지, 투자 추천</t>
        </is>
      </c>
      <c r="I2324" s="5">
        <f>HYPERLINK("https://fin.land.naver.com/articles/2645152365", "매물Link")</f>
        <v/>
      </c>
      <c r="J2324" s="5">
        <f>HYPERLINK("https://map.naver.com/p/search/나성동 829", "지도Link")</f>
        <v/>
      </c>
      <c r="K2324" s="5">
        <f>HYPERLINK("http://www.eum.go.kr/web/ar/lu/luLandDet.jsp?pnu=3611010700108290000&amp;isNoScr=script&amp;mode=search", "토지이음")</f>
        <v/>
      </c>
      <c r="L2324" s="3" t="inlineStr">
        <is>
          <t>도마호반</t>
        </is>
      </c>
      <c r="M2324" s="3" t="n">
        <v>1</v>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3" t="inlineStr">
        <is>
          <t>가격인하 (한밭대 지역협력관뒤)</t>
        </is>
      </c>
      <c r="I2325" s="5">
        <f>HYPERLINK("https://fin.land.naver.com/articles/2649154306", "매물Link")</f>
        <v/>
      </c>
      <c r="J2325" s="5">
        <f>HYPERLINK("https://map.naver.com/p/search/나성동 829", "지도Link")</f>
        <v/>
      </c>
      <c r="K2325" s="5">
        <f>HYPERLINK("http://www.eum.go.kr/web/ar/lu/luLandDet.jsp?pnu=3611010700108290000&amp;isNoScr=script&amp;mode=search", "토지이음")</f>
        <v/>
      </c>
      <c r="L2325" s="3" t="inlineStr">
        <is>
          <t>가경</t>
        </is>
      </c>
      <c r="M2325" s="3" t="n">
        <v>1</v>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3" t="inlineStr">
        <is>
          <t>총 3필지로 1필지씩 매매가능</t>
        </is>
      </c>
      <c r="I2326" s="5">
        <f>HYPERLINK("https://fin.land.naver.com/articles/2646630340", "매물Link")</f>
        <v/>
      </c>
      <c r="J2326" s="5">
        <f>HYPERLINK("https://map.naver.com/p/search/나성동 829", "지도Link")</f>
        <v/>
      </c>
      <c r="K2326" s="5">
        <f>HYPERLINK("http://www.eum.go.kr/web/ar/lu/luLandDet.jsp?pnu=3611010700108290000&amp;isNoScr=script&amp;mode=search", "토지이음")</f>
        <v/>
      </c>
      <c r="L2326" s="3" t="inlineStr">
        <is>
          <t>새땅</t>
        </is>
      </c>
      <c r="M2326" s="3" t="n">
        <v>1</v>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3" t="inlineStr">
        <is>
          <t>나대지 코너각지</t>
        </is>
      </c>
      <c r="I2327" s="5">
        <f>HYPERLINK("https://fin.land.naver.com/articles/2646732650", "매물Link")</f>
        <v/>
      </c>
      <c r="J2327" s="5">
        <f>HYPERLINK("https://map.naver.com/p/search/나성동 829", "지도Link")</f>
        <v/>
      </c>
      <c r="K2327" s="5">
        <f>HYPERLINK("http://www.eum.go.kr/web/ar/lu/luLandDet.jsp?pnu=3611010700108290000&amp;isNoScr=script&amp;mode=search", "토지이음")</f>
        <v/>
      </c>
      <c r="L2327" s="3" t="inlineStr">
        <is>
          <t>대전명품</t>
        </is>
      </c>
      <c r="M2327" s="3" t="n">
        <v>1</v>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3" t="inlineStr">
        <is>
          <t>대청호 인근 청정지역 경관 좋아 대토 영농 조경 묘목 하우스 투자용 최상</t>
        </is>
      </c>
      <c r="I2328" s="5">
        <f>HYPERLINK("https://fin.land.naver.com/articles/2647439337", "매물Link")</f>
        <v/>
      </c>
      <c r="J2328" s="5">
        <f>HYPERLINK("https://map.naver.com/p/search/나성동 829", "지도Link")</f>
        <v/>
      </c>
      <c r="K2328" s="5">
        <f>HYPERLINK("http://www.eum.go.kr/web/ar/lu/luLandDet.jsp?pnu=3611010700108290000&amp;isNoScr=script&amp;mode=search", "토지이음")</f>
        <v/>
      </c>
      <c r="L2328" s="3" t="inlineStr">
        <is>
          <t>뉴태양</t>
        </is>
      </c>
      <c r="M2328" s="3" t="n">
        <v>1</v>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3" t="inlineStr">
        <is>
          <t>신탄진동 공장,창고 용지 나대지 매매 즉시 건축 가능</t>
        </is>
      </c>
      <c r="I2329" s="5">
        <f>HYPERLINK("https://fin.land.naver.com/articles/2649567434", "매물Link")</f>
        <v/>
      </c>
      <c r="J2329" s="5">
        <f>HYPERLINK("https://map.naver.com/p/search/나성동 829", "지도Link")</f>
        <v/>
      </c>
      <c r="K2329" s="5">
        <f>HYPERLINK("http://www.eum.go.kr/web/ar/lu/luLandDet.jsp?pnu=3611010700108290000&amp;isNoScr=script&amp;mode=search", "토지이음")</f>
        <v/>
      </c>
      <c r="L2329" s="3" t="inlineStr">
        <is>
          <t>삼익</t>
        </is>
      </c>
      <c r="M2329" s="3" t="n">
        <v>1</v>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3" t="inlineStr">
        <is>
          <t>nan</t>
        </is>
      </c>
      <c r="I2330" s="5">
        <f>HYPERLINK("https://fin.land.naver.com/articles/2648907764", "매물Link")</f>
        <v/>
      </c>
      <c r="J2330" s="5">
        <f>HYPERLINK("https://map.naver.com/p/search/나성동 829", "지도Link")</f>
        <v/>
      </c>
      <c r="K2330" s="5">
        <f>HYPERLINK("http://www.eum.go.kr/web/ar/lu/luLandDet.jsp?pnu=3611010700108290000&amp;isNoScr=script&amp;mode=search", "토지이음")</f>
        <v/>
      </c>
      <c r="L2330" s="3" t="inlineStr">
        <is>
          <t>도담</t>
        </is>
      </c>
      <c r="M2330" s="3" t="n">
        <v>1</v>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3" t="inlineStr">
        <is>
          <t>2차선 도로 접 토지. 공장 및 창고 신축 부지 추천</t>
        </is>
      </c>
      <c r="I2331" s="5">
        <f>HYPERLINK("https://fin.land.naver.com/articles/2648125694", "매물Link")</f>
        <v/>
      </c>
      <c r="J2331" s="5">
        <f>HYPERLINK("https://map.naver.com/p/search/나성동 829", "지도Link")</f>
        <v/>
      </c>
      <c r="K2331" s="5">
        <f>HYPERLINK("http://www.eum.go.kr/web/ar/lu/luLandDet.jsp?pnu=3611010700108290000&amp;isNoScr=script&amp;mode=search", "토지이음")</f>
        <v/>
      </c>
      <c r="L2331" s="3" t="inlineStr">
        <is>
          <t>삼익</t>
        </is>
      </c>
      <c r="M2331" s="3" t="n">
        <v>1</v>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3" t="inlineStr">
        <is>
          <t>nan</t>
        </is>
      </c>
      <c r="I2332" s="5">
        <f>HYPERLINK("https://fin.land.naver.com/articles/2649425019", "매물Link")</f>
        <v/>
      </c>
      <c r="J2332" s="5">
        <f>HYPERLINK("https://map.naver.com/p/search/나성동 829", "지도Link")</f>
        <v/>
      </c>
      <c r="K2332" s="5">
        <f>HYPERLINK("http://www.eum.go.kr/web/ar/lu/luLandDet.jsp?pnu=3611010700108290000&amp;isNoScr=script&amp;mode=search", "토지이음")</f>
        <v/>
      </c>
      <c r="L2332" s="3" t="inlineStr">
        <is>
          <t>태영컨설팅</t>
        </is>
      </c>
      <c r="M2332" s="3" t="n">
        <v>1</v>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3" t="inlineStr">
        <is>
          <t>신탄진IC 에서 약1.2km지점 위치.</t>
        </is>
      </c>
      <c r="I2333" s="5">
        <f>HYPERLINK("https://fin.land.naver.com/articles/2649099312", "매물Link")</f>
        <v/>
      </c>
      <c r="J2333" s="5">
        <f>HYPERLINK("https://map.naver.com/p/search/나성동 829", "지도Link")</f>
        <v/>
      </c>
      <c r="K2333" s="5">
        <f>HYPERLINK("http://www.eum.go.kr/web/ar/lu/luLandDet.jsp?pnu=3611010700108290000&amp;isNoScr=script&amp;mode=search", "토지이음")</f>
        <v/>
      </c>
      <c r="L2333" s="3" t="inlineStr">
        <is>
          <t>동행</t>
        </is>
      </c>
      <c r="M2333" s="3" t="n">
        <v>1</v>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3" t="inlineStr">
        <is>
          <t>평촌금형산업단지내, 건폐율 70%, 용적율 300%</t>
        </is>
      </c>
      <c r="I2334" s="5">
        <f>HYPERLINK("https://fin.land.naver.com/articles/2648308517", "매물Link")</f>
        <v/>
      </c>
      <c r="J2334" s="5">
        <f>HYPERLINK("https://map.naver.com/p/search/나성동 829", "지도Link")</f>
        <v/>
      </c>
      <c r="K2334" s="5">
        <f>HYPERLINK("http://www.eum.go.kr/web/ar/lu/luLandDet.jsp?pnu=3611010700108290000&amp;isNoScr=script&amp;mode=search", "토지이음")</f>
        <v/>
      </c>
      <c r="L2334" s="3" t="inlineStr">
        <is>
          <t>산업</t>
        </is>
      </c>
      <c r="M2334" s="3" t="n">
        <v>1</v>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3" t="inlineStr">
        <is>
          <t>평촌금형산업단지내, 즉시 건축가능,</t>
        </is>
      </c>
      <c r="I2335" s="5">
        <f>HYPERLINK("https://fin.land.naver.com/articles/2648156031", "매물Link")</f>
        <v/>
      </c>
      <c r="J2335" s="5">
        <f>HYPERLINK("https://map.naver.com/p/search/나성동 829", "지도Link")</f>
        <v/>
      </c>
      <c r="K2335" s="5">
        <f>HYPERLINK("http://www.eum.go.kr/web/ar/lu/luLandDet.jsp?pnu=3611010700108290000&amp;isNoScr=script&amp;mode=search", "토지이음")</f>
        <v/>
      </c>
      <c r="L2335" s="3" t="inlineStr">
        <is>
          <t>산업</t>
        </is>
      </c>
      <c r="M2335" s="3" t="n">
        <v>1</v>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3" t="inlineStr">
        <is>
          <t>토지매매입니다.</t>
        </is>
      </c>
      <c r="I2336" s="5">
        <f>HYPERLINK("https://fin.land.naver.com/articles/2647997316", "매물Link")</f>
        <v/>
      </c>
      <c r="J2336" s="5">
        <f>HYPERLINK("https://map.naver.com/p/search/나성동 829", "지도Link")</f>
        <v/>
      </c>
      <c r="K2336" s="5">
        <f>HYPERLINK("http://www.eum.go.kr/web/ar/lu/luLandDet.jsp?pnu=3611010700108290000&amp;isNoScr=script&amp;mode=search", "토지이음")</f>
        <v/>
      </c>
      <c r="L2336" s="3" t="inlineStr">
        <is>
          <t>세움터</t>
        </is>
      </c>
      <c r="M2336" s="3" t="n">
        <v>1</v>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3" t="inlineStr">
        <is>
          <t>신탄진 평촌지구 공장 및 창고 신축부지 매매</t>
        </is>
      </c>
      <c r="I2337" s="5">
        <f>HYPERLINK("https://fin.land.naver.com/articles/2646847037", "매물Link")</f>
        <v/>
      </c>
      <c r="J2337" s="5">
        <f>HYPERLINK("https://map.naver.com/p/search/나성동 829", "지도Link")</f>
        <v/>
      </c>
      <c r="K2337" s="5">
        <f>HYPERLINK("http://www.eum.go.kr/web/ar/lu/luLandDet.jsp?pnu=3611010700108290000&amp;isNoScr=script&amp;mode=search", "토지이음")</f>
        <v/>
      </c>
      <c r="L2337" s="3" t="inlineStr">
        <is>
          <t>신탄진다온</t>
        </is>
      </c>
      <c r="M2337" s="3" t="n">
        <v>1</v>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3" t="inlineStr">
        <is>
          <t>신탄진동 평촌지구 공장,창고 신축부지 매매</t>
        </is>
      </c>
      <c r="I2338" s="5">
        <f>HYPERLINK("https://fin.land.naver.com/articles/2646846919", "매물Link")</f>
        <v/>
      </c>
      <c r="J2338" s="5">
        <f>HYPERLINK("https://map.naver.com/p/search/나성동 829", "지도Link")</f>
        <v/>
      </c>
      <c r="K2338" s="5">
        <f>HYPERLINK("http://www.eum.go.kr/web/ar/lu/luLandDet.jsp?pnu=3611010700108290000&amp;isNoScr=script&amp;mode=search", "토지이음")</f>
        <v/>
      </c>
      <c r="L2338" s="3" t="inlineStr">
        <is>
          <t>신탄진다온</t>
        </is>
      </c>
      <c r="M2338" s="3" t="n">
        <v>1</v>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3" t="inlineStr">
        <is>
          <t>신탄진 평촌지구 공장 및 창고 신축부지 매매</t>
        </is>
      </c>
      <c r="I2339" s="5">
        <f>HYPERLINK("https://fin.land.naver.com/articles/2646845800", "매물Link")</f>
        <v/>
      </c>
      <c r="J2339" s="5">
        <f>HYPERLINK("https://map.naver.com/p/search/나성동 829", "지도Link")</f>
        <v/>
      </c>
      <c r="K2339" s="5">
        <f>HYPERLINK("http://www.eum.go.kr/web/ar/lu/luLandDet.jsp?pnu=3611010700108290000&amp;isNoScr=script&amp;mode=search", "토지이음")</f>
        <v/>
      </c>
      <c r="L2339" s="3" t="inlineStr">
        <is>
          <t>신탄진다온</t>
        </is>
      </c>
      <c r="M2339" s="3" t="n">
        <v>1</v>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3" t="inlineStr">
        <is>
          <t>금전공단입구인근으로 대도로와 소도로에접한 토지임 현재자량량정비소로이용중</t>
        </is>
      </c>
      <c r="I2340" s="5">
        <f>HYPERLINK("https://fin.land.naver.com/articles/2644594384", "매물Link")</f>
        <v/>
      </c>
      <c r="J2340" s="5">
        <f>HYPERLINK("https://map.naver.com/p/search/나성동 829", "지도Link")</f>
        <v/>
      </c>
      <c r="K2340" s="5">
        <f>HYPERLINK("http://www.eum.go.kr/web/ar/lu/luLandDet.jsp?pnu=3611010700108290000&amp;isNoScr=script&amp;mode=search", "토지이음")</f>
        <v/>
      </c>
      <c r="L2340" s="3" t="inlineStr">
        <is>
          <t>새일</t>
        </is>
      </c>
      <c r="M2340" s="3" t="n">
        <v>1</v>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3" t="inlineStr">
        <is>
          <t>대로변에 접한 토지, 가격협의 가능</t>
        </is>
      </c>
      <c r="I2341" s="5">
        <f>HYPERLINK("https://fin.land.naver.com/articles/2644476845", "매물Link")</f>
        <v/>
      </c>
      <c r="J2341" s="5">
        <f>HYPERLINK("https://map.naver.com/p/search/나성동 829", "지도Link")</f>
        <v/>
      </c>
      <c r="K2341" s="5">
        <f>HYPERLINK("http://www.eum.go.kr/web/ar/lu/luLandDet.jsp?pnu=3611010700108290000&amp;isNoScr=script&amp;mode=search", "토지이음")</f>
        <v/>
      </c>
      <c r="L2341" s="3" t="inlineStr">
        <is>
          <t>산업</t>
        </is>
      </c>
      <c r="M2341" s="3" t="n">
        <v>1</v>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3" t="inlineStr">
        <is>
          <t>10m X 8m 코너각지, 창고,공장, 판매점 용도로 추천</t>
        </is>
      </c>
      <c r="I2342" s="5">
        <f>HYPERLINK("https://fin.land.naver.com/articles/2644476501", "매물Link")</f>
        <v/>
      </c>
      <c r="J2342" s="5">
        <f>HYPERLINK("https://map.naver.com/p/search/나성동 829", "지도Link")</f>
        <v/>
      </c>
      <c r="K2342" s="5">
        <f>HYPERLINK("http://www.eum.go.kr/web/ar/lu/luLandDet.jsp?pnu=3611010700108290000&amp;isNoScr=script&amp;mode=search", "토지이음")</f>
        <v/>
      </c>
      <c r="L2342" s="3" t="inlineStr">
        <is>
          <t>산업</t>
        </is>
      </c>
      <c r="M2342" s="3" t="n">
        <v>1</v>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3" t="inlineStr">
        <is>
          <t>평촌금형산업단지내, 토목완료,건축허가 득</t>
        </is>
      </c>
      <c r="I2343" s="5">
        <f>HYPERLINK("https://fin.land.naver.com/articles/2644475569", "매물Link")</f>
        <v/>
      </c>
      <c r="J2343" s="5">
        <f>HYPERLINK("https://map.naver.com/p/search/나성동 829", "지도Link")</f>
        <v/>
      </c>
      <c r="K2343" s="5">
        <f>HYPERLINK("http://www.eum.go.kr/web/ar/lu/luLandDet.jsp?pnu=3611010700108290000&amp;isNoScr=script&amp;mode=search", "토지이음")</f>
        <v/>
      </c>
      <c r="L2343" s="3" t="inlineStr">
        <is>
          <t>산업</t>
        </is>
      </c>
      <c r="M2343" s="3" t="n">
        <v>1</v>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3" t="inlineStr">
        <is>
          <t>평촌금형산업단지내, 현재 나대지</t>
        </is>
      </c>
      <c r="I2344" s="5">
        <f>HYPERLINK("https://fin.land.naver.com/articles/2644475334", "매물Link")</f>
        <v/>
      </c>
      <c r="J2344" s="5">
        <f>HYPERLINK("https://map.naver.com/p/search/나성동 829", "지도Link")</f>
        <v/>
      </c>
      <c r="K2344" s="5">
        <f>HYPERLINK("http://www.eum.go.kr/web/ar/lu/luLandDet.jsp?pnu=3611010700108290000&amp;isNoScr=script&amp;mode=search", "토지이음")</f>
        <v/>
      </c>
      <c r="L2344" s="3" t="inlineStr">
        <is>
          <t>산업</t>
        </is>
      </c>
      <c r="M2344" s="3" t="n">
        <v>1</v>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3" t="inlineStr">
        <is>
          <t>현재밭으로 사용중  울타리있음  예쁘게 잘 가꿔진토지</t>
        </is>
      </c>
      <c r="I2345" s="5">
        <f>HYPERLINK("https://fin.land.naver.com/articles/2647186507", "매물Link")</f>
        <v/>
      </c>
      <c r="J2345" s="5">
        <f>HYPERLINK("https://map.naver.com/p/search/나성동 829", "지도Link")</f>
        <v/>
      </c>
      <c r="K2345" s="5">
        <f>HYPERLINK("http://www.eum.go.kr/web/ar/lu/luLandDet.jsp?pnu=3611010700108290000&amp;isNoScr=script&amp;mode=search", "토지이음")</f>
        <v/>
      </c>
      <c r="L2345" s="3" t="inlineStr">
        <is>
          <t>중흥</t>
        </is>
      </c>
      <c r="M2345" s="3" t="n">
        <v>1</v>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3" t="inlineStr">
        <is>
          <t>Point 대청댐 인근 금강수변 도로접, 투자용 가치 상승 농지</t>
        </is>
      </c>
      <c r="I2346" s="5">
        <f>HYPERLINK("https://fin.land.naver.com/articles/2648111020", "매물Link")</f>
        <v/>
      </c>
      <c r="J2346" s="5">
        <f>HYPERLINK("https://map.naver.com/p/search/나성동 829", "지도Link")</f>
        <v/>
      </c>
      <c r="K2346" s="5">
        <f>HYPERLINK("http://www.eum.go.kr/web/ar/lu/luLandDet.jsp?pnu=3611010700108290000&amp;isNoScr=script&amp;mode=search", "토지이음")</f>
        <v/>
      </c>
      <c r="L2346" s="3" t="inlineStr">
        <is>
          <t>도마호반</t>
        </is>
      </c>
      <c r="M2346" s="3" t="n">
        <v>1</v>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3" t="inlineStr">
        <is>
          <t>포장도로 인접, 태양열 설치, 농기구 보관창고 포함</t>
        </is>
      </c>
      <c r="I2347" s="5">
        <f>HYPERLINK("https://fin.land.naver.com/articles/2647307125", "매물Link")</f>
        <v/>
      </c>
      <c r="J2347" s="5">
        <f>HYPERLINK("https://map.naver.com/p/search/나성동 829", "지도Link")</f>
        <v/>
      </c>
      <c r="K2347" s="5">
        <f>HYPERLINK("http://www.eum.go.kr/web/ar/lu/luLandDet.jsp?pnu=3611010700108290000&amp;isNoScr=script&amp;mode=search", "토지이음")</f>
        <v/>
      </c>
      <c r="L2347" s="3" t="inlineStr">
        <is>
          <t>대지</t>
        </is>
      </c>
      <c r="M2347" s="3" t="n">
        <v>1</v>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3" t="inlineStr">
        <is>
          <t>nan</t>
        </is>
      </c>
      <c r="I2348" s="5">
        <f>HYPERLINK("https://fin.land.naver.com/articles/2649545480", "매물Link")</f>
        <v/>
      </c>
      <c r="J2348" s="5">
        <f>HYPERLINK("https://map.naver.com/p/search/나성동 829", "지도Link")</f>
        <v/>
      </c>
      <c r="K2348" s="5">
        <f>HYPERLINK("http://www.eum.go.kr/web/ar/lu/luLandDet.jsp?pnu=3611010700108290000&amp;isNoScr=script&amp;mode=search", "토지이음")</f>
        <v/>
      </c>
      <c r="L2348" s="3" t="inlineStr">
        <is>
          <t>우리동네</t>
        </is>
      </c>
      <c r="M2348" s="3" t="n">
        <v>1</v>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3" t="inlineStr">
        <is>
          <t>상수원보호구역 주말농장지 대청댐부근</t>
        </is>
      </c>
      <c r="I2349" s="5">
        <f>HYPERLINK("https://fin.land.naver.com/articles/2647376660", "매물Link")</f>
        <v/>
      </c>
      <c r="J2349" s="5">
        <f>HYPERLINK("https://map.naver.com/p/search/나성동 829", "지도Link")</f>
        <v/>
      </c>
      <c r="K2349" s="5">
        <f>HYPERLINK("http://www.eum.go.kr/web/ar/lu/luLandDet.jsp?pnu=3611010700108290000&amp;isNoScr=script&amp;mode=search", "토지이음")</f>
        <v/>
      </c>
      <c r="L2349" s="3" t="inlineStr">
        <is>
          <t>새여울</t>
        </is>
      </c>
      <c r="M2349" s="3" t="n">
        <v>1</v>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3" t="inlineStr">
        <is>
          <t>계족산 장동휴양림 인근</t>
        </is>
      </c>
      <c r="I2350" s="5">
        <f>HYPERLINK("https://fin.land.naver.com/articles/2649409718", "매물Link")</f>
        <v/>
      </c>
      <c r="J2350" s="5">
        <f>HYPERLINK("https://map.naver.com/p/search/나성동 829", "지도Link")</f>
        <v/>
      </c>
      <c r="K2350" s="5">
        <f>HYPERLINK("http://www.eum.go.kr/web/ar/lu/luLandDet.jsp?pnu=3611010700108290000&amp;isNoScr=script&amp;mode=search", "토지이음")</f>
        <v/>
      </c>
      <c r="L2350" s="3" t="inlineStr">
        <is>
          <t>백합플러스</t>
        </is>
      </c>
      <c r="M2350" s="3" t="n">
        <v>1</v>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3" t="inlineStr">
        <is>
          <t>brt 조망토지 대전 남세종ic 토지매매</t>
        </is>
      </c>
      <c r="I2351" s="5">
        <f>HYPERLINK("https://fin.land.naver.com/articles/2647111336", "매물Link")</f>
        <v/>
      </c>
      <c r="J2351" s="5">
        <f>HYPERLINK("https://map.naver.com/p/search/나성동 829", "지도Link")</f>
        <v/>
      </c>
      <c r="K2351" s="5">
        <f>HYPERLINK("http://www.eum.go.kr/web/ar/lu/luLandDet.jsp?pnu=3611010700108290000&amp;isNoScr=script&amp;mode=search", "토지이음")</f>
        <v/>
      </c>
      <c r="L2351" s="3" t="inlineStr">
        <is>
          <t>THE행복</t>
        </is>
      </c>
      <c r="M2351" s="3" t="n">
        <v>1</v>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3" t="inlineStr">
        <is>
          <t>교통 편리한 청정지역 경관 수려하여 갤러리 전원주택 명상센터 최상</t>
        </is>
      </c>
      <c r="I2352" s="5">
        <f>HYPERLINK("https://fin.land.naver.com/articles/2647491961", "매물Link")</f>
        <v/>
      </c>
      <c r="J2352" s="5">
        <f>HYPERLINK("https://map.naver.com/p/search/나성동 829", "지도Link")</f>
        <v/>
      </c>
      <c r="K2352" s="5">
        <f>HYPERLINK("http://www.eum.go.kr/web/ar/lu/luLandDet.jsp?pnu=3611010700108290000&amp;isNoScr=script&amp;mode=search", "토지이음")</f>
        <v/>
      </c>
      <c r="L2352" s="3" t="inlineStr">
        <is>
          <t>뉴태양</t>
        </is>
      </c>
      <c r="M2352" s="3" t="n">
        <v>1</v>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3" t="inlineStr">
        <is>
          <t>장동산림욕장 부근의 입지조건 좋은 개발제한구역내 토지</t>
        </is>
      </c>
      <c r="I2353" s="5">
        <f>HYPERLINK("https://fin.land.naver.com/articles/2644854083", "매물Link")</f>
        <v/>
      </c>
      <c r="J2353" s="5">
        <f>HYPERLINK("https://map.naver.com/p/search/나성동 829", "지도Link")</f>
        <v/>
      </c>
      <c r="K2353" s="5">
        <f>HYPERLINK("http://www.eum.go.kr/web/ar/lu/luLandDet.jsp?pnu=3611010700108290000&amp;isNoScr=script&amp;mode=search", "토지이음")</f>
        <v/>
      </c>
      <c r="L2353" s="3" t="inlineStr">
        <is>
          <t>다온</t>
        </is>
      </c>
      <c r="M2353" s="3" t="n">
        <v>1</v>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3" t="inlineStr">
        <is>
          <t>교통편리 경관좋은 청정지역 2종일반 커피숖 전원주택 사무실 최상</t>
        </is>
      </c>
      <c r="I2354" s="5">
        <f>HYPERLINK("https://fin.land.naver.com/articles/2644772304", "매물Link")</f>
        <v/>
      </c>
      <c r="J2354" s="5">
        <f>HYPERLINK("https://map.naver.com/p/search/나성동 829", "지도Link")</f>
        <v/>
      </c>
      <c r="K2354" s="5">
        <f>HYPERLINK("http://www.eum.go.kr/web/ar/lu/luLandDet.jsp?pnu=3611010700108290000&amp;isNoScr=script&amp;mode=search", "토지이음")</f>
        <v/>
      </c>
      <c r="L2354" s="3" t="inlineStr">
        <is>
          <t>뉴태양</t>
        </is>
      </c>
      <c r="M2354" s="3" t="n">
        <v>1</v>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3" t="inlineStr">
        <is>
          <t>농막설치 가능, 주말농장 최적</t>
        </is>
      </c>
      <c r="I2355" s="5">
        <f>HYPERLINK("https://fin.land.naver.com/articles/2647839244", "매물Link")</f>
        <v/>
      </c>
      <c r="J2355" s="5">
        <f>HYPERLINK("https://map.naver.com/p/search/나성동 829", "지도Link")</f>
        <v/>
      </c>
      <c r="K2355" s="5">
        <f>HYPERLINK("http://www.eum.go.kr/web/ar/lu/luLandDet.jsp?pnu=3611010700108290000&amp;isNoScr=script&amp;mode=search", "토지이음")</f>
        <v/>
      </c>
      <c r="L2355" s="3" t="inlineStr">
        <is>
          <t>와동</t>
        </is>
      </c>
      <c r="M2355" s="3" t="n">
        <v>1</v>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3" t="inlineStr">
        <is>
          <t>주말농장 최적, 그린벨트</t>
        </is>
      </c>
      <c r="I2356" s="5">
        <f>HYPERLINK("https://fin.land.naver.com/articles/2647762118", "매물Link")</f>
        <v/>
      </c>
      <c r="J2356" s="5">
        <f>HYPERLINK("https://map.naver.com/p/search/나성동 829", "지도Link")</f>
        <v/>
      </c>
      <c r="K2356" s="5">
        <f>HYPERLINK("http://www.eum.go.kr/web/ar/lu/luLandDet.jsp?pnu=3611010700108290000&amp;isNoScr=script&amp;mode=search", "토지이음")</f>
        <v/>
      </c>
      <c r="L2356" s="3" t="inlineStr">
        <is>
          <t>와동</t>
        </is>
      </c>
      <c r="M2356" s="3" t="n">
        <v>1</v>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3" t="inlineStr">
        <is>
          <t>체류 형 쉼터 주말 농지로  적지 로  적극 추천 합니다.</t>
        </is>
      </c>
      <c r="I2357" s="5">
        <f>HYPERLINK("https://fin.land.naver.com/articles/2648411651", "매물Link")</f>
        <v/>
      </c>
      <c r="J2357" s="5">
        <f>HYPERLINK("https://map.naver.com/p/search/나성동 829", "지도Link")</f>
        <v/>
      </c>
      <c r="K2357" s="5">
        <f>HYPERLINK("http://www.eum.go.kr/web/ar/lu/luLandDet.jsp?pnu=3611010700108290000&amp;isNoScr=script&amp;mode=search", "토지이음")</f>
        <v/>
      </c>
      <c r="L2357" s="3" t="inlineStr">
        <is>
          <t>대덕밸리</t>
        </is>
      </c>
      <c r="M2357" s="3" t="n">
        <v>1</v>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3" t="inlineStr">
        <is>
          <t>Point 투자 추천, 전원뷰, 잔디밭, 애견카페, 스몰웨딩 추천</t>
        </is>
      </c>
      <c r="I2358" s="5">
        <f>HYPERLINK("https://fin.land.naver.com/articles/2648318726", "매물Link")</f>
        <v/>
      </c>
      <c r="J2358" s="5">
        <f>HYPERLINK("https://map.naver.com/p/search/나성동 829", "지도Link")</f>
        <v/>
      </c>
      <c r="K2358" s="5">
        <f>HYPERLINK("http://www.eum.go.kr/web/ar/lu/luLandDet.jsp?pnu=3611010700108290000&amp;isNoScr=script&amp;mode=search", "토지이음")</f>
        <v/>
      </c>
      <c r="L2358" s="3" t="inlineStr">
        <is>
          <t>도마호반</t>
        </is>
      </c>
      <c r="M2358" s="3" t="n">
        <v>1</v>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3" t="inlineStr">
        <is>
          <t>Point 임야 관련한 용도로 저렴한 매물</t>
        </is>
      </c>
      <c r="I2359" s="5">
        <f>HYPERLINK("https://fin.land.naver.com/articles/2648110615", "매물Link")</f>
        <v/>
      </c>
      <c r="J2359" s="5">
        <f>HYPERLINK("https://map.naver.com/p/search/나성동 829", "지도Link")</f>
        <v/>
      </c>
      <c r="K2359" s="5">
        <f>HYPERLINK("http://www.eum.go.kr/web/ar/lu/luLandDet.jsp?pnu=3611010700108290000&amp;isNoScr=script&amp;mode=search", "토지이음")</f>
        <v/>
      </c>
      <c r="L2359" s="3" t="inlineStr">
        <is>
          <t>도마호반</t>
        </is>
      </c>
      <c r="M2359" s="3" t="n">
        <v>1</v>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3" t="inlineStr">
        <is>
          <t>Point 분할 가능, 대청댐 대청호 수변 주변 임야</t>
        </is>
      </c>
      <c r="I2360" s="5">
        <f>HYPERLINK("https://fin.land.naver.com/articles/2646677183", "매물Link")</f>
        <v/>
      </c>
      <c r="J2360" s="5">
        <f>HYPERLINK("https://map.naver.com/p/search/나성동 829", "지도Link")</f>
        <v/>
      </c>
      <c r="K2360" s="5">
        <f>HYPERLINK("http://www.eum.go.kr/web/ar/lu/luLandDet.jsp?pnu=3611010700108290000&amp;isNoScr=script&amp;mode=search", "토지이음")</f>
        <v/>
      </c>
      <c r="L2360" s="3" t="inlineStr">
        <is>
          <t>도마호반</t>
        </is>
      </c>
      <c r="M2360" s="3" t="n">
        <v>1</v>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3" t="inlineStr">
        <is>
          <t>Point 장동 이현동간 도로개설 이슈로 투자용, 약용작물 재배 등 임야</t>
        </is>
      </c>
      <c r="I2361" s="5">
        <f>HYPERLINK("https://fin.land.naver.com/articles/2646676805", "매물Link")</f>
        <v/>
      </c>
      <c r="J2361" s="5">
        <f>HYPERLINK("https://map.naver.com/p/search/나성동 829", "지도Link")</f>
        <v/>
      </c>
      <c r="K2361" s="5">
        <f>HYPERLINK("http://www.eum.go.kr/web/ar/lu/luLandDet.jsp?pnu=3611010700108290000&amp;isNoScr=script&amp;mode=search", "토지이음")</f>
        <v/>
      </c>
      <c r="L2361" s="3" t="inlineStr">
        <is>
          <t>도마호반</t>
        </is>
      </c>
      <c r="M2361" s="3" t="n">
        <v>1</v>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3" t="inlineStr">
        <is>
          <t>묘지터 찾는분 추천드려요</t>
        </is>
      </c>
      <c r="I2362" s="5">
        <f>HYPERLINK("https://fin.land.naver.com/articles/2646617820", "매물Link")</f>
        <v/>
      </c>
      <c r="J2362" s="5">
        <f>HYPERLINK("https://map.naver.com/p/search/나성동 829", "지도Link")</f>
        <v/>
      </c>
      <c r="K2362" s="5">
        <f>HYPERLINK("http://www.eum.go.kr/web/ar/lu/luLandDet.jsp?pnu=3611010700108290000&amp;isNoScr=script&amp;mode=search", "토지이음")</f>
        <v/>
      </c>
      <c r="L2362" s="3" t="inlineStr">
        <is>
          <t>자이드림</t>
        </is>
      </c>
      <c r="M2362" s="3" t="n">
        <v>1</v>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3" t="inlineStr">
        <is>
          <t>대청호 도로변 위치 창고, 카페, 주택 용지로 가격조절 가능</t>
        </is>
      </c>
      <c r="I2363" s="5">
        <f>HYPERLINK("https://fin.land.naver.com/articles/2646852145", "매물Link")</f>
        <v/>
      </c>
      <c r="J2363" s="5">
        <f>HYPERLINK("https://map.naver.com/p/search/나성동 829", "지도Link")</f>
        <v/>
      </c>
      <c r="K2363" s="5">
        <f>HYPERLINK("http://www.eum.go.kr/web/ar/lu/luLandDet.jsp?pnu=3611010700108290000&amp;isNoScr=script&amp;mode=search", "토지이음")</f>
        <v/>
      </c>
      <c r="L2363" s="3" t="inlineStr">
        <is>
          <t>뉴삼호</t>
        </is>
      </c>
      <c r="M2363" s="3" t="n">
        <v>1</v>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3" t="inlineStr">
        <is>
          <t>경관 수려하고 교통 편리한 나대지 전원주택 공방 갤러리 별장지 최상</t>
        </is>
      </c>
      <c r="I2364" s="5">
        <f>HYPERLINK("https://fin.land.naver.com/articles/2646669886", "매물Link")</f>
        <v/>
      </c>
      <c r="J2364" s="5">
        <f>HYPERLINK("https://map.naver.com/p/search/나성동 829", "지도Link")</f>
        <v/>
      </c>
      <c r="K2364" s="5">
        <f>HYPERLINK("http://www.eum.go.kr/web/ar/lu/luLandDet.jsp?pnu=3611010700108290000&amp;isNoScr=script&amp;mode=search", "토지이음")</f>
        <v/>
      </c>
      <c r="L2364" s="3" t="inlineStr">
        <is>
          <t>뉴태양</t>
        </is>
      </c>
      <c r="M2364" s="3" t="n">
        <v>1</v>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3" t="inlineStr">
        <is>
          <t>도로접한 농지 매매 투자용 추천 매물</t>
        </is>
      </c>
      <c r="I2365" s="5">
        <f>HYPERLINK("https://fin.land.naver.com/articles/2646053369", "매물Link")</f>
        <v/>
      </c>
      <c r="J2365" s="5">
        <f>HYPERLINK("https://map.naver.com/p/search/나성동 829", "지도Link")</f>
        <v/>
      </c>
      <c r="K2365" s="5">
        <f>HYPERLINK("http://www.eum.go.kr/web/ar/lu/luLandDet.jsp?pnu=3611010700108290000&amp;isNoScr=script&amp;mode=search", "토지이음")</f>
        <v/>
      </c>
      <c r="L2365" s="3" t="inlineStr">
        <is>
          <t>삼익</t>
        </is>
      </c>
      <c r="M2365" s="3" t="n">
        <v>1</v>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3" t="inlineStr">
        <is>
          <t>행정도시에서 5분거여서  주말농장,  텃밭하기에 좋은 소액토지</t>
        </is>
      </c>
      <c r="I2366" s="5">
        <f>HYPERLINK("https://fin.land.naver.com/articles/2646339887", "매물Link")</f>
        <v/>
      </c>
      <c r="J2366" s="5">
        <f>HYPERLINK("https://map.naver.com/p/search/나성동 829", "지도Link")</f>
        <v/>
      </c>
      <c r="K2366" s="5">
        <f>HYPERLINK("http://www.eum.go.kr/web/ar/lu/luLandDet.jsp?pnu=3611010700108290000&amp;isNoScr=script&amp;mode=search", "토지이음")</f>
        <v/>
      </c>
      <c r="L2366" s="3" t="inlineStr">
        <is>
          <t>창고의여왕</t>
        </is>
      </c>
      <c r="M2366" s="3" t="n">
        <v>1</v>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3" t="inlineStr">
        <is>
          <t>소규모토지로 주말농장 추천</t>
        </is>
      </c>
      <c r="I2367" s="5">
        <f>HYPERLINK("https://fin.land.naver.com/articles/2646337728", "매물Link")</f>
        <v/>
      </c>
      <c r="J2367" s="5">
        <f>HYPERLINK("https://map.naver.com/p/search/나성동 829", "지도Link")</f>
        <v/>
      </c>
      <c r="K2367" s="5">
        <f>HYPERLINK("http://www.eum.go.kr/web/ar/lu/luLandDet.jsp?pnu=3611010700108290000&amp;isNoScr=script&amp;mode=search", "토지이음")</f>
        <v/>
      </c>
      <c r="L2367" s="3" t="inlineStr">
        <is>
          <t>창고의여왕</t>
        </is>
      </c>
      <c r="M2367" s="3" t="n">
        <v>1</v>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3" t="inlineStr">
        <is>
          <t>부용리 단독지주 임야 매매</t>
        </is>
      </c>
      <c r="I2368" s="5">
        <f>HYPERLINK("https://fin.land.naver.com/articles/2646306931", "매물Link")</f>
        <v/>
      </c>
      <c r="J2368" s="5">
        <f>HYPERLINK("https://map.naver.com/p/search/나성동 829", "지도Link")</f>
        <v/>
      </c>
      <c r="K2368" s="5">
        <f>HYPERLINK("http://www.eum.go.kr/web/ar/lu/luLandDet.jsp?pnu=3611010700108290000&amp;isNoScr=script&amp;mode=search", "토지이음")</f>
        <v/>
      </c>
      <c r="L2368" s="3" t="inlineStr">
        <is>
          <t>중앙하이츠</t>
        </is>
      </c>
      <c r="M2368" s="3" t="n">
        <v>1</v>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3" t="inlineStr">
        <is>
          <t>새롬동 한솔동상권과 인접, 도보로 BRT접근가능</t>
        </is>
      </c>
      <c r="I2369" s="5">
        <f>HYPERLINK("https://fin.land.naver.com/articles/2647185321", "매물Link")</f>
        <v/>
      </c>
      <c r="J2369" s="5">
        <f>HYPERLINK("https://map.naver.com/p/search/나성동 829", "지도Link")</f>
        <v/>
      </c>
      <c r="K2369" s="5">
        <f>HYPERLINK("http://www.eum.go.kr/web/ar/lu/luLandDet.jsp?pnu=3611010700108290000&amp;isNoScr=script&amp;mode=search", "토지이음")</f>
        <v/>
      </c>
      <c r="L2369" s="3" t="inlineStr">
        <is>
          <t>똑순이</t>
        </is>
      </c>
      <c r="M2369" s="3" t="n">
        <v>1</v>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3" t="inlineStr">
        <is>
          <t>남리 나대지 급매입니다</t>
        </is>
      </c>
      <c r="I2370" s="5">
        <f>HYPERLINK("https://fin.land.naver.com/articles/2648099694", "매물Link")</f>
        <v/>
      </c>
      <c r="J2370" s="5">
        <f>HYPERLINK("https://map.naver.com/p/search/나성동 829", "지도Link")</f>
        <v/>
      </c>
      <c r="K2370" s="5">
        <f>HYPERLINK("http://www.eum.go.kr/web/ar/lu/luLandDet.jsp?pnu=3611010700108290000&amp;isNoScr=script&amp;mode=search", "토지이음")</f>
        <v/>
      </c>
      <c r="L2370" s="3" t="inlineStr">
        <is>
          <t>다원</t>
        </is>
      </c>
      <c r="M2370" s="3" t="n">
        <v>1</v>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3" t="inlineStr">
        <is>
          <t>조치원읍 신안리 토지매매</t>
        </is>
      </c>
      <c r="I2371" s="5">
        <f>HYPERLINK("https://fin.land.naver.com/articles/2644127659", "매물Link")</f>
        <v/>
      </c>
      <c r="J2371" s="5">
        <f>HYPERLINK("https://map.naver.com/p/search/나성동 829", "지도Link")</f>
        <v/>
      </c>
      <c r="K2371" s="5">
        <f>HYPERLINK("http://www.eum.go.kr/web/ar/lu/luLandDet.jsp?pnu=3611010700108290000&amp;isNoScr=script&amp;mode=search", "토지이음")</f>
        <v/>
      </c>
      <c r="L2371" s="3" t="inlineStr">
        <is>
          <t>가가</t>
        </is>
      </c>
      <c r="M2371" s="3" t="n">
        <v>1</v>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3" t="inlineStr">
        <is>
          <t>근생추천,조율가,대도로,소방포장도로접,광고효과 좋음.</t>
        </is>
      </c>
      <c r="I2372" s="5">
        <f>HYPERLINK("https://fin.land.naver.com/articles/2646158809", "매물Link")</f>
        <v/>
      </c>
      <c r="J2372" s="5">
        <f>HYPERLINK("https://map.naver.com/p/search/나성동 829", "지도Link")</f>
        <v/>
      </c>
      <c r="K2372" s="5">
        <f>HYPERLINK("http://www.eum.go.kr/web/ar/lu/luLandDet.jsp?pnu=3611010700108290000&amp;isNoScr=script&amp;mode=search", "토지이음")</f>
        <v/>
      </c>
      <c r="L2372" s="3" t="inlineStr">
        <is>
          <t>어반통</t>
        </is>
      </c>
      <c r="M2372" s="3" t="n">
        <v>1</v>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3" t="inlineStr">
        <is>
          <t>아파트인근 전원주택 근생 최적지</t>
        </is>
      </c>
      <c r="I2373" s="5">
        <f>HYPERLINK("https://fin.land.naver.com/articles/2649095475", "매물Link")</f>
        <v/>
      </c>
      <c r="J2373" s="5">
        <f>HYPERLINK("https://map.naver.com/p/search/나성동 829", "지도Link")</f>
        <v/>
      </c>
      <c r="K2373" s="5">
        <f>HYPERLINK("http://www.eum.go.kr/web/ar/lu/luLandDet.jsp?pnu=3611010700108290000&amp;isNoScr=script&amp;mode=search", "토지이음")</f>
        <v/>
      </c>
      <c r="L2373" s="3" t="inlineStr">
        <is>
          <t>세종유진</t>
        </is>
      </c>
      <c r="M2373" s="3" t="n">
        <v>1</v>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3" t="inlineStr">
        <is>
          <t>최상의 입지조건을 갖춘 국도에 접한 토지</t>
        </is>
      </c>
      <c r="I2374" s="5">
        <f>HYPERLINK("https://fin.land.naver.com/articles/2649471311", "매물Link")</f>
        <v/>
      </c>
      <c r="J2374" s="5">
        <f>HYPERLINK("https://map.naver.com/p/search/나성동 829", "지도Link")</f>
        <v/>
      </c>
      <c r="K2374" s="5">
        <f>HYPERLINK("http://www.eum.go.kr/web/ar/lu/luLandDet.jsp?pnu=3611010700108290000&amp;isNoScr=script&amp;mode=search", "토지이음")</f>
        <v/>
      </c>
      <c r="L2374" s="3" t="inlineStr">
        <is>
          <t>다온</t>
        </is>
      </c>
      <c r="M2374" s="3" t="n">
        <v>1</v>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3" t="inlineStr">
        <is>
          <t>세종시 소형 토지 매매</t>
        </is>
      </c>
      <c r="I2375" s="5">
        <f>HYPERLINK("https://fin.land.naver.com/articles/2648729865", "매물Link")</f>
        <v/>
      </c>
      <c r="J2375" s="5">
        <f>HYPERLINK("https://map.naver.com/p/search/나성동 829", "지도Link")</f>
        <v/>
      </c>
      <c r="K2375" s="5">
        <f>HYPERLINK("http://www.eum.go.kr/web/ar/lu/luLandDet.jsp?pnu=3611010700108290000&amp;isNoScr=script&amp;mode=search", "토지이음")</f>
        <v/>
      </c>
      <c r="L2375" s="3" t="inlineStr">
        <is>
          <t>사거리</t>
        </is>
      </c>
      <c r="M2375" s="3" t="n">
        <v>1</v>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3" t="inlineStr">
        <is>
          <t>도담동 말발굽 택지</t>
        </is>
      </c>
      <c r="I2376" s="5">
        <f>HYPERLINK("https://fin.land.naver.com/articles/2645471188", "매물Link")</f>
        <v/>
      </c>
      <c r="J2376" s="5">
        <f>HYPERLINK("https://map.naver.com/p/search/나성동 829", "지도Link")</f>
        <v/>
      </c>
      <c r="K2376" s="5">
        <f>HYPERLINK("http://www.eum.go.kr/web/ar/lu/luLandDet.jsp?pnu=3611010700108290000&amp;isNoScr=script&amp;mode=search", "토지이음")</f>
        <v/>
      </c>
      <c r="L2376" s="3" t="inlineStr">
        <is>
          <t>강아지풀</t>
        </is>
      </c>
      <c r="M2376" s="3" t="n">
        <v>1</v>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3" t="inlineStr">
        <is>
          <t>주말농장으로 힐링하세요</t>
        </is>
      </c>
      <c r="I2377" s="5">
        <f>HYPERLINK("https://fin.land.naver.com/articles/2647325021", "매물Link")</f>
        <v/>
      </c>
      <c r="J2377" s="5">
        <f>HYPERLINK("https://map.naver.com/p/search/나성동 829", "지도Link")</f>
        <v/>
      </c>
      <c r="K2377" s="5">
        <f>HYPERLINK("http://www.eum.go.kr/web/ar/lu/luLandDet.jsp?pnu=3611010700108290000&amp;isNoScr=script&amp;mode=search", "토지이음")</f>
        <v/>
      </c>
      <c r="L2377" s="3" t="inlineStr">
        <is>
          <t>세종멘토</t>
        </is>
      </c>
      <c r="M2377" s="3" t="n">
        <v>1</v>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3" t="inlineStr">
        <is>
          <t>계획관리지역. 총7필지, 토지건물</t>
        </is>
      </c>
      <c r="I2378" s="5">
        <f>HYPERLINK("https://fin.land.naver.com/articles/2649107392", "매물Link")</f>
        <v/>
      </c>
      <c r="J2378" s="5">
        <f>HYPERLINK("https://map.naver.com/p/search/나성동 829", "지도Link")</f>
        <v/>
      </c>
      <c r="K2378" s="5">
        <f>HYPERLINK("http://www.eum.go.kr/web/ar/lu/luLandDet.jsp?pnu=3611010700108290000&amp;isNoScr=script&amp;mode=search", "토지이음")</f>
        <v/>
      </c>
      <c r="L2378" s="3" t="inlineStr">
        <is>
          <t>터</t>
        </is>
      </c>
      <c r="M2378" s="3" t="n">
        <v>1</v>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3" t="inlineStr">
        <is>
          <t>조치원청사뒤,주변아파트단지</t>
        </is>
      </c>
      <c r="I2379" s="5">
        <f>HYPERLINK("https://fin.land.naver.com/articles/2646854755", "매물Link")</f>
        <v/>
      </c>
      <c r="J2379" s="5">
        <f>HYPERLINK("https://map.naver.com/p/search/나성동 829", "지도Link")</f>
        <v/>
      </c>
      <c r="K2379" s="5">
        <f>HYPERLINK("http://www.eum.go.kr/web/ar/lu/luLandDet.jsp?pnu=3611010700108290000&amp;isNoScr=script&amp;mode=search", "토지이음")</f>
        <v/>
      </c>
      <c r="L2379" s="3" t="inlineStr">
        <is>
          <t>아름다운</t>
        </is>
      </c>
      <c r="M2379" s="3" t="n">
        <v>1</v>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3" t="inlineStr">
        <is>
          <t>일반상업용 나대지</t>
        </is>
      </c>
      <c r="I2380" s="5">
        <f>HYPERLINK("https://fin.land.naver.com/articles/2644423306", "매물Link")</f>
        <v/>
      </c>
      <c r="J2380" s="5">
        <f>HYPERLINK("https://map.naver.com/p/search/나성동 829", "지도Link")</f>
        <v/>
      </c>
      <c r="K2380" s="5">
        <f>HYPERLINK("http://www.eum.go.kr/web/ar/lu/luLandDet.jsp?pnu=3611010700108290000&amp;isNoScr=script&amp;mode=search", "토지이음")</f>
        <v/>
      </c>
      <c r="L2380" s="3" t="inlineStr">
        <is>
          <t>세종</t>
        </is>
      </c>
      <c r="M2380" s="3" t="n">
        <v>1</v>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3" t="inlineStr">
        <is>
          <t>nan</t>
        </is>
      </c>
      <c r="I2381" s="5">
        <f>HYPERLINK("https://fin.land.naver.com/articles/2645605072", "매물Link")</f>
        <v/>
      </c>
      <c r="J2381" s="5">
        <f>HYPERLINK("https://map.naver.com/p/search/나성동 829", "지도Link")</f>
        <v/>
      </c>
      <c r="K2381" s="5">
        <f>HYPERLINK("http://www.eum.go.kr/web/ar/lu/luLandDet.jsp?pnu=3611010700108290000&amp;isNoScr=script&amp;mode=search", "토지이음")</f>
        <v/>
      </c>
      <c r="L2381" s="3" t="inlineStr">
        <is>
          <t>세종다정랜드</t>
        </is>
      </c>
      <c r="M2381" s="3" t="n">
        <v>1</v>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3" t="inlineStr">
        <is>
          <t>세종시 아름동</t>
        </is>
      </c>
      <c r="I2382" s="5">
        <f>HYPERLINK("https://fin.land.naver.com/articles/2647900371", "매물Link")</f>
        <v/>
      </c>
      <c r="J2382" s="5">
        <f>HYPERLINK("https://map.naver.com/p/search/나성동 829", "지도Link")</f>
        <v/>
      </c>
      <c r="K2382" s="5">
        <f>HYPERLINK("http://www.eum.go.kr/web/ar/lu/luLandDet.jsp?pnu=3611010700108290000&amp;isNoScr=script&amp;mode=search", "토지이음")</f>
        <v/>
      </c>
      <c r="L2382" s="3" t="inlineStr">
        <is>
          <t>아름</t>
        </is>
      </c>
      <c r="M2382" s="3" t="n">
        <v>1</v>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3" t="inlineStr">
        <is>
          <t>전원주택용지 .남향. 종촌동.아름동 상권 이용이 편리한 위치</t>
        </is>
      </c>
      <c r="I2383" s="5">
        <f>HYPERLINK("https://fin.land.naver.com/articles/2645947175", "매물Link")</f>
        <v/>
      </c>
      <c r="J2383" s="5">
        <f>HYPERLINK("https://map.naver.com/p/search/나성동 829", "지도Link")</f>
        <v/>
      </c>
      <c r="K2383" s="5">
        <f>HYPERLINK("http://www.eum.go.kr/web/ar/lu/luLandDet.jsp?pnu=3611010700108290000&amp;isNoScr=script&amp;mode=search", "토지이음")</f>
        <v/>
      </c>
      <c r="L2383" s="3" t="inlineStr">
        <is>
          <t>한양랜드</t>
        </is>
      </c>
      <c r="M2383" s="3" t="n">
        <v>1</v>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3" t="inlineStr">
        <is>
          <t>급매 농업보호구역  아스팔트</t>
        </is>
      </c>
      <c r="I2384" s="5">
        <f>HYPERLINK("https://fin.land.naver.com/articles/2646109656", "매물Link")</f>
        <v/>
      </c>
      <c r="J2384" s="5">
        <f>HYPERLINK("https://map.naver.com/p/search/나성동 829", "지도Link")</f>
        <v/>
      </c>
      <c r="K2384" s="5">
        <f>HYPERLINK("http://www.eum.go.kr/web/ar/lu/luLandDet.jsp?pnu=3611010700108290000&amp;isNoScr=script&amp;mode=search", "토지이음")</f>
        <v/>
      </c>
      <c r="L2384" s="3" t="inlineStr">
        <is>
          <t>THE행복</t>
        </is>
      </c>
      <c r="M2384" s="3" t="n">
        <v>1</v>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3" t="inlineStr">
        <is>
          <t>Point 국유지 구거, 도로 접하고 모양 좋음</t>
        </is>
      </c>
      <c r="I2385" s="5">
        <f>HYPERLINK("https://fin.land.naver.com/articles/2647900379", "매물Link")</f>
        <v/>
      </c>
      <c r="J2385" s="5">
        <f>HYPERLINK("https://map.naver.com/p/search/나성동 829", "지도Link")</f>
        <v/>
      </c>
      <c r="K2385" s="5">
        <f>HYPERLINK("http://www.eum.go.kr/web/ar/lu/luLandDet.jsp?pnu=3611010700108290000&amp;isNoScr=script&amp;mode=search", "토지이음")</f>
        <v/>
      </c>
      <c r="L2385" s="3" t="inlineStr">
        <is>
          <t>도마호반</t>
        </is>
      </c>
      <c r="M2385" s="3" t="n">
        <v>1</v>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3" t="inlineStr">
        <is>
          <t>급매 2차선도로에 접한 토지, 세종시3분거리,투자가치</t>
        </is>
      </c>
      <c r="I2386" s="5">
        <f>HYPERLINK("https://fin.land.naver.com/articles/2645699157", "매물Link")</f>
        <v/>
      </c>
      <c r="J2386" s="5">
        <f>HYPERLINK("https://map.naver.com/p/search/나성동 829", "지도Link")</f>
        <v/>
      </c>
      <c r="K2386" s="5">
        <f>HYPERLINK("http://www.eum.go.kr/web/ar/lu/luLandDet.jsp?pnu=3611010700108290000&amp;isNoScr=script&amp;mode=search", "토지이음")</f>
        <v/>
      </c>
      <c r="L2386" s="3" t="inlineStr">
        <is>
          <t>다정</t>
        </is>
      </c>
      <c r="M2386" s="3" t="n">
        <v>1</v>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3" t="inlineStr">
        <is>
          <t>타운하우스 내 토지. 공원 산책로 상업지역 인접</t>
        </is>
      </c>
      <c r="I2387" s="5">
        <f>HYPERLINK("https://fin.land.naver.com/articles/2644763300", "매물Link")</f>
        <v/>
      </c>
      <c r="J2387" s="5">
        <f>HYPERLINK("https://map.naver.com/p/search/나성동 829", "지도Link")</f>
        <v/>
      </c>
      <c r="K2387" s="5">
        <f>HYPERLINK("http://www.eum.go.kr/web/ar/lu/luLandDet.jsp?pnu=3611010700108290000&amp;isNoScr=script&amp;mode=search", "토지이음")</f>
        <v/>
      </c>
      <c r="L2387" s="3" t="inlineStr">
        <is>
          <t>세종해비치</t>
        </is>
      </c>
      <c r="M2387" s="3" t="n">
        <v>1</v>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3" t="inlineStr">
        <is>
          <t>nan</t>
        </is>
      </c>
      <c r="I2388" s="5">
        <f>HYPERLINK("https://fin.land.naver.com/articles/2647071665", "매물Link")</f>
        <v/>
      </c>
      <c r="J2388" s="5">
        <f>HYPERLINK("https://map.naver.com/p/search/나성동 829", "지도Link")</f>
        <v/>
      </c>
      <c r="K2388" s="5">
        <f>HYPERLINK("http://www.eum.go.kr/web/ar/lu/luLandDet.jsp?pnu=3611010700108290000&amp;isNoScr=script&amp;mode=search", "토지이음")</f>
        <v/>
      </c>
      <c r="L2388" s="3" t="inlineStr">
        <is>
          <t>세종리더스</t>
        </is>
      </c>
      <c r="M2388" s="3" t="n">
        <v>1</v>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3" t="inlineStr">
        <is>
          <t>급매.고운동 중심상권인접.초중 도보거리</t>
        </is>
      </c>
      <c r="I2389" s="5">
        <f>HYPERLINK("https://fin.land.naver.com/articles/2647444976", "매물Link")</f>
        <v/>
      </c>
      <c r="J2389" s="5">
        <f>HYPERLINK("https://map.naver.com/p/search/나성동 829", "지도Link")</f>
        <v/>
      </c>
      <c r="K2389" s="5">
        <f>HYPERLINK("http://www.eum.go.kr/web/ar/lu/luLandDet.jsp?pnu=3611010700108290000&amp;isNoScr=script&amp;mode=search", "토지이음")</f>
        <v/>
      </c>
      <c r="L2389" s="3" t="inlineStr">
        <is>
          <t>킹</t>
        </is>
      </c>
      <c r="M2389" s="3" t="n">
        <v>1</v>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3" t="inlineStr">
        <is>
          <t>15m접 근린생활 상가건물 가능</t>
        </is>
      </c>
      <c r="I2390" s="5">
        <f>HYPERLINK("https://fin.land.naver.com/articles/2649139560", "매물Link")</f>
        <v/>
      </c>
      <c r="J2390" s="5">
        <f>HYPERLINK("https://map.naver.com/p/search/나성동 829", "지도Link")</f>
        <v/>
      </c>
      <c r="K2390" s="5">
        <f>HYPERLINK("http://www.eum.go.kr/web/ar/lu/luLandDet.jsp?pnu=3611010700108290000&amp;isNoScr=script&amp;mode=search", "토지이음")</f>
        <v/>
      </c>
      <c r="L2390" s="3" t="inlineStr">
        <is>
          <t>평원</t>
        </is>
      </c>
      <c r="M2390" s="3" t="n">
        <v>1</v>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3" t="inlineStr">
        <is>
          <t>고운동 단독주택 택지 매매.</t>
        </is>
      </c>
      <c r="I2391" s="5">
        <f>HYPERLINK("https://fin.land.naver.com/articles/2645771407", "매물Link")</f>
        <v/>
      </c>
      <c r="J2391" s="5">
        <f>HYPERLINK("https://map.naver.com/p/search/나성동 829", "지도Link")</f>
        <v/>
      </c>
      <c r="K2391" s="5">
        <f>HYPERLINK("http://www.eum.go.kr/web/ar/lu/luLandDet.jsp?pnu=3611010700108290000&amp;isNoScr=script&amp;mode=search", "토지이음")</f>
        <v/>
      </c>
      <c r="L2391" s="3" t="inlineStr">
        <is>
          <t>세종강산</t>
        </is>
      </c>
      <c r="M2391" s="3" t="n">
        <v>1</v>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3" t="inlineStr">
        <is>
          <t>편의시설 가까운 주택용지 조율가능</t>
        </is>
      </c>
      <c r="I2392" s="5">
        <f>HYPERLINK("https://fin.land.naver.com/articles/2644884025", "매물Link")</f>
        <v/>
      </c>
      <c r="J2392" s="5">
        <f>HYPERLINK("https://map.naver.com/p/search/나성동 829", "지도Link")</f>
        <v/>
      </c>
      <c r="K2392" s="5">
        <f>HYPERLINK("http://www.eum.go.kr/web/ar/lu/luLandDet.jsp?pnu=3611010700108290000&amp;isNoScr=script&amp;mode=search", "토지이음")</f>
        <v/>
      </c>
      <c r="L2392" s="3" t="inlineStr">
        <is>
          <t>킹</t>
        </is>
      </c>
      <c r="M2392" s="3" t="n">
        <v>1</v>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3" t="inlineStr">
        <is>
          <t>구옥철거 후 공장창고 신축가능 코너각지 토지모양 좋음 공업지역</t>
        </is>
      </c>
      <c r="I2393" s="5">
        <f>HYPERLINK("https://fin.land.naver.com/articles/2645274621", "매물Link")</f>
        <v/>
      </c>
      <c r="J2393" s="5">
        <f>HYPERLINK("https://map.naver.com/p/search/나성동 829", "지도Link")</f>
        <v/>
      </c>
      <c r="K2393" s="5">
        <f>HYPERLINK("http://www.eum.go.kr/web/ar/lu/luLandDet.jsp?pnu=3611010700108290000&amp;isNoScr=script&amp;mode=search", "토지이음")</f>
        <v/>
      </c>
      <c r="L2393" s="3" t="inlineStr">
        <is>
          <t>태영컨설팅</t>
        </is>
      </c>
      <c r="M2393" s="3" t="n">
        <v>1</v>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3" t="inlineStr">
        <is>
          <t>nan</t>
        </is>
      </c>
      <c r="I2394" s="5">
        <f>HYPERLINK("https://fin.land.naver.com/articles/2645042761", "매물Link")</f>
        <v/>
      </c>
      <c r="J2394" s="5">
        <f>HYPERLINK("https://map.naver.com/p/search/나성동 829", "지도Link")</f>
        <v/>
      </c>
      <c r="K2394" s="5">
        <f>HYPERLINK("http://www.eum.go.kr/web/ar/lu/luLandDet.jsp?pnu=3611010700108290000&amp;isNoScr=script&amp;mode=search", "토지이음")</f>
        <v/>
      </c>
      <c r="L2394" s="3" t="inlineStr">
        <is>
          <t>번암주공</t>
        </is>
      </c>
      <c r="M2394" s="3" t="n">
        <v>1</v>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3" t="inlineStr">
        <is>
          <t>농지이지만, 위치가 금강뷰를 마주하고 있습니다,</t>
        </is>
      </c>
      <c r="I2395" s="5">
        <f>HYPERLINK("https://fin.land.naver.com/articles/2646187598", "매물Link")</f>
        <v/>
      </c>
      <c r="J2395" s="5">
        <f>HYPERLINK("https://map.naver.com/p/search/나성동 829", "지도Link")</f>
        <v/>
      </c>
      <c r="K2395" s="5">
        <f>HYPERLINK("http://www.eum.go.kr/web/ar/lu/luLandDet.jsp?pnu=3611010700108290000&amp;isNoScr=script&amp;mode=search", "토지이음")</f>
        <v/>
      </c>
      <c r="L2395" s="3" t="inlineStr">
        <is>
          <t>하이스트정원</t>
        </is>
      </c>
      <c r="M2395" s="3" t="n">
        <v>1</v>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3" t="inlineStr">
        <is>
          <t>급. 금남면 두만리 주택지</t>
        </is>
      </c>
      <c r="I2396" s="5">
        <f>HYPERLINK("https://fin.land.naver.com/articles/2645479280", "매물Link")</f>
        <v/>
      </c>
      <c r="J2396" s="5">
        <f>HYPERLINK("https://map.naver.com/p/search/나성동 829", "지도Link")</f>
        <v/>
      </c>
      <c r="K2396" s="5">
        <f>HYPERLINK("http://www.eum.go.kr/web/ar/lu/luLandDet.jsp?pnu=3611010700108290000&amp;isNoScr=script&amp;mode=search", "토지이음")</f>
        <v/>
      </c>
      <c r="L2396" s="3" t="inlineStr">
        <is>
          <t>강아지풀</t>
        </is>
      </c>
      <c r="M2396" s="3" t="n">
        <v>1</v>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3" t="inlineStr">
        <is>
          <t>원봉리 보전관리 토지매매</t>
        </is>
      </c>
      <c r="I2397" s="5">
        <f>HYPERLINK("https://fin.land.naver.com/articles/2644651330", "매물Link")</f>
        <v/>
      </c>
      <c r="J2397" s="5">
        <f>HYPERLINK("https://map.naver.com/p/search/나성동 829", "지도Link")</f>
        <v/>
      </c>
      <c r="K2397" s="5">
        <f>HYPERLINK("http://www.eum.go.kr/web/ar/lu/luLandDet.jsp?pnu=3611010700108290000&amp;isNoScr=script&amp;mode=search", "토지이음")</f>
        <v/>
      </c>
      <c r="L2397" s="3" t="inlineStr">
        <is>
          <t>국제</t>
        </is>
      </c>
      <c r="M2397" s="3" t="n">
        <v>1</v>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3" t="inlineStr">
        <is>
          <t>세종시 금남면 축산리 마을도로접한 예쁜토지</t>
        </is>
      </c>
      <c r="I2398" s="5">
        <f>HYPERLINK("https://fin.land.naver.com/articles/2644609839", "매물Link")</f>
        <v/>
      </c>
      <c r="J2398" s="5">
        <f>HYPERLINK("https://map.naver.com/p/search/나성동 829", "지도Link")</f>
        <v/>
      </c>
      <c r="K2398" s="5">
        <f>HYPERLINK("http://www.eum.go.kr/web/ar/lu/luLandDet.jsp?pnu=3611010700108290000&amp;isNoScr=script&amp;mode=search", "토지이음")</f>
        <v/>
      </c>
      <c r="L2398" s="3" t="inlineStr">
        <is>
          <t>하늘채</t>
        </is>
      </c>
      <c r="M2398" s="3" t="n">
        <v>1</v>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3" t="inlineStr">
        <is>
          <t>세종 시내 가까운 토지 주변과 같이 개발하면 좋아요</t>
        </is>
      </c>
      <c r="I2399" s="5">
        <f>HYPERLINK("https://fin.land.naver.com/articles/2644607118", "매물Link")</f>
        <v/>
      </c>
      <c r="J2399" s="5">
        <f>HYPERLINK("https://map.naver.com/p/search/나성동 829", "지도Link")</f>
        <v/>
      </c>
      <c r="K2399" s="5">
        <f>HYPERLINK("http://www.eum.go.kr/web/ar/lu/luLandDet.jsp?pnu=3611010700108290000&amp;isNoScr=script&amp;mode=search", "토지이음")</f>
        <v/>
      </c>
      <c r="L2399" s="3" t="inlineStr">
        <is>
          <t>하늘채</t>
        </is>
      </c>
      <c r="M2399" s="3" t="n">
        <v>1</v>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3" t="inlineStr">
        <is>
          <t>세종역 예정지 바로 옆에 있는 토지</t>
        </is>
      </c>
      <c r="I2400" s="5">
        <f>HYPERLINK("https://fin.land.naver.com/articles/2644606548", "매물Link")</f>
        <v/>
      </c>
      <c r="J2400" s="5">
        <f>HYPERLINK("https://map.naver.com/p/search/나성동 829", "지도Link")</f>
        <v/>
      </c>
      <c r="K2400" s="5">
        <f>HYPERLINK("http://www.eum.go.kr/web/ar/lu/luLandDet.jsp?pnu=3611010700108290000&amp;isNoScr=script&amp;mode=search", "토지이음")</f>
        <v/>
      </c>
      <c r="L2400" s="3" t="inlineStr">
        <is>
          <t>하늘채</t>
        </is>
      </c>
      <c r="M2400" s="3" t="n">
        <v>1</v>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3" t="inlineStr">
        <is>
          <t>세종시 행복도시 근접지역
위치 좋은 작은 전원주택지</t>
        </is>
      </c>
      <c r="I2401" s="5">
        <f>HYPERLINK("https://fin.land.naver.com/articles/2644606195", "매물Link")</f>
        <v/>
      </c>
      <c r="J2401" s="5">
        <f>HYPERLINK("https://map.naver.com/p/search/나성동 829", "지도Link")</f>
        <v/>
      </c>
      <c r="K2401" s="5">
        <f>HYPERLINK("http://www.eum.go.kr/web/ar/lu/luLandDet.jsp?pnu=3611010700108290000&amp;isNoScr=script&amp;mode=search", "토지이음")</f>
        <v/>
      </c>
      <c r="L2401" s="3" t="inlineStr">
        <is>
          <t>하늘채</t>
        </is>
      </c>
      <c r="M2401" s="3" t="n">
        <v>1</v>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3" t="inlineStr">
        <is>
          <t>전원단지내 맨 앞 토지로 가장 좋아요</t>
        </is>
      </c>
      <c r="I2402" s="5">
        <f>HYPERLINK("https://fin.land.naver.com/articles/2644606083", "매물Link")</f>
        <v/>
      </c>
      <c r="J2402" s="5">
        <f>HYPERLINK("https://map.naver.com/p/search/나성동 829", "지도Link")</f>
        <v/>
      </c>
      <c r="K2402" s="5">
        <f>HYPERLINK("http://www.eum.go.kr/web/ar/lu/luLandDet.jsp?pnu=3611010700108290000&amp;isNoScr=script&amp;mode=search", "토지이음")</f>
        <v/>
      </c>
      <c r="L2402" s="3" t="inlineStr">
        <is>
          <t>하늘채</t>
        </is>
      </c>
      <c r="M2402" s="3" t="n">
        <v>1</v>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3" t="inlineStr">
        <is>
          <t>nan</t>
        </is>
      </c>
      <c r="I2403" s="5">
        <f>HYPERLINK("https://fin.land.naver.com/articles/2644445908", "매물Link")</f>
        <v/>
      </c>
      <c r="J2403" s="5">
        <f>HYPERLINK("https://map.naver.com/p/search/나성동 829", "지도Link")</f>
        <v/>
      </c>
      <c r="K2403" s="5">
        <f>HYPERLINK("http://www.eum.go.kr/web/ar/lu/luLandDet.jsp?pnu=3611010700108290000&amp;isNoScr=script&amp;mode=search", "토지이음")</f>
        <v/>
      </c>
      <c r="L2403" s="3" t="inlineStr">
        <is>
          <t>바른</t>
        </is>
      </c>
      <c r="M2403" s="3" t="n">
        <v>1</v>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3" t="inlineStr">
        <is>
          <t>계획관리 남향 전원주택부지 추천</t>
        </is>
      </c>
      <c r="I2404" s="5">
        <f>HYPERLINK("https://fin.land.naver.com/articles/2644413650", "매물Link")</f>
        <v/>
      </c>
      <c r="J2404" s="5">
        <f>HYPERLINK("https://map.naver.com/p/search/나성동 829", "지도Link")</f>
        <v/>
      </c>
      <c r="K2404" s="5">
        <f>HYPERLINK("http://www.eum.go.kr/web/ar/lu/luLandDet.jsp?pnu=3611010700108290000&amp;isNoScr=script&amp;mode=search", "토지이음")</f>
        <v/>
      </c>
      <c r="L2404" s="3" t="inlineStr">
        <is>
          <t>로데오상가</t>
        </is>
      </c>
      <c r="M2404" s="3" t="n">
        <v>1</v>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3" t="inlineStr">
        <is>
          <t>국도1호6차선에 허가된 가감차선과 진입로가 확보되어 상업지로 최상</t>
        </is>
      </c>
      <c r="I2405" s="5">
        <f>HYPERLINK("https://fin.land.naver.com/articles/2645954678", "매물Link")</f>
        <v/>
      </c>
      <c r="J2405" s="5">
        <f>HYPERLINK("https://map.naver.com/p/search/나성동 829", "지도Link")</f>
        <v/>
      </c>
      <c r="K2405" s="5">
        <f>HYPERLINK("http://www.eum.go.kr/web/ar/lu/luLandDet.jsp?pnu=3611010700108290000&amp;isNoScr=script&amp;mode=search", "토지이음")</f>
        <v/>
      </c>
      <c r="L2405" s="3" t="inlineStr">
        <is>
          <t>온누리</t>
        </is>
      </c>
      <c r="M2405" s="3" t="n">
        <v>1</v>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3" t="inlineStr">
        <is>
          <t>현재 무허가주택있음. 동호인 전원주택지로 최적합, 가격 저렴.</t>
        </is>
      </c>
      <c r="I2406" s="5">
        <f>HYPERLINK("https://fin.land.naver.com/articles/2646358164", "매물Link")</f>
        <v/>
      </c>
      <c r="J2406" s="5">
        <f>HYPERLINK("https://map.naver.com/p/search/나성동 829", "지도Link")</f>
        <v/>
      </c>
      <c r="K2406" s="5">
        <f>HYPERLINK("http://www.eum.go.kr/web/ar/lu/luLandDet.jsp?pnu=3611010700108290000&amp;isNoScr=script&amp;mode=search", "토지이음")</f>
        <v/>
      </c>
      <c r="L2406" s="3" t="inlineStr">
        <is>
          <t>뉴탑</t>
        </is>
      </c>
      <c r="M2406" s="3" t="n">
        <v>1</v>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3" t="inlineStr">
        <is>
          <t>nan</t>
        </is>
      </c>
      <c r="I2407" s="5">
        <f>HYPERLINK("https://fin.land.naver.com/articles/2645398684", "매물Link")</f>
        <v/>
      </c>
      <c r="J2407" s="5">
        <f>HYPERLINK("https://map.naver.com/p/search/나성동 829", "지도Link")</f>
        <v/>
      </c>
      <c r="K2407" s="5">
        <f>HYPERLINK("http://www.eum.go.kr/web/ar/lu/luLandDet.jsp?pnu=3611010700108290000&amp;isNoScr=script&amp;mode=search", "토지이음")</f>
        <v/>
      </c>
      <c r="L2407" s="3" t="inlineStr">
        <is>
          <t>운산</t>
        </is>
      </c>
      <c r="M2407" s="3" t="n">
        <v>1</v>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3" t="inlineStr">
        <is>
          <t>세종행복도시에서 10분내거리로 4차선 개발지역 주변으로 개발발전성 최상</t>
        </is>
      </c>
      <c r="I2408" s="5">
        <f>HYPERLINK("https://fin.land.naver.com/articles/2647055088", "매물Link")</f>
        <v/>
      </c>
      <c r="J2408" s="5">
        <f>HYPERLINK("https://map.naver.com/p/search/나성동 829", "지도Link")</f>
        <v/>
      </c>
      <c r="K2408" s="5">
        <f>HYPERLINK("http://www.eum.go.kr/web/ar/lu/luLandDet.jsp?pnu=3611010700108290000&amp;isNoScr=script&amp;mode=search", "토지이음")</f>
        <v/>
      </c>
      <c r="L2408" s="3" t="inlineStr">
        <is>
          <t>온누리</t>
        </is>
      </c>
      <c r="M2408" s="3" t="n">
        <v>1</v>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3" t="inlineStr">
        <is>
          <t>와촌산단지에서 연결되는 4차선 개발지에 근거리로 남향으로 발전성 최상</t>
        </is>
      </c>
      <c r="I2409" s="5">
        <f>HYPERLINK("https://fin.land.naver.com/articles/2647366940", "매물Link")</f>
        <v/>
      </c>
      <c r="J2409" s="5">
        <f>HYPERLINK("https://map.naver.com/p/search/나성동 829", "지도Link")</f>
        <v/>
      </c>
      <c r="K2409" s="5">
        <f>HYPERLINK("http://www.eum.go.kr/web/ar/lu/luLandDet.jsp?pnu=3611010700108290000&amp;isNoScr=script&amp;mode=search", "토지이음")</f>
        <v/>
      </c>
      <c r="L2409" s="3" t="inlineStr">
        <is>
          <t>온누리</t>
        </is>
      </c>
      <c r="M2409" s="3" t="n">
        <v>1</v>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3" t="inlineStr">
        <is>
          <t>nan</t>
        </is>
      </c>
      <c r="I2410" s="5">
        <f>HYPERLINK("https://fin.land.naver.com/articles/2647561501", "매물Link")</f>
        <v/>
      </c>
      <c r="J2410" s="5">
        <f>HYPERLINK("https://map.naver.com/p/search/나성동 829", "지도Link")</f>
        <v/>
      </c>
      <c r="K2410" s="5">
        <f>HYPERLINK("http://www.eum.go.kr/web/ar/lu/luLandDet.jsp?pnu=3611010700108290000&amp;isNoScr=script&amp;mode=search", "토지이음")</f>
        <v/>
      </c>
      <c r="L2410" s="3" t="inlineStr">
        <is>
          <t>광장(프라자)</t>
        </is>
      </c>
      <c r="M2410" s="3" t="n">
        <v>1</v>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3" t="inlineStr">
        <is>
          <t>6차선접한 광고효과 좋은 토지입니다</t>
        </is>
      </c>
      <c r="I2411" s="5">
        <f>HYPERLINK("https://fin.land.naver.com/articles/2649906271", "매물Link")</f>
        <v/>
      </c>
      <c r="J2411" s="5">
        <f>HYPERLINK("https://map.naver.com/p/search/나성동 829", "지도Link")</f>
        <v/>
      </c>
      <c r="K2411" s="5">
        <f>HYPERLINK("http://www.eum.go.kr/web/ar/lu/luLandDet.jsp?pnu=3611010700108290000&amp;isNoScr=script&amp;mode=search", "토지이음")</f>
        <v/>
      </c>
      <c r="L2411" s="3" t="inlineStr">
        <is>
          <t>복댕이무소</t>
        </is>
      </c>
      <c r="M2411" s="3" t="n">
        <v>1</v>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3" t="inlineStr">
        <is>
          <t>사각형의 개발이 쉬운 계획관리로 와촌산단지로 4차선 개발예정지에 근접</t>
        </is>
      </c>
      <c r="I2412" s="5">
        <f>HYPERLINK("https://fin.land.naver.com/articles/2649943645", "매물Link")</f>
        <v/>
      </c>
      <c r="J2412" s="5">
        <f>HYPERLINK("https://map.naver.com/p/search/나성동 829", "지도Link")</f>
        <v/>
      </c>
      <c r="K2412" s="5">
        <f>HYPERLINK("http://www.eum.go.kr/web/ar/lu/luLandDet.jsp?pnu=3611010700108290000&amp;isNoScr=script&amp;mode=search", "토지이음")</f>
        <v/>
      </c>
      <c r="L2412" s="3" t="inlineStr">
        <is>
          <t>온누리</t>
        </is>
      </c>
      <c r="M2412" s="3" t="n">
        <v>1</v>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3" t="inlineStr">
        <is>
          <t>세종국가산업단지예정지에서 4차선 예정지에 근접하여 상업,주택지로 최상</t>
        </is>
      </c>
      <c r="I2413" s="5">
        <f>HYPERLINK("https://fin.land.naver.com/articles/2649943919", "매물Link")</f>
        <v/>
      </c>
      <c r="J2413" s="5">
        <f>HYPERLINK("https://map.naver.com/p/search/나성동 829", "지도Link")</f>
        <v/>
      </c>
      <c r="K2413" s="5">
        <f>HYPERLINK("http://www.eum.go.kr/web/ar/lu/luLandDet.jsp?pnu=3611010700108290000&amp;isNoScr=script&amp;mode=search", "토지이음")</f>
        <v/>
      </c>
      <c r="L2413" s="3" t="inlineStr">
        <is>
          <t>온누리</t>
        </is>
      </c>
      <c r="M2413" s="3" t="n">
        <v>1</v>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3" t="inlineStr">
        <is>
          <t>야적장으로 추천 반으로 분할가능</t>
        </is>
      </c>
      <c r="I2414" s="5">
        <f>HYPERLINK("https://fin.land.naver.com/articles/2644663878", "매물Link")</f>
        <v/>
      </c>
      <c r="J2414" s="5">
        <f>HYPERLINK("https://map.naver.com/p/search/나성동 829", "지도Link")</f>
        <v/>
      </c>
      <c r="K2414" s="5">
        <f>HYPERLINK("http://www.eum.go.kr/web/ar/lu/luLandDet.jsp?pnu=3611010700108290000&amp;isNoScr=script&amp;mode=search", "토지이음")</f>
        <v/>
      </c>
      <c r="L2414" s="3" t="inlineStr">
        <is>
          <t>더원</t>
        </is>
      </c>
      <c r="M2414" s="3" t="n">
        <v>1</v>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3" t="inlineStr">
        <is>
          <t>nan</t>
        </is>
      </c>
      <c r="I2415" s="5">
        <f>HYPERLINK("https://fin.land.naver.com/articles/2645018095", "매물Link")</f>
        <v/>
      </c>
      <c r="J2415" s="5">
        <f>HYPERLINK("https://map.naver.com/p/search/나성동 829", "지도Link")</f>
        <v/>
      </c>
      <c r="K2415" s="5">
        <f>HYPERLINK("http://www.eum.go.kr/web/ar/lu/luLandDet.jsp?pnu=3611010700108290000&amp;isNoScr=script&amp;mode=search", "토지이음")</f>
        <v/>
      </c>
      <c r="L2415" s="3" t="inlineStr">
        <is>
          <t>한아름</t>
        </is>
      </c>
      <c r="M2415" s="3" t="n">
        <v>1</v>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3" t="inlineStr">
        <is>
          <t>도로접한코너.행복도시 서측 배후지의 전원주택지.투자 가치높은 토지.</t>
        </is>
      </c>
      <c r="I2416" s="5">
        <f>HYPERLINK("https://fin.land.naver.com/articles/2649371292", "매물Link")</f>
        <v/>
      </c>
      <c r="J2416" s="5">
        <f>HYPERLINK("https://map.naver.com/p/search/나성동 829", "지도Link")</f>
        <v/>
      </c>
      <c r="K2416" s="5">
        <f>HYPERLINK("http://www.eum.go.kr/web/ar/lu/luLandDet.jsp?pnu=3611010700108290000&amp;isNoScr=script&amp;mode=search", "토지이음")</f>
        <v/>
      </c>
      <c r="L2416" s="3" t="inlineStr">
        <is>
          <t>소담베스트</t>
        </is>
      </c>
      <c r="M2416" s="3" t="n">
        <v>1</v>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3" t="inlineStr">
        <is>
          <t>세종 스마트 국가산업단지 인접, 투자용 토지 추천,</t>
        </is>
      </c>
      <c r="I2417" s="5">
        <f>HYPERLINK("https://fin.land.naver.com/articles/2648329938", "매물Link")</f>
        <v/>
      </c>
      <c r="J2417" s="5">
        <f>HYPERLINK("https://map.naver.com/p/search/나성동 829", "지도Link")</f>
        <v/>
      </c>
      <c r="K2417" s="5">
        <f>HYPERLINK("http://www.eum.go.kr/web/ar/lu/luLandDet.jsp?pnu=3611010700108290000&amp;isNoScr=script&amp;mode=search", "토지이음")</f>
        <v/>
      </c>
      <c r="L2417" s="3" t="inlineStr">
        <is>
          <t>신흥</t>
        </is>
      </c>
      <c r="M2417" s="3" t="n">
        <v>1</v>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3" t="inlineStr">
        <is>
          <t>계획관리지역, 도로접</t>
        </is>
      </c>
      <c r="I2418" s="5">
        <f>HYPERLINK("https://fin.land.naver.com/articles/2649107141", "매물Link")</f>
        <v/>
      </c>
      <c r="J2418" s="5">
        <f>HYPERLINK("https://map.naver.com/p/search/나성동 829", "지도Link")</f>
        <v/>
      </c>
      <c r="K2418" s="5">
        <f>HYPERLINK("http://www.eum.go.kr/web/ar/lu/luLandDet.jsp?pnu=3611010700108290000&amp;isNoScr=script&amp;mode=search", "토지이음")</f>
        <v/>
      </c>
      <c r="L2418" s="3" t="inlineStr">
        <is>
          <t>터</t>
        </is>
      </c>
      <c r="M2418" s="3" t="n">
        <v>1</v>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3" t="inlineStr">
        <is>
          <t>조치원 신흥사거리에 근접하며 세종로에 근접한 토지 제1종일반주거지역.</t>
        </is>
      </c>
      <c r="I2419" s="5">
        <f>HYPERLINK("https://fin.land.naver.com/articles/2644936090", "매물Link")</f>
        <v/>
      </c>
      <c r="J2419" s="5">
        <f>HYPERLINK("https://map.naver.com/p/search/나성동 829", "지도Link")</f>
        <v/>
      </c>
      <c r="K2419" s="5">
        <f>HYPERLINK("http://www.eum.go.kr/web/ar/lu/luLandDet.jsp?pnu=3611010700108290000&amp;isNoScr=script&amp;mode=search", "토지이음")</f>
        <v/>
      </c>
      <c r="L2419" s="3" t="inlineStr">
        <is>
          <t>온누리</t>
        </is>
      </c>
      <c r="M2419" s="3" t="n">
        <v>1</v>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3" t="inlineStr">
        <is>
          <t>넓은 평수 청주대전 세종 교통이 편리 조용하고 앞으로 부촌이 될자리</t>
        </is>
      </c>
      <c r="I2420" s="5">
        <f>HYPERLINK("https://fin.land.naver.com/articles/2647655795", "매물Link")</f>
        <v/>
      </c>
      <c r="J2420" s="5">
        <f>HYPERLINK("https://map.naver.com/p/search/나성동 829", "지도Link")</f>
        <v/>
      </c>
      <c r="K2420" s="5">
        <f>HYPERLINK("http://www.eum.go.kr/web/ar/lu/luLandDet.jsp?pnu=3611010700108290000&amp;isNoScr=script&amp;mode=search", "토지이음")</f>
        <v/>
      </c>
      <c r="L2420" s="3" t="inlineStr">
        <is>
          <t>세종OK</t>
        </is>
      </c>
      <c r="M2420" s="3" t="n">
        <v>1</v>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3" t="inlineStr">
        <is>
          <t>눈에 띄는 대로변에 위치,양면도로 물린,가설계 뛰어남</t>
        </is>
      </c>
      <c r="I2421" s="5">
        <f>HYPERLINK("https://fin.land.naver.com/articles/2645115906", "매물Link")</f>
        <v/>
      </c>
      <c r="J2421" s="5">
        <f>HYPERLINK("https://map.naver.com/p/search/나성동 829", "지도Link")</f>
        <v/>
      </c>
      <c r="K2421" s="5">
        <f>HYPERLINK("http://www.eum.go.kr/web/ar/lu/luLandDet.jsp?pnu=3611010700108290000&amp;isNoScr=script&amp;mode=search", "토지이음")</f>
        <v/>
      </c>
      <c r="L2421" s="3" t="inlineStr">
        <is>
          <t>오투꿈무소</t>
        </is>
      </c>
      <c r="M2421" s="3" t="n">
        <v>1</v>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3" t="inlineStr">
        <is>
          <t>17번 국도에 접한 자연녹지로 판매시설 전시장 추천함</t>
        </is>
      </c>
      <c r="I2422" s="5">
        <f>HYPERLINK("https://fin.land.naver.com/articles/2646452250", "매물Link")</f>
        <v/>
      </c>
      <c r="J2422" s="5">
        <f>HYPERLINK("https://map.naver.com/p/search/나성동 829", "지도Link")</f>
        <v/>
      </c>
      <c r="K2422" s="5">
        <f>HYPERLINK("http://www.eum.go.kr/web/ar/lu/luLandDet.jsp?pnu=3611010700108290000&amp;isNoScr=script&amp;mode=search", "토지이음")</f>
        <v/>
      </c>
      <c r="L2422" s="3" t="inlineStr">
        <is>
          <t>금정</t>
        </is>
      </c>
      <c r="M2422" s="3" t="n">
        <v>1</v>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3" t="inlineStr">
        <is>
          <t>대로변 요지 전시매장 상가건물 카페 등 전시효과 좋아 다양용도 활용 가능</t>
        </is>
      </c>
      <c r="I2423" s="5">
        <f>HYPERLINK("https://fin.land.naver.com/articles/2649343843", "매물Link")</f>
        <v/>
      </c>
      <c r="J2423" s="5">
        <f>HYPERLINK("https://map.naver.com/p/search/나성동 829", "지도Link")</f>
        <v/>
      </c>
      <c r="K2423" s="5">
        <f>HYPERLINK("http://www.eum.go.kr/web/ar/lu/luLandDet.jsp?pnu=3611010700108290000&amp;isNoScr=script&amp;mode=search", "토지이음")</f>
        <v/>
      </c>
      <c r="L2423" s="3" t="inlineStr">
        <is>
          <t>뉴태양</t>
        </is>
      </c>
      <c r="M2423" s="3" t="n">
        <v>1</v>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3" t="inlineStr">
        <is>
          <t>대화1, 2공단 내 신축공장용 토지로 접근성이 뛰어남</t>
        </is>
      </c>
      <c r="I2424" s="5">
        <f>HYPERLINK("https://fin.land.naver.com/articles/2648136564", "매물Link")</f>
        <v/>
      </c>
      <c r="J2424" s="5">
        <f>HYPERLINK("https://map.naver.com/p/search/나성동 829", "지도Link")</f>
        <v/>
      </c>
      <c r="K2424" s="5">
        <f>HYPERLINK("http://www.eum.go.kr/web/ar/lu/luLandDet.jsp?pnu=3611010700108290000&amp;isNoScr=script&amp;mode=search", "토지이음")</f>
        <v/>
      </c>
      <c r="L2424" s="3" t="inlineStr">
        <is>
          <t>지운</t>
        </is>
      </c>
      <c r="M2424" s="3" t="n">
        <v>2</v>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3" t="inlineStr">
        <is>
          <t>2027,5월 인근 신축아파트 입주, 병원,기타 운동시설,적합</t>
        </is>
      </c>
      <c r="I2425" s="5">
        <f>HYPERLINK("https://fin.land.naver.com/articles/2649538911", "매물Link")</f>
        <v/>
      </c>
      <c r="J2425" s="5">
        <f>HYPERLINK("https://map.naver.com/p/search/나성동 829", "지도Link")</f>
        <v/>
      </c>
      <c r="K2425" s="5">
        <f>HYPERLINK("http://www.eum.go.kr/web/ar/lu/luLandDet.jsp?pnu=3611010700108290000&amp;isNoScr=script&amp;mode=search", "토지이음")</f>
        <v/>
      </c>
      <c r="L2425" s="3" t="inlineStr">
        <is>
          <t>한국 사무소</t>
        </is>
      </c>
      <c r="M2425" s="3" t="n">
        <v>1</v>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3" t="inlineStr">
        <is>
          <t>nan</t>
        </is>
      </c>
      <c r="I2426" s="5">
        <f>HYPERLINK("https://fin.land.naver.com/articles/2648948540", "매물Link")</f>
        <v/>
      </c>
      <c r="J2426" s="5">
        <f>HYPERLINK("https://map.naver.com/p/search/나성동 829", "지도Link")</f>
        <v/>
      </c>
      <c r="K2426" s="5">
        <f>HYPERLINK("http://www.eum.go.kr/web/ar/lu/luLandDet.jsp?pnu=3611010700108290000&amp;isNoScr=script&amp;mode=search", "토지이음")</f>
        <v/>
      </c>
      <c r="L2426" s="3" t="inlineStr">
        <is>
          <t>가나</t>
        </is>
      </c>
      <c r="M2426" s="3" t="n">
        <v>1</v>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3" t="inlineStr">
        <is>
          <t>nan</t>
        </is>
      </c>
      <c r="I2427" s="5">
        <f>HYPERLINK("https://fin.land.naver.com/articles/2648799002", "매물Link")</f>
        <v/>
      </c>
      <c r="J2427" s="5">
        <f>HYPERLINK("https://map.naver.com/p/search/나성동 829", "지도Link")</f>
        <v/>
      </c>
      <c r="K2427" s="5">
        <f>HYPERLINK("http://www.eum.go.kr/web/ar/lu/luLandDet.jsp?pnu=3611010700108290000&amp;isNoScr=script&amp;mode=search", "토지이음")</f>
        <v/>
      </c>
      <c r="L2427" s="3" t="inlineStr">
        <is>
          <t>가나</t>
        </is>
      </c>
      <c r="M2427" s="3" t="n">
        <v>1</v>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3" t="inlineStr">
        <is>
          <t>nan</t>
        </is>
      </c>
      <c r="I2428" s="5">
        <f>HYPERLINK("https://fin.land.naver.com/articles/2645687281", "매물Link")</f>
        <v/>
      </c>
      <c r="J2428" s="5">
        <f>HYPERLINK("https://map.naver.com/p/search/나성동 829", "지도Link")</f>
        <v/>
      </c>
      <c r="K2428" s="5">
        <f>HYPERLINK("http://www.eum.go.kr/web/ar/lu/luLandDet.jsp?pnu=3611010700108290000&amp;isNoScr=script&amp;mode=search", "토지이음")</f>
        <v/>
      </c>
      <c r="L2428" s="3" t="inlineStr">
        <is>
          <t>모아</t>
        </is>
      </c>
      <c r="M2428" s="3" t="n">
        <v>1</v>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3" t="inlineStr">
        <is>
          <t>위치 좋음 각지에 있는 땅 다양한 업종 가능</t>
        </is>
      </c>
      <c r="I2429" s="5">
        <f>HYPERLINK("https://fin.land.naver.com/articles/2646174443", "매물Link")</f>
        <v/>
      </c>
      <c r="J2429" s="5">
        <f>HYPERLINK("https://map.naver.com/p/search/나성동 829", "지도Link")</f>
        <v/>
      </c>
      <c r="K2429" s="5">
        <f>HYPERLINK("http://www.eum.go.kr/web/ar/lu/luLandDet.jsp?pnu=3611010700108290000&amp;isNoScr=script&amp;mode=search", "토지이음")</f>
        <v/>
      </c>
      <c r="L2429" s="3" t="inlineStr">
        <is>
          <t>삼익</t>
        </is>
      </c>
      <c r="M2429" s="3" t="n">
        <v>1</v>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3" t="inlineStr">
        <is>
          <t>급매 계족산자락 교통편리하고 경관 좋은 대지 전원주택 텃밭 투자용 최상</t>
        </is>
      </c>
      <c r="I2430" s="5">
        <f>HYPERLINK("https://fin.land.naver.com/articles/2648972674", "매물Link")</f>
        <v/>
      </c>
      <c r="J2430" s="5">
        <f>HYPERLINK("https://map.naver.com/p/search/나성동 829", "지도Link")</f>
        <v/>
      </c>
      <c r="K2430" s="5">
        <f>HYPERLINK("http://www.eum.go.kr/web/ar/lu/luLandDet.jsp?pnu=3611010700108290000&amp;isNoScr=script&amp;mode=search", "토지이음")</f>
        <v/>
      </c>
      <c r="L2430" s="3" t="inlineStr">
        <is>
          <t>뉴태양</t>
        </is>
      </c>
      <c r="M2430" s="3" t="n">
        <v>1</v>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3" t="inlineStr">
        <is>
          <t>Point 회덕IC, 충청광역철도 회덕역 주변 단독주택 신축, 투자용</t>
        </is>
      </c>
      <c r="I2431" s="5">
        <f>HYPERLINK("https://fin.land.naver.com/articles/2644916283", "매물Link")</f>
        <v/>
      </c>
      <c r="J2431" s="5">
        <f>HYPERLINK("https://map.naver.com/p/search/나성동 829", "지도Link")</f>
        <v/>
      </c>
      <c r="K2431" s="5">
        <f>HYPERLINK("http://www.eum.go.kr/web/ar/lu/luLandDet.jsp?pnu=3611010700108290000&amp;isNoScr=script&amp;mode=search", "토지이음")</f>
        <v/>
      </c>
      <c r="L2431" s="3" t="inlineStr">
        <is>
          <t>도마호반</t>
        </is>
      </c>
      <c r="M2431" s="3" t="n">
        <v>1</v>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3" t="inlineStr">
        <is>
          <t>접근 용이하고 일반주택, 전원주택 가능합니다.</t>
        </is>
      </c>
      <c r="I2432" s="5">
        <f>HYPERLINK("https://fin.land.naver.com/articles/2645696866", "매물Link")</f>
        <v/>
      </c>
      <c r="J2432" s="5">
        <f>HYPERLINK("https://map.naver.com/p/search/나성동 829", "지도Link")</f>
        <v/>
      </c>
      <c r="K2432" s="5">
        <f>HYPERLINK("http://www.eum.go.kr/web/ar/lu/luLandDet.jsp?pnu=3611010700108290000&amp;isNoScr=script&amp;mode=search", "토지이음")</f>
        <v/>
      </c>
      <c r="L2432" s="3" t="inlineStr">
        <is>
          <t>이재욱</t>
        </is>
      </c>
      <c r="M2432" s="3" t="n">
        <v>1</v>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3" t="inlineStr">
        <is>
          <t>8m도로 접한 나대지</t>
        </is>
      </c>
      <c r="I2433" s="5">
        <f>HYPERLINK("https://fin.land.naver.com/articles/2649007960", "매물Link")</f>
        <v/>
      </c>
      <c r="J2433" s="5">
        <f>HYPERLINK("https://map.naver.com/p/search/나성동 829", "지도Link")</f>
        <v/>
      </c>
      <c r="K2433" s="5">
        <f>HYPERLINK("http://www.eum.go.kr/web/ar/lu/luLandDet.jsp?pnu=3611010700108290000&amp;isNoScr=script&amp;mode=search", "토지이음")</f>
        <v/>
      </c>
      <c r="L2433" s="3" t="inlineStr">
        <is>
          <t>원호</t>
        </is>
      </c>
      <c r="M2433" s="3" t="n">
        <v>1</v>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3" t="inlineStr">
        <is>
          <t>nan</t>
        </is>
      </c>
      <c r="I2434" s="5">
        <f>HYPERLINK("https://fin.land.naver.com/articles/2647465915", "매물Link")</f>
        <v/>
      </c>
      <c r="J2434" s="5">
        <f>HYPERLINK("https://map.naver.com/p/search/나성동 829", "지도Link")</f>
        <v/>
      </c>
      <c r="K2434" s="5">
        <f>HYPERLINK("http://www.eum.go.kr/web/ar/lu/luLandDet.jsp?pnu=3611010700108290000&amp;isNoScr=script&amp;mode=search", "토지이음")</f>
        <v/>
      </c>
      <c r="L2434" s="3" t="inlineStr">
        <is>
          <t>봉황</t>
        </is>
      </c>
      <c r="M2434" s="3" t="n">
        <v>1</v>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3" t="inlineStr">
        <is>
          <t>신축 공장용지 매매    입지 우수  분할 가능</t>
        </is>
      </c>
      <c r="I2435" s="5">
        <f>HYPERLINK("https://fin.land.naver.com/articles/2646205010", "매물Link")</f>
        <v/>
      </c>
      <c r="J2435" s="5">
        <f>HYPERLINK("https://map.naver.com/p/search/나성동 829", "지도Link")</f>
        <v/>
      </c>
      <c r="K2435" s="5">
        <f>HYPERLINK("http://www.eum.go.kr/web/ar/lu/luLandDet.jsp?pnu=3611010700108290000&amp;isNoScr=script&amp;mode=search", "토지이음")</f>
        <v/>
      </c>
      <c r="L2435" s="3" t="inlineStr">
        <is>
          <t>삼익</t>
        </is>
      </c>
      <c r="M2435" s="3" t="n">
        <v>1</v>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3" t="inlineStr">
        <is>
          <t>토지건물 총 6필지</t>
        </is>
      </c>
      <c r="I2436" s="5">
        <f>HYPERLINK("https://fin.land.naver.com/articles/2644865766", "매물Link")</f>
        <v/>
      </c>
      <c r="J2436" s="5">
        <f>HYPERLINK("https://map.naver.com/p/search/나성동 829", "지도Link")</f>
        <v/>
      </c>
      <c r="K2436" s="5">
        <f>HYPERLINK("http://www.eum.go.kr/web/ar/lu/luLandDet.jsp?pnu=3611010700108290000&amp;isNoScr=script&amp;mode=search", "토지이음")</f>
        <v/>
      </c>
      <c r="L2436" s="3" t="inlineStr">
        <is>
          <t>터</t>
        </is>
      </c>
      <c r="M2436" s="3" t="n">
        <v>1</v>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3" t="inlineStr">
        <is>
          <t>임야 총 3필지</t>
        </is>
      </c>
      <c r="I2437" s="5">
        <f>HYPERLINK("https://fin.land.naver.com/articles/2644877632", "매물Link")</f>
        <v/>
      </c>
      <c r="J2437" s="5">
        <f>HYPERLINK("https://map.naver.com/p/search/나성동 829", "지도Link")</f>
        <v/>
      </c>
      <c r="K2437" s="5">
        <f>HYPERLINK("http://www.eum.go.kr/web/ar/lu/luLandDet.jsp?pnu=3611010700108290000&amp;isNoScr=script&amp;mode=search", "토지이음")</f>
        <v/>
      </c>
      <c r="L2437" s="3" t="inlineStr">
        <is>
          <t>터</t>
        </is>
      </c>
      <c r="M2437" s="3" t="n">
        <v>1</v>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3" t="inlineStr">
        <is>
          <t>대화공단 내 요충지 토지매매, 3,300 ㎡ 전체분할 가능입지최상</t>
        </is>
      </c>
      <c r="I2438" s="5">
        <f>HYPERLINK("https://fin.land.naver.com/articles/2644199428", "매물Link")</f>
        <v/>
      </c>
      <c r="J2438" s="5">
        <f>HYPERLINK("https://map.naver.com/p/search/나성동 829", "지도Link")</f>
        <v/>
      </c>
      <c r="K2438" s="5">
        <f>HYPERLINK("http://www.eum.go.kr/web/ar/lu/luLandDet.jsp?pnu=3611010700108290000&amp;isNoScr=script&amp;mode=search", "토지이음")</f>
        <v/>
      </c>
      <c r="L2438" s="3" t="inlineStr">
        <is>
          <t>삼익</t>
        </is>
      </c>
      <c r="M2438" s="3" t="n">
        <v>1</v>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3" t="inlineStr">
        <is>
          <t>다묵적 사용 가능한 토지</t>
        </is>
      </c>
      <c r="I2439" s="5">
        <f>HYPERLINK("https://fin.land.naver.com/articles/2646824961", "매물Link")</f>
        <v/>
      </c>
      <c r="J2439" s="5">
        <f>HYPERLINK("https://map.naver.com/p/search/나성동 829", "지도Link")</f>
        <v/>
      </c>
      <c r="K2439" s="5">
        <f>HYPERLINK("http://www.eum.go.kr/web/ar/lu/luLandDet.jsp?pnu=3611010700108290000&amp;isNoScr=script&amp;mode=search", "토지이음")</f>
        <v/>
      </c>
      <c r="L2439" s="3" t="inlineStr">
        <is>
          <t>새땅</t>
        </is>
      </c>
      <c r="M2439" s="3" t="n">
        <v>1</v>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3" t="inlineStr">
        <is>
          <t>현재 세입자 있으나 명도 가능, 2차선 접</t>
        </is>
      </c>
      <c r="I2440" s="5">
        <f>HYPERLINK("https://fin.land.naver.com/articles/2647390485", "매물Link")</f>
        <v/>
      </c>
      <c r="J2440" s="5">
        <f>HYPERLINK("https://map.naver.com/p/search/나성동 829", "지도Link")</f>
        <v/>
      </c>
      <c r="K2440" s="5">
        <f>HYPERLINK("http://www.eum.go.kr/web/ar/lu/luLandDet.jsp?pnu=3611010700108290000&amp;isNoScr=script&amp;mode=search", "토지이음")</f>
        <v/>
      </c>
      <c r="L2440" s="3" t="inlineStr">
        <is>
          <t>황금 사무소</t>
        </is>
      </c>
      <c r="M2440" s="3" t="n">
        <v>1</v>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3" t="inlineStr">
        <is>
          <t>대로변에 접한 경사도 완만한 임야로 개발가능하며 투자용으로 추천함</t>
        </is>
      </c>
      <c r="I2441" s="5">
        <f>HYPERLINK("https://fin.land.naver.com/articles/2646453380", "매물Link")</f>
        <v/>
      </c>
      <c r="J2441" s="5">
        <f>HYPERLINK("https://map.naver.com/p/search/나성동 829", "지도Link")</f>
        <v/>
      </c>
      <c r="K2441" s="5">
        <f>HYPERLINK("http://www.eum.go.kr/web/ar/lu/luLandDet.jsp?pnu=3611010700108290000&amp;isNoScr=script&amp;mode=search", "토지이음")</f>
        <v/>
      </c>
      <c r="L2441" s="3" t="inlineStr">
        <is>
          <t>금정</t>
        </is>
      </c>
      <c r="M2441" s="3" t="n">
        <v>1</v>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3" t="inlineStr">
        <is>
          <t>지목은 임야이나 암자로 사용함으로 토목 일부완료</t>
        </is>
      </c>
      <c r="I2442" s="5">
        <f>HYPERLINK("https://fin.land.naver.com/articles/2646452960", "매물Link")</f>
        <v/>
      </c>
      <c r="J2442" s="5">
        <f>HYPERLINK("https://map.naver.com/p/search/나성동 829", "지도Link")</f>
        <v/>
      </c>
      <c r="K2442" s="5">
        <f>HYPERLINK("http://www.eum.go.kr/web/ar/lu/luLandDet.jsp?pnu=3611010700108290000&amp;isNoScr=script&amp;mode=search", "토지이음")</f>
        <v/>
      </c>
      <c r="L2442" s="3" t="inlineStr">
        <is>
          <t>금정</t>
        </is>
      </c>
      <c r="M2442" s="3" t="n">
        <v>1</v>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3" t="inlineStr">
        <is>
          <t>1필지 포함</t>
        </is>
      </c>
      <c r="I2443" s="5">
        <f>HYPERLINK("https://fin.land.naver.com/articles/2645163993", "매물Link")</f>
        <v/>
      </c>
      <c r="J2443" s="5">
        <f>HYPERLINK("https://map.naver.com/p/search/나성동 829", "지도Link")</f>
        <v/>
      </c>
      <c r="K2443" s="5">
        <f>HYPERLINK("http://www.eum.go.kr/web/ar/lu/luLandDet.jsp?pnu=3611010700108290000&amp;isNoScr=script&amp;mode=search", "토지이음")</f>
        <v/>
      </c>
      <c r="L2443" s="3" t="inlineStr">
        <is>
          <t>웰컴</t>
        </is>
      </c>
      <c r="M2443" s="3" t="n">
        <v>1</v>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3" t="inlineStr">
        <is>
          <t>토지매매 공장 ,창고, 자동차시설 가능부지  큰 차 진입 가능</t>
        </is>
      </c>
      <c r="I2444" s="5">
        <f>HYPERLINK("https://fin.land.naver.com/articles/2646194864", "매물Link")</f>
        <v/>
      </c>
      <c r="J2444" s="5">
        <f>HYPERLINK("https://map.naver.com/p/search/나성동 829", "지도Link")</f>
        <v/>
      </c>
      <c r="K2444" s="5">
        <f>HYPERLINK("http://www.eum.go.kr/web/ar/lu/luLandDet.jsp?pnu=3611010700108290000&amp;isNoScr=script&amp;mode=search", "토지이음")</f>
        <v/>
      </c>
      <c r="L2444" s="3" t="inlineStr">
        <is>
          <t>삼익</t>
        </is>
      </c>
      <c r="M2444" s="3" t="n">
        <v>1</v>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3" t="inlineStr">
        <is>
          <t>공장,창고,자동찬관련시 신축가능 토지매매</t>
        </is>
      </c>
      <c r="I2445" s="5">
        <f>HYPERLINK("https://fin.land.naver.com/articles/2646113313", "매물Link")</f>
        <v/>
      </c>
      <c r="J2445" s="5">
        <f>HYPERLINK("https://map.naver.com/p/search/나성동 829", "지도Link")</f>
        <v/>
      </c>
      <c r="K2445" s="5">
        <f>HYPERLINK("http://www.eum.go.kr/web/ar/lu/luLandDet.jsp?pnu=3611010700108290000&amp;isNoScr=script&amp;mode=search", "토지이음")</f>
        <v/>
      </c>
      <c r="L2445" s="3" t="inlineStr">
        <is>
          <t>삼익</t>
        </is>
      </c>
      <c r="M2445" s="3" t="n">
        <v>1</v>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3" t="inlineStr">
        <is>
          <t>나대지.창고가능.토지거래 허가구역</t>
        </is>
      </c>
      <c r="I2446" s="5">
        <f>HYPERLINK("https://fin.land.naver.com/articles/2649959593", "매물Link")</f>
        <v/>
      </c>
      <c r="J2446" s="5">
        <f>HYPERLINK("https://map.naver.com/p/search/나성동 829", "지도Link")</f>
        <v/>
      </c>
      <c r="K2446" s="5">
        <f>HYPERLINK("http://www.eum.go.kr/web/ar/lu/luLandDet.jsp?pnu=3611010700108290000&amp;isNoScr=script&amp;mode=search", "토지이음")</f>
        <v/>
      </c>
      <c r="L2446" s="3" t="inlineStr">
        <is>
          <t>명진</t>
        </is>
      </c>
      <c r="M2446" s="3" t="n">
        <v>1</v>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3" t="inlineStr">
        <is>
          <t>현 나대지, 4M 도로접</t>
        </is>
      </c>
      <c r="I2447" s="5">
        <f>HYPERLINK("https://fin.land.naver.com/articles/2645580752", "매물Link")</f>
        <v/>
      </c>
      <c r="J2447" s="5">
        <f>HYPERLINK("https://map.naver.com/p/search/나성동 829", "지도Link")</f>
        <v/>
      </c>
      <c r="K2447" s="5">
        <f>HYPERLINK("http://www.eum.go.kr/web/ar/lu/luLandDet.jsp?pnu=3611010700108290000&amp;isNoScr=script&amp;mode=search", "토지이음")</f>
        <v/>
      </c>
      <c r="L2447" s="3" t="inlineStr">
        <is>
          <t>산업</t>
        </is>
      </c>
      <c r="M2447" s="3" t="n">
        <v>1</v>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3" t="inlineStr">
        <is>
          <t>회덕ic에서5분,허가난물류부지연면적47,436m2,오염없는공장부지</t>
        </is>
      </c>
      <c r="I2448" s="5">
        <f>HYPERLINK("https://fin.land.naver.com/articles/2648154190", "매물Link")</f>
        <v/>
      </c>
      <c r="J2448" s="5">
        <f>HYPERLINK("https://map.naver.com/p/search/나성동 829", "지도Link")</f>
        <v/>
      </c>
      <c r="K2448" s="5">
        <f>HYPERLINK("http://www.eum.go.kr/web/ar/lu/luLandDet.jsp?pnu=3611010700108290000&amp;isNoScr=script&amp;mode=search", "토지이음")</f>
        <v/>
      </c>
      <c r="L2448" s="3" t="inlineStr">
        <is>
          <t>아름다운</t>
        </is>
      </c>
      <c r="M2448" s="3" t="n">
        <v>1</v>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3" t="inlineStr">
        <is>
          <t>자연녹지 토지 매매 , 큰 차 진입 가능, 마당 넓게 사용하실 분 추천</t>
        </is>
      </c>
      <c r="I2449" s="5">
        <f>HYPERLINK("https://fin.land.naver.com/articles/2644221908", "매물Link")</f>
        <v/>
      </c>
      <c r="J2449" s="5">
        <f>HYPERLINK("https://map.naver.com/p/search/나성동 829", "지도Link")</f>
        <v/>
      </c>
      <c r="K2449" s="5">
        <f>HYPERLINK("http://www.eum.go.kr/web/ar/lu/luLandDet.jsp?pnu=3611010700108290000&amp;isNoScr=script&amp;mode=search", "토지이음")</f>
        <v/>
      </c>
      <c r="L2449" s="3" t="inlineStr">
        <is>
          <t>삼익</t>
        </is>
      </c>
      <c r="M2449" s="3" t="n">
        <v>1</v>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3" t="inlineStr">
        <is>
          <t>나대지 도로접 단독 ,다가구 신축추천</t>
        </is>
      </c>
      <c r="I2450" s="5">
        <f>HYPERLINK("https://fin.land.naver.com/articles/2648936795", "매물Link")</f>
        <v/>
      </c>
      <c r="J2450" s="5">
        <f>HYPERLINK("https://map.naver.com/p/search/나성동 829", "지도Link")</f>
        <v/>
      </c>
      <c r="K2450" s="5">
        <f>HYPERLINK("http://www.eum.go.kr/web/ar/lu/luLandDet.jsp?pnu=3611010700108290000&amp;isNoScr=script&amp;mode=search", "토지이음")</f>
        <v/>
      </c>
      <c r="L2450" s="3" t="inlineStr">
        <is>
          <t>우리동네</t>
        </is>
      </c>
      <c r="M2450" s="3" t="n">
        <v>1</v>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3" t="inlineStr">
        <is>
          <t>아파트 정문앞 사이즈좋고 가격좋은 토지</t>
        </is>
      </c>
      <c r="I2451" s="5">
        <f>HYPERLINK("https://fin.land.naver.com/articles/2645117123", "매물Link")</f>
        <v/>
      </c>
      <c r="J2451" s="5">
        <f>HYPERLINK("https://map.naver.com/p/search/나성동 829", "지도Link")</f>
        <v/>
      </c>
      <c r="K2451" s="5">
        <f>HYPERLINK("http://www.eum.go.kr/web/ar/lu/luLandDet.jsp?pnu=3611010700108290000&amp;isNoScr=script&amp;mode=search", "토지이음")</f>
        <v/>
      </c>
      <c r="L2451" s="3" t="inlineStr">
        <is>
          <t>오투꿈무소</t>
        </is>
      </c>
      <c r="M2451" s="3" t="n">
        <v>1</v>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3" t="inlineStr">
        <is>
          <t>성북동 토지 매매</t>
        </is>
      </c>
      <c r="I2452" s="5">
        <f>HYPERLINK("https://fin.land.naver.com/articles/2644721181", "매물Link")</f>
        <v/>
      </c>
      <c r="J2452" s="5">
        <f>HYPERLINK("https://map.naver.com/p/search/나성동 829", "지도Link")</f>
        <v/>
      </c>
      <c r="K2452" s="5">
        <f>HYPERLINK("http://www.eum.go.kr/web/ar/lu/luLandDet.jsp?pnu=3611010700108290000&amp;isNoScr=script&amp;mode=search", "토지이음")</f>
        <v/>
      </c>
      <c r="L2452" s="3" t="inlineStr">
        <is>
          <t>학하랜드</t>
        </is>
      </c>
      <c r="M2452" s="3" t="n">
        <v>1</v>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3" t="inlineStr">
        <is>
          <t>임대사업또는투자등 용도다양</t>
        </is>
      </c>
      <c r="I2453" s="5">
        <f>HYPERLINK("https://fin.land.naver.com/articles/2646356809", "매물Link")</f>
        <v/>
      </c>
      <c r="J2453" s="5">
        <f>HYPERLINK("https://map.naver.com/p/search/나성동 829", "지도Link")</f>
        <v/>
      </c>
      <c r="K2453" s="5">
        <f>HYPERLINK("http://www.eum.go.kr/web/ar/lu/luLandDet.jsp?pnu=3611010700108290000&amp;isNoScr=script&amp;mode=search", "토지이음")</f>
        <v/>
      </c>
      <c r="L2453" s="3" t="inlineStr">
        <is>
          <t>뉴탑</t>
        </is>
      </c>
      <c r="M2453" s="3" t="n">
        <v>1</v>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3" t="inlineStr">
        <is>
          <t>nan</t>
        </is>
      </c>
      <c r="I2454" s="5">
        <f>HYPERLINK("https://fin.land.naver.com/articles/2647969833", "매물Link")</f>
        <v/>
      </c>
      <c r="J2454" s="5">
        <f>HYPERLINK("https://map.naver.com/p/search/나성동 829", "지도Link")</f>
        <v/>
      </c>
      <c r="K2454" s="5">
        <f>HYPERLINK("http://www.eum.go.kr/web/ar/lu/luLandDet.jsp?pnu=3611010700108290000&amp;isNoScr=script&amp;mode=search", "토지이음")</f>
        <v/>
      </c>
      <c r="L2454" s="3" t="inlineStr">
        <is>
          <t>공상배</t>
        </is>
      </c>
      <c r="M2454" s="3" t="n">
        <v>1</v>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3" t="inlineStr">
        <is>
          <t>nan</t>
        </is>
      </c>
      <c r="I2455" s="5">
        <f>HYPERLINK("https://fin.land.naver.com/articles/2646458127", "매물Link")</f>
        <v/>
      </c>
      <c r="J2455" s="5">
        <f>HYPERLINK("https://map.naver.com/p/search/나성동 829", "지도Link")</f>
        <v/>
      </c>
      <c r="K2455" s="5">
        <f>HYPERLINK("http://www.eum.go.kr/web/ar/lu/luLandDet.jsp?pnu=3611010700108290000&amp;isNoScr=script&amp;mode=search", "토지이음")</f>
        <v/>
      </c>
      <c r="L2455" s="3" t="inlineStr">
        <is>
          <t>엄지사무소</t>
        </is>
      </c>
      <c r="M2455" s="3" t="n">
        <v>1</v>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3" t="inlineStr">
        <is>
          <t>차량진입가능.태평오거리근접.나대지입니다.</t>
        </is>
      </c>
      <c r="I2456" s="5">
        <f>HYPERLINK("https://fin.land.naver.com/articles/2648551801", "매물Link")</f>
        <v/>
      </c>
      <c r="J2456" s="5">
        <f>HYPERLINK("https://map.naver.com/p/search/나성동 829", "지도Link")</f>
        <v/>
      </c>
      <c r="K2456" s="5">
        <f>HYPERLINK("http://www.eum.go.kr/web/ar/lu/luLandDet.jsp?pnu=3611010700108290000&amp;isNoScr=script&amp;mode=search", "토지이음")</f>
        <v/>
      </c>
      <c r="L2456" s="3" t="inlineStr">
        <is>
          <t>창대</t>
        </is>
      </c>
      <c r="M2456" s="3" t="n">
        <v>1</v>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3" t="inlineStr">
        <is>
          <t>넓은구거접함.일부복개연결.남향 농업보호구역.계획관리지역접함. 투자용적합.</t>
        </is>
      </c>
      <c r="I2457" s="5">
        <f>HYPERLINK("https://fin.land.naver.com/articles/2647036340", "매물Link")</f>
        <v/>
      </c>
      <c r="J2457" s="5">
        <f>HYPERLINK("https://map.naver.com/p/search/나성동 829", "지도Link")</f>
        <v/>
      </c>
      <c r="K2457" s="5">
        <f>HYPERLINK("http://www.eum.go.kr/web/ar/lu/luLandDet.jsp?pnu=3611010700108290000&amp;isNoScr=script&amp;mode=search", "토지이음")</f>
        <v/>
      </c>
      <c r="L2457" s="3" t="inlineStr">
        <is>
          <t>청와대합동</t>
        </is>
      </c>
      <c r="M2457" s="3" t="n">
        <v>1</v>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3" t="inlineStr">
        <is>
          <t>추천. 예양리 구축</t>
        </is>
      </c>
      <c r="I2458" s="5">
        <f>HYPERLINK("https://fin.land.naver.com/articles/2645480109", "매물Link")</f>
        <v/>
      </c>
      <c r="J2458" s="5">
        <f>HYPERLINK("https://map.naver.com/p/search/나성동 829", "지도Link")</f>
        <v/>
      </c>
      <c r="K2458" s="5">
        <f>HYPERLINK("http://www.eum.go.kr/web/ar/lu/luLandDet.jsp?pnu=3611010700108290000&amp;isNoScr=script&amp;mode=search", "토지이음")</f>
        <v/>
      </c>
      <c r="L2458" s="3" t="inlineStr">
        <is>
          <t>강아지풀</t>
        </is>
      </c>
      <c r="M2458" s="3" t="n">
        <v>1</v>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3" t="inlineStr">
        <is>
          <t>추천. 연동면 대로변접한 토지</t>
        </is>
      </c>
      <c r="I2459" s="5">
        <f>HYPERLINK("https://fin.land.naver.com/articles/2645471107", "매물Link")</f>
        <v/>
      </c>
      <c r="J2459" s="5">
        <f>HYPERLINK("https://map.naver.com/p/search/나성동 829", "지도Link")</f>
        <v/>
      </c>
      <c r="K2459" s="5">
        <f>HYPERLINK("http://www.eum.go.kr/web/ar/lu/luLandDet.jsp?pnu=3611010700108290000&amp;isNoScr=script&amp;mode=search", "토지이음")</f>
        <v/>
      </c>
      <c r="L2459" s="3" t="inlineStr">
        <is>
          <t>강아지풀</t>
        </is>
      </c>
      <c r="M2459" s="3" t="n">
        <v>1</v>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3" t="inlineStr">
        <is>
          <t>연동면사무소 접.2차선도로접</t>
        </is>
      </c>
      <c r="I2460" s="5">
        <f>HYPERLINK("https://fin.land.naver.com/articles/2644443677", "매물Link")</f>
        <v/>
      </c>
      <c r="J2460" s="5">
        <f>HYPERLINK("https://map.naver.com/p/search/나성동 829", "지도Link")</f>
        <v/>
      </c>
      <c r="K2460" s="5">
        <f>HYPERLINK("http://www.eum.go.kr/web/ar/lu/luLandDet.jsp?pnu=3611010700108290000&amp;isNoScr=script&amp;mode=search", "토지이음")</f>
        <v/>
      </c>
      <c r="L2460" s="3" t="inlineStr">
        <is>
          <t>믿음</t>
        </is>
      </c>
      <c r="M2460" s="3" t="n">
        <v>1</v>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3" t="inlineStr">
        <is>
          <t>민원없는 공장 밀집지역 공장 창고 신축부지로 추천, 대형차량 진출입 좋음</t>
        </is>
      </c>
      <c r="I2461" s="5">
        <f>HYPERLINK("https://fin.land.naver.com/articles/2649636993", "매물Link")</f>
        <v/>
      </c>
      <c r="J2461" s="5">
        <f>HYPERLINK("https://map.naver.com/p/search/나성동 829", "지도Link")</f>
        <v/>
      </c>
      <c r="K2461" s="5">
        <f>HYPERLINK("http://www.eum.go.kr/web/ar/lu/luLandDet.jsp?pnu=3611010700108290000&amp;isNoScr=script&amp;mode=search", "토지이음")</f>
        <v/>
      </c>
      <c r="L2461" s="3" t="inlineStr">
        <is>
          <t>대전토지로무소</t>
        </is>
      </c>
      <c r="M2461" s="3" t="n">
        <v>1</v>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3" t="inlineStr">
        <is>
          <t>추천매물 전원주택지 급매 시세저렴  개발분담금 및 전용비 전부 납부완료</t>
        </is>
      </c>
      <c r="I2462" s="5">
        <f>HYPERLINK("https://fin.land.naver.com/articles/2649232069", "매물Link")</f>
        <v/>
      </c>
      <c r="J2462" s="5">
        <f>HYPERLINK("https://map.naver.com/p/search/나성동 829", "지도Link")</f>
        <v/>
      </c>
      <c r="K2462" s="5">
        <f>HYPERLINK("http://www.eum.go.kr/web/ar/lu/luLandDet.jsp?pnu=3611010700108290000&amp;isNoScr=script&amp;mode=search", "토지이음")</f>
        <v/>
      </c>
      <c r="L2462" s="3" t="inlineStr">
        <is>
          <t>큰복</t>
        </is>
      </c>
      <c r="M2462" s="3" t="n">
        <v>1</v>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3" t="inlineStr">
        <is>
          <t>추천매물 전원주택지 급매 시세저렴  개발분담금 및 전용비 전부 납부완료</t>
        </is>
      </c>
      <c r="I2463" s="5">
        <f>HYPERLINK("https://fin.land.naver.com/articles/2649231813", "매물Link")</f>
        <v/>
      </c>
      <c r="J2463" s="5">
        <f>HYPERLINK("https://map.naver.com/p/search/나성동 829", "지도Link")</f>
        <v/>
      </c>
      <c r="K2463" s="5">
        <f>HYPERLINK("http://www.eum.go.kr/web/ar/lu/luLandDet.jsp?pnu=3611010700108290000&amp;isNoScr=script&amp;mode=search", "토지이음")</f>
        <v/>
      </c>
      <c r="L2463" s="3" t="inlineStr">
        <is>
          <t>큰복</t>
        </is>
      </c>
      <c r="M2463" s="3" t="n">
        <v>1</v>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3" t="inlineStr">
        <is>
          <t>Click 현 나대지 서대전역 인근 모델하우스 적지 Click</t>
        </is>
      </c>
      <c r="I2464" s="5">
        <f>HYPERLINK("https://fin.land.naver.com/articles/2645514999", "매물Link")</f>
        <v/>
      </c>
      <c r="J2464" s="5">
        <f>HYPERLINK("https://map.naver.com/p/search/나성동 829", "지도Link")</f>
        <v/>
      </c>
      <c r="K2464" s="5">
        <f>HYPERLINK("http://www.eum.go.kr/web/ar/lu/luLandDet.jsp?pnu=3611010700108290000&amp;isNoScr=script&amp;mode=search", "토지이음")</f>
        <v/>
      </c>
      <c r="L2464" s="3" t="inlineStr">
        <is>
          <t>해뜰</t>
        </is>
      </c>
      <c r="M2464" s="3" t="n">
        <v>1</v>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3" t="inlineStr">
        <is>
          <t>급용두3구역의 분양권있는 공유지분 토지.주택수 제외</t>
        </is>
      </c>
      <c r="I2465" s="5">
        <f>HYPERLINK("https://fin.land.naver.com/articles/2644443665", "매물Link")</f>
        <v/>
      </c>
      <c r="J2465" s="5">
        <f>HYPERLINK("https://map.naver.com/p/search/나성동 829", "지도Link")</f>
        <v/>
      </c>
      <c r="K2465" s="5">
        <f>HYPERLINK("http://www.eum.go.kr/web/ar/lu/luLandDet.jsp?pnu=3611010700108290000&amp;isNoScr=script&amp;mode=search", "토지이음")</f>
        <v/>
      </c>
      <c r="L2465" s="3" t="inlineStr">
        <is>
          <t>믿음</t>
        </is>
      </c>
      <c r="M2465" s="3" t="n">
        <v>1</v>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3" t="inlineStr">
        <is>
          <t>nan</t>
        </is>
      </c>
      <c r="I2466" s="5">
        <f>HYPERLINK("https://fin.land.naver.com/articles/2649169140", "매물Link")</f>
        <v/>
      </c>
      <c r="J2466" s="5">
        <f>HYPERLINK("https://map.naver.com/p/search/나성동 829", "지도Link")</f>
        <v/>
      </c>
      <c r="K2466" s="5">
        <f>HYPERLINK("http://www.eum.go.kr/web/ar/lu/luLandDet.jsp?pnu=3611010700108290000&amp;isNoScr=script&amp;mode=search", "토지이음")</f>
        <v/>
      </c>
      <c r="L2466" s="3" t="inlineStr">
        <is>
          <t>오송k랜드</t>
        </is>
      </c>
      <c r="M2466" s="3" t="n">
        <v>1</v>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3" t="inlineStr">
        <is>
          <t>옥계동 산내방면 6차선대로 3면 코너각지로 사옥 소형아파트 상가 용도다양</t>
        </is>
      </c>
      <c r="I2467" s="5">
        <f>HYPERLINK("https://fin.land.naver.com/articles/2648668791", "매물Link")</f>
        <v/>
      </c>
      <c r="J2467" s="5">
        <f>HYPERLINK("https://map.naver.com/p/search/나성동 829", "지도Link")</f>
        <v/>
      </c>
      <c r="K2467" s="5">
        <f>HYPERLINK("http://www.eum.go.kr/web/ar/lu/luLandDet.jsp?pnu=3611010700108290000&amp;isNoScr=script&amp;mode=search", "토지이음")</f>
        <v/>
      </c>
      <c r="L2467" s="3" t="inlineStr">
        <is>
          <t>테크노반석</t>
        </is>
      </c>
      <c r="M2467" s="3" t="n">
        <v>1</v>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3" t="inlineStr">
        <is>
          <t>저렴 상업지역토지 호텔강추 도시형주택 정비공장 요양병원 사옥 신축</t>
        </is>
      </c>
      <c r="I2468" s="5">
        <f>HYPERLINK("https://fin.land.naver.com/articles/2648212559", "매물Link")</f>
        <v/>
      </c>
      <c r="J2468" s="5">
        <f>HYPERLINK("https://map.naver.com/p/search/나성동 829", "지도Link")</f>
        <v/>
      </c>
      <c r="K2468" s="5">
        <f>HYPERLINK("http://www.eum.go.kr/web/ar/lu/luLandDet.jsp?pnu=3611010700108290000&amp;isNoScr=script&amp;mode=search", "토지이음")</f>
        <v/>
      </c>
      <c r="L2468" s="3" t="inlineStr">
        <is>
          <t>명당</t>
        </is>
      </c>
      <c r="M2468" s="3" t="n">
        <v>1</v>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3" t="inlineStr">
        <is>
          <t>대로변 인접 광고 효과로 최고  투자하기 좋습니다.</t>
        </is>
      </c>
      <c r="I2469" s="5">
        <f>HYPERLINK("https://fin.land.naver.com/articles/2649714235", "매물Link")</f>
        <v/>
      </c>
      <c r="J2469" s="5">
        <f>HYPERLINK("https://map.naver.com/p/search/나성동 829", "지도Link")</f>
        <v/>
      </c>
      <c r="K2469" s="5">
        <f>HYPERLINK("http://www.eum.go.kr/web/ar/lu/luLandDet.jsp?pnu=3611010700108290000&amp;isNoScr=script&amp;mode=search", "토지이음")</f>
        <v/>
      </c>
      <c r="L2469" s="3" t="inlineStr">
        <is>
          <t>센트럴글꽃</t>
        </is>
      </c>
      <c r="M2469" s="3" t="n">
        <v>1</v>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3" t="inlineStr">
        <is>
          <t>도로인접 접근편리 향후 지가상승 기대됩니다</t>
        </is>
      </c>
      <c r="I2470" s="5">
        <f>HYPERLINK("https://fin.land.naver.com/articles/2649794842", "매물Link")</f>
        <v/>
      </c>
      <c r="J2470" s="5">
        <f>HYPERLINK("https://map.naver.com/p/search/나성동 829", "지도Link")</f>
        <v/>
      </c>
      <c r="K2470" s="5">
        <f>HYPERLINK("http://www.eum.go.kr/web/ar/lu/luLandDet.jsp?pnu=3611010700108290000&amp;isNoScr=script&amp;mode=search", "토지이음")</f>
        <v/>
      </c>
      <c r="L2470" s="3" t="inlineStr">
        <is>
          <t>도램마을</t>
        </is>
      </c>
      <c r="M2470" s="3" t="n">
        <v>1</v>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3" t="inlineStr">
        <is>
          <t>3필지연접.도로접.계획관리.향후상승요인높은토지.투자용.</t>
        </is>
      </c>
      <c r="I2471" s="5">
        <f>HYPERLINK("https://fin.land.naver.com/articles/2648908733", "매물Link")</f>
        <v/>
      </c>
      <c r="J2471" s="5">
        <f>HYPERLINK("https://map.naver.com/p/search/나성동 829", "지도Link")</f>
        <v/>
      </c>
      <c r="K2471" s="5">
        <f>HYPERLINK("http://www.eum.go.kr/web/ar/lu/luLandDet.jsp?pnu=3611010700108290000&amp;isNoScr=script&amp;mode=search", "토지이음")</f>
        <v/>
      </c>
      <c r="L2471" s="3" t="inlineStr">
        <is>
          <t>소담베스트</t>
        </is>
      </c>
      <c r="M2471" s="3" t="n">
        <v>1</v>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3" t="inlineStr">
        <is>
          <t>향후 시세차익을 바라볼 수 있는 투자용 토지</t>
        </is>
      </c>
      <c r="I2472" s="5">
        <f>HYPERLINK("https://fin.land.naver.com/articles/2649006230", "매물Link")</f>
        <v/>
      </c>
      <c r="J2472" s="5">
        <f>HYPERLINK("https://map.naver.com/p/search/나성동 829", "지도Link")</f>
        <v/>
      </c>
      <c r="K2472" s="5">
        <f>HYPERLINK("http://www.eum.go.kr/web/ar/lu/luLandDet.jsp?pnu=3611010700108290000&amp;isNoScr=script&amp;mode=search", "토지이음")</f>
        <v/>
      </c>
      <c r="L2472" s="3" t="inlineStr">
        <is>
          <t>세종푸르지오</t>
        </is>
      </c>
      <c r="M2472" s="3" t="n">
        <v>1</v>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3" t="inlineStr">
        <is>
          <t>급매물. 세종5생활권인접.4차선2차선도로접.시세저렴.지가상승기대지역</t>
        </is>
      </c>
      <c r="I2473" s="5">
        <f>HYPERLINK("https://fin.land.naver.com/articles/2648569467", "매물Link")</f>
        <v/>
      </c>
      <c r="J2473" s="5">
        <f>HYPERLINK("https://map.naver.com/p/search/나성동 829", "지도Link")</f>
        <v/>
      </c>
      <c r="K2473" s="5">
        <f>HYPERLINK("http://www.eum.go.kr/web/ar/lu/luLandDet.jsp?pnu=3611010700108290000&amp;isNoScr=script&amp;mode=search", "토지이음")</f>
        <v/>
      </c>
      <c r="L2473" s="3" t="inlineStr">
        <is>
          <t>세종연동탑</t>
        </is>
      </c>
      <c r="M2473" s="3" t="n">
        <v>1</v>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3" t="inlineStr">
        <is>
          <t>농사짓기편리한땅.가격저렴.향후지가상승기대지역.대토지.</t>
        </is>
      </c>
      <c r="I2474" s="5">
        <f>HYPERLINK("https://fin.land.naver.com/articles/2648568686", "매물Link")</f>
        <v/>
      </c>
      <c r="J2474" s="5">
        <f>HYPERLINK("https://map.naver.com/p/search/나성동 829", "지도Link")</f>
        <v/>
      </c>
      <c r="K2474" s="5">
        <f>HYPERLINK("http://www.eum.go.kr/web/ar/lu/luLandDet.jsp?pnu=3611010700108290000&amp;isNoScr=script&amp;mode=search", "토지이음")</f>
        <v/>
      </c>
      <c r="L2474" s="3" t="inlineStr">
        <is>
          <t>세종연동탑</t>
        </is>
      </c>
      <c r="M2474" s="3" t="n">
        <v>1</v>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3" t="inlineStr">
        <is>
          <t>농사짓기편리한땅.세종시5생인접지역.가격저렴.대토지.향후지가상승최대수혜지.</t>
        </is>
      </c>
      <c r="I2475" s="5">
        <f>HYPERLINK("https://fin.land.naver.com/articles/2648563825", "매물Link")</f>
        <v/>
      </c>
      <c r="J2475" s="5">
        <f>HYPERLINK("https://map.naver.com/p/search/나성동 829", "지도Link")</f>
        <v/>
      </c>
      <c r="K2475" s="5">
        <f>HYPERLINK("http://www.eum.go.kr/web/ar/lu/luLandDet.jsp?pnu=3611010700108290000&amp;isNoScr=script&amp;mode=search", "토지이음")</f>
        <v/>
      </c>
      <c r="L2475" s="3" t="inlineStr">
        <is>
          <t>세종연동탑</t>
        </is>
      </c>
      <c r="M2475" s="3" t="n">
        <v>1</v>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3" t="inlineStr">
        <is>
          <t>2차선접.소형사무실.상가.소형창고.광고효과최상.세종5생활권초인접.</t>
        </is>
      </c>
      <c r="I2476" s="5">
        <f>HYPERLINK("https://fin.land.naver.com/articles/2647920758", "매물Link")</f>
        <v/>
      </c>
      <c r="J2476" s="5">
        <f>HYPERLINK("https://map.naver.com/p/search/나성동 829", "지도Link")</f>
        <v/>
      </c>
      <c r="K2476" s="5">
        <f>HYPERLINK("http://www.eum.go.kr/web/ar/lu/luLandDet.jsp?pnu=3611010700108290000&amp;isNoScr=script&amp;mode=search", "토지이음")</f>
        <v/>
      </c>
      <c r="L2476" s="3" t="inlineStr">
        <is>
          <t>세종연동탑</t>
        </is>
      </c>
      <c r="M2476" s="3" t="n">
        <v>1</v>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3" t="inlineStr">
        <is>
          <t>대지 앞 도로, 초등학교인근,카페,주거용 추천, 조율가능</t>
        </is>
      </c>
      <c r="I2477" s="5">
        <f>HYPERLINK("https://fin.land.naver.com/articles/2646138463", "매물Link")</f>
        <v/>
      </c>
      <c r="J2477" s="5">
        <f>HYPERLINK("https://map.naver.com/p/search/나성동 829", "지도Link")</f>
        <v/>
      </c>
      <c r="K2477" s="5">
        <f>HYPERLINK("http://www.eum.go.kr/web/ar/lu/luLandDet.jsp?pnu=3611010700108290000&amp;isNoScr=script&amp;mode=search", "토지이음")</f>
        <v/>
      </c>
      <c r="L2477" s="3" t="inlineStr">
        <is>
          <t>금돼지</t>
        </is>
      </c>
      <c r="M2477" s="3" t="n">
        <v>1</v>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3" t="inlineStr">
        <is>
          <t>행복도시 5생활권 인근 농림지역 투자용이나 농업용 토지</t>
        </is>
      </c>
      <c r="I2478" s="5">
        <f>HYPERLINK("https://fin.land.naver.com/articles/2644198384", "매물Link")</f>
        <v/>
      </c>
      <c r="J2478" s="5">
        <f>HYPERLINK("https://map.naver.com/p/search/나성동 829", "지도Link")</f>
        <v/>
      </c>
      <c r="K2478" s="5">
        <f>HYPERLINK("http://www.eum.go.kr/web/ar/lu/luLandDet.jsp?pnu=3611010700108290000&amp;isNoScr=script&amp;mode=search", "토지이음")</f>
        <v/>
      </c>
      <c r="L2478" s="3" t="inlineStr">
        <is>
          <t>더원</t>
        </is>
      </c>
      <c r="M2478" s="3" t="n">
        <v>1</v>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3" t="inlineStr">
        <is>
          <t>송용리 가장 저렴한 농림지역 토지</t>
        </is>
      </c>
      <c r="I2479" s="5">
        <f>HYPERLINK("https://fin.land.naver.com/articles/2644769017", "매물Link")</f>
        <v/>
      </c>
      <c r="J2479" s="5">
        <f>HYPERLINK("https://map.naver.com/p/search/나성동 829", "지도Link")</f>
        <v/>
      </c>
      <c r="K2479" s="5">
        <f>HYPERLINK("http://www.eum.go.kr/web/ar/lu/luLandDet.jsp?pnu=3611010700108290000&amp;isNoScr=script&amp;mode=search", "토지이음")</f>
        <v/>
      </c>
      <c r="L2479" s="3" t="inlineStr">
        <is>
          <t>세종땅사랑</t>
        </is>
      </c>
      <c r="M2479" s="3" t="n">
        <v>1</v>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3" t="inlineStr">
        <is>
          <t>계획관리.텃밭하기좋은땅.소자본투자용.미래가치최상.향후이차선도로확장</t>
        </is>
      </c>
      <c r="I2480" s="5">
        <f>HYPERLINK("https://fin.land.naver.com/articles/2644354040", "매물Link")</f>
        <v/>
      </c>
      <c r="J2480" s="5">
        <f>HYPERLINK("https://map.naver.com/p/search/나성동 829", "지도Link")</f>
        <v/>
      </c>
      <c r="K2480" s="5">
        <f>HYPERLINK("http://www.eum.go.kr/web/ar/lu/luLandDet.jsp?pnu=3611010700108290000&amp;isNoScr=script&amp;mode=search", "토지이음")</f>
        <v/>
      </c>
      <c r="L2480" s="3" t="inlineStr">
        <is>
          <t>세종연동탑</t>
        </is>
      </c>
      <c r="M2480" s="3" t="n">
        <v>1</v>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3" t="inlineStr">
        <is>
          <t>nan</t>
        </is>
      </c>
      <c r="I2481" s="5">
        <f>HYPERLINK("https://fin.land.naver.com/articles/2646448332", "매물Link")</f>
        <v/>
      </c>
      <c r="J2481" s="5">
        <f>HYPERLINK("https://map.naver.com/p/search/나성동 829", "지도Link")</f>
        <v/>
      </c>
      <c r="K2481" s="5">
        <f>HYPERLINK("http://www.eum.go.kr/web/ar/lu/luLandDet.jsp?pnu=3611010700108290000&amp;isNoScr=script&amp;mode=search", "토지이음")</f>
        <v/>
      </c>
      <c r="L2481" s="3" t="inlineStr">
        <is>
          <t>엄지사무소</t>
        </is>
      </c>
      <c r="M2481" s="3" t="n">
        <v>1</v>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3" t="inlineStr">
        <is>
          <t>조망 잘나오는 전원주택,카페 추천, 도로 접해있습니다. 조율가능</t>
        </is>
      </c>
      <c r="I2482" s="5">
        <f>HYPERLINK("https://fin.land.naver.com/articles/2644162075", "매물Link")</f>
        <v/>
      </c>
      <c r="J2482" s="5">
        <f>HYPERLINK("https://map.naver.com/p/search/나성동 829", "지도Link")</f>
        <v/>
      </c>
      <c r="K2482" s="5">
        <f>HYPERLINK("http://www.eum.go.kr/web/ar/lu/luLandDet.jsp?pnu=3611010700108290000&amp;isNoScr=script&amp;mode=search", "토지이음")</f>
        <v/>
      </c>
      <c r="L2482" s="3" t="inlineStr">
        <is>
          <t>금돼지</t>
        </is>
      </c>
      <c r="M2482" s="3" t="n">
        <v>1</v>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3" t="inlineStr">
        <is>
          <t>대지2029㎡ 외 답750㎡매매 (전체 대지로 사용가능)</t>
        </is>
      </c>
      <c r="I2483" s="5">
        <f>HYPERLINK("https://fin.land.naver.com/articles/2645760762", "매물Link")</f>
        <v/>
      </c>
      <c r="J2483" s="5">
        <f>HYPERLINK("https://map.naver.com/p/search/나성동 829", "지도Link")</f>
        <v/>
      </c>
      <c r="K2483" s="5">
        <f>HYPERLINK("http://www.eum.go.kr/web/ar/lu/luLandDet.jsp?pnu=3611010700108290000&amp;isNoScr=script&amp;mode=search", "토지이음")</f>
        <v/>
      </c>
      <c r="L2483" s="3" t="inlineStr">
        <is>
          <t>청화대</t>
        </is>
      </c>
      <c r="M2483" s="3" t="n">
        <v>1</v>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3" t="inlineStr">
        <is>
          <t>진입로 좋으며 2차선 근접한 공장,창고 용지입니다</t>
        </is>
      </c>
      <c r="I2484" s="5">
        <f>HYPERLINK("https://fin.land.naver.com/articles/2649906580", "매물Link")</f>
        <v/>
      </c>
      <c r="J2484" s="5">
        <f>HYPERLINK("https://map.naver.com/p/search/나성동 829", "지도Link")</f>
        <v/>
      </c>
      <c r="K2484" s="5">
        <f>HYPERLINK("http://www.eum.go.kr/web/ar/lu/luLandDet.jsp?pnu=3611010700108290000&amp;isNoScr=script&amp;mode=search", "토지이음")</f>
        <v/>
      </c>
      <c r="L2484" s="3" t="inlineStr">
        <is>
          <t>복댕이무소</t>
        </is>
      </c>
      <c r="M2484" s="3" t="n">
        <v>1</v>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3" t="inlineStr">
        <is>
          <t>합강을 바라보고있는 최고의 주택지입니다</t>
        </is>
      </c>
      <c r="I2485" s="5">
        <f>HYPERLINK("https://fin.land.naver.com/articles/2649896085", "매물Link")</f>
        <v/>
      </c>
      <c r="J2485" s="5">
        <f>HYPERLINK("https://map.naver.com/p/search/나성동 829", "지도Link")</f>
        <v/>
      </c>
      <c r="K2485" s="5">
        <f>HYPERLINK("http://www.eum.go.kr/web/ar/lu/luLandDet.jsp?pnu=3611010700108290000&amp;isNoScr=script&amp;mode=search", "토지이음")</f>
        <v/>
      </c>
      <c r="L2485" s="3" t="inlineStr">
        <is>
          <t>복댕이무소</t>
        </is>
      </c>
      <c r="M2485" s="3" t="n">
        <v>1</v>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3" t="inlineStr">
        <is>
          <t>nan</t>
        </is>
      </c>
      <c r="I2486" s="5">
        <f>HYPERLINK("https://fin.land.naver.com/articles/2649564869", "매물Link")</f>
        <v/>
      </c>
      <c r="J2486" s="5">
        <f>HYPERLINK("https://map.naver.com/p/search/나성동 829", "지도Link")</f>
        <v/>
      </c>
      <c r="K2486" s="5">
        <f>HYPERLINK("http://www.eum.go.kr/web/ar/lu/luLandDet.jsp?pnu=3611010700108290000&amp;isNoScr=script&amp;mode=search", "토지이음")</f>
        <v/>
      </c>
      <c r="L2486" s="3" t="inlineStr">
        <is>
          <t>좋은터</t>
        </is>
      </c>
      <c r="M2486" s="3" t="n">
        <v>1</v>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3" t="inlineStr">
        <is>
          <t>서대전네거리역 인근 일반상업지역</t>
        </is>
      </c>
      <c r="I2487" s="5">
        <f>HYPERLINK("https://fin.land.naver.com/articles/2646975576", "매물Link")</f>
        <v/>
      </c>
      <c r="J2487" s="5">
        <f>HYPERLINK("https://map.naver.com/p/search/나성동 829", "지도Link")</f>
        <v/>
      </c>
      <c r="K2487" s="5">
        <f>HYPERLINK("http://www.eum.go.kr/web/ar/lu/luLandDet.jsp?pnu=3611010700108290000&amp;isNoScr=script&amp;mode=search", "토지이음")</f>
        <v/>
      </c>
      <c r="L2487" s="3" t="inlineStr">
        <is>
          <t>지산</t>
        </is>
      </c>
      <c r="M2487" s="3" t="n">
        <v>1</v>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3" t="inlineStr">
        <is>
          <t>부강리 2차선 접한 아담하고 딱떨어지는 토지로 모든업종가능</t>
        </is>
      </c>
      <c r="I2488" s="5">
        <f>HYPERLINK("https://fin.land.naver.com/articles/2645587488", "매물Link")</f>
        <v/>
      </c>
      <c r="J2488" s="5">
        <f>HYPERLINK("https://map.naver.com/p/search/나성동 829", "지도Link")</f>
        <v/>
      </c>
      <c r="K2488" s="5">
        <f>HYPERLINK("http://www.eum.go.kr/web/ar/lu/luLandDet.jsp?pnu=3611010700108290000&amp;isNoScr=script&amp;mode=search", "토지이음")</f>
        <v/>
      </c>
      <c r="L2488" s="3" t="inlineStr">
        <is>
          <t>연동스카이</t>
        </is>
      </c>
      <c r="M2488" s="3" t="n">
        <v>1</v>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3" t="inlineStr">
        <is>
          <t>남청주IC5분거리,공장용지,진입도로있음</t>
        </is>
      </c>
      <c r="I2489" s="5">
        <f>HYPERLINK("https://fin.land.naver.com/articles/2645493500", "매물Link")</f>
        <v/>
      </c>
      <c r="J2489" s="5">
        <f>HYPERLINK("https://map.naver.com/p/search/나성동 829", "지도Link")</f>
        <v/>
      </c>
      <c r="K2489" s="5">
        <f>HYPERLINK("http://www.eum.go.kr/web/ar/lu/luLandDet.jsp?pnu=3611010700108290000&amp;isNoScr=script&amp;mode=search", "토지이음")</f>
        <v/>
      </c>
      <c r="L2489" s="3" t="inlineStr">
        <is>
          <t>OK허니</t>
        </is>
      </c>
      <c r="M2489" s="3" t="n">
        <v>1</v>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3" t="inlineStr">
        <is>
          <t>급매 저렴 조용한 시골풍경 청정지역 넓은 대지 주택 사옥 커피 가든 창고</t>
        </is>
      </c>
      <c r="I2490" s="5">
        <f>HYPERLINK("https://fin.land.naver.com/articles/2645451061", "매물Link")</f>
        <v/>
      </c>
      <c r="J2490" s="5">
        <f>HYPERLINK("https://map.naver.com/p/search/나성동 829", "지도Link")</f>
        <v/>
      </c>
      <c r="K2490" s="5">
        <f>HYPERLINK("http://www.eum.go.kr/web/ar/lu/luLandDet.jsp?pnu=3611010700108290000&amp;isNoScr=script&amp;mode=search", "토지이음")</f>
        <v/>
      </c>
      <c r="L2490" s="3" t="inlineStr">
        <is>
          <t>뉴태양</t>
        </is>
      </c>
      <c r="M2490" s="3" t="n">
        <v>1</v>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3" t="inlineStr">
        <is>
          <t>nan</t>
        </is>
      </c>
      <c r="I2491" s="5">
        <f>HYPERLINK("https://fin.land.naver.com/articles/2647582238", "매물Link")</f>
        <v/>
      </c>
      <c r="J2491" s="5">
        <f>HYPERLINK("https://map.naver.com/p/search/나성동 829", "지도Link")</f>
        <v/>
      </c>
      <c r="K2491" s="5">
        <f>HYPERLINK("http://www.eum.go.kr/web/ar/lu/luLandDet.jsp?pnu=3611010700108290000&amp;isNoScr=script&amp;mode=search", "토지이음")</f>
        <v/>
      </c>
      <c r="L2491" s="3" t="inlineStr">
        <is>
          <t>시티뱅크</t>
        </is>
      </c>
      <c r="M2491" s="3" t="n">
        <v>1</v>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3" t="inlineStr">
        <is>
          <t>nan</t>
        </is>
      </c>
      <c r="I2492" s="5">
        <f>HYPERLINK("https://fin.land.naver.com/articles/2647023408", "매물Link")</f>
        <v/>
      </c>
      <c r="J2492" s="5">
        <f>HYPERLINK("https://map.naver.com/p/search/나성동 829", "지도Link")</f>
        <v/>
      </c>
      <c r="K2492" s="5">
        <f>HYPERLINK("http://www.eum.go.kr/web/ar/lu/luLandDet.jsp?pnu=3611010700108290000&amp;isNoScr=script&amp;mode=search", "토지이음")</f>
        <v/>
      </c>
      <c r="L2492" s="3" t="inlineStr">
        <is>
          <t>남대전</t>
        </is>
      </c>
      <c r="M2492" s="3" t="n">
        <v>1</v>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3" t="inlineStr">
        <is>
          <t>저렴한가격,묫자리적합,오월드에서10분거리</t>
        </is>
      </c>
      <c r="I2493" s="5">
        <f>HYPERLINK("https://fin.land.naver.com/articles/2646048742", "매물Link")</f>
        <v/>
      </c>
      <c r="J2493" s="5">
        <f>HYPERLINK("https://map.naver.com/p/search/나성동 829", "지도Link")</f>
        <v/>
      </c>
      <c r="K2493" s="5">
        <f>HYPERLINK("http://www.eum.go.kr/web/ar/lu/luLandDet.jsp?pnu=3611010700108290000&amp;isNoScr=script&amp;mode=search", "토지이음")</f>
        <v/>
      </c>
      <c r="L2493" s="3" t="inlineStr">
        <is>
          <t>아름다운</t>
        </is>
      </c>
      <c r="M2493" s="3" t="n">
        <v>1</v>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3" t="inlineStr">
        <is>
          <t>도로, 하천접. 전으로 사용</t>
        </is>
      </c>
      <c r="I2494" s="5">
        <f>HYPERLINK("https://fin.land.naver.com/articles/2644895193", "매물Link")</f>
        <v/>
      </c>
      <c r="J2494" s="5">
        <f>HYPERLINK("https://map.naver.com/p/search/나성동 829", "지도Link")</f>
        <v/>
      </c>
      <c r="K2494" s="5">
        <f>HYPERLINK("http://www.eum.go.kr/web/ar/lu/luLandDet.jsp?pnu=3611010700108290000&amp;isNoScr=script&amp;mode=search", "토지이음")</f>
        <v/>
      </c>
      <c r="L2494" s="3" t="inlineStr">
        <is>
          <t>정문</t>
        </is>
      </c>
      <c r="M2494" s="3" t="n">
        <v>1</v>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3" t="inlineStr">
        <is>
          <t>nan</t>
        </is>
      </c>
      <c r="I2495" s="5">
        <f>HYPERLINK("https://fin.land.naver.com/articles/2644894815", "매물Link")</f>
        <v/>
      </c>
      <c r="J2495" s="5">
        <f>HYPERLINK("https://map.naver.com/p/search/나성동 829", "지도Link")</f>
        <v/>
      </c>
      <c r="K2495" s="5">
        <f>HYPERLINK("http://www.eum.go.kr/web/ar/lu/luLandDet.jsp?pnu=3611010700108290000&amp;isNoScr=script&amp;mode=search", "토지이음")</f>
        <v/>
      </c>
      <c r="L2495" s="3" t="inlineStr">
        <is>
          <t>정문</t>
        </is>
      </c>
      <c r="M2495" s="3" t="n">
        <v>1</v>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3" t="inlineStr">
        <is>
          <t>무허가 주택 있음 종교용지적합</t>
        </is>
      </c>
      <c r="I2496" s="5">
        <f>HYPERLINK("https://fin.land.naver.com/articles/2647018986", "매물Link")</f>
        <v/>
      </c>
      <c r="J2496" s="5">
        <f>HYPERLINK("https://map.naver.com/p/search/나성동 829", "지도Link")</f>
        <v/>
      </c>
      <c r="K2496" s="5">
        <f>HYPERLINK("http://www.eum.go.kr/web/ar/lu/luLandDet.jsp?pnu=3611010700108290000&amp;isNoScr=script&amp;mode=search", "토지이음")</f>
        <v/>
      </c>
      <c r="L2496" s="3" t="inlineStr">
        <is>
          <t>남대전</t>
        </is>
      </c>
      <c r="M2496" s="3" t="n">
        <v>1</v>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3" t="inlineStr">
        <is>
          <t>마을어귀에 위치한 토지 모양 좋은 대지 매매</t>
        </is>
      </c>
      <c r="I2497" s="5">
        <f>HYPERLINK("https://fin.land.naver.com/articles/2644395062", "매물Link")</f>
        <v/>
      </c>
      <c r="J2497" s="5">
        <f>HYPERLINK("https://map.naver.com/p/search/나성동 829", "지도Link")</f>
        <v/>
      </c>
      <c r="K2497" s="5">
        <f>HYPERLINK("http://www.eum.go.kr/web/ar/lu/luLandDet.jsp?pnu=3611010700108290000&amp;isNoScr=script&amp;mode=search", "토지이음")</f>
        <v/>
      </c>
      <c r="L2497" s="3" t="inlineStr">
        <is>
          <t>한화타운</t>
        </is>
      </c>
      <c r="M2497" s="3" t="n">
        <v>1</v>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3" t="inlineStr">
        <is>
          <t>과수원으로 사용중인 답. 관습로 존재 함.</t>
        </is>
      </c>
      <c r="I2498" s="5">
        <f>HYPERLINK("https://fin.land.naver.com/articles/2646981603", "매물Link")</f>
        <v/>
      </c>
      <c r="J2498" s="5">
        <f>HYPERLINK("https://map.naver.com/p/search/나성동 829", "지도Link")</f>
        <v/>
      </c>
      <c r="K2498" s="5">
        <f>HYPERLINK("http://www.eum.go.kr/web/ar/lu/luLandDet.jsp?pnu=3611010700108290000&amp;isNoScr=script&amp;mode=search", "토지이음")</f>
        <v/>
      </c>
      <c r="L2498" s="3" t="inlineStr">
        <is>
          <t>가든</t>
        </is>
      </c>
      <c r="M2498" s="3" t="n">
        <v>1</v>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3" t="inlineStr">
        <is>
          <t>도마동에서 15분거리로 주말농장으로 추천합니다.</t>
        </is>
      </c>
      <c r="I2499" s="5">
        <f>HYPERLINK("https://fin.land.naver.com/articles/2646524788", "매물Link")</f>
        <v/>
      </c>
      <c r="J2499" s="5">
        <f>HYPERLINK("https://map.naver.com/p/search/나성동 829", "지도Link")</f>
        <v/>
      </c>
      <c r="K2499" s="5">
        <f>HYPERLINK("http://www.eum.go.kr/web/ar/lu/luLandDet.jsp?pnu=3611010700108290000&amp;isNoScr=script&amp;mode=search", "토지이음")</f>
        <v/>
      </c>
      <c r="L2499" s="3" t="inlineStr">
        <is>
          <t>효성타운</t>
        </is>
      </c>
      <c r="M2499" s="3" t="n">
        <v>1</v>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3" t="inlineStr">
        <is>
          <t>급매.컨테이너.관정.비닐하우스포함</t>
        </is>
      </c>
      <c r="I2500" s="5">
        <f>HYPERLINK("https://fin.land.naver.com/articles/2644896193", "매물Link")</f>
        <v/>
      </c>
      <c r="J2500" s="5">
        <f>HYPERLINK("https://map.naver.com/p/search/나성동 829", "지도Link")</f>
        <v/>
      </c>
      <c r="K2500" s="5">
        <f>HYPERLINK("http://www.eum.go.kr/web/ar/lu/luLandDet.jsp?pnu=3611010700108290000&amp;isNoScr=script&amp;mode=search", "토지이음")</f>
        <v/>
      </c>
      <c r="L2500" s="3" t="inlineStr">
        <is>
          <t>정문</t>
        </is>
      </c>
      <c r="M2500" s="3" t="n">
        <v>1</v>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3" t="inlineStr">
        <is>
          <t>투자용으로 적합함</t>
        </is>
      </c>
      <c r="I2501" s="5">
        <f>HYPERLINK("https://fin.land.naver.com/articles/2647599717", "매물Link")</f>
        <v/>
      </c>
      <c r="J2501" s="5">
        <f>HYPERLINK("https://map.naver.com/p/search/나성동 829", "지도Link")</f>
        <v/>
      </c>
      <c r="K2501" s="5">
        <f>HYPERLINK("http://www.eum.go.kr/web/ar/lu/luLandDet.jsp?pnu=3611010700108290000&amp;isNoScr=script&amp;mode=search", "토지이음")</f>
        <v/>
      </c>
      <c r="L2501" s="3" t="inlineStr">
        <is>
          <t>삼익</t>
        </is>
      </c>
      <c r="M2501" s="3" t="n">
        <v>2</v>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3" t="inlineStr">
        <is>
          <t>보문산인근의 주말농장지,최적,도로접,농막,전기,지하수있슴</t>
        </is>
      </c>
      <c r="I2502" s="5">
        <f>HYPERLINK("https://fin.land.naver.com/articles/2646997712", "매물Link")</f>
        <v/>
      </c>
      <c r="J2502" s="5">
        <f>HYPERLINK("https://map.naver.com/p/search/나성동 829", "지도Link")</f>
        <v/>
      </c>
      <c r="K2502" s="5">
        <f>HYPERLINK("http://www.eum.go.kr/web/ar/lu/luLandDet.jsp?pnu=3611010700108290000&amp;isNoScr=script&amp;mode=search", "토지이음")</f>
        <v/>
      </c>
      <c r="L2502" s="3" t="inlineStr">
        <is>
          <t>소망</t>
        </is>
      </c>
      <c r="M2502" s="3" t="n">
        <v>1</v>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3" t="inlineStr">
        <is>
          <t>계획관리 투자용땅 면적 좋고 민원소지 없어요</t>
        </is>
      </c>
      <c r="I2503" s="5">
        <f>HYPERLINK("https://fin.land.naver.com/articles/2650030339", "매물Link")</f>
        <v/>
      </c>
      <c r="J2503" s="5">
        <f>HYPERLINK("https://map.naver.com/p/search/나성동 829", "지도Link")</f>
        <v/>
      </c>
      <c r="K2503" s="5">
        <f>HYPERLINK("http://www.eum.go.kr/web/ar/lu/luLandDet.jsp?pnu=3611010700108290000&amp;isNoScr=script&amp;mode=search", "토지이음")</f>
        <v/>
      </c>
      <c r="L2503" s="3" t="inlineStr">
        <is>
          <t>대영이편한</t>
        </is>
      </c>
      <c r="M2503" s="3" t="n">
        <v>1</v>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3" t="inlineStr">
        <is>
          <t>생산관리지역내 도로2면 접한 토지 밭으로 사용하고 있고 투자가치있음</t>
        </is>
      </c>
      <c r="I2504" s="5">
        <f>HYPERLINK("https://fin.land.naver.com/articles/2650030320", "매물Link")</f>
        <v/>
      </c>
      <c r="J2504" s="5">
        <f>HYPERLINK("https://map.naver.com/p/search/나성동 829", "지도Link")</f>
        <v/>
      </c>
      <c r="K2504" s="5">
        <f>HYPERLINK("http://www.eum.go.kr/web/ar/lu/luLandDet.jsp?pnu=3611010700108290000&amp;isNoScr=script&amp;mode=search", "토지이음")</f>
        <v/>
      </c>
      <c r="L2504" s="3" t="inlineStr">
        <is>
          <t>대영이편한</t>
        </is>
      </c>
      <c r="M2504" s="3" t="n">
        <v>1</v>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3" t="inlineStr">
        <is>
          <t>자연녹지.</t>
        </is>
      </c>
      <c r="I2505" s="5">
        <f>HYPERLINK("https://fin.land.naver.com/articles/2644670217", "매물Link")</f>
        <v/>
      </c>
      <c r="J2505" s="5">
        <f>HYPERLINK("https://map.naver.com/p/search/나성동 829", "지도Link")</f>
        <v/>
      </c>
      <c r="K2505" s="5">
        <f>HYPERLINK("http://www.eum.go.kr/web/ar/lu/luLandDet.jsp?pnu=3611010700108290000&amp;isNoScr=script&amp;mode=search", "토지이음")</f>
        <v/>
      </c>
      <c r="L2505" s="3" t="inlineStr">
        <is>
          <t>가든</t>
        </is>
      </c>
      <c r="M2505" s="3" t="n">
        <v>1</v>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3" t="inlineStr">
        <is>
          <t>전원주택용지,대343m2,임야401m2(대지형질변경가능)도로132m2</t>
        </is>
      </c>
      <c r="I2506" s="5">
        <f>HYPERLINK("https://fin.land.naver.com/articles/2644202482", "매물Link")</f>
        <v/>
      </c>
      <c r="J2506" s="5">
        <f>HYPERLINK("https://map.naver.com/p/search/나성동 829", "지도Link")</f>
        <v/>
      </c>
      <c r="K2506" s="5">
        <f>HYPERLINK("http://www.eum.go.kr/web/ar/lu/luLandDet.jsp?pnu=3611010700108290000&amp;isNoScr=script&amp;mode=search", "토지이음")</f>
        <v/>
      </c>
      <c r="L2506" s="3" t="inlineStr">
        <is>
          <t>아름다운</t>
        </is>
      </c>
      <c r="M2506" s="3" t="n">
        <v>1</v>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3" t="inlineStr">
        <is>
          <t>nan</t>
        </is>
      </c>
      <c r="I2507" s="5">
        <f>HYPERLINK("https://fin.land.naver.com/articles/2649906989", "매물Link")</f>
        <v/>
      </c>
      <c r="J2507" s="5">
        <f>HYPERLINK("https://map.naver.com/p/search/나성동 829", "지도Link")</f>
        <v/>
      </c>
      <c r="K2507" s="5">
        <f>HYPERLINK("http://www.eum.go.kr/web/ar/lu/luLandDet.jsp?pnu=3611010700108290000&amp;isNoScr=script&amp;mode=search", "토지이음")</f>
        <v/>
      </c>
      <c r="L2507" s="3" t="inlineStr">
        <is>
          <t>복댕이무소</t>
        </is>
      </c>
      <c r="M2507" s="3" t="n">
        <v>1</v>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3" t="inlineStr">
        <is>
          <t>6개 부지중 1개만 평당100만원에 급매매합니다</t>
        </is>
      </c>
      <c r="I2508" s="5">
        <f>HYPERLINK("https://fin.land.naver.com/articles/2649895464", "매물Link")</f>
        <v/>
      </c>
      <c r="J2508" s="5">
        <f>HYPERLINK("https://map.naver.com/p/search/나성동 829", "지도Link")</f>
        <v/>
      </c>
      <c r="K2508" s="5">
        <f>HYPERLINK("http://www.eum.go.kr/web/ar/lu/luLandDet.jsp?pnu=3611010700108290000&amp;isNoScr=script&amp;mode=search", "토지이음")</f>
        <v/>
      </c>
      <c r="L2508" s="3" t="inlineStr">
        <is>
          <t>복댕이무소</t>
        </is>
      </c>
      <c r="M2508" s="3" t="n">
        <v>1</v>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3" t="inlineStr">
        <is>
          <t>흙체워놓음.계획관리.성장관리지역</t>
        </is>
      </c>
      <c r="I2509" s="5">
        <f>HYPERLINK("https://fin.land.naver.com/articles/2648930252", "매물Link")</f>
        <v/>
      </c>
      <c r="J2509" s="5">
        <f>HYPERLINK("https://map.naver.com/p/search/나성동 829", "지도Link")</f>
        <v/>
      </c>
      <c r="K2509" s="5">
        <f>HYPERLINK("http://www.eum.go.kr/web/ar/lu/luLandDet.jsp?pnu=3611010700108290000&amp;isNoScr=script&amp;mode=search", "토지이음")</f>
        <v/>
      </c>
      <c r="L2509" s="3" t="inlineStr">
        <is>
          <t>명진</t>
        </is>
      </c>
      <c r="M2509" s="3" t="n">
        <v>1</v>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3" t="inlineStr">
        <is>
          <t>주말농장 및 소액 투자 강력 추천, 정생동 실속형 토지 매매, 4도3촌</t>
        </is>
      </c>
      <c r="I2510" s="5">
        <f>HYPERLINK("https://fin.land.naver.com/articles/2650197099", "매물Link")</f>
        <v/>
      </c>
      <c r="J2510" s="5">
        <f>HYPERLINK("https://map.naver.com/p/search/나성동 829", "지도Link")</f>
        <v/>
      </c>
      <c r="K2510" s="5">
        <f>HYPERLINK("http://www.eum.go.kr/web/ar/lu/luLandDet.jsp?pnu=3611010700108290000&amp;isNoScr=script&amp;mode=search", "토지이음")</f>
        <v/>
      </c>
      <c r="L2510" s="3" t="inlineStr">
        <is>
          <t>뉴프라자</t>
        </is>
      </c>
      <c r="M2510" s="3" t="n">
        <v>1</v>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3" t="inlineStr">
        <is>
          <t>대도로3번째 블럭 코너 각지 야적장 투자용</t>
        </is>
      </c>
      <c r="I2511" s="5">
        <f>HYPERLINK("https://fin.land.naver.com/articles/2646982376", "매물Link")</f>
        <v/>
      </c>
      <c r="J2511" s="5">
        <f>HYPERLINK("https://map.naver.com/p/search/나성동 829", "지도Link")</f>
        <v/>
      </c>
      <c r="K2511" s="5">
        <f>HYPERLINK("http://www.eum.go.kr/web/ar/lu/luLandDet.jsp?pnu=3611010700108290000&amp;isNoScr=script&amp;mode=search", "토지이음")</f>
        <v/>
      </c>
      <c r="L2511" s="3" t="inlineStr">
        <is>
          <t>나래</t>
        </is>
      </c>
      <c r="M2511" s="3" t="n">
        <v>1</v>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3" t="inlineStr">
        <is>
          <t>대단지아파트 주변 상가건축 추천</t>
        </is>
      </c>
      <c r="I2512" s="5">
        <f>HYPERLINK("https://fin.land.naver.com/articles/2644696607", "매물Link")</f>
        <v/>
      </c>
      <c r="J2512" s="5">
        <f>HYPERLINK("https://map.naver.com/p/search/나성동 829", "지도Link")</f>
        <v/>
      </c>
      <c r="K2512" s="5">
        <f>HYPERLINK("http://www.eum.go.kr/web/ar/lu/luLandDet.jsp?pnu=3611010700108290000&amp;isNoScr=script&amp;mode=search", "토지이음")</f>
        <v/>
      </c>
      <c r="L2512" s="3" t="inlineStr">
        <is>
          <t>삼익</t>
        </is>
      </c>
      <c r="M2512" s="3" t="n">
        <v>1</v>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3" t="inlineStr">
        <is>
          <t>도로접 건물과 주차장 설계 잘나올수 있는 토지</t>
        </is>
      </c>
      <c r="I2513" s="5">
        <f>HYPERLINK("https://fin.land.naver.com/articles/2646199318", "매물Link")</f>
        <v/>
      </c>
      <c r="J2513" s="5">
        <f>HYPERLINK("https://map.naver.com/p/search/나성동 829", "지도Link")</f>
        <v/>
      </c>
      <c r="K2513" s="5">
        <f>HYPERLINK("http://www.eum.go.kr/web/ar/lu/luLandDet.jsp?pnu=3611010700108290000&amp;isNoScr=script&amp;mode=search", "토지이음")</f>
        <v/>
      </c>
      <c r="L2513" s="3" t="inlineStr">
        <is>
          <t>도안별</t>
        </is>
      </c>
      <c r="M2513" s="3" t="n">
        <v>1</v>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3" t="inlineStr">
        <is>
          <t>세종시 계획관리지역 농지임</t>
        </is>
      </c>
      <c r="I2514" s="5">
        <f>HYPERLINK("https://fin.land.naver.com/articles/2644988569", "매물Link")</f>
        <v/>
      </c>
      <c r="J2514" s="5">
        <f>HYPERLINK("https://map.naver.com/p/search/나성동 829", "지도Link")</f>
        <v/>
      </c>
      <c r="K2514" s="5">
        <f>HYPERLINK("http://www.eum.go.kr/web/ar/lu/luLandDet.jsp?pnu=3611010700108290000&amp;isNoScr=script&amp;mode=search", "토지이음")</f>
        <v/>
      </c>
      <c r="L2514" s="3" t="inlineStr">
        <is>
          <t>교차로</t>
        </is>
      </c>
      <c r="M2514" s="3" t="n">
        <v>1</v>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3" t="inlineStr">
        <is>
          <t>계획관리 2차선도로와  연결</t>
        </is>
      </c>
      <c r="I2515" s="5">
        <f>HYPERLINK("https://fin.land.naver.com/articles/2644621180", "매물Link")</f>
        <v/>
      </c>
      <c r="J2515" s="5">
        <f>HYPERLINK("https://map.naver.com/p/search/나성동 829", "지도Link")</f>
        <v/>
      </c>
      <c r="K2515" s="5">
        <f>HYPERLINK("http://www.eum.go.kr/web/ar/lu/luLandDet.jsp?pnu=3611010700108290000&amp;isNoScr=script&amp;mode=search", "토지이음")</f>
        <v/>
      </c>
      <c r="L2515" s="3" t="inlineStr">
        <is>
          <t>명당</t>
        </is>
      </c>
      <c r="M2515" s="3" t="n">
        <v>1</v>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3" t="inlineStr">
        <is>
          <t>상가가 모이는 길목에 음식점.카페자리로 최고의 자리</t>
        </is>
      </c>
      <c r="I2516" s="5">
        <f>HYPERLINK("https://fin.land.naver.com/articles/2644428362", "매물Link")</f>
        <v/>
      </c>
      <c r="J2516" s="5">
        <f>HYPERLINK("https://map.naver.com/p/search/나성동 829", "지도Link")</f>
        <v/>
      </c>
      <c r="K2516" s="5">
        <f>HYPERLINK("http://www.eum.go.kr/web/ar/lu/luLandDet.jsp?pnu=3611010700108290000&amp;isNoScr=script&amp;mode=search", "토지이음")</f>
        <v/>
      </c>
      <c r="L2516" s="3" t="inlineStr">
        <is>
          <t>명당</t>
        </is>
      </c>
      <c r="M2516" s="3" t="n">
        <v>1</v>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3" t="inlineStr">
        <is>
          <t>구옥있음 주택 다가구 창고 건축 추천</t>
        </is>
      </c>
      <c r="I2517" s="5">
        <f>HYPERLINK("https://fin.land.naver.com/articles/2646056132", "매물Link")</f>
        <v/>
      </c>
      <c r="J2517" s="5">
        <f>HYPERLINK("https://map.naver.com/p/search/나성동 829", "지도Link")</f>
        <v/>
      </c>
      <c r="K2517" s="5">
        <f>HYPERLINK("http://www.eum.go.kr/web/ar/lu/luLandDet.jsp?pnu=3611010700108290000&amp;isNoScr=script&amp;mode=search", "토지이음")</f>
        <v/>
      </c>
      <c r="L2517" s="3" t="inlineStr">
        <is>
          <t>삼익</t>
        </is>
      </c>
      <c r="M2517" s="3" t="n">
        <v>1</v>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3" t="inlineStr">
        <is>
          <t>2차선접.대형차량출입.야적장추천.정사각형토지로활용도최상.</t>
        </is>
      </c>
      <c r="I2518" s="5">
        <f>HYPERLINK("https://fin.land.naver.com/articles/2643939764", "매물Link")</f>
        <v/>
      </c>
      <c r="J2518" s="5">
        <f>HYPERLINK("https://map.naver.com/p/search/나성동 829", "지도Link")</f>
        <v/>
      </c>
      <c r="K2518" s="5">
        <f>HYPERLINK("http://www.eum.go.kr/web/ar/lu/luLandDet.jsp?pnu=3611010700108290000&amp;isNoScr=script&amp;mode=search", "토지이음")</f>
        <v/>
      </c>
      <c r="L2518" s="3" t="inlineStr">
        <is>
          <t>세종연동탑</t>
        </is>
      </c>
      <c r="M2518" s="3" t="n">
        <v>1</v>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3" t="inlineStr">
        <is>
          <t>차량진입할수있는 도로가 있으나 도면상 맹지 상태임.</t>
        </is>
      </c>
      <c r="I2519" s="5">
        <f>HYPERLINK("https://fin.land.naver.com/articles/2649557631", "매물Link")</f>
        <v/>
      </c>
      <c r="J2519" s="5">
        <f>HYPERLINK("https://map.naver.com/p/search/나성동 829", "지도Link")</f>
        <v/>
      </c>
      <c r="K2519" s="5">
        <f>HYPERLINK("http://www.eum.go.kr/web/ar/lu/luLandDet.jsp?pnu=3611010700108290000&amp;isNoScr=script&amp;mode=search", "토지이음")</f>
        <v/>
      </c>
      <c r="L2519" s="3" t="inlineStr">
        <is>
          <t>승현</t>
        </is>
      </c>
      <c r="M2519" s="3" t="n">
        <v>1</v>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3" t="inlineStr">
        <is>
          <t>nan</t>
        </is>
      </c>
      <c r="I2520" s="5">
        <f>HYPERLINK("https://fin.land.naver.com/articles/2647010178", "매물Link")</f>
        <v/>
      </c>
      <c r="J2520" s="5">
        <f>HYPERLINK("https://map.naver.com/p/search/나성동 829", "지도Link")</f>
        <v/>
      </c>
      <c r="K2520" s="5">
        <f>HYPERLINK("http://www.eum.go.kr/web/ar/lu/luLandDet.jsp?pnu=3611010700108290000&amp;isNoScr=script&amp;mode=search", "토지이음")</f>
        <v/>
      </c>
      <c r="L2520" s="3" t="inlineStr">
        <is>
          <t>바른사무소</t>
        </is>
      </c>
      <c r="M2520" s="3" t="n">
        <v>1</v>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3" t="inlineStr">
        <is>
          <t>3거리 코너.</t>
        </is>
      </c>
      <c r="I2521" s="5">
        <f>HYPERLINK("https://fin.land.naver.com/articles/2646802672", "매물Link")</f>
        <v/>
      </c>
      <c r="J2521" s="5">
        <f>HYPERLINK("https://map.naver.com/p/search/나성동 829", "지도Link")</f>
        <v/>
      </c>
      <c r="K2521" s="5">
        <f>HYPERLINK("http://www.eum.go.kr/web/ar/lu/luLandDet.jsp?pnu=3611010700108290000&amp;isNoScr=script&amp;mode=search", "토지이음")</f>
        <v/>
      </c>
      <c r="L2521" s="3" t="inlineStr">
        <is>
          <t>인창</t>
        </is>
      </c>
      <c r="M2521" s="3" t="n">
        <v>1</v>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3" t="inlineStr">
        <is>
          <t>nan</t>
        </is>
      </c>
      <c r="I2522" s="5">
        <f>HYPERLINK("https://fin.land.naver.com/articles/2644697084", "매물Link")</f>
        <v/>
      </c>
      <c r="J2522" s="5">
        <f>HYPERLINK("https://map.naver.com/p/search/나성동 829", "지도Link")</f>
        <v/>
      </c>
      <c r="K2522" s="5">
        <f>HYPERLINK("http://www.eum.go.kr/web/ar/lu/luLandDet.jsp?pnu=3611010700108290000&amp;isNoScr=script&amp;mode=search", "토지이음")</f>
        <v/>
      </c>
      <c r="L2522" s="3" t="inlineStr">
        <is>
          <t>삼익</t>
        </is>
      </c>
      <c r="M2522" s="3" t="n">
        <v>1</v>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3" t="inlineStr">
        <is>
          <t>보기드문 넓은 대지</t>
        </is>
      </c>
      <c r="I2523" s="5">
        <f>HYPERLINK("https://fin.land.naver.com/articles/2646835295", "매물Link")</f>
        <v/>
      </c>
      <c r="J2523" s="5">
        <f>HYPERLINK("https://map.naver.com/p/search/나성동 829", "지도Link")</f>
        <v/>
      </c>
      <c r="K2523" s="5">
        <f>HYPERLINK("http://www.eum.go.kr/web/ar/lu/luLandDet.jsp?pnu=3611010700108290000&amp;isNoScr=script&amp;mode=search", "토지이음")</f>
        <v/>
      </c>
      <c r="L2523" s="3" t="inlineStr">
        <is>
          <t>삼성리더스</t>
        </is>
      </c>
      <c r="M2523" s="3" t="n">
        <v>1</v>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3" t="inlineStr">
        <is>
          <t>4차선 대로변 상가건물 부지</t>
        </is>
      </c>
      <c r="I2524" s="5">
        <f>HYPERLINK("https://fin.land.naver.com/articles/2649847051", "매물Link")</f>
        <v/>
      </c>
      <c r="J2524" s="5">
        <f>HYPERLINK("https://map.naver.com/p/search/나성동 829", "지도Link")</f>
        <v/>
      </c>
      <c r="K2524" s="5">
        <f>HYPERLINK("http://www.eum.go.kr/web/ar/lu/luLandDet.jsp?pnu=3611010700108290000&amp;isNoScr=script&amp;mode=search", "토지이음")</f>
        <v/>
      </c>
      <c r="L2524" s="3" t="inlineStr">
        <is>
          <t>한별</t>
        </is>
      </c>
      <c r="M2524" s="3" t="n">
        <v>1</v>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3" t="inlineStr">
        <is>
          <t>전원주택지</t>
        </is>
      </c>
      <c r="I2525" s="5">
        <f>HYPERLINK("https://fin.land.naver.com/articles/2650204530", "매물Link")</f>
        <v/>
      </c>
      <c r="J2525" s="5">
        <f>HYPERLINK("https://map.naver.com/p/search/나성동 829", "지도Link")</f>
        <v/>
      </c>
      <c r="K2525" s="5">
        <f>HYPERLINK("http://www.eum.go.kr/web/ar/lu/luLandDet.jsp?pnu=3611010700108290000&amp;isNoScr=script&amp;mode=search", "토지이음")</f>
        <v/>
      </c>
      <c r="L2525" s="3" t="inlineStr">
        <is>
          <t>세종힐데스</t>
        </is>
      </c>
      <c r="M2525" s="3" t="n">
        <v>1</v>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3" t="inlineStr">
        <is>
          <t>nan</t>
        </is>
      </c>
      <c r="I2526" s="5">
        <f>HYPERLINK("https://fin.land.naver.com/articles/2647920855", "매물Link")</f>
        <v/>
      </c>
      <c r="J2526" s="5">
        <f>HYPERLINK("https://map.naver.com/p/search/나성동 829", "지도Link")</f>
        <v/>
      </c>
      <c r="K2526" s="5">
        <f>HYPERLINK("http://www.eum.go.kr/web/ar/lu/luLandDet.jsp?pnu=3611010700108290000&amp;isNoScr=script&amp;mode=search", "토지이음")</f>
        <v/>
      </c>
      <c r="L2526" s="3" t="inlineStr">
        <is>
          <t>운산</t>
        </is>
      </c>
      <c r="M2526" s="3" t="n">
        <v>1</v>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3" t="inlineStr">
        <is>
          <t>비교적 한산하고 조용한 곳,ㅈ도심속 전원주택 적지.보문산수목원 인근 범골</t>
        </is>
      </c>
      <c r="I2527" s="5">
        <f>HYPERLINK("https://fin.land.naver.com/articles/2646982843", "매물Link")</f>
        <v/>
      </c>
      <c r="J2527" s="5">
        <f>HYPERLINK("https://map.naver.com/p/search/나성동 829", "지도Link")</f>
        <v/>
      </c>
      <c r="K2527" s="5">
        <f>HYPERLINK("http://www.eum.go.kr/web/ar/lu/luLandDet.jsp?pnu=3611010700108290000&amp;isNoScr=script&amp;mode=search", "토지이음")</f>
        <v/>
      </c>
      <c r="L2527" s="3" t="inlineStr">
        <is>
          <t>나래</t>
        </is>
      </c>
      <c r="M2527" s="3" t="n">
        <v>1</v>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3" t="inlineStr">
        <is>
          <t>대단지 신축아파트 진입로 대로변각지의 성업중인 셀프세차장과 카센터입니다</t>
        </is>
      </c>
      <c r="I2528" s="5">
        <f>HYPERLINK("https://fin.land.naver.com/articles/2647277189", "매물Link")</f>
        <v/>
      </c>
      <c r="J2528" s="5">
        <f>HYPERLINK("https://map.naver.com/p/search/나성동 829", "지도Link")</f>
        <v/>
      </c>
      <c r="K2528" s="5">
        <f>HYPERLINK("http://www.eum.go.kr/web/ar/lu/luLandDet.jsp?pnu=3611010700108290000&amp;isNoScr=script&amp;mode=search", "토지이음")</f>
        <v/>
      </c>
      <c r="L2528" s="3" t="inlineStr">
        <is>
          <t>이음</t>
        </is>
      </c>
      <c r="M2528" s="3" t="n">
        <v>1</v>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3" t="inlineStr">
        <is>
          <t>급매 도심속 나대지 교통편리 아파트 창고 물류센터 식품 조립공장 투자최상</t>
        </is>
      </c>
      <c r="I2529" s="5">
        <f>HYPERLINK("https://fin.land.naver.com/articles/2646670454", "매물Link")</f>
        <v/>
      </c>
      <c r="J2529" s="5">
        <f>HYPERLINK("https://map.naver.com/p/search/나성동 829", "지도Link")</f>
        <v/>
      </c>
      <c r="K2529" s="5">
        <f>HYPERLINK("http://www.eum.go.kr/web/ar/lu/luLandDet.jsp?pnu=3611010700108290000&amp;isNoScr=script&amp;mode=search", "토지이음")</f>
        <v/>
      </c>
      <c r="L2529" s="3" t="inlineStr">
        <is>
          <t>뉴태양</t>
        </is>
      </c>
      <c r="M2529" s="3" t="n">
        <v>1</v>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3" t="inlineStr">
        <is>
          <t>자동차정비공장, 창고용지,아파트부지,</t>
        </is>
      </c>
      <c r="I2530" s="5">
        <f>HYPERLINK("https://fin.land.naver.com/articles/2646405738", "매물Link")</f>
        <v/>
      </c>
      <c r="J2530" s="5">
        <f>HYPERLINK("https://map.naver.com/p/search/나성동 829", "지도Link")</f>
        <v/>
      </c>
      <c r="K2530" s="5">
        <f>HYPERLINK("http://www.eum.go.kr/web/ar/lu/luLandDet.jsp?pnu=3611010700108290000&amp;isNoScr=script&amp;mode=search", "토지이음")</f>
        <v/>
      </c>
      <c r="L2530" s="3" t="inlineStr">
        <is>
          <t>명동</t>
        </is>
      </c>
      <c r="M2530" s="3" t="n">
        <v>1</v>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3" t="inlineStr">
        <is>
          <t>nan</t>
        </is>
      </c>
      <c r="I2531" s="5">
        <f>HYPERLINK("https://fin.land.naver.com/articles/2644937014", "매물Link")</f>
        <v/>
      </c>
      <c r="J2531" s="5">
        <f>HYPERLINK("https://map.naver.com/p/search/나성동 829", "지도Link")</f>
        <v/>
      </c>
      <c r="K2531" s="5">
        <f>HYPERLINK("http://www.eum.go.kr/web/ar/lu/luLandDet.jsp?pnu=3611010700108290000&amp;isNoScr=script&amp;mode=search", "토지이음")</f>
        <v/>
      </c>
      <c r="L2531" s="3" t="inlineStr">
        <is>
          <t>새터전</t>
        </is>
      </c>
      <c r="M2531" s="3" t="n">
        <v>1</v>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3" t="inlineStr">
        <is>
          <t>8mX6m 코너(각지), 건축을 건장함, 조율가</t>
        </is>
      </c>
      <c r="I2532" s="5">
        <f>HYPERLINK("https://fin.land.naver.com/articles/2644455641", "매물Link")</f>
        <v/>
      </c>
      <c r="J2532" s="5">
        <f>HYPERLINK("https://map.naver.com/p/search/나성동 829", "지도Link")</f>
        <v/>
      </c>
      <c r="K2532" s="5">
        <f>HYPERLINK("http://www.eum.go.kr/web/ar/lu/luLandDet.jsp?pnu=3611010700108290000&amp;isNoScr=script&amp;mode=search", "토지이음")</f>
        <v/>
      </c>
      <c r="L2532" s="3" t="inlineStr">
        <is>
          <t>파밀리에재덕 사무소</t>
        </is>
      </c>
      <c r="M2532" s="3" t="n">
        <v>1</v>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3" t="inlineStr">
        <is>
          <t>창고형  코너각지</t>
        </is>
      </c>
      <c r="I2533" s="5">
        <f>HYPERLINK("https://fin.land.naver.com/articles/2644217017", "매물Link")</f>
        <v/>
      </c>
      <c r="J2533" s="5">
        <f>HYPERLINK("https://map.naver.com/p/search/나성동 829", "지도Link")</f>
        <v/>
      </c>
      <c r="K2533" s="5">
        <f>HYPERLINK("http://www.eum.go.kr/web/ar/lu/luLandDet.jsp?pnu=3611010700108290000&amp;isNoScr=script&amp;mode=search", "토지이음")</f>
        <v/>
      </c>
      <c r="L2533" s="3" t="inlineStr">
        <is>
          <t>한빛</t>
        </is>
      </c>
      <c r="M2533" s="3" t="n">
        <v>1</v>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3" t="inlineStr">
        <is>
          <t>대전역세권 재정비촉진지구 일반상업지역 상가건물 투자용 추천</t>
        </is>
      </c>
      <c r="I2534" s="5">
        <f>HYPERLINK("https://fin.land.naver.com/articles/2647507967", "매물Link")</f>
        <v/>
      </c>
      <c r="J2534" s="5">
        <f>HYPERLINK("https://map.naver.com/p/search/나성동 829", "지도Link")</f>
        <v/>
      </c>
      <c r="K2534" s="5">
        <f>HYPERLINK("http://www.eum.go.kr/web/ar/lu/luLandDet.jsp?pnu=3611010700108290000&amp;isNoScr=script&amp;mode=search", "토지이음")</f>
        <v/>
      </c>
      <c r="L2534" s="3" t="inlineStr">
        <is>
          <t>뉴태양</t>
        </is>
      </c>
      <c r="M2534" s="3" t="n">
        <v>1</v>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3" t="inlineStr">
        <is>
          <t>대전역세권 재정비촉진지구 일반상업지역 상가건물 투자용 추천</t>
        </is>
      </c>
      <c r="I2535" s="5">
        <f>HYPERLINK("https://fin.land.naver.com/articles/2647501809", "매물Link")</f>
        <v/>
      </c>
      <c r="J2535" s="5">
        <f>HYPERLINK("https://map.naver.com/p/search/나성동 829", "지도Link")</f>
        <v/>
      </c>
      <c r="K2535" s="5">
        <f>HYPERLINK("http://www.eum.go.kr/web/ar/lu/luLandDet.jsp?pnu=3611010700108290000&amp;isNoScr=script&amp;mode=search", "토지이음")</f>
        <v/>
      </c>
      <c r="L2535" s="3" t="inlineStr">
        <is>
          <t>뉴태양</t>
        </is>
      </c>
      <c r="M2535" s="3" t="n">
        <v>1</v>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3" t="inlineStr">
        <is>
          <t>인접지 재개발 ,재건축 진행중</t>
        </is>
      </c>
      <c r="I2536" s="5">
        <f>HYPERLINK("https://fin.land.naver.com/articles/2647994997", "매물Link")</f>
        <v/>
      </c>
      <c r="J2536" s="5">
        <f>HYPERLINK("https://map.naver.com/p/search/나성동 829", "지도Link")</f>
        <v/>
      </c>
      <c r="K2536" s="5">
        <f>HYPERLINK("http://www.eum.go.kr/web/ar/lu/luLandDet.jsp?pnu=3611010700108290000&amp;isNoScr=script&amp;mode=search", "토지이음")</f>
        <v/>
      </c>
      <c r="L2536" s="3" t="inlineStr">
        <is>
          <t>이민영</t>
        </is>
      </c>
      <c r="M2536" s="3" t="n">
        <v>1</v>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3" t="inlineStr">
        <is>
          <t>넓은대지에접한 동산 도로접한구옥있는 넓은대지와 함께매매가능</t>
        </is>
      </c>
      <c r="I2537" s="5">
        <f>HYPERLINK("https://fin.land.naver.com/articles/2649835448", "매물Link")</f>
        <v/>
      </c>
      <c r="J2537" s="5">
        <f>HYPERLINK("https://map.naver.com/p/search/나성동 829", "지도Link")</f>
        <v/>
      </c>
      <c r="K2537" s="5">
        <f>HYPERLINK("http://www.eum.go.kr/web/ar/lu/luLandDet.jsp?pnu=3611010700108290000&amp;isNoScr=script&amp;mode=search", "토지이음")</f>
        <v/>
      </c>
      <c r="L2537" s="3" t="inlineStr">
        <is>
          <t>벽산마을</t>
        </is>
      </c>
      <c r="M2537" s="3" t="n">
        <v>1</v>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3" t="inlineStr">
        <is>
          <t>2차선도로에서20미터거리대청호변 앞면개울 추동 농막가능</t>
        </is>
      </c>
      <c r="I2538" s="5">
        <f>HYPERLINK("https://fin.land.naver.com/articles/2647592617", "매물Link")</f>
        <v/>
      </c>
      <c r="J2538" s="5">
        <f>HYPERLINK("https://map.naver.com/p/search/나성동 829", "지도Link")</f>
        <v/>
      </c>
      <c r="K2538" s="5">
        <f>HYPERLINK("http://www.eum.go.kr/web/ar/lu/luLandDet.jsp?pnu=3611010700108290000&amp;isNoScr=script&amp;mode=search", "토지이음")</f>
        <v/>
      </c>
      <c r="L2538" s="3" t="inlineStr">
        <is>
          <t>코리아</t>
        </is>
      </c>
      <c r="M2538" s="3" t="n">
        <v>1</v>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3" t="inlineStr">
        <is>
          <t>농막외 기타 시설비 3천만원 별도 있음.  
대전에서 17분거리</t>
        </is>
      </c>
      <c r="I2539" s="5">
        <f>HYPERLINK("https://fin.land.naver.com/articles/2646802157", "매물Link")</f>
        <v/>
      </c>
      <c r="J2539" s="5">
        <f>HYPERLINK("https://map.naver.com/p/search/나성동 829", "지도Link")</f>
        <v/>
      </c>
      <c r="K2539" s="5">
        <f>HYPERLINK("http://www.eum.go.kr/web/ar/lu/luLandDet.jsp?pnu=3611010700108290000&amp;isNoScr=script&amp;mode=search", "토지이음")</f>
        <v/>
      </c>
      <c r="L2539" s="3" t="inlineStr">
        <is>
          <t>대명</t>
        </is>
      </c>
      <c r="M2539" s="3" t="n">
        <v>1</v>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3" t="inlineStr">
        <is>
          <t>나지막한야산현조경수와과실수바닥은잔디받으로분할매매가능탁트인전망시내근처산</t>
        </is>
      </c>
      <c r="I2540" s="5">
        <f>HYPERLINK("https://fin.land.naver.com/articles/2649891653", "매물Link")</f>
        <v/>
      </c>
      <c r="J2540" s="5">
        <f>HYPERLINK("https://map.naver.com/p/search/나성동 829", "지도Link")</f>
        <v/>
      </c>
      <c r="K2540" s="5">
        <f>HYPERLINK("http://www.eum.go.kr/web/ar/lu/luLandDet.jsp?pnu=3611010700108290000&amp;isNoScr=script&amp;mode=search", "토지이음")</f>
        <v/>
      </c>
      <c r="L2540" s="3" t="inlineStr">
        <is>
          <t>코리아</t>
        </is>
      </c>
      <c r="M2540" s="3" t="n">
        <v>1</v>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3" t="inlineStr">
        <is>
          <t>조만간 개발될 토지 매매</t>
        </is>
      </c>
      <c r="I2541" s="5">
        <f>HYPERLINK("https://fin.land.naver.com/articles/2649550848", "매물Link")</f>
        <v/>
      </c>
      <c r="J2541" s="5">
        <f>HYPERLINK("https://map.naver.com/p/search/나성동 829", "지도Link")</f>
        <v/>
      </c>
      <c r="K2541" s="5">
        <f>HYPERLINK("http://www.eum.go.kr/web/ar/lu/luLandDet.jsp?pnu=3611010700108290000&amp;isNoScr=script&amp;mode=search", "토지이음")</f>
        <v/>
      </c>
      <c r="L2541" s="3" t="inlineStr">
        <is>
          <t>크로바</t>
        </is>
      </c>
      <c r="M2541" s="3" t="n">
        <v>1</v>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3" t="inlineStr">
        <is>
          <t>저렴한 그린벨트 임야, 투자용, 임업용</t>
        </is>
      </c>
      <c r="I2542" s="5">
        <f>HYPERLINK("https://fin.land.naver.com/articles/2647133757", "매물Link")</f>
        <v/>
      </c>
      <c r="J2542" s="5">
        <f>HYPERLINK("https://map.naver.com/p/search/나성동 829", "지도Link")</f>
        <v/>
      </c>
      <c r="K2542" s="5">
        <f>HYPERLINK("http://www.eum.go.kr/web/ar/lu/luLandDet.jsp?pnu=3611010700108290000&amp;isNoScr=script&amp;mode=search", "토지이음")</f>
        <v/>
      </c>
      <c r="L2542" s="3" t="inlineStr">
        <is>
          <t>신나는</t>
        </is>
      </c>
      <c r="M2542" s="3" t="n">
        <v>1</v>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3" t="inlineStr">
        <is>
          <t>공기좋고 경치좋은 주산동에서 거주하실분</t>
        </is>
      </c>
      <c r="I2543" s="5">
        <f>HYPERLINK("https://fin.land.naver.com/articles/2647883834", "매물Link")</f>
        <v/>
      </c>
      <c r="J2543" s="5">
        <f>HYPERLINK("https://map.naver.com/p/search/나성동 829", "지도Link")</f>
        <v/>
      </c>
      <c r="K2543" s="5">
        <f>HYPERLINK("http://www.eum.go.kr/web/ar/lu/luLandDet.jsp?pnu=3611010700108290000&amp;isNoScr=script&amp;mode=search", "토지이음")</f>
        <v/>
      </c>
      <c r="L2543" s="3" t="inlineStr">
        <is>
          <t>썬</t>
        </is>
      </c>
      <c r="M2543" s="3" t="n">
        <v>1</v>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3" t="inlineStr">
        <is>
          <t>대전 근교 주말 쉼터 용</t>
        </is>
      </c>
      <c r="I2544" s="5">
        <f>HYPERLINK("https://fin.land.naver.com/articles/2649496485", "매물Link")</f>
        <v/>
      </c>
      <c r="J2544" s="5">
        <f>HYPERLINK("https://map.naver.com/p/search/나성동 829", "지도Link")</f>
        <v/>
      </c>
      <c r="K2544" s="5">
        <f>HYPERLINK("http://www.eum.go.kr/web/ar/lu/luLandDet.jsp?pnu=3611010700108290000&amp;isNoScr=script&amp;mode=search", "토지이음")</f>
        <v/>
      </c>
      <c r="L2544" s="3" t="inlineStr">
        <is>
          <t>미더스</t>
        </is>
      </c>
      <c r="M2544" s="3" t="n">
        <v>1</v>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3" t="inlineStr">
        <is>
          <t>조용하고 공기좋은 곳 남향 분할매매가능</t>
        </is>
      </c>
      <c r="I2545" s="5">
        <f>HYPERLINK("https://fin.land.naver.com/articles/2647593270", "매물Link")</f>
        <v/>
      </c>
      <c r="J2545" s="5">
        <f>HYPERLINK("https://map.naver.com/p/search/나성동 829", "지도Link")</f>
        <v/>
      </c>
      <c r="K2545" s="5">
        <f>HYPERLINK("http://www.eum.go.kr/web/ar/lu/luLandDet.jsp?pnu=3611010700108290000&amp;isNoScr=script&amp;mode=search", "토지이음")</f>
        <v/>
      </c>
      <c r="L2545" s="3" t="inlineStr">
        <is>
          <t>코리아</t>
        </is>
      </c>
      <c r="M2545" s="3" t="n">
        <v>1</v>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3" t="inlineStr">
        <is>
          <t>천개동입구 농장 ,건물있음</t>
        </is>
      </c>
      <c r="I2546" s="5">
        <f>HYPERLINK("https://fin.land.naver.com/articles/2646692758", "매물Link")</f>
        <v/>
      </c>
      <c r="J2546" s="5">
        <f>HYPERLINK("https://map.naver.com/p/search/나성동 829", "지도Link")</f>
        <v/>
      </c>
      <c r="K2546" s="5">
        <f>HYPERLINK("http://www.eum.go.kr/web/ar/lu/luLandDet.jsp?pnu=3611010700108290000&amp;isNoScr=script&amp;mode=search", "토지이음")</f>
        <v/>
      </c>
      <c r="L2546" s="3" t="inlineStr">
        <is>
          <t>나래</t>
        </is>
      </c>
      <c r="M2546" s="3" t="n">
        <v>1</v>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3" t="inlineStr">
        <is>
          <t>2차선도로접 버스정류장 근접</t>
        </is>
      </c>
      <c r="I2547" s="5">
        <f>HYPERLINK("https://fin.land.naver.com/articles/2644585280", "매물Link")</f>
        <v/>
      </c>
      <c r="J2547" s="5">
        <f>HYPERLINK("https://map.naver.com/p/search/나성동 829", "지도Link")</f>
        <v/>
      </c>
      <c r="K2547" s="5">
        <f>HYPERLINK("http://www.eum.go.kr/web/ar/lu/luLandDet.jsp?pnu=3611010700108290000&amp;isNoScr=script&amp;mode=search", "토지이음")</f>
        <v/>
      </c>
      <c r="L2547" s="3" t="inlineStr">
        <is>
          <t>코리아</t>
        </is>
      </c>
      <c r="M2547" s="3" t="n">
        <v>1</v>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3" t="inlineStr">
        <is>
          <t>마사토이며 임도 있음</t>
        </is>
      </c>
      <c r="I2548" s="5">
        <f>HYPERLINK("https://fin.land.naver.com/articles/2645689513", "매물Link")</f>
        <v/>
      </c>
      <c r="J2548" s="5">
        <f>HYPERLINK("https://map.naver.com/p/search/나성동 829", "지도Link")</f>
        <v/>
      </c>
      <c r="K2548" s="5">
        <f>HYPERLINK("http://www.eum.go.kr/web/ar/lu/luLandDet.jsp?pnu=3611010700108290000&amp;isNoScr=script&amp;mode=search", "토지이음")</f>
        <v/>
      </c>
      <c r="L2548" s="3" t="inlineStr">
        <is>
          <t>금성</t>
        </is>
      </c>
      <c r="M2548" s="3" t="n">
        <v>1</v>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3" t="inlineStr">
        <is>
          <t>오동선 대청호 벚꽃길 도로와 접하고 있는 교통이편리하고 투자가치높은 임야</t>
        </is>
      </c>
      <c r="I2549" s="5">
        <f>HYPERLINK("https://fin.land.naver.com/articles/2648320541", "매물Link")</f>
        <v/>
      </c>
      <c r="J2549" s="5">
        <f>HYPERLINK("https://map.naver.com/p/search/나성동 829", "지도Link")</f>
        <v/>
      </c>
      <c r="K2549" s="5">
        <f>HYPERLINK("http://www.eum.go.kr/web/ar/lu/luLandDet.jsp?pnu=3611010700108290000&amp;isNoScr=script&amp;mode=search", "토지이음")</f>
        <v/>
      </c>
      <c r="L2549" s="3" t="inlineStr">
        <is>
          <t>귀빈</t>
        </is>
      </c>
      <c r="M2549" s="3" t="n">
        <v>1</v>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3" t="inlineStr">
        <is>
          <t>nan</t>
        </is>
      </c>
      <c r="I2550" s="5">
        <f>HYPERLINK("https://fin.land.naver.com/articles/2644426659", "매물Link")</f>
        <v/>
      </c>
      <c r="J2550" s="5">
        <f>HYPERLINK("https://map.naver.com/p/search/나성동 829", "지도Link")</f>
        <v/>
      </c>
      <c r="K2550" s="5">
        <f>HYPERLINK("http://www.eum.go.kr/web/ar/lu/luLandDet.jsp?pnu=3611010700108290000&amp;isNoScr=script&amp;mode=search", "토지이음")</f>
        <v/>
      </c>
      <c r="L2550" s="3" t="inlineStr">
        <is>
          <t>푸른솔 공인중인중개사</t>
        </is>
      </c>
      <c r="M2550" s="3" t="n">
        <v>1</v>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3" t="inlineStr">
        <is>
          <t>nan</t>
        </is>
      </c>
      <c r="I2551" s="5">
        <f>HYPERLINK("https://fin.land.naver.com/articles/2644428581", "매물Link")</f>
        <v/>
      </c>
      <c r="J2551" s="5">
        <f>HYPERLINK("https://map.naver.com/p/search/나성동 829", "지도Link")</f>
        <v/>
      </c>
      <c r="K2551" s="5">
        <f>HYPERLINK("http://www.eum.go.kr/web/ar/lu/luLandDet.jsp?pnu=3611010700108290000&amp;isNoScr=script&amp;mode=search", "토지이음")</f>
        <v/>
      </c>
      <c r="L2551" s="3" t="inlineStr">
        <is>
          <t>푸른솔 공인중인중개사</t>
        </is>
      </c>
      <c r="M2551" s="3" t="n">
        <v>1</v>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3" t="inlineStr">
        <is>
          <t>코너 각지의 다가구주택 최적지입니다 현재 2층건물 소재</t>
        </is>
      </c>
      <c r="I2552" s="5">
        <f>HYPERLINK("https://fin.land.naver.com/articles/2644943689", "매물Link")</f>
        <v/>
      </c>
      <c r="J2552" s="5">
        <f>HYPERLINK("https://map.naver.com/p/search/나성동 829", "지도Link")</f>
        <v/>
      </c>
      <c r="K2552" s="5">
        <f>HYPERLINK("http://www.eum.go.kr/web/ar/lu/luLandDet.jsp?pnu=3611010700108290000&amp;isNoScr=script&amp;mode=search", "토지이음")</f>
        <v/>
      </c>
      <c r="L2552" s="3" t="inlineStr">
        <is>
          <t>국화</t>
        </is>
      </c>
      <c r="M2552" s="3" t="n">
        <v>1</v>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3" t="inlineStr">
        <is>
          <t>도로인접 접근편리 향후 지가상승 기대됩니다</t>
        </is>
      </c>
      <c r="I2553" s="5">
        <f>HYPERLINK("https://fin.land.naver.com/articles/2649804885", "매물Link")</f>
        <v/>
      </c>
      <c r="J2553" s="5">
        <f>HYPERLINK("https://map.naver.com/p/search/나성동 829", "지도Link")</f>
        <v/>
      </c>
      <c r="K2553" s="5">
        <f>HYPERLINK("http://www.eum.go.kr/web/ar/lu/luLandDet.jsp?pnu=3611010700108290000&amp;isNoScr=script&amp;mode=search", "토지이음")</f>
        <v/>
      </c>
      <c r="L2553" s="3" t="inlineStr">
        <is>
          <t>도램마을</t>
        </is>
      </c>
      <c r="M2553" s="3" t="n">
        <v>1</v>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3" t="inlineStr">
        <is>
          <t>유동인구 많은 대도로변으로 건축가능, 신규아파트 입주가 많음 동네</t>
        </is>
      </c>
      <c r="I2554" s="5">
        <f>HYPERLINK("https://fin.land.naver.com/articles/2648901307", "매물Link")</f>
        <v/>
      </c>
      <c r="J2554" s="5">
        <f>HYPERLINK("https://map.naver.com/p/search/나성동 829", "지도Link")</f>
        <v/>
      </c>
      <c r="K2554" s="5">
        <f>HYPERLINK("http://www.eum.go.kr/web/ar/lu/luLandDet.jsp?pnu=3611010700108290000&amp;isNoScr=script&amp;mode=search", "토지이음")</f>
        <v/>
      </c>
      <c r="L2554" s="3" t="inlineStr">
        <is>
          <t>가오지구</t>
        </is>
      </c>
      <c r="M2554" s="3" t="n">
        <v>1</v>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3" t="inlineStr">
        <is>
          <t>동구 가오동 토지매매,주말체험영농 토지매매</t>
        </is>
      </c>
      <c r="I2555" s="5">
        <f>HYPERLINK("https://fin.land.naver.com/articles/2647312760", "매물Link")</f>
        <v/>
      </c>
      <c r="J2555" s="5">
        <f>HYPERLINK("https://map.naver.com/p/search/나성동 829", "지도Link")</f>
        <v/>
      </c>
      <c r="K2555" s="5">
        <f>HYPERLINK("http://www.eum.go.kr/web/ar/lu/luLandDet.jsp?pnu=3611010700108290000&amp;isNoScr=script&amp;mode=search", "토지이음")</f>
        <v/>
      </c>
      <c r="L2555" s="3" t="inlineStr">
        <is>
          <t>(주)가가</t>
        </is>
      </c>
      <c r="M2555" s="3" t="n">
        <v>1</v>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3" t="inlineStr">
        <is>
          <t>nan</t>
        </is>
      </c>
      <c r="I2556" s="5">
        <f>HYPERLINK("https://fin.land.naver.com/articles/2646617282", "매물Link")</f>
        <v/>
      </c>
      <c r="J2556" s="5">
        <f>HYPERLINK("https://map.naver.com/p/search/나성동 829", "지도Link")</f>
        <v/>
      </c>
      <c r="K2556" s="5">
        <f>HYPERLINK("http://www.eum.go.kr/web/ar/lu/luLandDet.jsp?pnu=3611010700108290000&amp;isNoScr=script&amp;mode=search", "토지이음")</f>
        <v/>
      </c>
      <c r="L2556" s="3" t="inlineStr">
        <is>
          <t>자이드림</t>
        </is>
      </c>
      <c r="M2556" s="3" t="n">
        <v>1</v>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3" t="inlineStr">
        <is>
          <t>판암역주변 교통편리</t>
        </is>
      </c>
      <c r="I2557" s="5">
        <f>HYPERLINK("https://fin.land.naver.com/articles/2649659704", "매물Link")</f>
        <v/>
      </c>
      <c r="J2557" s="5">
        <f>HYPERLINK("https://map.naver.com/p/search/나성동 829", "지도Link")</f>
        <v/>
      </c>
      <c r="K2557" s="5">
        <f>HYPERLINK("http://www.eum.go.kr/web/ar/lu/luLandDet.jsp?pnu=3611010700108290000&amp;isNoScr=script&amp;mode=search", "토지이음")</f>
        <v/>
      </c>
      <c r="L2557" s="3" t="inlineStr">
        <is>
          <t>어진마을</t>
        </is>
      </c>
      <c r="M2557" s="3" t="n">
        <v>1</v>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3" t="inlineStr">
        <is>
          <t>자연녹지,제1종일반주거지역, 전기,지하수,농막컨테이너 있습니다</t>
        </is>
      </c>
      <c r="I2558" s="5">
        <f>HYPERLINK("https://fin.land.naver.com/articles/2648830959", "매물Link")</f>
        <v/>
      </c>
      <c r="J2558" s="5">
        <f>HYPERLINK("https://map.naver.com/p/search/나성동 829", "지도Link")</f>
        <v/>
      </c>
      <c r="K2558" s="5">
        <f>HYPERLINK("http://www.eum.go.kr/web/ar/lu/luLandDet.jsp?pnu=3611010700108290000&amp;isNoScr=script&amp;mode=search", "토지이음")</f>
        <v/>
      </c>
      <c r="L2558" s="3" t="inlineStr">
        <is>
          <t>삼보</t>
        </is>
      </c>
      <c r="M2558" s="3" t="n">
        <v>1</v>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3" t="inlineStr">
        <is>
          <t>귀한 자연 녹지, 분할가능, 약 6~7m 도로접</t>
        </is>
      </c>
      <c r="I2559" s="5">
        <f>HYPERLINK("https://fin.land.naver.com/articles/2648634393", "매물Link")</f>
        <v/>
      </c>
      <c r="J2559" s="5">
        <f>HYPERLINK("https://map.naver.com/p/search/나성동 829", "지도Link")</f>
        <v/>
      </c>
      <c r="K2559" s="5">
        <f>HYPERLINK("http://www.eum.go.kr/web/ar/lu/luLandDet.jsp?pnu=3611010700108290000&amp;isNoScr=script&amp;mode=search", "토지이음")</f>
        <v/>
      </c>
      <c r="L2559" s="3" t="inlineStr">
        <is>
          <t>대복</t>
        </is>
      </c>
      <c r="M2559" s="3" t="n">
        <v>1</v>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3" t="inlineStr">
        <is>
          <t>지하철 판암역 3분거리 도시개발한곳 , 다가구주택추천</t>
        </is>
      </c>
      <c r="I2560" s="5">
        <f>HYPERLINK("https://fin.land.naver.com/articles/2647725247", "매물Link")</f>
        <v/>
      </c>
      <c r="J2560" s="5">
        <f>HYPERLINK("https://map.naver.com/p/search/나성동 829", "지도Link")</f>
        <v/>
      </c>
      <c r="K2560" s="5">
        <f>HYPERLINK("http://www.eum.go.kr/web/ar/lu/luLandDet.jsp?pnu=3611010700108290000&amp;isNoScr=script&amp;mode=search", "토지이음")</f>
        <v/>
      </c>
      <c r="L2560" s="3" t="inlineStr">
        <is>
          <t>한결</t>
        </is>
      </c>
      <c r="M2560" s="3" t="n">
        <v>1</v>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3" t="inlineStr">
        <is>
          <t>코너각지 상가주택 신축적지</t>
        </is>
      </c>
      <c r="I2561" s="5">
        <f>HYPERLINK("https://fin.land.naver.com/articles/2644674828", "매물Link")</f>
        <v/>
      </c>
      <c r="J2561" s="5">
        <f>HYPERLINK("https://map.naver.com/p/search/나성동 829", "지도Link")</f>
        <v/>
      </c>
      <c r="K2561" s="5">
        <f>HYPERLINK("http://www.eum.go.kr/web/ar/lu/luLandDet.jsp?pnu=3611010700108290000&amp;isNoScr=script&amp;mode=search", "토지이음")</f>
        <v/>
      </c>
      <c r="L2561" s="3" t="inlineStr">
        <is>
          <t>판암삼정일등</t>
        </is>
      </c>
      <c r="M2561" s="3" t="n">
        <v>1</v>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3" t="inlineStr">
        <is>
          <t>도로변에 접한 대로서 자연취락지구 입니다</t>
        </is>
      </c>
      <c r="I2562" s="5">
        <f>HYPERLINK("https://fin.land.naver.com/articles/2648104068", "매물Link")</f>
        <v/>
      </c>
      <c r="J2562" s="5">
        <f>HYPERLINK("https://map.naver.com/p/search/나성동 829", "지도Link")</f>
        <v/>
      </c>
      <c r="K2562" s="5">
        <f>HYPERLINK("http://www.eum.go.kr/web/ar/lu/luLandDet.jsp?pnu=3611010700108290000&amp;isNoScr=script&amp;mode=search", "토지이음")</f>
        <v/>
      </c>
      <c r="L2562" s="3" t="inlineStr">
        <is>
          <t>삼보</t>
        </is>
      </c>
      <c r="M2562" s="3" t="n">
        <v>1</v>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3" t="inlineStr">
        <is>
          <t>계획관리 포장도로접</t>
        </is>
      </c>
      <c r="I2563" s="5">
        <f>HYPERLINK("https://fin.land.naver.com/articles/2649136761", "매물Link")</f>
        <v/>
      </c>
      <c r="J2563" s="5">
        <f>HYPERLINK("https://map.naver.com/p/search/나성동 829", "지도Link")</f>
        <v/>
      </c>
      <c r="K2563" s="5">
        <f>HYPERLINK("http://www.eum.go.kr/web/ar/lu/luLandDet.jsp?pnu=3611010700108290000&amp;isNoScr=script&amp;mode=search", "토지이음")</f>
        <v/>
      </c>
      <c r="L2563" s="3" t="inlineStr">
        <is>
          <t>평원</t>
        </is>
      </c>
      <c r="M2563" s="3" t="n">
        <v>1</v>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3" t="inlineStr">
        <is>
          <t>대도로변계획정리된 대학가인근 토지로 고시텔, 다중,다가구,상가주택 적지임</t>
        </is>
      </c>
      <c r="I2564" s="5">
        <f>HYPERLINK("https://fin.land.naver.com/articles/2645781166", "매물Link")</f>
        <v/>
      </c>
      <c r="J2564" s="5">
        <f>HYPERLINK("https://map.naver.com/p/search/나성동 829", "지도Link")</f>
        <v/>
      </c>
      <c r="K2564" s="5">
        <f>HYPERLINK("http://www.eum.go.kr/web/ar/lu/luLandDet.jsp?pnu=3611010700108290000&amp;isNoScr=script&amp;mode=search", "토지이음")</f>
        <v/>
      </c>
      <c r="L2564" s="3" t="inlineStr">
        <is>
          <t>스타</t>
        </is>
      </c>
      <c r="M2564" s="3" t="n">
        <v>1</v>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3" t="inlineStr">
        <is>
          <t>일반주거지역으로 다양한 용도 사용, 기타 추가 협의</t>
        </is>
      </c>
      <c r="I2565" s="5">
        <f>HYPERLINK("https://fin.land.naver.com/articles/2645508025", "매물Link")</f>
        <v/>
      </c>
      <c r="J2565" s="5">
        <f>HYPERLINK("https://map.naver.com/p/search/나성동 829", "지도Link")</f>
        <v/>
      </c>
      <c r="K2565" s="5">
        <f>HYPERLINK("http://www.eum.go.kr/web/ar/lu/luLandDet.jsp?pnu=3611010700108290000&amp;isNoScr=script&amp;mode=search", "토지이음")</f>
        <v/>
      </c>
      <c r="L2565" s="3" t="inlineStr">
        <is>
          <t>예미지대표</t>
        </is>
      </c>
      <c r="M2565" s="3" t="n">
        <v>1</v>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3" t="inlineStr">
        <is>
          <t>용운동 e편한세상아파트와 대전대학교 동문 인접지 토지</t>
        </is>
      </c>
      <c r="I2566" s="5">
        <f>HYPERLINK("https://fin.land.naver.com/articles/2644455508", "매물Link")</f>
        <v/>
      </c>
      <c r="J2566" s="5">
        <f>HYPERLINK("https://map.naver.com/p/search/나성동 829", "지도Link")</f>
        <v/>
      </c>
      <c r="K2566" s="5">
        <f>HYPERLINK("http://www.eum.go.kr/web/ar/lu/luLandDet.jsp?pnu=3611010700108290000&amp;isNoScr=script&amp;mode=search", "토지이음")</f>
        <v/>
      </c>
      <c r="L2566" s="3" t="inlineStr">
        <is>
          <t>행운</t>
        </is>
      </c>
      <c r="M2566" s="3" t="n">
        <v>1</v>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3" t="inlineStr">
        <is>
          <t>대로변 상업지 토지 땅값에 나온 귀한 토지 코너각지</t>
        </is>
      </c>
      <c r="I2567" s="5">
        <f>HYPERLINK("https://fin.land.naver.com/articles/2647243330", "매물Link")</f>
        <v/>
      </c>
      <c r="J2567" s="5">
        <f>HYPERLINK("https://map.naver.com/p/search/나성동 829", "지도Link")</f>
        <v/>
      </c>
      <c r="K2567" s="5">
        <f>HYPERLINK("http://www.eum.go.kr/web/ar/lu/luLandDet.jsp?pnu=3611010700108290000&amp;isNoScr=script&amp;mode=search", "토지이음")</f>
        <v/>
      </c>
      <c r="L2567" s="3" t="inlineStr">
        <is>
          <t>(주)정민근</t>
        </is>
      </c>
      <c r="M2567" s="3" t="n">
        <v>1</v>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3" t="inlineStr">
        <is>
          <t>판암TG인근 대로변 개발용도의 토지</t>
        </is>
      </c>
      <c r="I2568" s="5">
        <f>HYPERLINK("https://fin.land.naver.com/articles/2648006039", "매물Link")</f>
        <v/>
      </c>
      <c r="J2568" s="5">
        <f>HYPERLINK("https://map.naver.com/p/search/나성동 829", "지도Link")</f>
        <v/>
      </c>
      <c r="K2568" s="5">
        <f>HYPERLINK("http://www.eum.go.kr/web/ar/lu/luLandDet.jsp?pnu=3611010700108290000&amp;isNoScr=script&amp;mode=search", "토지이음")</f>
        <v/>
      </c>
      <c r="L2568" s="3" t="inlineStr">
        <is>
          <t>썬</t>
        </is>
      </c>
      <c r="M2568" s="3" t="n">
        <v>1</v>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3" t="inlineStr">
        <is>
          <t>e편한세상 앞, 행정복지센터 옆 산내동 최고의 황금 코너 상업지 매매</t>
        </is>
      </c>
      <c r="I2569" s="5">
        <f>HYPERLINK("https://fin.land.naver.com/articles/2644982798", "매물Link")</f>
        <v/>
      </c>
      <c r="J2569" s="5">
        <f>HYPERLINK("https://map.naver.com/p/search/나성동 829", "지도Link")</f>
        <v/>
      </c>
      <c r="K2569" s="5">
        <f>HYPERLINK("http://www.eum.go.kr/web/ar/lu/luLandDet.jsp?pnu=3611010700108290000&amp;isNoScr=script&amp;mode=search", "토지이음")</f>
        <v/>
      </c>
      <c r="L2569" s="3" t="inlineStr">
        <is>
          <t>귀빈</t>
        </is>
      </c>
      <c r="M2569" s="3" t="n">
        <v>1</v>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3" t="inlineStr">
        <is>
          <t>nan</t>
        </is>
      </c>
      <c r="I2570" s="5">
        <f>HYPERLINK("https://fin.land.naver.com/articles/2647675087", "매물Link")</f>
        <v/>
      </c>
      <c r="J2570" s="5">
        <f>HYPERLINK("https://map.naver.com/p/search/나성동 829", "지도Link")</f>
        <v/>
      </c>
      <c r="K2570" s="5">
        <f>HYPERLINK("http://www.eum.go.kr/web/ar/lu/luLandDet.jsp?pnu=3611010700108290000&amp;isNoScr=script&amp;mode=search", "토지이음")</f>
        <v/>
      </c>
      <c r="L2570" s="3" t="inlineStr">
        <is>
          <t>도안우미린사랑무소</t>
        </is>
      </c>
      <c r="M2570" s="3" t="n">
        <v>1</v>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3" t="inlineStr">
        <is>
          <t>삼괴동 소룡골 안쪽 공기맑고,조용한곳,수양,휴식처로 적합,소하천 접함</t>
        </is>
      </c>
      <c r="I2571" s="5">
        <f>HYPERLINK("https://fin.land.naver.com/articles/2646984941", "매물Link")</f>
        <v/>
      </c>
      <c r="J2571" s="5">
        <f>HYPERLINK("https://map.naver.com/p/search/나성동 829", "지도Link")</f>
        <v/>
      </c>
      <c r="K2571" s="5">
        <f>HYPERLINK("http://www.eum.go.kr/web/ar/lu/luLandDet.jsp?pnu=3611010700108290000&amp;isNoScr=script&amp;mode=search", "토지이음")</f>
        <v/>
      </c>
      <c r="L2571" s="3" t="inlineStr">
        <is>
          <t>나래</t>
        </is>
      </c>
      <c r="M2571" s="3" t="n">
        <v>1</v>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3" t="inlineStr">
        <is>
          <t>정남향 일조량최상
묘지(수목장,평장)</t>
        </is>
      </c>
      <c r="I2572" s="5">
        <f>HYPERLINK("https://fin.land.naver.com/articles/2644455997", "매물Link")</f>
        <v/>
      </c>
      <c r="J2572" s="5">
        <f>HYPERLINK("https://map.naver.com/p/search/나성동 829", "지도Link")</f>
        <v/>
      </c>
      <c r="K2572" s="5">
        <f>HYPERLINK("http://www.eum.go.kr/web/ar/lu/luLandDet.jsp?pnu=3611010700108290000&amp;isNoScr=script&amp;mode=search", "토지이음")</f>
        <v/>
      </c>
      <c r="L2572" s="3" t="inlineStr">
        <is>
          <t>행운</t>
        </is>
      </c>
      <c r="M2572" s="3" t="n">
        <v>1</v>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3" t="inlineStr">
        <is>
          <t>남향,도로접함,막힘없음,무허가 주택있는 대지,계획관리지역,가격절충가능</t>
        </is>
      </c>
      <c r="I2573" s="5">
        <f>HYPERLINK("https://fin.land.naver.com/articles/2647675636", "매물Link")</f>
        <v/>
      </c>
      <c r="J2573" s="5">
        <f>HYPERLINK("https://map.naver.com/p/search/나성동 829", "지도Link")</f>
        <v/>
      </c>
      <c r="K2573" s="5">
        <f>HYPERLINK("http://www.eum.go.kr/web/ar/lu/luLandDet.jsp?pnu=3611010700108290000&amp;isNoScr=script&amp;mode=search", "토지이음")</f>
        <v/>
      </c>
      <c r="L2573" s="3" t="inlineStr">
        <is>
          <t>도안우미린사랑무소</t>
        </is>
      </c>
      <c r="M2573" s="3" t="n">
        <v>1</v>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3" t="inlineStr">
        <is>
          <t>상소동 산림욕장 인근 농지,남대전IC 10분, 전기완비</t>
        </is>
      </c>
      <c r="I2574" s="5">
        <f>HYPERLINK("https://fin.land.naver.com/articles/2646517900", "매물Link")</f>
        <v/>
      </c>
      <c r="J2574" s="5">
        <f>HYPERLINK("https://map.naver.com/p/search/나성동 829", "지도Link")</f>
        <v/>
      </c>
      <c r="K2574" s="5">
        <f>HYPERLINK("http://www.eum.go.kr/web/ar/lu/luLandDet.jsp?pnu=3611010700108290000&amp;isNoScr=script&amp;mode=search", "토지이음")</f>
        <v/>
      </c>
      <c r="L2574" s="3" t="inlineStr">
        <is>
          <t>대성오투그란데</t>
        </is>
      </c>
      <c r="M2574" s="3" t="n">
        <v>1</v>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3" t="inlineStr">
        <is>
          <t>nan</t>
        </is>
      </c>
      <c r="I2575" s="5">
        <f>HYPERLINK("https://fin.land.naver.com/articles/2644488415", "매물Link")</f>
        <v/>
      </c>
      <c r="J2575" s="5">
        <f>HYPERLINK("https://map.naver.com/p/search/나성동 829", "지도Link")</f>
        <v/>
      </c>
      <c r="K2575" s="5">
        <f>HYPERLINK("http://www.eum.go.kr/web/ar/lu/luLandDet.jsp?pnu=3611010700108290000&amp;isNoScr=script&amp;mode=search", "토지이음")</f>
        <v/>
      </c>
      <c r="L2575" s="3" t="inlineStr">
        <is>
          <t>베누스</t>
        </is>
      </c>
      <c r="M2575" s="3" t="n">
        <v>1</v>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3" t="inlineStr">
        <is>
          <t>대전시 동구 하소동 일반산업단지내 토지입니다</t>
        </is>
      </c>
      <c r="I2576" s="5">
        <f>HYPERLINK("https://fin.land.naver.com/articles/2647468835", "매물Link")</f>
        <v/>
      </c>
      <c r="J2576" s="5">
        <f>HYPERLINK("https://map.naver.com/p/search/나성동 829", "지도Link")</f>
        <v/>
      </c>
      <c r="K2576" s="5">
        <f>HYPERLINK("http://www.eum.go.kr/web/ar/lu/luLandDet.jsp?pnu=3611010700108290000&amp;isNoScr=script&amp;mode=search", "토지이음")</f>
        <v/>
      </c>
      <c r="L2576" s="3" t="inlineStr">
        <is>
          <t>더행복</t>
        </is>
      </c>
      <c r="M2576" s="3" t="n">
        <v>1</v>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3" t="inlineStr">
        <is>
          <t>마을인접, 도로인접함</t>
        </is>
      </c>
      <c r="I2577" s="5">
        <f>HYPERLINK("https://fin.land.naver.com/articles/2649004404", "매물Link")</f>
        <v/>
      </c>
      <c r="J2577" s="5">
        <f>HYPERLINK("https://map.naver.com/p/search/나성동 829", "지도Link")</f>
        <v/>
      </c>
      <c r="K2577" s="5">
        <f>HYPERLINK("http://www.eum.go.kr/web/ar/lu/luLandDet.jsp?pnu=3611010700108290000&amp;isNoScr=script&amp;mode=search", "토지이음")</f>
        <v/>
      </c>
      <c r="L2577" s="3" t="inlineStr">
        <is>
          <t>가오씨티</t>
        </is>
      </c>
      <c r="M2577" s="3" t="n">
        <v>1</v>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3" t="inlineStr">
        <is>
          <t>도심특구지역에 위치한 대지로서 1층과 2층에 식당 건물이 있음</t>
        </is>
      </c>
      <c r="I2578" s="5">
        <f>HYPERLINK("https://fin.land.naver.com/articles/2648277521", "매물Link")</f>
        <v/>
      </c>
      <c r="J2578" s="5">
        <f>HYPERLINK("https://map.naver.com/p/search/나성동 829", "지도Link")</f>
        <v/>
      </c>
      <c r="K2578" s="5">
        <f>HYPERLINK("http://www.eum.go.kr/web/ar/lu/luLandDet.jsp?pnu=3611010700108290000&amp;isNoScr=script&amp;mode=search", "토지이음")</f>
        <v/>
      </c>
      <c r="L2578" s="3" t="inlineStr">
        <is>
          <t>힐스하늘채</t>
        </is>
      </c>
      <c r="M2578" s="3" t="n">
        <v>1</v>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3" t="inlineStr">
        <is>
          <t>8차선 대로변에 위치한 대지로 고층의 상가들을 지을 수 있음</t>
        </is>
      </c>
      <c r="I2579" s="5">
        <f>HYPERLINK("https://fin.land.naver.com/articles/2644561803", "매물Link")</f>
        <v/>
      </c>
      <c r="J2579" s="5">
        <f>HYPERLINK("https://map.naver.com/p/search/나성동 829", "지도Link")</f>
        <v/>
      </c>
      <c r="K2579" s="5">
        <f>HYPERLINK("http://www.eum.go.kr/web/ar/lu/luLandDet.jsp?pnu=3611010700108290000&amp;isNoScr=script&amp;mode=search", "토지이음")</f>
        <v/>
      </c>
      <c r="L2579" s="3" t="inlineStr">
        <is>
          <t>힐스하늘채</t>
        </is>
      </c>
      <c r="M2579" s="3" t="n">
        <v>1</v>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3" t="inlineStr">
        <is>
          <t>nan</t>
        </is>
      </c>
      <c r="I2580" s="5">
        <f>HYPERLINK("https://fin.land.naver.com/articles/2648314657", "매물Link")</f>
        <v/>
      </c>
      <c r="J2580" s="5">
        <f>HYPERLINK("https://map.naver.com/p/search/나성동 829", "지도Link")</f>
        <v/>
      </c>
      <c r="K2580" s="5">
        <f>HYPERLINK("http://www.eum.go.kr/web/ar/lu/luLandDet.jsp?pnu=3611010700108290000&amp;isNoScr=script&amp;mode=search", "토지이음")</f>
        <v/>
      </c>
      <c r="L2580" s="3" t="inlineStr">
        <is>
          <t>탑</t>
        </is>
      </c>
      <c r="M2580" s="3" t="n">
        <v>1</v>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3" t="inlineStr">
        <is>
          <t>투자목적으로 좋음</t>
        </is>
      </c>
      <c r="I2581" s="5">
        <f>HYPERLINK("https://fin.land.naver.com/articles/2646782911", "매물Link")</f>
        <v/>
      </c>
      <c r="J2581" s="5">
        <f>HYPERLINK("https://map.naver.com/p/search/나성동 829", "지도Link")</f>
        <v/>
      </c>
      <c r="K2581" s="5">
        <f>HYPERLINK("http://www.eum.go.kr/web/ar/lu/luLandDet.jsp?pnu=3611010700108290000&amp;isNoScr=script&amp;mode=search", "토지이음")</f>
        <v/>
      </c>
      <c r="L2581" s="3" t="inlineStr">
        <is>
          <t>한국 사무소</t>
        </is>
      </c>
      <c r="M2581" s="3" t="n">
        <v>1</v>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3" t="inlineStr">
        <is>
          <t>중촌역 예정지, 문화예술공연장 건립 인근, 2종일반주거지역</t>
        </is>
      </c>
      <c r="I2582" s="5">
        <f>HYPERLINK("https://fin.land.naver.com/articles/2645226605", "매물Link")</f>
        <v/>
      </c>
      <c r="J2582" s="5">
        <f>HYPERLINK("https://map.naver.com/p/search/나성동 829", "지도Link")</f>
        <v/>
      </c>
      <c r="K2582" s="5">
        <f>HYPERLINK("http://www.eum.go.kr/web/ar/lu/luLandDet.jsp?pnu=3611010700108290000&amp;isNoScr=script&amp;mode=search", "토지이음")</f>
        <v/>
      </c>
      <c r="L2582" s="3" t="inlineStr">
        <is>
          <t>오케이</t>
        </is>
      </c>
      <c r="M2582" s="3" t="n">
        <v>1</v>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3" t="inlineStr">
        <is>
          <t>nan</t>
        </is>
      </c>
      <c r="I2583" s="5">
        <f>HYPERLINK("https://fin.land.naver.com/articles/2646059440", "매물Link")</f>
        <v/>
      </c>
      <c r="J2583" s="5">
        <f>HYPERLINK("https://map.naver.com/p/search/나성동 829", "지도Link")</f>
        <v/>
      </c>
      <c r="K2583" s="5">
        <f>HYPERLINK("http://www.eum.go.kr/web/ar/lu/luLandDet.jsp?pnu=3611010700108290000&amp;isNoScr=script&amp;mode=search", "토지이음")</f>
        <v/>
      </c>
      <c r="L2583" s="3" t="inlineStr">
        <is>
          <t>땅부자</t>
        </is>
      </c>
      <c r="M2583" s="3" t="n">
        <v>1</v>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3" t="inlineStr">
        <is>
          <t>대흥동 카페거리 전면이 넓고 식당, 카페 등 추천, 다양한 상권 조성</t>
        </is>
      </c>
      <c r="I2584" s="5">
        <f>HYPERLINK("https://fin.land.naver.com/articles/2645328136", "매물Link")</f>
        <v/>
      </c>
      <c r="J2584" s="5">
        <f>HYPERLINK("https://map.naver.com/p/search/나성동 829", "지도Link")</f>
        <v/>
      </c>
      <c r="K2584" s="5">
        <f>HYPERLINK("http://www.eum.go.kr/web/ar/lu/luLandDet.jsp?pnu=3611010700108290000&amp;isNoScr=script&amp;mode=search", "토지이음")</f>
        <v/>
      </c>
      <c r="L2584" s="3" t="inlineStr">
        <is>
          <t>(주)미르</t>
        </is>
      </c>
      <c r="M2584" s="3" t="n">
        <v>1</v>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3" t="inlineStr">
        <is>
          <t>8미터1층물류창고, 2층주택, 문창석교 재개발(입주권2개)호재,월세수입</t>
        </is>
      </c>
      <c r="I2585" s="5">
        <f>HYPERLINK("https://fin.land.naver.com/articles/2648348211", "매물Link")</f>
        <v/>
      </c>
      <c r="J2585" s="5">
        <f>HYPERLINK("https://map.naver.com/p/search/나성동 829", "지도Link")</f>
        <v/>
      </c>
      <c r="K2585" s="5">
        <f>HYPERLINK("http://www.eum.go.kr/web/ar/lu/luLandDet.jsp?pnu=3611010700108290000&amp;isNoScr=script&amp;mode=search", "토지이음")</f>
        <v/>
      </c>
      <c r="L2585" s="3" t="inlineStr">
        <is>
          <t>고운</t>
        </is>
      </c>
      <c r="M2585" s="3" t="n">
        <v>1</v>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3" t="inlineStr">
        <is>
          <t>대전 천변 도로 접  35m도로 각지 접 업무용 건물 신축지 적합 병원</t>
        </is>
      </c>
      <c r="I2586" s="5">
        <f>HYPERLINK("https://fin.land.naver.com/articles/2648824390", "매물Link")</f>
        <v/>
      </c>
      <c r="J2586" s="5">
        <f>HYPERLINK("https://map.naver.com/p/search/나성동 829", "지도Link")</f>
        <v/>
      </c>
      <c r="K2586" s="5">
        <f>HYPERLINK("http://www.eum.go.kr/web/ar/lu/luLandDet.jsp?pnu=3611010700108290000&amp;isNoScr=script&amp;mode=search", "토지이음")</f>
        <v/>
      </c>
      <c r="L2586" s="3" t="inlineStr">
        <is>
          <t>나래</t>
        </is>
      </c>
      <c r="M2586" s="3" t="n">
        <v>1</v>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3" t="inlineStr">
        <is>
          <t>대로변 코너각지 화장실1</t>
        </is>
      </c>
      <c r="I2587" s="5">
        <f>HYPERLINK("https://fin.land.naver.com/articles/2649143375", "매물Link")</f>
        <v/>
      </c>
      <c r="J2587" s="5">
        <f>HYPERLINK("https://map.naver.com/p/search/나성동 829", "지도Link")</f>
        <v/>
      </c>
      <c r="K2587" s="5">
        <f>HYPERLINK("http://www.eum.go.kr/web/ar/lu/luLandDet.jsp?pnu=3611010700108290000&amp;isNoScr=script&amp;mode=search", "토지이음")</f>
        <v/>
      </c>
      <c r="L2587" s="3" t="inlineStr">
        <is>
          <t>평원</t>
        </is>
      </c>
      <c r="M2587" s="3" t="n">
        <v>1</v>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3" t="inlineStr">
        <is>
          <t>대전 중구 목동 아파트 대단지 옆, 대로변 접한 알짜 임야 매매</t>
        </is>
      </c>
      <c r="I2588" s="5">
        <f>HYPERLINK("https://fin.land.naver.com/articles/2644983316", "매물Link")</f>
        <v/>
      </c>
      <c r="J2588" s="5">
        <f>HYPERLINK("https://map.naver.com/p/search/나성동 829", "지도Link")</f>
        <v/>
      </c>
      <c r="K2588" s="5">
        <f>HYPERLINK("http://www.eum.go.kr/web/ar/lu/luLandDet.jsp?pnu=3611010700108290000&amp;isNoScr=script&amp;mode=search", "토지이음")</f>
        <v/>
      </c>
      <c r="L2588" s="3" t="inlineStr">
        <is>
          <t>귀빈</t>
        </is>
      </c>
      <c r="M2588" s="3" t="n">
        <v>1</v>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3" t="inlineStr">
        <is>
          <t>nan</t>
        </is>
      </c>
      <c r="I2589" s="5">
        <f>HYPERLINK("https://fin.land.naver.com/articles/2647069382", "매물Link")</f>
        <v/>
      </c>
      <c r="J2589" s="5">
        <f>HYPERLINK("https://map.naver.com/p/search/나성동 829", "지도Link")</f>
        <v/>
      </c>
      <c r="K2589" s="5">
        <f>HYPERLINK("http://www.eum.go.kr/web/ar/lu/luLandDet.jsp?pnu=3611010700108290000&amp;isNoScr=script&amp;mode=search", "토지이음")</f>
        <v/>
      </c>
      <c r="L2589" s="3" t="inlineStr">
        <is>
          <t>국제</t>
        </is>
      </c>
      <c r="M2589" s="3" t="n">
        <v>1</v>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3" t="inlineStr">
        <is>
          <t>조망좋음 삼괴동 2차선 도로변,언덕 있는 토지, 남대전IC 10분</t>
        </is>
      </c>
      <c r="I2590" s="5">
        <f>HYPERLINK("https://fin.land.naver.com/articles/2647447992", "매물Link")</f>
        <v/>
      </c>
      <c r="J2590" s="5">
        <f>HYPERLINK("https://map.naver.com/p/search/나성동 829", "지도Link")</f>
        <v/>
      </c>
      <c r="K2590" s="5">
        <f>HYPERLINK("http://www.eum.go.kr/web/ar/lu/luLandDet.jsp?pnu=3611010700108290000&amp;isNoScr=script&amp;mode=search", "토지이음")</f>
        <v/>
      </c>
      <c r="L2590" s="3" t="inlineStr">
        <is>
          <t>대성오투그란데</t>
        </is>
      </c>
      <c r="M2590" s="3" t="n">
        <v>1</v>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3" t="inlineStr">
        <is>
          <t>nan</t>
        </is>
      </c>
      <c r="I2591" s="5">
        <f>HYPERLINK("https://fin.land.naver.com/articles/2649525581", "매물Link")</f>
        <v/>
      </c>
      <c r="J2591" s="5">
        <f>HYPERLINK("https://map.naver.com/p/search/나성동 829", "지도Link")</f>
        <v/>
      </c>
      <c r="K2591" s="5">
        <f>HYPERLINK("http://www.eum.go.kr/web/ar/lu/luLandDet.jsp?pnu=3611010700108290000&amp;isNoScr=script&amp;mode=search", "토지이음")</f>
        <v/>
      </c>
      <c r="L2591" s="3" t="inlineStr">
        <is>
          <t>성지</t>
        </is>
      </c>
      <c r="M2591" s="3" t="n">
        <v>1</v>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3" t="inlineStr">
        <is>
          <t>비닐하우스 농사중</t>
        </is>
      </c>
      <c r="I2592" s="5">
        <f>HYPERLINK("https://fin.land.naver.com/articles/2646636624", "매물Link")</f>
        <v/>
      </c>
      <c r="J2592" s="5">
        <f>HYPERLINK("https://map.naver.com/p/search/나성동 829", "지도Link")</f>
        <v/>
      </c>
      <c r="K2592" s="5">
        <f>HYPERLINK("http://www.eum.go.kr/web/ar/lu/luLandDet.jsp?pnu=3611010700108290000&amp;isNoScr=script&amp;mode=search", "토지이음")</f>
        <v/>
      </c>
      <c r="L2592" s="3" t="inlineStr">
        <is>
          <t>문화사랑</t>
        </is>
      </c>
      <c r="M2592" s="3" t="n">
        <v>1</v>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3" t="inlineStr">
        <is>
          <t>면허시험장 인근입니다.</t>
        </is>
      </c>
      <c r="I2593" s="5">
        <f>HYPERLINK("https://fin.land.naver.com/articles/2649100065", "매물Link")</f>
        <v/>
      </c>
      <c r="J2593" s="5">
        <f>HYPERLINK("https://map.naver.com/p/search/나성동 829", "지도Link")</f>
        <v/>
      </c>
      <c r="K2593" s="5">
        <f>HYPERLINK("http://www.eum.go.kr/web/ar/lu/luLandDet.jsp?pnu=3611010700108290000&amp;isNoScr=script&amp;mode=search", "토지이음")</f>
        <v/>
      </c>
      <c r="L2593" s="3" t="inlineStr">
        <is>
          <t>동행</t>
        </is>
      </c>
      <c r="M2593" s="3" t="n">
        <v>1</v>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3" t="inlineStr">
        <is>
          <t>농지매매</t>
        </is>
      </c>
      <c r="I2594" s="5">
        <f>HYPERLINK("https://fin.land.naver.com/articles/2646617768", "매물Link")</f>
        <v/>
      </c>
      <c r="J2594" s="5">
        <f>HYPERLINK("https://map.naver.com/p/search/나성동 829", "지도Link")</f>
        <v/>
      </c>
      <c r="K2594" s="5">
        <f>HYPERLINK("http://www.eum.go.kr/web/ar/lu/luLandDet.jsp?pnu=3611010700108290000&amp;isNoScr=script&amp;mode=search", "토지이음")</f>
        <v/>
      </c>
      <c r="L2594" s="3" t="inlineStr">
        <is>
          <t>자이드림</t>
        </is>
      </c>
      <c r="M2594" s="3" t="n">
        <v>1</v>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3" t="inlineStr">
        <is>
          <t>nan</t>
        </is>
      </c>
      <c r="I2595" s="5">
        <f>HYPERLINK("https://fin.land.naver.com/articles/2647658047", "매물Link")</f>
        <v/>
      </c>
      <c r="J2595" s="5">
        <f>HYPERLINK("https://map.naver.com/p/search/나성동 829", "지도Link")</f>
        <v/>
      </c>
      <c r="K2595" s="5">
        <f>HYPERLINK("http://www.eum.go.kr/web/ar/lu/luLandDet.jsp?pnu=3611010700108290000&amp;isNoScr=script&amp;mode=search", "토지이음")</f>
        <v/>
      </c>
      <c r="L2595" s="3" t="inlineStr">
        <is>
          <t>유성대박</t>
        </is>
      </c>
      <c r="M2595" s="3" t="n">
        <v>1</v>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3" t="inlineStr">
        <is>
          <t>현재 나대지로써 아파트 통행로 옆 다양한용도가능함</t>
        </is>
      </c>
      <c r="I2596" s="5">
        <f>HYPERLINK("https://fin.land.naver.com/articles/2647598544", "매물Link")</f>
        <v/>
      </c>
      <c r="J2596" s="5">
        <f>HYPERLINK("https://map.naver.com/p/search/나성동 829", "지도Link")</f>
        <v/>
      </c>
      <c r="K2596" s="5">
        <f>HYPERLINK("http://www.eum.go.kr/web/ar/lu/luLandDet.jsp?pnu=3611010700108290000&amp;isNoScr=script&amp;mode=search", "토지이음")</f>
        <v/>
      </c>
      <c r="L2596" s="3" t="inlineStr">
        <is>
          <t>삼익</t>
        </is>
      </c>
      <c r="M2596" s="3" t="n">
        <v>1</v>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3" t="inlineStr">
        <is>
          <t>신축아파트 주변으로써 투자가치 최상임</t>
        </is>
      </c>
      <c r="I2597" s="5">
        <f>HYPERLINK("https://fin.land.naver.com/articles/2647597830", "매물Link")</f>
        <v/>
      </c>
      <c r="J2597" s="5">
        <f>HYPERLINK("https://map.naver.com/p/search/나성동 829", "지도Link")</f>
        <v/>
      </c>
      <c r="K2597" s="5">
        <f>HYPERLINK("http://www.eum.go.kr/web/ar/lu/luLandDet.jsp?pnu=3611010700108290000&amp;isNoScr=script&amp;mode=search", "토지이음")</f>
        <v/>
      </c>
      <c r="L2597" s="3" t="inlineStr">
        <is>
          <t>삼익</t>
        </is>
      </c>
      <c r="M2597" s="3" t="n">
        <v>1</v>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3" t="inlineStr">
        <is>
          <t>도로접한땅.</t>
        </is>
      </c>
      <c r="I2598" s="5">
        <f>HYPERLINK("https://fin.land.naver.com/articles/2646630300", "매물Link")</f>
        <v/>
      </c>
      <c r="J2598" s="5">
        <f>HYPERLINK("https://map.naver.com/p/search/나성동 829", "지도Link")</f>
        <v/>
      </c>
      <c r="K2598" s="5">
        <f>HYPERLINK("http://www.eum.go.kr/web/ar/lu/luLandDet.jsp?pnu=3611010700108290000&amp;isNoScr=script&amp;mode=search", "토지이음")</f>
        <v/>
      </c>
      <c r="L2598" s="3" t="inlineStr">
        <is>
          <t>창대</t>
        </is>
      </c>
      <c r="M2598" s="3" t="n">
        <v>1</v>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3" t="inlineStr">
        <is>
          <t>관습상 도로 ,포도농장 구거접함,주말농장,투자용</t>
        </is>
      </c>
      <c r="I2599" s="5">
        <f>HYPERLINK("https://fin.land.naver.com/articles/2644026699", "매물Link")</f>
        <v/>
      </c>
      <c r="J2599" s="5">
        <f>HYPERLINK("https://map.naver.com/p/search/나성동 829", "지도Link")</f>
        <v/>
      </c>
      <c r="K2599" s="5">
        <f>HYPERLINK("http://www.eum.go.kr/web/ar/lu/luLandDet.jsp?pnu=3611010700108290000&amp;isNoScr=script&amp;mode=search", "토지이음")</f>
        <v/>
      </c>
      <c r="L2599" s="3" t="inlineStr">
        <is>
          <t>나래</t>
        </is>
      </c>
      <c r="M2599" s="3" t="n">
        <v>1</v>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3" t="inlineStr">
        <is>
          <t>하소산단 5분 거리, 폭 10m 진입도로 넓음 남대전 ic 10분 거리</t>
        </is>
      </c>
      <c r="I2600" s="5">
        <f>HYPERLINK("https://fin.land.naver.com/articles/2648077950", "매물Link")</f>
        <v/>
      </c>
      <c r="J2600" s="5">
        <f>HYPERLINK("https://map.naver.com/p/search/나성동 829", "지도Link")</f>
        <v/>
      </c>
      <c r="K2600" s="5">
        <f>HYPERLINK("http://www.eum.go.kr/web/ar/lu/luLandDet.jsp?pnu=3611010700108290000&amp;isNoScr=script&amp;mode=search", "토지이음")</f>
        <v/>
      </c>
      <c r="L2600" s="3" t="inlineStr">
        <is>
          <t>대성오투그란데</t>
        </is>
      </c>
      <c r="M2600" s="3" t="n">
        <v>1</v>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3" t="inlineStr">
        <is>
          <t>nan</t>
        </is>
      </c>
      <c r="I2601" s="5">
        <f>HYPERLINK("https://fin.land.naver.com/articles/2646980416", "매물Link")</f>
        <v/>
      </c>
      <c r="J2601" s="5">
        <f>HYPERLINK("https://map.naver.com/p/search/나성동 829", "지도Link")</f>
        <v/>
      </c>
      <c r="K2601" s="5">
        <f>HYPERLINK("http://www.eum.go.kr/web/ar/lu/luLandDet.jsp?pnu=3611010700108290000&amp;isNoScr=script&amp;mode=search", "토지이음")</f>
        <v/>
      </c>
      <c r="L2601" s="3" t="inlineStr">
        <is>
          <t>나래</t>
        </is>
      </c>
      <c r="M2601" s="3" t="n">
        <v>1</v>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3" t="inlineStr">
        <is>
          <t>동구 소호동에 위치한 개발제한구역해제된 대지매매</t>
        </is>
      </c>
      <c r="I2602" s="5">
        <f>HYPERLINK("https://fin.land.naver.com/articles/2646334967", "매물Link")</f>
        <v/>
      </c>
      <c r="J2602" s="5">
        <f>HYPERLINK("https://map.naver.com/p/search/나성동 829", "지도Link")</f>
        <v/>
      </c>
      <c r="K2602" s="5">
        <f>HYPERLINK("http://www.eum.go.kr/web/ar/lu/luLandDet.jsp?pnu=3611010700108290000&amp;isNoScr=script&amp;mode=search", "토지이음")</f>
        <v/>
      </c>
      <c r="L2602" s="3" t="inlineStr">
        <is>
          <t>오투제일</t>
        </is>
      </c>
      <c r="M2602" s="3" t="n">
        <v>1</v>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3" t="inlineStr">
        <is>
          <t>주말농장겸 장기투자용도</t>
        </is>
      </c>
      <c r="I2603" s="5">
        <f>HYPERLINK("https://fin.land.naver.com/articles/2648677445", "매물Link")</f>
        <v/>
      </c>
      <c r="J2603" s="5">
        <f>HYPERLINK("https://map.naver.com/p/search/나성동 829", "지도Link")</f>
        <v/>
      </c>
      <c r="K2603" s="5">
        <f>HYPERLINK("http://www.eum.go.kr/web/ar/lu/luLandDet.jsp?pnu=3611010700108290000&amp;isNoScr=script&amp;mode=search", "토지이음")</f>
        <v/>
      </c>
      <c r="L2603" s="3" t="inlineStr">
        <is>
          <t>썬</t>
        </is>
      </c>
      <c r="M2603" s="3" t="n">
        <v>1</v>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3" t="inlineStr">
        <is>
          <t>nan</t>
        </is>
      </c>
      <c r="I2604" s="5">
        <f>HYPERLINK("https://fin.land.naver.com/articles/2645525641", "매물Link")</f>
        <v/>
      </c>
      <c r="J2604" s="5">
        <f>HYPERLINK("https://map.naver.com/p/search/나성동 829", "지도Link")</f>
        <v/>
      </c>
      <c r="K2604" s="5">
        <f>HYPERLINK("http://www.eum.go.kr/web/ar/lu/luLandDet.jsp?pnu=3611010700108290000&amp;isNoScr=script&amp;mode=search", "토지이음")</f>
        <v/>
      </c>
      <c r="L2604" s="3" t="inlineStr">
        <is>
          <t>믿음</t>
        </is>
      </c>
      <c r="M2604" s="3" t="n">
        <v>1</v>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3" t="inlineStr">
        <is>
          <t>남대전IC 인근 2차선변 개발제한구역 및 대지일부 시내버스차고지 농원</t>
        </is>
      </c>
      <c r="I2605" s="5">
        <f>HYPERLINK("https://fin.land.naver.com/articles/2648669563", "매물Link")</f>
        <v/>
      </c>
      <c r="J2605" s="5">
        <f>HYPERLINK("https://map.naver.com/p/search/나성동 829", "지도Link")</f>
        <v/>
      </c>
      <c r="K2605" s="5">
        <f>HYPERLINK("http://www.eum.go.kr/web/ar/lu/luLandDet.jsp?pnu=3611010700108290000&amp;isNoScr=script&amp;mode=search", "토지이음")</f>
        <v/>
      </c>
      <c r="L2605" s="3" t="inlineStr">
        <is>
          <t>테크노반석</t>
        </is>
      </c>
      <c r="M2605" s="3" t="n">
        <v>1</v>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3" t="inlineStr">
        <is>
          <t>nan</t>
        </is>
      </c>
      <c r="I2606" s="5">
        <f>HYPERLINK("https://fin.land.naver.com/articles/2649538166", "매물Link")</f>
        <v/>
      </c>
      <c r="J2606" s="5">
        <f>HYPERLINK("https://map.naver.com/p/search/나성동 829", "지도Link")</f>
        <v/>
      </c>
      <c r="K2606" s="5">
        <f>HYPERLINK("http://www.eum.go.kr/web/ar/lu/luLandDet.jsp?pnu=3611010700108290000&amp;isNoScr=script&amp;mode=search", "토지이음")</f>
        <v/>
      </c>
      <c r="L2606" s="3" t="inlineStr">
        <is>
          <t>마당발</t>
        </is>
      </c>
      <c r="M2606" s="3" t="n">
        <v>1</v>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3" t="inlineStr">
        <is>
          <t>뒤에 산이 있고 앞에 물이 흐르는 남동향의 토지임</t>
        </is>
      </c>
      <c r="I2607" s="5">
        <f>HYPERLINK("https://fin.land.naver.com/articles/2647681559", "매물Link")</f>
        <v/>
      </c>
      <c r="J2607" s="5">
        <f>HYPERLINK("https://map.naver.com/p/search/나성동 829", "지도Link")</f>
        <v/>
      </c>
      <c r="K2607" s="5">
        <f>HYPERLINK("http://www.eum.go.kr/web/ar/lu/luLandDet.jsp?pnu=3611010700108290000&amp;isNoScr=script&amp;mode=search", "토지이음")</f>
        <v/>
      </c>
      <c r="L2607" s="3" t="inlineStr">
        <is>
          <t>교차로</t>
        </is>
      </c>
      <c r="M2607" s="3" t="n">
        <v>1</v>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3" t="inlineStr">
        <is>
          <t>도로접(주차가능).수도.전기.야외화장실.비닐하우스2동.</t>
        </is>
      </c>
      <c r="I2608" s="5">
        <f>HYPERLINK("https://fin.land.naver.com/articles/2644895383", "매물Link")</f>
        <v/>
      </c>
      <c r="J2608" s="5">
        <f>HYPERLINK("https://map.naver.com/p/search/나성동 829", "지도Link")</f>
        <v/>
      </c>
      <c r="K2608" s="5">
        <f>HYPERLINK("http://www.eum.go.kr/web/ar/lu/luLandDet.jsp?pnu=3611010700108290000&amp;isNoScr=script&amp;mode=search", "토지이음")</f>
        <v/>
      </c>
      <c r="L2608" s="3" t="inlineStr">
        <is>
          <t>정문</t>
        </is>
      </c>
      <c r="M2608" s="3" t="n">
        <v>1</v>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3" t="inlineStr">
        <is>
          <t>nan</t>
        </is>
      </c>
      <c r="I2609" s="5">
        <f>HYPERLINK("https://fin.land.naver.com/articles/2647561298", "매물Link")</f>
        <v/>
      </c>
      <c r="J2609" s="5">
        <f>HYPERLINK("https://map.naver.com/p/search/나성동 829", "지도Link")</f>
        <v/>
      </c>
      <c r="K2609" s="5">
        <f>HYPERLINK("http://www.eum.go.kr/web/ar/lu/luLandDet.jsp?pnu=3611010700108290000&amp;isNoScr=script&amp;mode=search", "토지이음")</f>
        <v/>
      </c>
      <c r="L2609" s="3" t="inlineStr">
        <is>
          <t>광장(프라자)</t>
        </is>
      </c>
      <c r="M2609" s="3" t="n">
        <v>1</v>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3" t="inlineStr">
        <is>
          <t>위치좋고,전망좋은 향후투자가치 높음</t>
        </is>
      </c>
      <c r="I2610" s="5">
        <f>HYPERLINK("https://fin.land.naver.com/articles/2649281723", "매물Link")</f>
        <v/>
      </c>
      <c r="J2610" s="5">
        <f>HYPERLINK("https://map.naver.com/p/search/나성동 829", "지도Link")</f>
        <v/>
      </c>
      <c r="K2610" s="5">
        <f>HYPERLINK("http://www.eum.go.kr/web/ar/lu/luLandDet.jsp?pnu=3611010700108290000&amp;isNoScr=script&amp;mode=search", "토지이음")</f>
        <v/>
      </c>
      <c r="L2610" s="3" t="inlineStr">
        <is>
          <t>동양</t>
        </is>
      </c>
      <c r="M2610" s="3" t="n">
        <v>1</v>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3" t="inlineStr">
        <is>
          <t>저렴한가격,교통편리,주말농장</t>
        </is>
      </c>
      <c r="I2611" s="5">
        <f>HYPERLINK("https://fin.land.naver.com/articles/2648855437", "매물Link")</f>
        <v/>
      </c>
      <c r="J2611" s="5">
        <f>HYPERLINK("https://map.naver.com/p/search/나성동 829", "지도Link")</f>
        <v/>
      </c>
      <c r="K2611" s="5">
        <f>HYPERLINK("http://www.eum.go.kr/web/ar/lu/luLandDet.jsp?pnu=3611010700108290000&amp;isNoScr=script&amp;mode=search", "토지이음")</f>
        <v/>
      </c>
      <c r="L2611" s="3" t="inlineStr">
        <is>
          <t>아름다운</t>
        </is>
      </c>
      <c r="M2611" s="3" t="n">
        <v>1</v>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3" t="inlineStr">
        <is>
          <t>저렴한 임야</t>
        </is>
      </c>
      <c r="I2612" s="5">
        <f>HYPERLINK("https://fin.land.naver.com/articles/2647111451", "매물Link")</f>
        <v/>
      </c>
      <c r="J2612" s="5">
        <f>HYPERLINK("https://map.naver.com/p/search/나성동 829", "지도Link")</f>
        <v/>
      </c>
      <c r="K2612" s="5">
        <f>HYPERLINK("http://www.eum.go.kr/web/ar/lu/luLandDet.jsp?pnu=3611010700108290000&amp;isNoScr=script&amp;mode=search", "토지이음")</f>
        <v/>
      </c>
      <c r="L2612" s="3" t="inlineStr">
        <is>
          <t>THE행복</t>
        </is>
      </c>
      <c r="M2612" s="3" t="n">
        <v>1</v>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3" t="inlineStr">
        <is>
          <t>봉곡동 2차선 접한 토지</t>
        </is>
      </c>
      <c r="I2613" s="5">
        <f>HYPERLINK("https://fin.land.naver.com/articles/2644695745", "매물Link")</f>
        <v/>
      </c>
      <c r="J2613" s="5">
        <f>HYPERLINK("https://map.naver.com/p/search/나성동 829", "지도Link")</f>
        <v/>
      </c>
      <c r="K2613" s="5">
        <f>HYPERLINK("http://www.eum.go.kr/web/ar/lu/luLandDet.jsp?pnu=3611010700108290000&amp;isNoScr=script&amp;mode=search", "토지이음")</f>
        <v/>
      </c>
      <c r="L2613" s="3" t="inlineStr">
        <is>
          <t>세종114</t>
        </is>
      </c>
      <c r="M2613" s="3" t="n">
        <v>1</v>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3" t="inlineStr">
        <is>
          <t>GB,도로접함,주말농장적지,현밭으로사용중</t>
        </is>
      </c>
      <c r="I2614" s="5">
        <f>HYPERLINK("https://fin.land.naver.com/articles/2646599393", "매물Link")</f>
        <v/>
      </c>
      <c r="J2614" s="5">
        <f>HYPERLINK("https://map.naver.com/p/search/나성동 829", "지도Link")</f>
        <v/>
      </c>
      <c r="K2614" s="5">
        <f>HYPERLINK("http://www.eum.go.kr/web/ar/lu/luLandDet.jsp?pnu=3611010700108290000&amp;isNoScr=script&amp;mode=search", "토지이음")</f>
        <v/>
      </c>
      <c r="L2614" s="3" t="inlineStr">
        <is>
          <t>백조</t>
        </is>
      </c>
      <c r="M2614" s="3" t="n">
        <v>1</v>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3" t="inlineStr">
        <is>
          <t>GB,갑천변근접,차량진입가능,현포도나무식재</t>
        </is>
      </c>
      <c r="I2615" s="5">
        <f>HYPERLINK("https://fin.land.naver.com/articles/2646598349", "매물Link")</f>
        <v/>
      </c>
      <c r="J2615" s="5">
        <f>HYPERLINK("https://map.naver.com/p/search/나성동 829", "지도Link")</f>
        <v/>
      </c>
      <c r="K2615" s="5">
        <f>HYPERLINK("http://www.eum.go.kr/web/ar/lu/luLandDet.jsp?pnu=3611010700108290000&amp;isNoScr=script&amp;mode=search", "토지이음")</f>
        <v/>
      </c>
      <c r="L2615" s="3" t="inlineStr">
        <is>
          <t>백조</t>
        </is>
      </c>
      <c r="M2615" s="3" t="n">
        <v>1</v>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3" t="inlineStr">
        <is>
          <t>GB,천변도로접,주말농장,투자적지</t>
        </is>
      </c>
      <c r="I2616" s="5">
        <f>HYPERLINK("https://fin.land.naver.com/articles/2646597545", "매물Link")</f>
        <v/>
      </c>
      <c r="J2616" s="5">
        <f>HYPERLINK("https://map.naver.com/p/search/나성동 829", "지도Link")</f>
        <v/>
      </c>
      <c r="K2616" s="5">
        <f>HYPERLINK("http://www.eum.go.kr/web/ar/lu/luLandDet.jsp?pnu=3611010700108290000&amp;isNoScr=script&amp;mode=search", "토지이음")</f>
        <v/>
      </c>
      <c r="L2616" s="3" t="inlineStr">
        <is>
          <t>백조</t>
        </is>
      </c>
      <c r="M2616" s="3" t="n">
        <v>1</v>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3" t="inlineStr">
        <is>
          <t>괴곡동 느티나무근처 소재, 소도로접</t>
        </is>
      </c>
      <c r="I2617" s="5">
        <f>HYPERLINK("https://fin.land.naver.com/articles/2649917217", "매물Link")</f>
        <v/>
      </c>
      <c r="J2617" s="5">
        <f>HYPERLINK("https://map.naver.com/p/search/나성동 829", "지도Link")</f>
        <v/>
      </c>
      <c r="K2617" s="5">
        <f>HYPERLINK("http://www.eum.go.kr/web/ar/lu/luLandDet.jsp?pnu=3611010700108290000&amp;isNoScr=script&amp;mode=search", "토지이음")</f>
        <v/>
      </c>
      <c r="L2617" s="3" t="inlineStr">
        <is>
          <t>한국</t>
        </is>
      </c>
      <c r="M2617" s="3" t="n">
        <v>1</v>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3" t="inlineStr">
        <is>
          <t>괴곡동,  자연녹지,</t>
        </is>
      </c>
      <c r="I2618" s="5">
        <f>HYPERLINK("https://fin.land.naver.com/articles/2649912370", "매물Link")</f>
        <v/>
      </c>
      <c r="J2618" s="5">
        <f>HYPERLINK("https://map.naver.com/p/search/나성동 829", "지도Link")</f>
        <v/>
      </c>
      <c r="K2618" s="5">
        <f>HYPERLINK("http://www.eum.go.kr/web/ar/lu/luLandDet.jsp?pnu=3611010700108290000&amp;isNoScr=script&amp;mode=search", "토지이음")</f>
        <v/>
      </c>
      <c r="L2618" s="3" t="inlineStr">
        <is>
          <t>한국</t>
        </is>
      </c>
      <c r="M2618" s="3" t="n">
        <v>1</v>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3" t="inlineStr">
        <is>
          <t>괴곡동 자연녹지, 소도로 접</t>
        </is>
      </c>
      <c r="I2619" s="5">
        <f>HYPERLINK("https://fin.land.naver.com/articles/2649909160", "매물Link")</f>
        <v/>
      </c>
      <c r="J2619" s="5">
        <f>HYPERLINK("https://map.naver.com/p/search/나성동 829", "지도Link")</f>
        <v/>
      </c>
      <c r="K2619" s="5">
        <f>HYPERLINK("http://www.eum.go.kr/web/ar/lu/luLandDet.jsp?pnu=3611010700108290000&amp;isNoScr=script&amp;mode=search", "토지이음")</f>
        <v/>
      </c>
      <c r="L2619" s="3" t="inlineStr">
        <is>
          <t>한국</t>
        </is>
      </c>
      <c r="M2619" s="3" t="n">
        <v>1</v>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3" t="inlineStr">
        <is>
          <t>식당, 카페 위치로 적극 추천</t>
        </is>
      </c>
      <c r="I2620" s="5">
        <f>HYPERLINK("https://fin.land.naver.com/articles/2644773373", "매물Link")</f>
        <v/>
      </c>
      <c r="J2620" s="5">
        <f>HYPERLINK("https://map.naver.com/p/search/나성동 829", "지도Link")</f>
        <v/>
      </c>
      <c r="K2620" s="5">
        <f>HYPERLINK("http://www.eum.go.kr/web/ar/lu/luLandDet.jsp?pnu=3611010700108290000&amp;isNoScr=script&amp;mode=search", "토지이음")</f>
        <v/>
      </c>
      <c r="L2620" s="3" t="inlineStr">
        <is>
          <t>세종대평</t>
        </is>
      </c>
      <c r="M2620" s="3" t="n">
        <v>1</v>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3" t="inlineStr">
        <is>
          <t>도심과 인접하여 주말농장으로 추천합나다.</t>
        </is>
      </c>
      <c r="I2621" s="5">
        <f>HYPERLINK("https://fin.land.naver.com/articles/2645194994", "매물Link")</f>
        <v/>
      </c>
      <c r="J2621" s="5">
        <f>HYPERLINK("https://map.naver.com/p/search/나성동 829", "지도Link")</f>
        <v/>
      </c>
      <c r="K2621" s="5">
        <f>HYPERLINK("http://www.eum.go.kr/web/ar/lu/luLandDet.jsp?pnu=3611010700108290000&amp;isNoScr=script&amp;mode=search", "토지이음")</f>
        <v/>
      </c>
      <c r="L2621" s="3" t="inlineStr">
        <is>
          <t>늘푸른</t>
        </is>
      </c>
      <c r="M2621" s="3" t="n">
        <v>1</v>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3" t="inlineStr">
        <is>
          <t>급매.원내동 다가구 신축 적지,토지가 저렴,</t>
        </is>
      </c>
      <c r="I2622" s="5">
        <f>HYPERLINK("https://fin.land.naver.com/articles/2647769764", "매물Link")</f>
        <v/>
      </c>
      <c r="J2622" s="5">
        <f>HYPERLINK("https://map.naver.com/p/search/나성동 829", "지도Link")</f>
        <v/>
      </c>
      <c r="K2622" s="5">
        <f>HYPERLINK("http://www.eum.go.kr/web/ar/lu/luLandDet.jsp?pnu=3611010700108290000&amp;isNoScr=script&amp;mode=search", "토지이음")</f>
        <v/>
      </c>
      <c r="L2622" s="3" t="inlineStr">
        <is>
          <t>더책임</t>
        </is>
      </c>
      <c r="M2622" s="3" t="n">
        <v>2</v>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3" t="inlineStr">
        <is>
          <t>대단지아파트 인근 나대지,착한 가격 ,상가주택 적지,학교옆</t>
        </is>
      </c>
      <c r="I2623" s="5">
        <f>HYPERLINK("https://fin.land.naver.com/articles/2647772045", "매물Link")</f>
        <v/>
      </c>
      <c r="J2623" s="5">
        <f>HYPERLINK("https://map.naver.com/p/search/나성동 829", "지도Link")</f>
        <v/>
      </c>
      <c r="K2623" s="5">
        <f>HYPERLINK("http://www.eum.go.kr/web/ar/lu/luLandDet.jsp?pnu=3611010700108290000&amp;isNoScr=script&amp;mode=search", "토지이음")</f>
        <v/>
      </c>
      <c r="L2623" s="3" t="inlineStr">
        <is>
          <t>더책임</t>
        </is>
      </c>
      <c r="M2623" s="3" t="n">
        <v>1</v>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3" t="inlineStr">
        <is>
          <t>총3필지</t>
        </is>
      </c>
      <c r="I2624" s="5">
        <f>HYPERLINK("https://fin.land.naver.com/articles/2644873855", "매물Link")</f>
        <v/>
      </c>
      <c r="J2624" s="5">
        <f>HYPERLINK("https://map.naver.com/p/search/나성동 829", "지도Link")</f>
        <v/>
      </c>
      <c r="K2624" s="5">
        <f>HYPERLINK("http://www.eum.go.kr/web/ar/lu/luLandDet.jsp?pnu=3611010700108290000&amp;isNoScr=script&amp;mode=search", "토지이음")</f>
        <v/>
      </c>
      <c r="L2624" s="3" t="inlineStr">
        <is>
          <t>터</t>
        </is>
      </c>
      <c r="M2624" s="3" t="n">
        <v>1</v>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3" t="inlineStr">
        <is>
          <t>진잠도서관 인근 나대지,다가구,창고 신축 적합</t>
        </is>
      </c>
      <c r="I2625" s="5">
        <f>HYPERLINK("https://fin.land.naver.com/articles/2648309021", "매물Link")</f>
        <v/>
      </c>
      <c r="J2625" s="5">
        <f>HYPERLINK("https://map.naver.com/p/search/나성동 829", "지도Link")</f>
        <v/>
      </c>
      <c r="K2625" s="5">
        <f>HYPERLINK("http://www.eum.go.kr/web/ar/lu/luLandDet.jsp?pnu=3611010700108290000&amp;isNoScr=script&amp;mode=search", "토지이음")</f>
        <v/>
      </c>
      <c r="L2625" s="3" t="inlineStr">
        <is>
          <t>터와터</t>
        </is>
      </c>
      <c r="M2625" s="3" t="n">
        <v>1</v>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3" t="inlineStr">
        <is>
          <t>준주거지역,도로접,다가구,창고 신축 적합</t>
        </is>
      </c>
      <c r="I2626" s="5">
        <f>HYPERLINK("https://fin.land.naver.com/articles/2648307495", "매물Link")</f>
        <v/>
      </c>
      <c r="J2626" s="5">
        <f>HYPERLINK("https://map.naver.com/p/search/나성동 829", "지도Link")</f>
        <v/>
      </c>
      <c r="K2626" s="5">
        <f>HYPERLINK("http://www.eum.go.kr/web/ar/lu/luLandDet.jsp?pnu=3611010700108290000&amp;isNoScr=script&amp;mode=search", "토지이음")</f>
        <v/>
      </c>
      <c r="L2626" s="3" t="inlineStr">
        <is>
          <t>터와터</t>
        </is>
      </c>
      <c r="M2626" s="3" t="n">
        <v>1</v>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3" t="inlineStr">
        <is>
          <t>나노반도체 국가산업단지 대상지역</t>
        </is>
      </c>
      <c r="I2627" s="5">
        <f>HYPERLINK("https://fin.land.naver.com/articles/2647805579", "매물Link")</f>
        <v/>
      </c>
      <c r="J2627" s="5">
        <f>HYPERLINK("https://map.naver.com/p/search/나성동 829", "지도Link")</f>
        <v/>
      </c>
      <c r="K2627" s="5">
        <f>HYPERLINK("http://www.eum.go.kr/web/ar/lu/luLandDet.jsp?pnu=3611010700108290000&amp;isNoScr=script&amp;mode=search", "토지이음")</f>
        <v/>
      </c>
      <c r="L2627" s="3" t="inlineStr">
        <is>
          <t>골든타임</t>
        </is>
      </c>
      <c r="M2627" s="3" t="n">
        <v>1</v>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3" t="inlineStr">
        <is>
          <t>대전나노국가산업단지 편입에 따른 투자토지
개발제한구역.토지거래허가구역</t>
        </is>
      </c>
      <c r="I2628" s="5">
        <f>HYPERLINK("https://fin.land.naver.com/articles/2646954555", "매물Link")</f>
        <v/>
      </c>
      <c r="J2628" s="5">
        <f>HYPERLINK("https://map.naver.com/p/search/나성동 829", "지도Link")</f>
        <v/>
      </c>
      <c r="K2628" s="5">
        <f>HYPERLINK("http://www.eum.go.kr/web/ar/lu/luLandDet.jsp?pnu=3611010700108290000&amp;isNoScr=script&amp;mode=search", "토지이음")</f>
        <v/>
      </c>
      <c r="L2628" s="3" t="inlineStr">
        <is>
          <t>국화</t>
        </is>
      </c>
      <c r="M2628" s="3" t="n">
        <v>1</v>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3" t="inlineStr">
        <is>
          <t>도로접한 답,경지정리됨,갑천물이 흐름,청정구역,개발제한구역</t>
        </is>
      </c>
      <c r="I2629" s="5">
        <f>HYPERLINK("https://fin.land.naver.com/articles/2647674422", "매물Link")</f>
        <v/>
      </c>
      <c r="J2629" s="5">
        <f>HYPERLINK("https://map.naver.com/p/search/나성동 829", "지도Link")</f>
        <v/>
      </c>
      <c r="K2629" s="5">
        <f>HYPERLINK("http://www.eum.go.kr/web/ar/lu/luLandDet.jsp?pnu=3611010700108290000&amp;isNoScr=script&amp;mode=search", "토지이음")</f>
        <v/>
      </c>
      <c r="L2629" s="3" t="inlineStr">
        <is>
          <t>도안우미린사랑무소</t>
        </is>
      </c>
      <c r="M2629" s="3" t="n">
        <v>1</v>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3" t="inlineStr">
        <is>
          <t>원정동, 야산밑의 양지바른 농지,포장도로접함,개발제한구역,대토로도 추천</t>
        </is>
      </c>
      <c r="I2630" s="5">
        <f>HYPERLINK("https://fin.land.naver.com/articles/2647674472", "매물Link")</f>
        <v/>
      </c>
      <c r="J2630" s="5">
        <f>HYPERLINK("https://map.naver.com/p/search/나성동 829", "지도Link")</f>
        <v/>
      </c>
      <c r="K2630" s="5">
        <f>HYPERLINK("http://www.eum.go.kr/web/ar/lu/luLandDet.jsp?pnu=3611010700108290000&amp;isNoScr=script&amp;mode=search", "토지이음")</f>
        <v/>
      </c>
      <c r="L2630" s="3" t="inlineStr">
        <is>
          <t>도안우미린사랑무소</t>
        </is>
      </c>
      <c r="M2630" s="3" t="n">
        <v>1</v>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3" t="inlineStr">
        <is>
          <t>원정동 자연녹지, 소도로 접</t>
        </is>
      </c>
      <c r="I2631" s="5">
        <f>HYPERLINK("https://fin.land.naver.com/articles/2649911735", "매물Link")</f>
        <v/>
      </c>
      <c r="J2631" s="5">
        <f>HYPERLINK("https://map.naver.com/p/search/나성동 829", "지도Link")</f>
        <v/>
      </c>
      <c r="K2631" s="5">
        <f>HYPERLINK("http://www.eum.go.kr/web/ar/lu/luLandDet.jsp?pnu=3611010700108290000&amp;isNoScr=script&amp;mode=search", "토지이음")</f>
        <v/>
      </c>
      <c r="L2631" s="3" t="inlineStr">
        <is>
          <t>한국</t>
        </is>
      </c>
      <c r="M2631" s="3" t="n">
        <v>1</v>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3" t="inlineStr">
        <is>
          <t>GB,차량진입가,대토적지,분할가능</t>
        </is>
      </c>
      <c r="I2632" s="5">
        <f>HYPERLINK("https://fin.land.naver.com/articles/2646599107", "매물Link")</f>
        <v/>
      </c>
      <c r="J2632" s="5">
        <f>HYPERLINK("https://map.naver.com/p/search/나성동 829", "지도Link")</f>
        <v/>
      </c>
      <c r="K2632" s="5">
        <f>HYPERLINK("http://www.eum.go.kr/web/ar/lu/luLandDet.jsp?pnu=3611010700108290000&amp;isNoScr=script&amp;mode=search", "토지이음")</f>
        <v/>
      </c>
      <c r="L2632" s="3" t="inlineStr">
        <is>
          <t>백조</t>
        </is>
      </c>
      <c r="M2632" s="3" t="n">
        <v>1</v>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3" t="inlineStr">
        <is>
          <t>nan</t>
        </is>
      </c>
      <c r="I2633" s="5">
        <f>HYPERLINK("https://fin.land.naver.com/articles/2648995405", "매물Link")</f>
        <v/>
      </c>
      <c r="J2633" s="5">
        <f>HYPERLINK("https://map.naver.com/p/search/나성동 829", "지도Link")</f>
        <v/>
      </c>
      <c r="K2633" s="5">
        <f>HYPERLINK("http://www.eum.go.kr/web/ar/lu/luLandDet.jsp?pnu=3611010700108290000&amp;isNoScr=script&amp;mode=search", "토지이음")</f>
        <v/>
      </c>
      <c r="L2633" s="3" t="inlineStr">
        <is>
          <t>에듀퍼스트</t>
        </is>
      </c>
      <c r="M2633" s="3" t="n">
        <v>1</v>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3" t="inlineStr">
        <is>
          <t>전원주택지로 추천, 도로 접근성 용이함.</t>
        </is>
      </c>
      <c r="I2634" s="5">
        <f>HYPERLINK("https://fin.land.naver.com/articles/2648995098", "매물Link")</f>
        <v/>
      </c>
      <c r="J2634" s="5">
        <f>HYPERLINK("https://map.naver.com/p/search/나성동 829", "지도Link")</f>
        <v/>
      </c>
      <c r="K2634" s="5">
        <f>HYPERLINK("http://www.eum.go.kr/web/ar/lu/luLandDet.jsp?pnu=3611010700108290000&amp;isNoScr=script&amp;mode=search", "토지이음")</f>
        <v/>
      </c>
      <c r="L2634" s="3" t="inlineStr">
        <is>
          <t>에듀퍼스트</t>
        </is>
      </c>
      <c r="M2634" s="3" t="n">
        <v>1</v>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3" t="inlineStr">
        <is>
          <t>용포리삼거리에 있는 위치 좋은 토지 투자가치 큼.</t>
        </is>
      </c>
      <c r="I2635" s="5">
        <f>HYPERLINK("https://fin.land.naver.com/articles/2648979219", "매물Link")</f>
        <v/>
      </c>
      <c r="J2635" s="5">
        <f>HYPERLINK("https://map.naver.com/p/search/나성동 829", "지도Link")</f>
        <v/>
      </c>
      <c r="K2635" s="5">
        <f>HYPERLINK("http://www.eum.go.kr/web/ar/lu/luLandDet.jsp?pnu=3611010700108290000&amp;isNoScr=script&amp;mode=search", "토지이음")</f>
        <v/>
      </c>
      <c r="L2635" s="3" t="inlineStr">
        <is>
          <t>하이스트정원</t>
        </is>
      </c>
      <c r="M2635" s="3" t="n">
        <v>1</v>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3" t="inlineStr">
        <is>
          <t>nan</t>
        </is>
      </c>
      <c r="I2636" s="5">
        <f>HYPERLINK("https://fin.land.naver.com/articles/2648803480", "매물Link")</f>
        <v/>
      </c>
      <c r="J2636" s="5">
        <f>HYPERLINK("https://map.naver.com/p/search/나성동 829", "지도Link")</f>
        <v/>
      </c>
      <c r="K2636" s="5">
        <f>HYPERLINK("http://www.eum.go.kr/web/ar/lu/luLandDet.jsp?pnu=3611010700108290000&amp;isNoScr=script&amp;mode=search", "토지이음")</f>
        <v/>
      </c>
      <c r="L2636" s="3" t="inlineStr">
        <is>
          <t>생명나무</t>
        </is>
      </c>
      <c r="M2636" s="3" t="n">
        <v>1</v>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3" t="inlineStr">
        <is>
          <t>공시지가 제곱미터당 291,000</t>
        </is>
      </c>
      <c r="I2637" s="5">
        <f>HYPERLINK("https://fin.land.naver.com/articles/2648610621", "매물Link")</f>
        <v/>
      </c>
      <c r="J2637" s="5">
        <f>HYPERLINK("https://map.naver.com/p/search/나성동 829", "지도Link")</f>
        <v/>
      </c>
      <c r="K2637" s="5">
        <f>HYPERLINK("http://www.eum.go.kr/web/ar/lu/luLandDet.jsp?pnu=3611010700108290000&amp;isNoScr=script&amp;mode=search", "토지이음")</f>
        <v/>
      </c>
      <c r="L2637" s="3" t="inlineStr">
        <is>
          <t>신삼성</t>
        </is>
      </c>
      <c r="M2637" s="3" t="n">
        <v>1</v>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3" t="inlineStr">
        <is>
          <t>개발제한구역이며,토지거래허가구역임.</t>
        </is>
      </c>
      <c r="I2638" s="5">
        <f>HYPERLINK("https://fin.land.naver.com/articles/2648188335", "매물Link")</f>
        <v/>
      </c>
      <c r="J2638" s="5">
        <f>HYPERLINK("https://map.naver.com/p/search/나성동 829", "지도Link")</f>
        <v/>
      </c>
      <c r="K2638" s="5">
        <f>HYPERLINK("http://www.eum.go.kr/web/ar/lu/luLandDet.jsp?pnu=3611010700108290000&amp;isNoScr=script&amp;mode=search", "토지이음")</f>
        <v/>
      </c>
      <c r="L2638" s="3" t="inlineStr">
        <is>
          <t>이은숙</t>
        </is>
      </c>
      <c r="M2638" s="3" t="n">
        <v>1</v>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3" t="inlineStr">
        <is>
          <t>가격이 저렴하며. 향후투자가치가 있음.대토토지로 용이함</t>
        </is>
      </c>
      <c r="I2639" s="5">
        <f>HYPERLINK("https://fin.land.naver.com/articles/2648187976", "매물Link")</f>
        <v/>
      </c>
      <c r="J2639" s="5">
        <f>HYPERLINK("https://map.naver.com/p/search/나성동 829", "지도Link")</f>
        <v/>
      </c>
      <c r="K2639" s="5">
        <f>HYPERLINK("http://www.eum.go.kr/web/ar/lu/luLandDet.jsp?pnu=3611010700108290000&amp;isNoScr=script&amp;mode=search", "토지이음")</f>
        <v/>
      </c>
      <c r="L2639" s="3" t="inlineStr">
        <is>
          <t>이은숙</t>
        </is>
      </c>
      <c r="M2639" s="3" t="n">
        <v>1</v>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3" t="inlineStr">
        <is>
          <t>장재리 공시가거래</t>
        </is>
      </c>
      <c r="I2640" s="5">
        <f>HYPERLINK("https://fin.land.naver.com/articles/2648030713", "매물Link")</f>
        <v/>
      </c>
      <c r="J2640" s="5">
        <f>HYPERLINK("https://map.naver.com/p/search/나성동 829", "지도Link")</f>
        <v/>
      </c>
      <c r="K2640" s="5">
        <f>HYPERLINK("http://www.eum.go.kr/web/ar/lu/luLandDet.jsp?pnu=3611010700108290000&amp;isNoScr=script&amp;mode=search", "토지이음")</f>
        <v/>
      </c>
      <c r="L2640" s="3" t="inlineStr">
        <is>
          <t>THE행복</t>
        </is>
      </c>
      <c r="M2640" s="3" t="n">
        <v>1</v>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3" t="inlineStr">
        <is>
          <t>세종과 대전사이 금남면 용담리 위치좋은 토지매물</t>
        </is>
      </c>
      <c r="I2641" s="5">
        <f>HYPERLINK("https://fin.land.naver.com/articles/2647747239", "매물Link")</f>
        <v/>
      </c>
      <c r="J2641" s="5">
        <f>HYPERLINK("https://map.naver.com/p/search/나성동 829", "지도Link")</f>
        <v/>
      </c>
      <c r="K2641" s="5">
        <f>HYPERLINK("http://www.eum.go.kr/web/ar/lu/luLandDet.jsp?pnu=3611010700108290000&amp;isNoScr=script&amp;mode=search", "토지이음")</f>
        <v/>
      </c>
      <c r="L2641" s="3" t="inlineStr">
        <is>
          <t>트리풀행복</t>
        </is>
      </c>
      <c r="M2641" s="3" t="n">
        <v>1</v>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3" t="inlineStr">
        <is>
          <t>투자성 좋은 토지매매</t>
        </is>
      </c>
      <c r="I2642" s="5">
        <f>HYPERLINK("https://fin.land.naver.com/articles/2647687669", "매물Link")</f>
        <v/>
      </c>
      <c r="J2642" s="5">
        <f>HYPERLINK("https://map.naver.com/p/search/나성동 829", "지도Link")</f>
        <v/>
      </c>
      <c r="K2642" s="5">
        <f>HYPERLINK("http://www.eum.go.kr/web/ar/lu/luLandDet.jsp?pnu=3611010700108290000&amp;isNoScr=script&amp;mode=search", "토지이음")</f>
        <v/>
      </c>
      <c r="L2642" s="3" t="inlineStr">
        <is>
          <t>한솔랜드</t>
        </is>
      </c>
      <c r="M2642" s="3" t="n">
        <v>1</v>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3" t="inlineStr">
        <is>
          <t>금남면 성덕리 토지매매</t>
        </is>
      </c>
      <c r="I2643" s="5">
        <f>HYPERLINK("https://fin.land.naver.com/articles/2647678480", "매물Link")</f>
        <v/>
      </c>
      <c r="J2643" s="5">
        <f>HYPERLINK("https://map.naver.com/p/search/나성동 829", "지도Link")</f>
        <v/>
      </c>
      <c r="K2643" s="5">
        <f>HYPERLINK("http://www.eum.go.kr/web/ar/lu/luLandDet.jsp?pnu=3611010700108290000&amp;isNoScr=script&amp;mode=search", "토지이음")</f>
        <v/>
      </c>
      <c r="L2643" s="3" t="inlineStr">
        <is>
          <t>비전</t>
        </is>
      </c>
      <c r="M2643" s="3" t="n">
        <v>1</v>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3" t="inlineStr">
        <is>
          <t>본토지를 경계로 계획관리지역임 인접농로있음 관정설치 장기적인 투자추천</t>
        </is>
      </c>
      <c r="I2644" s="5">
        <f>HYPERLINK("https://fin.land.naver.com/articles/2647674937", "매물Link")</f>
        <v/>
      </c>
      <c r="J2644" s="5">
        <f>HYPERLINK("https://map.naver.com/p/search/나성동 829", "지도Link")</f>
        <v/>
      </c>
      <c r="K2644" s="5">
        <f>HYPERLINK("http://www.eum.go.kr/web/ar/lu/luLandDet.jsp?pnu=3611010700108290000&amp;isNoScr=script&amp;mode=search", "토지이음")</f>
        <v/>
      </c>
      <c r="L2644" s="3" t="inlineStr">
        <is>
          <t>도안우미린사랑무소</t>
        </is>
      </c>
      <c r="M2644" s="3" t="n">
        <v>1</v>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3" t="inlineStr">
        <is>
          <t>세종시 물류창고 및 사옥 용지로 적합 한 토지 매매</t>
        </is>
      </c>
      <c r="I2645" s="5">
        <f>HYPERLINK("https://fin.land.naver.com/articles/2644878093", "매물Link")</f>
        <v/>
      </c>
      <c r="J2645" s="5">
        <f>HYPERLINK("https://map.naver.com/p/search/나성동 829", "지도Link")</f>
        <v/>
      </c>
      <c r="K2645" s="5">
        <f>HYPERLINK("http://www.eum.go.kr/web/ar/lu/luLandDet.jsp?pnu=3611010700108290000&amp;isNoScr=script&amp;mode=search", "토지이음")</f>
        <v/>
      </c>
      <c r="L2645" s="3" t="inlineStr">
        <is>
          <t>신태양</t>
        </is>
      </c>
      <c r="M2645" s="3" t="n">
        <v>1</v>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3" t="inlineStr">
        <is>
          <t>대지 전환 후 단독주택 건축 가능한 농지 매매</t>
        </is>
      </c>
      <c r="I2646" s="5">
        <f>HYPERLINK("https://fin.land.naver.com/articles/2647647593", "매물Link")</f>
        <v/>
      </c>
      <c r="J2646" s="5">
        <f>HYPERLINK("https://map.naver.com/p/search/나성동 829", "지도Link")</f>
        <v/>
      </c>
      <c r="K2646" s="5">
        <f>HYPERLINK("http://www.eum.go.kr/web/ar/lu/luLandDet.jsp?pnu=3611010700108290000&amp;isNoScr=script&amp;mode=search", "토지이음")</f>
        <v/>
      </c>
      <c r="L2646" s="3" t="inlineStr">
        <is>
          <t>강우림</t>
        </is>
      </c>
      <c r="M2646" s="3" t="n">
        <v>1</v>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3" t="inlineStr">
        <is>
          <t>대전에 근접한 두만리 대지</t>
        </is>
      </c>
      <c r="I2647" s="5">
        <f>HYPERLINK("https://fin.land.naver.com/articles/2647445367", "매물Link")</f>
        <v/>
      </c>
      <c r="J2647" s="5">
        <f>HYPERLINK("https://map.naver.com/p/search/나성동 829", "지도Link")</f>
        <v/>
      </c>
      <c r="K2647" s="5">
        <f>HYPERLINK("http://www.eum.go.kr/web/ar/lu/luLandDet.jsp?pnu=3611010700108290000&amp;isNoScr=script&amp;mode=search", "토지이음")</f>
        <v/>
      </c>
      <c r="L2647" s="3" t="inlineStr">
        <is>
          <t>킹</t>
        </is>
      </c>
      <c r="M2647" s="3" t="n">
        <v>1</v>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3" t="inlineStr">
        <is>
          <t>계획관리.도로 있음.위번지외에 2필지있음</t>
        </is>
      </c>
      <c r="I2648" s="5">
        <f>HYPERLINK("https://fin.land.naver.com/articles/2647444670", "매물Link")</f>
        <v/>
      </c>
      <c r="J2648" s="5">
        <f>HYPERLINK("https://map.naver.com/p/search/나성동 829", "지도Link")</f>
        <v/>
      </c>
      <c r="K2648" s="5">
        <f>HYPERLINK("http://www.eum.go.kr/web/ar/lu/luLandDet.jsp?pnu=3611010700108290000&amp;isNoScr=script&amp;mode=search", "토지이음")</f>
        <v/>
      </c>
      <c r="L2648" s="3" t="inlineStr">
        <is>
          <t>킹</t>
        </is>
      </c>
      <c r="M2648" s="3" t="n">
        <v>1</v>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3" t="inlineStr">
        <is>
          <t>원봉리 대토 농지 농림지역 6미터도로 접한 답 매매</t>
        </is>
      </c>
      <c r="I2649" s="5">
        <f>HYPERLINK("https://fin.land.naver.com/articles/2647406883", "매물Link")</f>
        <v/>
      </c>
      <c r="J2649" s="5">
        <f>HYPERLINK("https://map.naver.com/p/search/나성동 829", "지도Link")</f>
        <v/>
      </c>
      <c r="K2649" s="5">
        <f>HYPERLINK("http://www.eum.go.kr/web/ar/lu/luLandDet.jsp?pnu=3611010700108290000&amp;isNoScr=script&amp;mode=search", "토지이음")</f>
        <v/>
      </c>
      <c r="L2649" s="3" t="inlineStr">
        <is>
          <t>로데오상가</t>
        </is>
      </c>
      <c r="M2649" s="3" t="n">
        <v>1</v>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3" t="inlineStr">
        <is>
          <t>금강뷰최상,물이 들어오고 나가는  것을  볼  수 최고의 전원주택지</t>
        </is>
      </c>
      <c r="I2650" s="5">
        <f>HYPERLINK("https://fin.land.naver.com/articles/2647561734", "매물Link")</f>
        <v/>
      </c>
      <c r="J2650" s="5">
        <f>HYPERLINK("https://map.naver.com/p/search/나성동 829", "지도Link")</f>
        <v/>
      </c>
      <c r="K2650" s="5">
        <f>HYPERLINK("http://www.eum.go.kr/web/ar/lu/luLandDet.jsp?pnu=3611010700108290000&amp;isNoScr=script&amp;mode=search", "토지이음")</f>
        <v/>
      </c>
      <c r="L2650" s="3" t="inlineStr">
        <is>
          <t>광장(프라자)</t>
        </is>
      </c>
      <c r="M2650" s="3" t="n">
        <v>1</v>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3" t="inlineStr">
        <is>
          <t>Point 주택, 창고 신축 부지 적합, 산업단지 조성 등 투자용</t>
        </is>
      </c>
      <c r="I2651" s="5">
        <f>HYPERLINK("https://fin.land.naver.com/articles/2645329699", "매물Link")</f>
        <v/>
      </c>
      <c r="J2651" s="5">
        <f>HYPERLINK("https://map.naver.com/p/search/나성동 829", "지도Link")</f>
        <v/>
      </c>
      <c r="K2651" s="5">
        <f>HYPERLINK("http://www.eum.go.kr/web/ar/lu/luLandDet.jsp?pnu=3611010700108290000&amp;isNoScr=script&amp;mode=search", "토지이음")</f>
        <v/>
      </c>
      <c r="L2651" s="3" t="inlineStr">
        <is>
          <t>도마호반</t>
        </is>
      </c>
      <c r="M2651" s="3" t="n">
        <v>1</v>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3" t="inlineStr">
        <is>
          <t>Point 주변 산업단지 조성 이슈 호재, 투자 추천</t>
        </is>
      </c>
      <c r="I2652" s="5">
        <f>HYPERLINK("https://fin.land.naver.com/articles/2645290173", "매물Link")</f>
        <v/>
      </c>
      <c r="J2652" s="5">
        <f>HYPERLINK("https://map.naver.com/p/search/나성동 829", "지도Link")</f>
        <v/>
      </c>
      <c r="K2652" s="5">
        <f>HYPERLINK("http://www.eum.go.kr/web/ar/lu/luLandDet.jsp?pnu=3611010700108290000&amp;isNoScr=script&amp;mode=search", "토지이음")</f>
        <v/>
      </c>
      <c r="L2652" s="3" t="inlineStr">
        <is>
          <t>도마호반</t>
        </is>
      </c>
      <c r="M2652" s="3" t="n">
        <v>1</v>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3" t="inlineStr">
        <is>
          <t>Point 급매,산단개발 이슈,모양 좋음, 전원주택지, 창고 신축 추천</t>
        </is>
      </c>
      <c r="I2653" s="5">
        <f>HYPERLINK("https://fin.land.naver.com/articles/2646877168", "매물Link")</f>
        <v/>
      </c>
      <c r="J2653" s="5">
        <f>HYPERLINK("https://map.naver.com/p/search/나성동 829", "지도Link")</f>
        <v/>
      </c>
      <c r="K2653" s="5">
        <f>HYPERLINK("http://www.eum.go.kr/web/ar/lu/luLandDet.jsp?pnu=3611010700108290000&amp;isNoScr=script&amp;mode=search", "토지이음")</f>
        <v/>
      </c>
      <c r="L2653" s="3" t="inlineStr">
        <is>
          <t>도마호반</t>
        </is>
      </c>
      <c r="M2653" s="3" t="n">
        <v>1</v>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3" t="inlineStr">
        <is>
          <t>내년 임도 최종 개통 예정 서구청 확인 특급 호재 임야 매매</t>
        </is>
      </c>
      <c r="I2654" s="5">
        <f>HYPERLINK("https://fin.land.naver.com/articles/2644983735", "매물Link")</f>
        <v/>
      </c>
      <c r="J2654" s="5">
        <f>HYPERLINK("https://map.naver.com/p/search/나성동 829", "지도Link")</f>
        <v/>
      </c>
      <c r="K2654" s="5">
        <f>HYPERLINK("http://www.eum.go.kr/web/ar/lu/luLandDet.jsp?pnu=3611010700108290000&amp;isNoScr=script&amp;mode=search", "토지이음")</f>
        <v/>
      </c>
      <c r="L2654" s="3" t="inlineStr">
        <is>
          <t>귀빈</t>
        </is>
      </c>
      <c r="M2654" s="3" t="n">
        <v>1</v>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3" t="inlineStr">
        <is>
          <t>농로 입접 임야  가격협의 가능</t>
        </is>
      </c>
      <c r="I2655" s="5">
        <f>HYPERLINK("https://fin.land.naver.com/articles/2647115887", "매물Link")</f>
        <v/>
      </c>
      <c r="J2655" s="5">
        <f>HYPERLINK("https://map.naver.com/p/search/나성동 829", "지도Link")</f>
        <v/>
      </c>
      <c r="K2655" s="5">
        <f>HYPERLINK("http://www.eum.go.kr/web/ar/lu/luLandDet.jsp?pnu=3611010700108290000&amp;isNoScr=script&amp;mode=search", "토지이음")</f>
        <v/>
      </c>
      <c r="L2655" s="3" t="inlineStr">
        <is>
          <t>유일</t>
        </is>
      </c>
      <c r="M2655" s="3" t="n">
        <v>1</v>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3" t="inlineStr">
        <is>
          <t>nan</t>
        </is>
      </c>
      <c r="I2656" s="5">
        <f>HYPERLINK("https://fin.land.naver.com/articles/2648310271", "매물Link")</f>
        <v/>
      </c>
      <c r="J2656" s="5">
        <f>HYPERLINK("https://map.naver.com/p/search/나성동 829", "지도Link")</f>
        <v/>
      </c>
      <c r="K2656" s="5">
        <f>HYPERLINK("http://www.eum.go.kr/web/ar/lu/luLandDet.jsp?pnu=3611010700108290000&amp;isNoScr=script&amp;mode=search", "토지이음")</f>
        <v/>
      </c>
      <c r="L2656" s="3" t="inlineStr">
        <is>
          <t>가수원당근</t>
        </is>
      </c>
      <c r="M2656" s="3" t="n">
        <v>1</v>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3" t="inlineStr">
        <is>
          <t>nan</t>
        </is>
      </c>
      <c r="I2657" s="5">
        <f>HYPERLINK("https://fin.land.naver.com/articles/2647561954", "매물Link")</f>
        <v/>
      </c>
      <c r="J2657" s="5">
        <f>HYPERLINK("https://map.naver.com/p/search/나성동 829", "지도Link")</f>
        <v/>
      </c>
      <c r="K2657" s="5">
        <f>HYPERLINK("http://www.eum.go.kr/web/ar/lu/luLandDet.jsp?pnu=3611010700108290000&amp;isNoScr=script&amp;mode=search", "토지이음")</f>
        <v/>
      </c>
      <c r="L2657" s="3" t="inlineStr">
        <is>
          <t>광장(프라자)</t>
        </is>
      </c>
      <c r="M2657" s="3" t="n">
        <v>1</v>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3" t="inlineStr">
        <is>
          <t>토지거래허가구역 차량진입가능합니다</t>
        </is>
      </c>
      <c r="I2658" s="5">
        <f>HYPERLINK("https://fin.land.naver.com/articles/2649559810", "매물Link")</f>
        <v/>
      </c>
      <c r="J2658" s="5">
        <f>HYPERLINK("https://map.naver.com/p/search/나성동 829", "지도Link")</f>
        <v/>
      </c>
      <c r="K2658" s="5">
        <f>HYPERLINK("http://www.eum.go.kr/web/ar/lu/luLandDet.jsp?pnu=3611010700108290000&amp;isNoScr=script&amp;mode=search", "토지이음")</f>
        <v/>
      </c>
      <c r="L2658" s="3" t="inlineStr">
        <is>
          <t>드리움행운</t>
        </is>
      </c>
      <c r="M2658" s="3" t="n">
        <v>1</v>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3" t="inlineStr">
        <is>
          <t>대로변 접한 토지로 차량 진출입 용이하며 홍보 효과 최상의 토지</t>
        </is>
      </c>
      <c r="I2659" s="5">
        <f>HYPERLINK("https://fin.land.naver.com/articles/2648924042", "매물Link")</f>
        <v/>
      </c>
      <c r="J2659" s="5">
        <f>HYPERLINK("https://map.naver.com/p/search/나성동 829", "지도Link")</f>
        <v/>
      </c>
      <c r="K2659" s="5">
        <f>HYPERLINK("http://www.eum.go.kr/web/ar/lu/luLandDet.jsp?pnu=3611010700108290000&amp;isNoScr=script&amp;mode=search", "토지이음")</f>
        <v/>
      </c>
      <c r="L2659" s="3" t="inlineStr">
        <is>
          <t>금화랜드</t>
        </is>
      </c>
      <c r="M2659" s="3" t="n">
        <v>1</v>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3" t="inlineStr">
        <is>
          <t>공시가격대비 착한가격 서남부3단계지구 밭으로 사용중입니다</t>
        </is>
      </c>
      <c r="I2660" s="5">
        <f>HYPERLINK("https://fin.land.naver.com/articles/2648853544", "매물Link")</f>
        <v/>
      </c>
      <c r="J2660" s="5">
        <f>HYPERLINK("https://map.naver.com/p/search/나성동 829", "지도Link")</f>
        <v/>
      </c>
      <c r="K2660" s="5">
        <f>HYPERLINK("http://www.eum.go.kr/web/ar/lu/luLandDet.jsp?pnu=3611010700108290000&amp;isNoScr=script&amp;mode=search", "토지이음")</f>
        <v/>
      </c>
      <c r="L2660" s="3" t="inlineStr">
        <is>
          <t>드리움행운</t>
        </is>
      </c>
      <c r="M2660" s="3" t="n">
        <v>1</v>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3" t="inlineStr">
        <is>
          <t>학하초 신축부지 인근 토지 매매</t>
        </is>
      </c>
      <c r="I2661" s="5">
        <f>HYPERLINK("https://fin.land.naver.com/articles/2647303004", "매물Link")</f>
        <v/>
      </c>
      <c r="J2661" s="5">
        <f>HYPERLINK("https://map.naver.com/p/search/나성동 829", "지도Link")</f>
        <v/>
      </c>
      <c r="K2661" s="5">
        <f>HYPERLINK("http://www.eum.go.kr/web/ar/lu/luLandDet.jsp?pnu=3611010700108290000&amp;isNoScr=script&amp;mode=search", "토지이음")</f>
        <v/>
      </c>
      <c r="L2661" s="3" t="inlineStr">
        <is>
          <t>학하랜드</t>
        </is>
      </c>
      <c r="M2661" s="3" t="n">
        <v>1</v>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3" t="inlineStr">
        <is>
          <t>대전 유성 학하지구 노른자 대지 매매즉시 건축가능,호재가득</t>
        </is>
      </c>
      <c r="I2662" s="5">
        <f>HYPERLINK("https://fin.land.naver.com/articles/2646010706", "매물Link")</f>
        <v/>
      </c>
      <c r="J2662" s="5">
        <f>HYPERLINK("https://map.naver.com/p/search/나성동 829", "지도Link")</f>
        <v/>
      </c>
      <c r="K2662" s="5">
        <f>HYPERLINK("http://www.eum.go.kr/web/ar/lu/luLandDet.jsp?pnu=3611010700108290000&amp;isNoScr=script&amp;mode=search", "토지이음")</f>
        <v/>
      </c>
      <c r="L2662" s="3" t="inlineStr">
        <is>
          <t>월정</t>
        </is>
      </c>
      <c r="M2662" s="3" t="n">
        <v>1</v>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3" t="inlineStr">
        <is>
          <t>학하동 학하초등학교인근 자연녹지 301p  현재 전 으로사용</t>
        </is>
      </c>
      <c r="I2663" s="5">
        <f>HYPERLINK("https://fin.land.naver.com/articles/2647671265", "매물Link")</f>
        <v/>
      </c>
      <c r="J2663" s="5">
        <f>HYPERLINK("https://map.naver.com/p/search/나성동 829", "지도Link")</f>
        <v/>
      </c>
      <c r="K2663" s="5">
        <f>HYPERLINK("http://www.eum.go.kr/web/ar/lu/luLandDet.jsp?pnu=3611010700108290000&amp;isNoScr=script&amp;mode=search", "토지이음")</f>
        <v/>
      </c>
      <c r="L2663" s="3" t="inlineStr">
        <is>
          <t>학하랜드</t>
        </is>
      </c>
      <c r="M2663" s="3" t="n">
        <v>1</v>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3" t="inlineStr">
        <is>
          <t>급매  코너 도로접한 정방형의 반듯한 위치좋은 토지</t>
        </is>
      </c>
      <c r="I2664" s="5">
        <f>HYPERLINK("https://fin.land.naver.com/articles/2645315468", "매물Link")</f>
        <v/>
      </c>
      <c r="J2664" s="5">
        <f>HYPERLINK("https://map.naver.com/p/search/나성동 829", "지도Link")</f>
        <v/>
      </c>
      <c r="K2664" s="5">
        <f>HYPERLINK("http://www.eum.go.kr/web/ar/lu/luLandDet.jsp?pnu=3611010700108290000&amp;isNoScr=script&amp;mode=search", "토지이음")</f>
        <v/>
      </c>
      <c r="L2664" s="3" t="inlineStr">
        <is>
          <t>학하랜드</t>
        </is>
      </c>
      <c r="M2664" s="3" t="n">
        <v>1</v>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3" t="inlineStr">
        <is>
          <t>보증금 500만원에 월50만원 나대지 임대입니다</t>
        </is>
      </c>
      <c r="I2665" s="5">
        <f>HYPERLINK("https://fin.land.naver.com/articles/2647263855", "매물Link")</f>
        <v/>
      </c>
      <c r="J2665" s="5">
        <f>HYPERLINK("https://map.naver.com/p/search/나성동 829", "지도Link")</f>
        <v/>
      </c>
      <c r="K2665" s="5">
        <f>HYPERLINK("http://www.eum.go.kr/web/ar/lu/luLandDet.jsp?pnu=3611010700108290000&amp;isNoScr=script&amp;mode=search", "토지이음")</f>
        <v/>
      </c>
      <c r="L2665" s="3" t="inlineStr">
        <is>
          <t>덕명1번지</t>
        </is>
      </c>
      <c r="M2665" s="3" t="n">
        <v>1</v>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3" t="inlineStr">
        <is>
          <t>코너각지 삼면 도로 접한 위치 아주좋은땅</t>
        </is>
      </c>
      <c r="I2666" s="5">
        <f>HYPERLINK("https://fin.land.naver.com/articles/2645238468", "매물Link")</f>
        <v/>
      </c>
      <c r="J2666" s="5">
        <f>HYPERLINK("https://map.naver.com/p/search/나성동 829", "지도Link")</f>
        <v/>
      </c>
      <c r="K2666" s="5">
        <f>HYPERLINK("http://www.eum.go.kr/web/ar/lu/luLandDet.jsp?pnu=3611010700108290000&amp;isNoScr=script&amp;mode=search", "토지이음")</f>
        <v/>
      </c>
      <c r="L2666" s="3" t="inlineStr">
        <is>
          <t>학하랜드</t>
        </is>
      </c>
      <c r="M2666" s="3" t="n">
        <v>1</v>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3" t="inlineStr">
        <is>
          <t>코너각지  위치 모양좋은 토지 매매</t>
        </is>
      </c>
      <c r="I2667" s="5">
        <f>HYPERLINK("https://fin.land.naver.com/articles/2647082517", "매물Link")</f>
        <v/>
      </c>
      <c r="J2667" s="5">
        <f>HYPERLINK("https://map.naver.com/p/search/나성동 829", "지도Link")</f>
        <v/>
      </c>
      <c r="K2667" s="5">
        <f>HYPERLINK("http://www.eum.go.kr/web/ar/lu/luLandDet.jsp?pnu=3611010700108290000&amp;isNoScr=script&amp;mode=search", "토지이음")</f>
        <v/>
      </c>
      <c r="L2667" s="3" t="inlineStr">
        <is>
          <t>학하랜드</t>
        </is>
      </c>
      <c r="M2667" s="3" t="n">
        <v>1</v>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3" t="inlineStr">
        <is>
          <t>nan</t>
        </is>
      </c>
      <c r="I2668" s="5">
        <f>HYPERLINK("https://fin.land.naver.com/articles/2646045227", "매물Link")</f>
        <v/>
      </c>
      <c r="J2668" s="5">
        <f>HYPERLINK("https://map.naver.com/p/search/나성동 829", "지도Link")</f>
        <v/>
      </c>
      <c r="K2668" s="5">
        <f>HYPERLINK("http://www.eum.go.kr/web/ar/lu/luLandDet.jsp?pnu=3611010700108290000&amp;isNoScr=script&amp;mode=search", "토지이음")</f>
        <v/>
      </c>
      <c r="L2668" s="3" t="inlineStr">
        <is>
          <t>학하랜드</t>
        </is>
      </c>
      <c r="M2668" s="3" t="n">
        <v>1</v>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3" t="inlineStr">
        <is>
          <t>20m 도로접한 코너각지 위치 접근성 아주좋아  상가주택등 적지</t>
        </is>
      </c>
      <c r="I2669" s="5">
        <f>HYPERLINK("https://fin.land.naver.com/articles/2645975038", "매물Link")</f>
        <v/>
      </c>
      <c r="J2669" s="5">
        <f>HYPERLINK("https://map.naver.com/p/search/나성동 829", "지도Link")</f>
        <v/>
      </c>
      <c r="K2669" s="5">
        <f>HYPERLINK("http://www.eum.go.kr/web/ar/lu/luLandDet.jsp?pnu=3611010700108290000&amp;isNoScr=script&amp;mode=search", "토지이음")</f>
        <v/>
      </c>
      <c r="L2669" s="3" t="inlineStr">
        <is>
          <t>학하랜드</t>
        </is>
      </c>
      <c r="M2669" s="3" t="n">
        <v>1</v>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3" t="inlineStr">
        <is>
          <t>급매 상가주택  단독 창고등 건축지 약79p 가격저렴</t>
        </is>
      </c>
      <c r="I2670" s="5">
        <f>HYPERLINK("https://fin.land.naver.com/articles/2644630414", "매물Link")</f>
        <v/>
      </c>
      <c r="J2670" s="5">
        <f>HYPERLINK("https://map.naver.com/p/search/나성동 829", "지도Link")</f>
        <v/>
      </c>
      <c r="K2670" s="5">
        <f>HYPERLINK("http://www.eum.go.kr/web/ar/lu/luLandDet.jsp?pnu=3611010700108290000&amp;isNoScr=script&amp;mode=search", "토지이음")</f>
        <v/>
      </c>
      <c r="L2670" s="3" t="inlineStr">
        <is>
          <t>학하랜드</t>
        </is>
      </c>
      <c r="M2670" s="3" t="n">
        <v>1</v>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3" t="inlineStr">
        <is>
          <t>급매 학하지구 코너각지 단독 상가주택 건축 적지</t>
        </is>
      </c>
      <c r="I2671" s="5">
        <f>HYPERLINK("https://fin.land.naver.com/articles/2644727758", "매물Link")</f>
        <v/>
      </c>
      <c r="J2671" s="5">
        <f>HYPERLINK("https://map.naver.com/p/search/나성동 829", "지도Link")</f>
        <v/>
      </c>
      <c r="K2671" s="5">
        <f>HYPERLINK("http://www.eum.go.kr/web/ar/lu/luLandDet.jsp?pnu=3611010700108290000&amp;isNoScr=script&amp;mode=search", "토지이음")</f>
        <v/>
      </c>
      <c r="L2671" s="3" t="inlineStr">
        <is>
          <t>학하랜드</t>
        </is>
      </c>
      <c r="M2671" s="3" t="n">
        <v>1</v>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3" t="inlineStr">
        <is>
          <t>대로변 양면도로 접한 토지  매매가 저렴 광고효과좋아 상가건물 상가주택</t>
        </is>
      </c>
      <c r="I2672" s="5">
        <f>HYPERLINK("https://fin.land.naver.com/articles/2648629728", "매물Link")</f>
        <v/>
      </c>
      <c r="J2672" s="5">
        <f>HYPERLINK("https://map.naver.com/p/search/나성동 829", "지도Link")</f>
        <v/>
      </c>
      <c r="K2672" s="5">
        <f>HYPERLINK("http://www.eum.go.kr/web/ar/lu/luLandDet.jsp?pnu=3611010700108290000&amp;isNoScr=script&amp;mode=search", "토지이음")</f>
        <v/>
      </c>
      <c r="L2672" s="3" t="inlineStr">
        <is>
          <t>학하랜드</t>
        </is>
      </c>
      <c r="M2672" s="3" t="n">
        <v>1</v>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3" t="inlineStr">
        <is>
          <t>4차선도로 광고효과 좋은 나대지 매매</t>
        </is>
      </c>
      <c r="I2673" s="5">
        <f>HYPERLINK("https://fin.land.naver.com/articles/2644735891", "매물Link")</f>
        <v/>
      </c>
      <c r="J2673" s="5">
        <f>HYPERLINK("https://map.naver.com/p/search/나성동 829", "지도Link")</f>
        <v/>
      </c>
      <c r="K2673" s="5">
        <f>HYPERLINK("http://www.eum.go.kr/web/ar/lu/luLandDet.jsp?pnu=3611010700108290000&amp;isNoScr=script&amp;mode=search", "토지이음")</f>
        <v/>
      </c>
      <c r="L2673" s="3" t="inlineStr">
        <is>
          <t>천재원</t>
        </is>
      </c>
      <c r="M2673" s="3" t="n">
        <v>1</v>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3" t="inlineStr">
        <is>
          <t>학하지구중심의 대로변상업지</t>
        </is>
      </c>
      <c r="I2674" s="5">
        <f>HYPERLINK("https://fin.land.naver.com/articles/2649135591", "매물Link")</f>
        <v/>
      </c>
      <c r="J2674" s="5">
        <f>HYPERLINK("https://map.naver.com/p/search/나성동 829", "지도Link")</f>
        <v/>
      </c>
      <c r="K2674" s="5">
        <f>HYPERLINK("http://www.eum.go.kr/web/ar/lu/luLandDet.jsp?pnu=3611010700108290000&amp;isNoScr=script&amp;mode=search", "토지이음")</f>
        <v/>
      </c>
      <c r="L2674" s="3" t="inlineStr">
        <is>
          <t>정우</t>
        </is>
      </c>
      <c r="M2674" s="3" t="n">
        <v>1</v>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3" t="inlineStr">
        <is>
          <t>대로변 상업지</t>
        </is>
      </c>
      <c r="I2675" s="5">
        <f>HYPERLINK("https://fin.land.naver.com/articles/2649134911", "매물Link")</f>
        <v/>
      </c>
      <c r="J2675" s="5">
        <f>HYPERLINK("https://map.naver.com/p/search/나성동 829", "지도Link")</f>
        <v/>
      </c>
      <c r="K2675" s="5">
        <f>HYPERLINK("http://www.eum.go.kr/web/ar/lu/luLandDet.jsp?pnu=3611010700108290000&amp;isNoScr=script&amp;mode=search", "토지이음")</f>
        <v/>
      </c>
      <c r="L2675" s="3" t="inlineStr">
        <is>
          <t>정우</t>
        </is>
      </c>
      <c r="M2675" s="3" t="n">
        <v>1</v>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3" t="inlineStr">
        <is>
          <t>학하동화산천변에 접한 상가주택지</t>
        </is>
      </c>
      <c r="I2676" s="5">
        <f>HYPERLINK("https://fin.land.naver.com/articles/2649127480", "매물Link")</f>
        <v/>
      </c>
      <c r="J2676" s="5">
        <f>HYPERLINK("https://map.naver.com/p/search/나성동 829", "지도Link")</f>
        <v/>
      </c>
      <c r="K2676" s="5">
        <f>HYPERLINK("http://www.eum.go.kr/web/ar/lu/luLandDet.jsp?pnu=3611010700108290000&amp;isNoScr=script&amp;mode=search", "토지이음")</f>
        <v/>
      </c>
      <c r="L2676" s="3" t="inlineStr">
        <is>
          <t>정우</t>
        </is>
      </c>
      <c r="M2676" s="3" t="n">
        <v>1</v>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3" t="inlineStr">
        <is>
          <t>학하중앙로이면도로에접한상업지</t>
        </is>
      </c>
      <c r="I2677" s="5">
        <f>HYPERLINK("https://fin.land.naver.com/articles/2648661541", "매물Link")</f>
        <v/>
      </c>
      <c r="J2677" s="5">
        <f>HYPERLINK("https://map.naver.com/p/search/나성동 829", "지도Link")</f>
        <v/>
      </c>
      <c r="K2677" s="5">
        <f>HYPERLINK("http://www.eum.go.kr/web/ar/lu/luLandDet.jsp?pnu=3611010700108290000&amp;isNoScr=script&amp;mode=search", "토지이음")</f>
        <v/>
      </c>
      <c r="L2677" s="3" t="inlineStr">
        <is>
          <t>정우</t>
        </is>
      </c>
      <c r="M2677" s="3" t="n">
        <v>2</v>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3" t="inlineStr">
        <is>
          <t>nan</t>
        </is>
      </c>
      <c r="I2678" s="5">
        <f>HYPERLINK("https://fin.land.naver.com/articles/2648145658", "매물Link")</f>
        <v/>
      </c>
      <c r="J2678" s="5">
        <f>HYPERLINK("https://map.naver.com/p/search/나성동 829", "지도Link")</f>
        <v/>
      </c>
      <c r="K2678" s="5">
        <f>HYPERLINK("http://www.eum.go.kr/web/ar/lu/luLandDet.jsp?pnu=3611010700108290000&amp;isNoScr=script&amp;mode=search", "토지이음")</f>
        <v/>
      </c>
      <c r="L2678" s="3" t="inlineStr">
        <is>
          <t>가경</t>
        </is>
      </c>
      <c r="M2678" s="3" t="n">
        <v>1</v>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3" t="inlineStr">
        <is>
          <t>nan</t>
        </is>
      </c>
      <c r="I2679" s="5">
        <f>HYPERLINK("https://fin.land.naver.com/articles/2648138441", "매물Link")</f>
        <v/>
      </c>
      <c r="J2679" s="5">
        <f>HYPERLINK("https://map.naver.com/p/search/나성동 829", "지도Link")</f>
        <v/>
      </c>
      <c r="K2679" s="5">
        <f>HYPERLINK("http://www.eum.go.kr/web/ar/lu/luLandDet.jsp?pnu=3611010700108290000&amp;isNoScr=script&amp;mode=search", "토지이음")</f>
        <v/>
      </c>
      <c r="L2679" s="3" t="inlineStr">
        <is>
          <t>가경</t>
        </is>
      </c>
      <c r="M2679" s="3" t="n">
        <v>1</v>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3" t="inlineStr">
        <is>
          <t>코너각지</t>
        </is>
      </c>
      <c r="I2680" s="5">
        <f>HYPERLINK("https://fin.land.naver.com/articles/2648138111", "매물Link")</f>
        <v/>
      </c>
      <c r="J2680" s="5">
        <f>HYPERLINK("https://map.naver.com/p/search/나성동 829", "지도Link")</f>
        <v/>
      </c>
      <c r="K2680" s="5">
        <f>HYPERLINK("http://www.eum.go.kr/web/ar/lu/luLandDet.jsp?pnu=3611010700108290000&amp;isNoScr=script&amp;mode=search", "토지이음")</f>
        <v/>
      </c>
      <c r="L2680" s="3" t="inlineStr">
        <is>
          <t>가경</t>
        </is>
      </c>
      <c r="M2680" s="3" t="n">
        <v>1</v>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3" t="inlineStr">
        <is>
          <t>nan</t>
        </is>
      </c>
      <c r="I2681" s="5">
        <f>HYPERLINK("https://fin.land.naver.com/articles/2647086493", "매물Link")</f>
        <v/>
      </c>
      <c r="J2681" s="5">
        <f>HYPERLINK("https://map.naver.com/p/search/나성동 829", "지도Link")</f>
        <v/>
      </c>
      <c r="K2681" s="5">
        <f>HYPERLINK("http://www.eum.go.kr/web/ar/lu/luLandDet.jsp?pnu=3611010700108290000&amp;isNoScr=script&amp;mode=search", "토지이음")</f>
        <v/>
      </c>
      <c r="L2681" s="3" t="inlineStr">
        <is>
          <t>새터전</t>
        </is>
      </c>
      <c r="M2681" s="3" t="n">
        <v>1</v>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3" t="inlineStr">
        <is>
          <t>실수요자 용도다양</t>
        </is>
      </c>
      <c r="I2682" s="5">
        <f>HYPERLINK("https://fin.land.naver.com/articles/2646357709", "매물Link")</f>
        <v/>
      </c>
      <c r="J2682" s="5">
        <f>HYPERLINK("https://map.naver.com/p/search/나성동 829", "지도Link")</f>
        <v/>
      </c>
      <c r="K2682" s="5">
        <f>HYPERLINK("http://www.eum.go.kr/web/ar/lu/luLandDet.jsp?pnu=3611010700108290000&amp;isNoScr=script&amp;mode=search", "토지이음")</f>
        <v/>
      </c>
      <c r="L2682" s="3" t="inlineStr">
        <is>
          <t>뉴탑</t>
        </is>
      </c>
      <c r="M2682" s="3" t="n">
        <v>1</v>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3" t="inlineStr">
        <is>
          <t>nan</t>
        </is>
      </c>
      <c r="I2683" s="5">
        <f>HYPERLINK("https://fin.land.naver.com/articles/2646356973", "매물Link")</f>
        <v/>
      </c>
      <c r="J2683" s="5">
        <f>HYPERLINK("https://map.naver.com/p/search/나성동 829", "지도Link")</f>
        <v/>
      </c>
      <c r="K2683" s="5">
        <f>HYPERLINK("http://www.eum.go.kr/web/ar/lu/luLandDet.jsp?pnu=3611010700108290000&amp;isNoScr=script&amp;mode=search", "토지이음")</f>
        <v/>
      </c>
      <c r="L2683" s="3" t="inlineStr">
        <is>
          <t>뉴탑</t>
        </is>
      </c>
      <c r="M2683" s="3" t="n">
        <v>1</v>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3" t="inlineStr">
        <is>
          <t>급매,대단지아파트부근 평수 넓은 나대지 매매</t>
        </is>
      </c>
      <c r="I2684" s="5">
        <f>HYPERLINK("https://fin.land.naver.com/articles/2644745944", "매물Link")</f>
        <v/>
      </c>
      <c r="J2684" s="5">
        <f>HYPERLINK("https://map.naver.com/p/search/나성동 829", "지도Link")</f>
        <v/>
      </c>
      <c r="K2684" s="5">
        <f>HYPERLINK("http://www.eum.go.kr/web/ar/lu/luLandDet.jsp?pnu=3611010700108290000&amp;isNoScr=script&amp;mode=search", "토지이음")</f>
        <v/>
      </c>
      <c r="L2684" s="3" t="inlineStr">
        <is>
          <t>천재원</t>
        </is>
      </c>
      <c r="M2684" s="3" t="n">
        <v>1</v>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3" t="inlineStr">
        <is>
          <t>급매급매,8미터 도로에 접해 있고 작은 전원주택 짓기 좋음.</t>
        </is>
      </c>
      <c r="I2685" s="5">
        <f>HYPERLINK("https://fin.land.naver.com/articles/2649316885", "매물Link")</f>
        <v/>
      </c>
      <c r="J2685" s="5">
        <f>HYPERLINK("https://map.naver.com/p/search/나성동 829", "지도Link")</f>
        <v/>
      </c>
      <c r="K2685" s="5">
        <f>HYPERLINK("http://www.eum.go.kr/web/ar/lu/luLandDet.jsp?pnu=3611010700108290000&amp;isNoScr=script&amp;mode=search", "토지이음")</f>
        <v/>
      </c>
      <c r="L2685" s="3" t="inlineStr">
        <is>
          <t>하이스트정원</t>
        </is>
      </c>
      <c r="M2685" s="3" t="n">
        <v>1</v>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3" t="inlineStr">
        <is>
          <t>급매 준주거 상가 수악형건물 신축부지 천변뷰와 공원뷰가 있는 토지</t>
        </is>
      </c>
      <c r="I2686" s="5">
        <f>HYPERLINK("https://fin.land.naver.com/articles/2648838794", "매물Link")</f>
        <v/>
      </c>
      <c r="J2686" s="5">
        <f>HYPERLINK("https://map.naver.com/p/search/나성동 829", "지도Link")</f>
        <v/>
      </c>
      <c r="K2686" s="5">
        <f>HYPERLINK("http://www.eum.go.kr/web/ar/lu/luLandDet.jsp?pnu=3611010700108290000&amp;isNoScr=script&amp;mode=search", "토지이음")</f>
        <v/>
      </c>
      <c r="L2686" s="3" t="inlineStr">
        <is>
          <t>학하랜드</t>
        </is>
      </c>
      <c r="M2686" s="3" t="n">
        <v>1</v>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3" t="inlineStr">
        <is>
          <t>nan</t>
        </is>
      </c>
      <c r="I2687" s="5">
        <f>HYPERLINK("https://fin.land.naver.com/articles/2649151614", "매물Link")</f>
        <v/>
      </c>
      <c r="J2687" s="5">
        <f>HYPERLINK("https://map.naver.com/p/search/나성동 829", "지도Link")</f>
        <v/>
      </c>
      <c r="K2687" s="5">
        <f>HYPERLINK("http://www.eum.go.kr/web/ar/lu/luLandDet.jsp?pnu=3611010700108290000&amp;isNoScr=script&amp;mode=search", "토지이음")</f>
        <v/>
      </c>
      <c r="L2687" s="3" t="inlineStr">
        <is>
          <t>가경</t>
        </is>
      </c>
      <c r="M2687" s="3" t="n">
        <v>1</v>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3" t="inlineStr">
        <is>
          <t>나노국가산단 편입 토지 대토용</t>
        </is>
      </c>
      <c r="I2688" s="5">
        <f>HYPERLINK("https://fin.land.naver.com/articles/2647806448", "매물Link")</f>
        <v/>
      </c>
      <c r="J2688" s="5">
        <f>HYPERLINK("https://map.naver.com/p/search/나성동 829", "지도Link")</f>
        <v/>
      </c>
      <c r="K2688" s="5">
        <f>HYPERLINK("http://www.eum.go.kr/web/ar/lu/luLandDet.jsp?pnu=3611010700108290000&amp;isNoScr=script&amp;mode=search", "토지이음")</f>
        <v/>
      </c>
      <c r="L2688" s="3" t="inlineStr">
        <is>
          <t>골든타임</t>
        </is>
      </c>
      <c r="M2688" s="3" t="n">
        <v>1</v>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3" t="inlineStr">
        <is>
          <t>급매 국가산단 지역내 추천매물</t>
        </is>
      </c>
      <c r="I2689" s="5">
        <f>HYPERLINK("https://fin.land.naver.com/articles/2647640227", "매물Link")</f>
        <v/>
      </c>
      <c r="J2689" s="5">
        <f>HYPERLINK("https://map.naver.com/p/search/나성동 829", "지도Link")</f>
        <v/>
      </c>
      <c r="K2689" s="5">
        <f>HYPERLINK("http://www.eum.go.kr/web/ar/lu/luLandDet.jsp?pnu=3611010700108290000&amp;isNoScr=script&amp;mode=search", "토지이음")</f>
        <v/>
      </c>
      <c r="L2689" s="3" t="inlineStr">
        <is>
          <t>가문</t>
        </is>
      </c>
      <c r="M2689" s="3" t="n">
        <v>1</v>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3" t="inlineStr">
        <is>
          <t>서남부3단계개발예정지역 현재 밭으로 사용중입니다</t>
        </is>
      </c>
      <c r="I2690" s="5">
        <f>HYPERLINK("https://fin.land.naver.com/articles/2647449829", "매물Link")</f>
        <v/>
      </c>
      <c r="J2690" s="5">
        <f>HYPERLINK("https://map.naver.com/p/search/나성동 829", "지도Link")</f>
        <v/>
      </c>
      <c r="K2690" s="5">
        <f>HYPERLINK("http://www.eum.go.kr/web/ar/lu/luLandDet.jsp?pnu=3611010700108290000&amp;isNoScr=script&amp;mode=search", "토지이음")</f>
        <v/>
      </c>
      <c r="L2690" s="3" t="inlineStr">
        <is>
          <t>드리움행운</t>
        </is>
      </c>
      <c r="M2690" s="3" t="n">
        <v>1</v>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3" t="inlineStr">
        <is>
          <t>자연녹지지역 시가화조정구역 현재 밭농사 중입니다</t>
        </is>
      </c>
      <c r="I2691" s="5">
        <f>HYPERLINK("https://fin.land.naver.com/articles/2647448448", "매물Link")</f>
        <v/>
      </c>
      <c r="J2691" s="5">
        <f>HYPERLINK("https://map.naver.com/p/search/나성동 829", "지도Link")</f>
        <v/>
      </c>
      <c r="K2691" s="5">
        <f>HYPERLINK("http://www.eum.go.kr/web/ar/lu/luLandDet.jsp?pnu=3611010700108290000&amp;isNoScr=script&amp;mode=search", "토지이음")</f>
        <v/>
      </c>
      <c r="L2691" s="3" t="inlineStr">
        <is>
          <t>드리움행운</t>
        </is>
      </c>
      <c r="M2691" s="3" t="n">
        <v>1</v>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3" t="inlineStr">
        <is>
          <t>도안3단계개발예정지역으로 현재 밭으로 사용중입니다.</t>
        </is>
      </c>
      <c r="I2692" s="5">
        <f>HYPERLINK("https://fin.land.naver.com/articles/2646045852", "매물Link")</f>
        <v/>
      </c>
      <c r="J2692" s="5">
        <f>HYPERLINK("https://map.naver.com/p/search/나성동 829", "지도Link")</f>
        <v/>
      </c>
      <c r="K2692" s="5">
        <f>HYPERLINK("http://www.eum.go.kr/web/ar/lu/luLandDet.jsp?pnu=3611010700108290000&amp;isNoScr=script&amp;mode=search", "토지이음")</f>
        <v/>
      </c>
      <c r="L2692" s="3" t="inlineStr">
        <is>
          <t>드리움행운</t>
        </is>
      </c>
      <c r="M2692" s="3" t="n">
        <v>1</v>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3" t="inlineStr">
        <is>
          <t>포장도로 접한 위치좋은 토지로 도안3단계 개발예정지역입니다</t>
        </is>
      </c>
      <c r="I2693" s="5">
        <f>HYPERLINK("https://fin.land.naver.com/articles/2645357913", "매물Link")</f>
        <v/>
      </c>
      <c r="J2693" s="5">
        <f>HYPERLINK("https://map.naver.com/p/search/나성동 829", "지도Link")</f>
        <v/>
      </c>
      <c r="K2693" s="5">
        <f>HYPERLINK("http://www.eum.go.kr/web/ar/lu/luLandDet.jsp?pnu=3611010700108290000&amp;isNoScr=script&amp;mode=search", "토지이음")</f>
        <v/>
      </c>
      <c r="L2693" s="3" t="inlineStr">
        <is>
          <t>드리움행운</t>
        </is>
      </c>
      <c r="M2693" s="3" t="n">
        <v>1</v>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3" t="inlineStr">
        <is>
          <t>서남부3단계개발지역 주택포함입니다</t>
        </is>
      </c>
      <c r="I2694" s="5">
        <f>HYPERLINK("https://fin.land.naver.com/articles/2644192945", "매물Link")</f>
        <v/>
      </c>
      <c r="J2694" s="5">
        <f>HYPERLINK("https://map.naver.com/p/search/나성동 829", "지도Link")</f>
        <v/>
      </c>
      <c r="K2694" s="5">
        <f>HYPERLINK("http://www.eum.go.kr/web/ar/lu/luLandDet.jsp?pnu=3611010700108290000&amp;isNoScr=script&amp;mode=search", "토지이음")</f>
        <v/>
      </c>
      <c r="L2694" s="3" t="inlineStr">
        <is>
          <t>드리움행운</t>
        </is>
      </c>
      <c r="M2694" s="3" t="n">
        <v>1</v>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3" t="inlineStr">
        <is>
          <t>계획관리.도로접.총7필지</t>
        </is>
      </c>
      <c r="I2695" s="5">
        <f>HYPERLINK("https://fin.land.naver.com/articles/2644956683", "매물Link")</f>
        <v/>
      </c>
      <c r="J2695" s="5">
        <f>HYPERLINK("https://map.naver.com/p/search/나성동 829", "지도Link")</f>
        <v/>
      </c>
      <c r="K2695" s="5">
        <f>HYPERLINK("http://www.eum.go.kr/web/ar/lu/luLandDet.jsp?pnu=3611010700108290000&amp;isNoScr=script&amp;mode=search", "토지이음")</f>
        <v/>
      </c>
      <c r="L2695" s="3" t="inlineStr">
        <is>
          <t>터</t>
        </is>
      </c>
      <c r="M2695" s="3" t="n">
        <v>1</v>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3" t="inlineStr">
        <is>
          <t>대전종합물류단지 내 대형토지</t>
        </is>
      </c>
      <c r="I2696" s="5">
        <f>HYPERLINK("https://fin.land.naver.com/articles/2646975304", "매물Link")</f>
        <v/>
      </c>
      <c r="J2696" s="5">
        <f>HYPERLINK("https://map.naver.com/p/search/나성동 829", "지도Link")</f>
        <v/>
      </c>
      <c r="K2696" s="5">
        <f>HYPERLINK("http://www.eum.go.kr/web/ar/lu/luLandDet.jsp?pnu=3611010700108290000&amp;isNoScr=script&amp;mode=search", "토지이음")</f>
        <v/>
      </c>
      <c r="L2696" s="3" t="inlineStr">
        <is>
          <t>지산</t>
        </is>
      </c>
      <c r="M2696" s="3" t="n">
        <v>1</v>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3" t="inlineStr">
        <is>
          <t>학하동 메인 대로변접 위치 접근성 아주좋은133p 잡석깔려있음</t>
        </is>
      </c>
      <c r="I2697" s="5">
        <f>HYPERLINK("https://fin.land.naver.com/articles/2648951149", "매물Link")</f>
        <v/>
      </c>
      <c r="J2697" s="5">
        <f>HYPERLINK("https://map.naver.com/p/search/나성동 829", "지도Link")</f>
        <v/>
      </c>
      <c r="K2697" s="5">
        <f>HYPERLINK("http://www.eum.go.kr/web/ar/lu/luLandDet.jsp?pnu=3611010700108290000&amp;isNoScr=script&amp;mode=search", "토지이음")</f>
        <v/>
      </c>
      <c r="L2697" s="3" t="inlineStr">
        <is>
          <t>학하랜드</t>
        </is>
      </c>
      <c r="M2697" s="3" t="n">
        <v>1</v>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3" t="inlineStr">
        <is>
          <t>모델하우스용 토지입니다.</t>
        </is>
      </c>
      <c r="I2698" s="5">
        <f>HYPERLINK("https://fin.land.naver.com/articles/2649099530", "매물Link")</f>
        <v/>
      </c>
      <c r="J2698" s="5">
        <f>HYPERLINK("https://map.naver.com/p/search/나성동 829", "지도Link")</f>
        <v/>
      </c>
      <c r="K2698" s="5">
        <f>HYPERLINK("http://www.eum.go.kr/web/ar/lu/luLandDet.jsp?pnu=3611010700108290000&amp;isNoScr=script&amp;mode=search", "토지이음")</f>
        <v/>
      </c>
      <c r="L2698" s="3" t="inlineStr">
        <is>
          <t>동행</t>
        </is>
      </c>
      <c r="M2698" s="3" t="n">
        <v>1</v>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3" t="inlineStr">
        <is>
          <t>급매 양면도로접한 코너각지  위치 최상 공원근처 건축하기 좋은 최적 면적</t>
        </is>
      </c>
      <c r="I2699" s="5">
        <f>HYPERLINK("https://fin.land.naver.com/articles/2649446572", "매물Link")</f>
        <v/>
      </c>
      <c r="J2699" s="5">
        <f>HYPERLINK("https://map.naver.com/p/search/나성동 829", "지도Link")</f>
        <v/>
      </c>
      <c r="K2699" s="5">
        <f>HYPERLINK("http://www.eum.go.kr/web/ar/lu/luLandDet.jsp?pnu=3611010700108290000&amp;isNoScr=script&amp;mode=search", "토지이음")</f>
        <v/>
      </c>
      <c r="L2699" s="3" t="inlineStr">
        <is>
          <t>학하랜드</t>
        </is>
      </c>
      <c r="M2699" s="3" t="n">
        <v>1</v>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3" t="inlineStr">
        <is>
          <t>제2종일반주거  상가주택 등 건축</t>
        </is>
      </c>
      <c r="I2700" s="5">
        <f>HYPERLINK("https://fin.land.naver.com/articles/2649445963", "매물Link")</f>
        <v/>
      </c>
      <c r="J2700" s="5">
        <f>HYPERLINK("https://map.naver.com/p/search/나성동 829", "지도Link")</f>
        <v/>
      </c>
      <c r="K2700" s="5">
        <f>HYPERLINK("http://www.eum.go.kr/web/ar/lu/luLandDet.jsp?pnu=3611010700108290000&amp;isNoScr=script&amp;mode=search", "토지이음")</f>
        <v/>
      </c>
      <c r="L2700" s="3" t="inlineStr">
        <is>
          <t>학하랜드</t>
        </is>
      </c>
      <c r="M2700" s="3" t="n">
        <v>1</v>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3" t="inlineStr">
        <is>
          <t>단독 다가구 상가주택 건축 적지 추천</t>
        </is>
      </c>
      <c r="I2701" s="5">
        <f>HYPERLINK("https://fin.land.naver.com/articles/2648841461", "매물Link")</f>
        <v/>
      </c>
      <c r="J2701" s="5">
        <f>HYPERLINK("https://map.naver.com/p/search/나성동 829", "지도Link")</f>
        <v/>
      </c>
      <c r="K2701" s="5">
        <f>HYPERLINK("http://www.eum.go.kr/web/ar/lu/luLandDet.jsp?pnu=3611010700108290000&amp;isNoScr=script&amp;mode=search", "토지이음")</f>
        <v/>
      </c>
      <c r="L2701" s="3" t="inlineStr">
        <is>
          <t>학하랜드</t>
        </is>
      </c>
      <c r="M2701" s="3" t="n">
        <v>1</v>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3" t="inlineStr">
        <is>
          <t>학하지구 도로접한 코너 제2종일반주거  다가구 상가주택신축적지 위치좋음</t>
        </is>
      </c>
      <c r="I2702" s="5">
        <f>HYPERLINK("https://fin.land.naver.com/articles/2648258412", "매물Link")</f>
        <v/>
      </c>
      <c r="J2702" s="5">
        <f>HYPERLINK("https://map.naver.com/p/search/나성동 829", "지도Link")</f>
        <v/>
      </c>
      <c r="K2702" s="5">
        <f>HYPERLINK("http://www.eum.go.kr/web/ar/lu/luLandDet.jsp?pnu=3611010700108290000&amp;isNoScr=script&amp;mode=search", "토지이음")</f>
        <v/>
      </c>
      <c r="L2702" s="3" t="inlineStr">
        <is>
          <t>학하랜드</t>
        </is>
      </c>
      <c r="M2702" s="3" t="n">
        <v>1</v>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3" t="inlineStr">
        <is>
          <t>학하지구 나대지 매매,2종일반 주거지,다가구주택 상가주택 추천</t>
        </is>
      </c>
      <c r="I2703" s="5">
        <f>HYPERLINK("https://fin.land.naver.com/articles/2649842964", "매물Link")</f>
        <v/>
      </c>
      <c r="J2703" s="5">
        <f>HYPERLINK("https://map.naver.com/p/search/나성동 829", "지도Link")</f>
        <v/>
      </c>
      <c r="K2703" s="5">
        <f>HYPERLINK("http://www.eum.go.kr/web/ar/lu/luLandDet.jsp?pnu=3611010700108290000&amp;isNoScr=script&amp;mode=search", "토지이음")</f>
        <v/>
      </c>
      <c r="L2703" s="3" t="inlineStr">
        <is>
          <t>천재원</t>
        </is>
      </c>
      <c r="M2703" s="3" t="n">
        <v>1</v>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3" t="inlineStr">
        <is>
          <t>학하동 화산천 뷰 나오는 귀한 토지, 코너각지 나대지, 강추</t>
        </is>
      </c>
      <c r="I2704" s="5">
        <f>HYPERLINK("https://fin.land.naver.com/articles/2649842422", "매물Link")</f>
        <v/>
      </c>
      <c r="J2704" s="5">
        <f>HYPERLINK("https://map.naver.com/p/search/나성동 829", "지도Link")</f>
        <v/>
      </c>
      <c r="K2704" s="5">
        <f>HYPERLINK("http://www.eum.go.kr/web/ar/lu/luLandDet.jsp?pnu=3611010700108290000&amp;isNoScr=script&amp;mode=search", "토지이음")</f>
        <v/>
      </c>
      <c r="L2704" s="3" t="inlineStr">
        <is>
          <t>천재원</t>
        </is>
      </c>
      <c r="M2704" s="3" t="n">
        <v>1</v>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3" t="inlineStr">
        <is>
          <t>nan</t>
        </is>
      </c>
      <c r="I2705" s="5">
        <f>HYPERLINK("https://fin.land.naver.com/articles/2648968415", "매물Link")</f>
        <v/>
      </c>
      <c r="J2705" s="5">
        <f>HYPERLINK("https://map.naver.com/p/search/나성동 829", "지도Link")</f>
        <v/>
      </c>
      <c r="K2705" s="5">
        <f>HYPERLINK("http://www.eum.go.kr/web/ar/lu/luLandDet.jsp?pnu=3611010700108290000&amp;isNoScr=script&amp;mode=search", "토지이음")</f>
        <v/>
      </c>
      <c r="L2705" s="3" t="inlineStr">
        <is>
          <t>학하랜드</t>
        </is>
      </c>
      <c r="M2705" s="3" t="n">
        <v>1</v>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3" t="inlineStr">
        <is>
          <t>학하동 도로접한 상가주택 다가구등 건축지</t>
        </is>
      </c>
      <c r="I2706" s="5">
        <f>HYPERLINK("https://fin.land.naver.com/articles/2648837921", "매물Link")</f>
        <v/>
      </c>
      <c r="J2706" s="5">
        <f>HYPERLINK("https://map.naver.com/p/search/나성동 829", "지도Link")</f>
        <v/>
      </c>
      <c r="K2706" s="5">
        <f>HYPERLINK("http://www.eum.go.kr/web/ar/lu/luLandDet.jsp?pnu=3611010700108290000&amp;isNoScr=script&amp;mode=search", "토지이음")</f>
        <v/>
      </c>
      <c r="L2706" s="3" t="inlineStr">
        <is>
          <t>학하랜드</t>
        </is>
      </c>
      <c r="M2706" s="3" t="n">
        <v>1</v>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3" t="inlineStr">
        <is>
          <t>nan</t>
        </is>
      </c>
      <c r="I2707" s="5">
        <f>HYPERLINK("https://fin.land.naver.com/articles/2648837390", "매물Link")</f>
        <v/>
      </c>
      <c r="J2707" s="5">
        <f>HYPERLINK("https://map.naver.com/p/search/나성동 829", "지도Link")</f>
        <v/>
      </c>
      <c r="K2707" s="5">
        <f>HYPERLINK("http://www.eum.go.kr/web/ar/lu/luLandDet.jsp?pnu=3611010700108290000&amp;isNoScr=script&amp;mode=search", "토지이음")</f>
        <v/>
      </c>
      <c r="L2707" s="3" t="inlineStr">
        <is>
          <t>학하랜드</t>
        </is>
      </c>
      <c r="M2707" s="3" t="n">
        <v>1</v>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3" t="inlineStr">
        <is>
          <t>땅모양 위치 좋은 토지 상가건물 다가구등 건축지</t>
        </is>
      </c>
      <c r="I2708" s="5">
        <f>HYPERLINK("https://fin.land.naver.com/articles/2648263472", "매물Link")</f>
        <v/>
      </c>
      <c r="J2708" s="5">
        <f>HYPERLINK("https://map.naver.com/p/search/나성동 829", "지도Link")</f>
        <v/>
      </c>
      <c r="K2708" s="5">
        <f>HYPERLINK("http://www.eum.go.kr/web/ar/lu/luLandDet.jsp?pnu=3611010700108290000&amp;isNoScr=script&amp;mode=search", "토지이음")</f>
        <v/>
      </c>
      <c r="L2708" s="3" t="inlineStr">
        <is>
          <t>학하랜드</t>
        </is>
      </c>
      <c r="M2708" s="3" t="n">
        <v>1</v>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3" t="inlineStr">
        <is>
          <t>제2종일반주거지역 대로변접 상가주택 근생 및 다가구주택 건축</t>
        </is>
      </c>
      <c r="I2709" s="5">
        <f>HYPERLINK("https://fin.land.naver.com/articles/2647090522", "매물Link")</f>
        <v/>
      </c>
      <c r="J2709" s="5">
        <f>HYPERLINK("https://map.naver.com/p/search/나성동 829", "지도Link")</f>
        <v/>
      </c>
      <c r="K2709" s="5">
        <f>HYPERLINK("http://www.eum.go.kr/web/ar/lu/luLandDet.jsp?pnu=3611010700108290000&amp;isNoScr=script&amp;mode=search", "토지이음")</f>
        <v/>
      </c>
      <c r="L2709" s="3" t="inlineStr">
        <is>
          <t>학하랜드</t>
        </is>
      </c>
      <c r="M2709" s="3" t="n">
        <v>1</v>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3" t="inlineStr">
        <is>
          <t>사옥, 창고등 다용도 사용가능한 조용한 위치 토지</t>
        </is>
      </c>
      <c r="I2710" s="5">
        <f>HYPERLINK("https://fin.land.naver.com/articles/2649255803", "매물Link")</f>
        <v/>
      </c>
      <c r="J2710" s="5">
        <f>HYPERLINK("https://map.naver.com/p/search/나성동 829", "지도Link")</f>
        <v/>
      </c>
      <c r="K2710" s="5">
        <f>HYPERLINK("http://www.eum.go.kr/web/ar/lu/luLandDet.jsp?pnu=3611010700108290000&amp;isNoScr=script&amp;mode=search", "토지이음")</f>
        <v/>
      </c>
      <c r="L2710" s="3" t="inlineStr">
        <is>
          <t>(주)미르</t>
        </is>
      </c>
      <c r="M2710" s="3" t="n">
        <v>2</v>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3" t="inlineStr">
        <is>
          <t>급매 학하동 평당 최저가 토지 매매 위치좋아요</t>
        </is>
      </c>
      <c r="I2711" s="5">
        <f>HYPERLINK("https://fin.land.naver.com/articles/2650195997", "매물Link")</f>
        <v/>
      </c>
      <c r="J2711" s="5">
        <f>HYPERLINK("https://map.naver.com/p/search/나성동 829", "지도Link")</f>
        <v/>
      </c>
      <c r="K2711" s="5">
        <f>HYPERLINK("http://www.eum.go.kr/web/ar/lu/luLandDet.jsp?pnu=3611010700108290000&amp;isNoScr=script&amp;mode=search", "토지이음")</f>
        <v/>
      </c>
      <c r="L2711" s="3" t="inlineStr">
        <is>
          <t>학하랜드</t>
        </is>
      </c>
      <c r="M2711" s="3" t="n">
        <v>1</v>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3" t="inlineStr">
        <is>
          <t>서세종IC가깝고  장군면사무소 부근  집짓기 좋은 평수 입니다</t>
        </is>
      </c>
      <c r="I2712" s="5">
        <f>HYPERLINK("https://fin.land.naver.com/articles/2644744015", "매물Link")</f>
        <v/>
      </c>
      <c r="J2712" s="5">
        <f>HYPERLINK("https://map.naver.com/p/search/나성동 829", "지도Link")</f>
        <v/>
      </c>
      <c r="K2712" s="5">
        <f>HYPERLINK("http://www.eum.go.kr/web/ar/lu/luLandDet.jsp?pnu=3611010700108290000&amp;isNoScr=script&amp;mode=search", "토지이음")</f>
        <v/>
      </c>
      <c r="L2712" s="3" t="inlineStr">
        <is>
          <t>송림황금</t>
        </is>
      </c>
      <c r="M2712" s="3" t="n">
        <v>1</v>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3" t="inlineStr">
        <is>
          <t>Point 평촌산업단지 주변 투자 추천, 건폐율 높은 자연취락지구</t>
        </is>
      </c>
      <c r="I2713" s="5">
        <f>HYPERLINK("https://fin.land.naver.com/articles/2645152233", "매물Link")</f>
        <v/>
      </c>
      <c r="J2713" s="5">
        <f>HYPERLINK("https://map.naver.com/p/search/나성동 829", "지도Link")</f>
        <v/>
      </c>
      <c r="K2713" s="5">
        <f>HYPERLINK("http://www.eum.go.kr/web/ar/lu/luLandDet.jsp?pnu=3611010700108290000&amp;isNoScr=script&amp;mode=search", "토지이음")</f>
        <v/>
      </c>
      <c r="L2713" s="3" t="inlineStr">
        <is>
          <t>도마호반</t>
        </is>
      </c>
      <c r="M2713" s="3" t="n">
        <v>1</v>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3" t="inlineStr">
        <is>
          <t>하우스,관정 시설완비된 주말농장용 토지입니다</t>
        </is>
      </c>
      <c r="I2714" s="5">
        <f>HYPERLINK("https://fin.land.naver.com/articles/2649852153", "매물Link")</f>
        <v/>
      </c>
      <c r="J2714" s="5">
        <f>HYPERLINK("https://map.naver.com/p/search/나성동 829", "지도Link")</f>
        <v/>
      </c>
      <c r="K2714" s="5">
        <f>HYPERLINK("http://www.eum.go.kr/web/ar/lu/luLandDet.jsp?pnu=3611010700108290000&amp;isNoScr=script&amp;mode=search", "토지이음")</f>
        <v/>
      </c>
      <c r="L2714" s="3" t="inlineStr">
        <is>
          <t>복댕이무소</t>
        </is>
      </c>
      <c r="M2714" s="3" t="n">
        <v>1</v>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3" t="inlineStr">
        <is>
          <t>급매 신동둔곡지구 근접 교통편리 영농 하우스 스마트팜 투자용 최상 물건</t>
        </is>
      </c>
      <c r="I2715" s="5">
        <f>HYPERLINK("https://fin.land.naver.com/articles/2647495126", "매물Link")</f>
        <v/>
      </c>
      <c r="J2715" s="5">
        <f>HYPERLINK("https://map.naver.com/p/search/나성동 829", "지도Link")</f>
        <v/>
      </c>
      <c r="K2715" s="5">
        <f>HYPERLINK("http://www.eum.go.kr/web/ar/lu/luLandDet.jsp?pnu=3611010700108290000&amp;isNoScr=script&amp;mode=search", "토지이음")</f>
        <v/>
      </c>
      <c r="L2715" s="3" t="inlineStr">
        <is>
          <t>뉴태양</t>
        </is>
      </c>
      <c r="M2715" s="3" t="n">
        <v>1</v>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3" t="inlineStr">
        <is>
          <t>nan</t>
        </is>
      </c>
      <c r="I2716" s="5">
        <f>HYPERLINK("https://fin.land.naver.com/articles/2646881100", "매물Link")</f>
        <v/>
      </c>
      <c r="J2716" s="5">
        <f>HYPERLINK("https://map.naver.com/p/search/나성동 829", "지도Link")</f>
        <v/>
      </c>
      <c r="K2716" s="5">
        <f>HYPERLINK("http://www.eum.go.kr/web/ar/lu/luLandDet.jsp?pnu=3611010700108290000&amp;isNoScr=script&amp;mode=search", "토지이음")</f>
        <v/>
      </c>
      <c r="L2716" s="3" t="inlineStr">
        <is>
          <t>어반통</t>
        </is>
      </c>
      <c r="M2716" s="3" t="n">
        <v>1</v>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3" t="inlineStr">
        <is>
          <t>주말농장텃밭 분양  대토체류형 휴식공간a을 동시에 만들고 싶은 분</t>
        </is>
      </c>
      <c r="I2717" s="5">
        <f>HYPERLINK("https://fin.land.naver.com/articles/2644741708", "매물Link")</f>
        <v/>
      </c>
      <c r="J2717" s="5">
        <f>HYPERLINK("https://map.naver.com/p/search/나성동 829", "지도Link")</f>
        <v/>
      </c>
      <c r="K2717" s="5">
        <f>HYPERLINK("http://www.eum.go.kr/web/ar/lu/luLandDet.jsp?pnu=3611010700108290000&amp;isNoScr=script&amp;mode=search", "토지이음")</f>
        <v/>
      </c>
      <c r="L2717" s="3" t="inlineStr">
        <is>
          <t>세종OK</t>
        </is>
      </c>
      <c r="M2717" s="3" t="n">
        <v>1</v>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3" t="inlineStr">
        <is>
          <t>계획관리지역 단독주택과 전답, 전원생활 적지, 코스트코 직선거리2km</t>
        </is>
      </c>
      <c r="I2718" s="5">
        <f>HYPERLINK("https://fin.land.naver.com/articles/2646440428", "매물Link")</f>
        <v/>
      </c>
      <c r="J2718" s="5">
        <f>HYPERLINK("https://map.naver.com/p/search/나성동 829", "지도Link")</f>
        <v/>
      </c>
      <c r="K2718" s="5">
        <f>HYPERLINK("http://www.eum.go.kr/web/ar/lu/luLandDet.jsp?pnu=3611010700108290000&amp;isNoScr=script&amp;mode=search", "토지이음")</f>
        <v/>
      </c>
      <c r="L2718" s="3" t="inlineStr">
        <is>
          <t>노은탑</t>
        </is>
      </c>
      <c r="M2718" s="3" t="n">
        <v>1</v>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3" t="inlineStr">
        <is>
          <t>nan</t>
        </is>
      </c>
      <c r="I2719" s="5">
        <f>HYPERLINK("https://fin.land.naver.com/articles/2646342893", "매물Link")</f>
        <v/>
      </c>
      <c r="J2719" s="5">
        <f>HYPERLINK("https://map.naver.com/p/search/나성동 829", "지도Link")</f>
        <v/>
      </c>
      <c r="K2719" s="5">
        <f>HYPERLINK("http://www.eum.go.kr/web/ar/lu/luLandDet.jsp?pnu=3611010700108290000&amp;isNoScr=script&amp;mode=search", "토지이음")</f>
        <v/>
      </c>
      <c r="L2719" s="3" t="inlineStr">
        <is>
          <t>귀빈</t>
        </is>
      </c>
      <c r="M2719" s="3" t="n">
        <v>1</v>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3" t="inlineStr">
        <is>
          <t>서대전여고 사거리인근 저렴하게 나온 전</t>
        </is>
      </c>
      <c r="I2720" s="5">
        <f>HYPERLINK("https://fin.land.naver.com/articles/2645205731", "매물Link")</f>
        <v/>
      </c>
      <c r="J2720" s="5">
        <f>HYPERLINK("https://map.naver.com/p/search/나성동 829", "지도Link")</f>
        <v/>
      </c>
      <c r="K2720" s="5">
        <f>HYPERLINK("http://www.eum.go.kr/web/ar/lu/luLandDet.jsp?pnu=3611010700108290000&amp;isNoScr=script&amp;mode=search", "토지이음")</f>
        <v/>
      </c>
      <c r="L2720" s="3" t="inlineStr">
        <is>
          <t>귀빈</t>
        </is>
      </c>
      <c r="M2720" s="3" t="n">
        <v>1</v>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3" t="inlineStr">
        <is>
          <t>정림공원 주변 코너각지  주택및 상가 추천합니다.</t>
        </is>
      </c>
      <c r="I2721" s="5">
        <f>HYPERLINK("https://fin.land.naver.com/articles/2644292586", "매물Link")</f>
        <v/>
      </c>
      <c r="J2721" s="5">
        <f>HYPERLINK("https://map.naver.com/p/search/나성동 829", "지도Link")</f>
        <v/>
      </c>
      <c r="K2721" s="5">
        <f>HYPERLINK("http://www.eum.go.kr/web/ar/lu/luLandDet.jsp?pnu=3611010700108290000&amp;isNoScr=script&amp;mode=search", "토지이음")</f>
        <v/>
      </c>
      <c r="L2721" s="3" t="inlineStr">
        <is>
          <t>대정</t>
        </is>
      </c>
      <c r="M2721" s="3" t="n">
        <v>1</v>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3" t="inlineStr">
        <is>
          <t>8차선대로변,트램2호선역세권,양면도로,상가주택,창고,사무실적합</t>
        </is>
      </c>
      <c r="I2722" s="5">
        <f>HYPERLINK("https://fin.land.naver.com/articles/2649646852", "매물Link")</f>
        <v/>
      </c>
      <c r="J2722" s="5">
        <f>HYPERLINK("https://map.naver.com/p/search/나성동 829", "지도Link")</f>
        <v/>
      </c>
      <c r="K2722" s="5">
        <f>HYPERLINK("http://www.eum.go.kr/web/ar/lu/luLandDet.jsp?pnu=3611010700108290000&amp;isNoScr=script&amp;mode=search", "토지이음")</f>
        <v/>
      </c>
      <c r="L2722" s="3" t="inlineStr">
        <is>
          <t>아름다운</t>
        </is>
      </c>
      <c r="M2722" s="3" t="n">
        <v>1</v>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3" t="inlineStr">
        <is>
          <t>지대가 높아 조망좋은 전원주택지입니다</t>
        </is>
      </c>
      <c r="I2723" s="5">
        <f>HYPERLINK("https://fin.land.naver.com/articles/2649718949", "매물Link")</f>
        <v/>
      </c>
      <c r="J2723" s="5">
        <f>HYPERLINK("https://map.naver.com/p/search/나성동 829", "지도Link")</f>
        <v/>
      </c>
      <c r="K2723" s="5">
        <f>HYPERLINK("http://www.eum.go.kr/web/ar/lu/luLandDet.jsp?pnu=3611010700108290000&amp;isNoScr=script&amp;mode=search", "토지이음")</f>
        <v/>
      </c>
      <c r="L2723" s="3" t="inlineStr">
        <is>
          <t>복댕이무소</t>
        </is>
      </c>
      <c r="M2723" s="3" t="n">
        <v>1</v>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3" t="inlineStr">
        <is>
          <t>급매,트램2호선 정림역주변,각지,카센터,창고,상가주택</t>
        </is>
      </c>
      <c r="I2724" s="5">
        <f>HYPERLINK("https://fin.land.naver.com/articles/2645369342", "매물Link")</f>
        <v/>
      </c>
      <c r="J2724" s="5">
        <f>HYPERLINK("https://map.naver.com/p/search/나성동 829", "지도Link")</f>
        <v/>
      </c>
      <c r="K2724" s="5">
        <f>HYPERLINK("http://www.eum.go.kr/web/ar/lu/luLandDet.jsp?pnu=3611010700108290000&amp;isNoScr=script&amp;mode=search", "토지이음")</f>
        <v/>
      </c>
      <c r="L2724" s="3" t="inlineStr">
        <is>
          <t>아름다운</t>
        </is>
      </c>
      <c r="M2724" s="3" t="n">
        <v>1</v>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3" t="inlineStr">
        <is>
          <t>접근성 용이</t>
        </is>
      </c>
      <c r="I2725" s="5">
        <f>HYPERLINK("https://fin.land.naver.com/articles/2644335545", "매물Link")</f>
        <v/>
      </c>
      <c r="J2725" s="5">
        <f>HYPERLINK("https://map.naver.com/p/search/나성동 829", "지도Link")</f>
        <v/>
      </c>
      <c r="K2725" s="5">
        <f>HYPERLINK("http://www.eum.go.kr/web/ar/lu/luLandDet.jsp?pnu=3611010700108290000&amp;isNoScr=script&amp;mode=search", "토지이음")</f>
        <v/>
      </c>
      <c r="L2725" s="3" t="inlineStr">
        <is>
          <t>향촌타운</t>
        </is>
      </c>
      <c r="M2725" s="3" t="n">
        <v>1</v>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3" t="inlineStr">
        <is>
          <t>용문4구역 재개발지역  추진위승인</t>
        </is>
      </c>
      <c r="I2726" s="5">
        <f>HYPERLINK("https://fin.land.naver.com/articles/2648350071", "매물Link")</f>
        <v/>
      </c>
      <c r="J2726" s="5">
        <f>HYPERLINK("https://map.naver.com/p/search/나성동 829", "지도Link")</f>
        <v/>
      </c>
      <c r="K2726" s="5">
        <f>HYPERLINK("http://www.eum.go.kr/web/ar/lu/luLandDet.jsp?pnu=3611010700108290000&amp;isNoScr=script&amp;mode=search", "토지이음")</f>
        <v/>
      </c>
      <c r="L2726" s="3" t="inlineStr">
        <is>
          <t>진행</t>
        </is>
      </c>
      <c r="M2726" s="3" t="n">
        <v>1</v>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3" t="inlineStr">
        <is>
          <t>저렴 이편한세상앞 대로변 건물2동 전시매장 판매장 빵카페 음식점</t>
        </is>
      </c>
      <c r="I2727" s="5">
        <f>HYPERLINK("https://fin.land.naver.com/articles/2648779664", "매물Link")</f>
        <v/>
      </c>
      <c r="J2727" s="5">
        <f>HYPERLINK("https://map.naver.com/p/search/나성동 829", "지도Link")</f>
        <v/>
      </c>
      <c r="K2727" s="5">
        <f>HYPERLINK("http://www.eum.go.kr/web/ar/lu/luLandDet.jsp?pnu=3611010700108290000&amp;isNoScr=script&amp;mode=search", "토지이음")</f>
        <v/>
      </c>
      <c r="L2727" s="3" t="inlineStr">
        <is>
          <t>명당</t>
        </is>
      </c>
      <c r="M2727" s="3" t="n">
        <v>1</v>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3" t="inlineStr">
        <is>
          <t>탄방동 접근성 용이한 2차선도로변 토지매매</t>
        </is>
      </c>
      <c r="I2728" s="5">
        <f>HYPERLINK("https://fin.land.naver.com/articles/2647105937", "매물Link")</f>
        <v/>
      </c>
      <c r="J2728" s="5">
        <f>HYPERLINK("https://map.naver.com/p/search/나성동 829", "지도Link")</f>
        <v/>
      </c>
      <c r="K2728" s="5">
        <f>HYPERLINK("http://www.eum.go.kr/web/ar/lu/luLandDet.jsp?pnu=3611010700108290000&amp;isNoScr=script&amp;mode=search", "토지이음")</f>
        <v/>
      </c>
      <c r="L2728" s="3" t="inlineStr">
        <is>
          <t>예스</t>
        </is>
      </c>
      <c r="M2728" s="3" t="n">
        <v>1</v>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3" t="inlineStr">
        <is>
          <t>탄방동 핵심 생활권 연립 빌라 공동주택 신축용 대형토지</t>
        </is>
      </c>
      <c r="I2729" s="5">
        <f>HYPERLINK("https://fin.land.naver.com/articles/2645149830", "매물Link")</f>
        <v/>
      </c>
      <c r="J2729" s="5">
        <f>HYPERLINK("https://map.naver.com/p/search/나성동 829", "지도Link")</f>
        <v/>
      </c>
      <c r="K2729" s="5">
        <f>HYPERLINK("http://www.eum.go.kr/web/ar/lu/luLandDet.jsp?pnu=3611010700108290000&amp;isNoScr=script&amp;mode=search", "토지이음")</f>
        <v/>
      </c>
      <c r="L2729" s="3" t="inlineStr">
        <is>
          <t>예스</t>
        </is>
      </c>
      <c r="M2729" s="3" t="n">
        <v>1</v>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3" t="inlineStr">
        <is>
          <t>왕복4차선 도로앞 나대지.</t>
        </is>
      </c>
      <c r="I2730" s="5">
        <f>HYPERLINK("https://fin.land.naver.com/articles/2648552625", "매물Link")</f>
        <v/>
      </c>
      <c r="J2730" s="5">
        <f>HYPERLINK("https://map.naver.com/p/search/나성동 829", "지도Link")</f>
        <v/>
      </c>
      <c r="K2730" s="5">
        <f>HYPERLINK("http://www.eum.go.kr/web/ar/lu/luLandDet.jsp?pnu=3611010700108290000&amp;isNoScr=script&amp;mode=search", "토지이음")</f>
        <v/>
      </c>
      <c r="L2730" s="3" t="inlineStr">
        <is>
          <t>신용문</t>
        </is>
      </c>
      <c r="M2730" s="3" t="n">
        <v>1</v>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3" t="inlineStr">
        <is>
          <t>대전 서구 탄방동 대로변 주유소</t>
        </is>
      </c>
      <c r="I2731" s="5">
        <f>HYPERLINK("https://fin.land.naver.com/articles/2646975842", "매물Link")</f>
        <v/>
      </c>
      <c r="J2731" s="5">
        <f>HYPERLINK("https://map.naver.com/p/search/나성동 829", "지도Link")</f>
        <v/>
      </c>
      <c r="K2731" s="5">
        <f>HYPERLINK("http://www.eum.go.kr/web/ar/lu/luLandDet.jsp?pnu=3611010700108290000&amp;isNoScr=script&amp;mode=search", "토지이음")</f>
        <v/>
      </c>
      <c r="L2731" s="3" t="inlineStr">
        <is>
          <t>지산</t>
        </is>
      </c>
      <c r="M2731" s="3" t="n">
        <v>1</v>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3" t="inlineStr">
        <is>
          <t>롯데백화점 바로 뒤에 위치한 일반상업지역 대지입니다</t>
        </is>
      </c>
      <c r="I2732" s="5">
        <f>HYPERLINK("https://fin.land.naver.com/articles/2649315927", "매물Link")</f>
        <v/>
      </c>
      <c r="J2732" s="5">
        <f>HYPERLINK("https://map.naver.com/p/search/나성동 829", "지도Link")</f>
        <v/>
      </c>
      <c r="K2732" s="5">
        <f>HYPERLINK("http://www.eum.go.kr/web/ar/lu/luLandDet.jsp?pnu=3611010700108290000&amp;isNoScr=script&amp;mode=search", "토지이음")</f>
        <v/>
      </c>
      <c r="L2732" s="3" t="inlineStr">
        <is>
          <t>맺음</t>
        </is>
      </c>
      <c r="M2732" s="3" t="n">
        <v>1</v>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3" t="inlineStr">
        <is>
          <t>nan</t>
        </is>
      </c>
      <c r="I2733" s="5">
        <f>HYPERLINK("https://fin.land.naver.com/articles/2649730810", "매물Link")</f>
        <v/>
      </c>
      <c r="J2733" s="5">
        <f>HYPERLINK("https://map.naver.com/p/search/나성동 829", "지도Link")</f>
        <v/>
      </c>
      <c r="K2733" s="5">
        <f>HYPERLINK("http://www.eum.go.kr/web/ar/lu/luLandDet.jsp?pnu=3611010700108290000&amp;isNoScr=script&amp;mode=search", "토지이음")</f>
        <v/>
      </c>
      <c r="L2733" s="3" t="inlineStr">
        <is>
          <t>티오피(주)</t>
        </is>
      </c>
      <c r="M2733" s="3" t="n">
        <v>1</v>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3" t="inlineStr">
        <is>
          <t>한빛교회앞 8m도로변 주차편리한 저렴한 나대지</t>
        </is>
      </c>
      <c r="I2734" s="5">
        <f>HYPERLINK("https://fin.land.naver.com/articles/2644985265", "매물Link")</f>
        <v/>
      </c>
      <c r="J2734" s="5">
        <f>HYPERLINK("https://map.naver.com/p/search/나성동 829", "지도Link")</f>
        <v/>
      </c>
      <c r="K2734" s="5">
        <f>HYPERLINK("http://www.eum.go.kr/web/ar/lu/luLandDet.jsp?pnu=3611010700108290000&amp;isNoScr=script&amp;mode=search", "토지이음")</f>
        <v/>
      </c>
      <c r="L2734" s="3" t="inlineStr">
        <is>
          <t>귀빈</t>
        </is>
      </c>
      <c r="M2734" s="3" t="n">
        <v>1</v>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3" t="inlineStr">
        <is>
          <t>대로변으로 전시효과 좋으며 접근성 좋습니다</t>
        </is>
      </c>
      <c r="I2735" s="5">
        <f>HYPERLINK("https://fin.land.naver.com/articles/2644256403", "매물Link")</f>
        <v/>
      </c>
      <c r="J2735" s="5">
        <f>HYPERLINK("https://map.naver.com/p/search/나성동 829", "지도Link")</f>
        <v/>
      </c>
      <c r="K2735" s="5">
        <f>HYPERLINK("http://www.eum.go.kr/web/ar/lu/luLandDet.jsp?pnu=3611010700108290000&amp;isNoScr=script&amp;mode=search", "토지이음")</f>
        <v/>
      </c>
      <c r="L2735" s="3" t="inlineStr">
        <is>
          <t>연지</t>
        </is>
      </c>
      <c r="M2735" s="3" t="n">
        <v>1</v>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3" t="inlineStr">
        <is>
          <t>대로변 가시성 좋은 위치</t>
        </is>
      </c>
      <c r="I2736" s="5">
        <f>HYPERLINK("https://fin.land.naver.com/articles/2647006771", "매물Link")</f>
        <v/>
      </c>
      <c r="J2736" s="5">
        <f>HYPERLINK("https://map.naver.com/p/search/나성동 829", "지도Link")</f>
        <v/>
      </c>
      <c r="K2736" s="5">
        <f>HYPERLINK("http://www.eum.go.kr/web/ar/lu/luLandDet.jsp?pnu=3611010700108290000&amp;isNoScr=script&amp;mode=search", "토지이음")</f>
        <v/>
      </c>
      <c r="L2736" s="3" t="inlineStr">
        <is>
          <t>달리는</t>
        </is>
      </c>
      <c r="M2736" s="3" t="n">
        <v>1</v>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3" t="inlineStr">
        <is>
          <t>위치좋은 평지 대지 476제곱미터인 사업하기좋은 토지  저렴한 급 매매</t>
        </is>
      </c>
      <c r="I2737" s="5">
        <f>HYPERLINK("https://fin.land.naver.com/articles/2644602709", "매물Link")</f>
        <v/>
      </c>
      <c r="J2737" s="5">
        <f>HYPERLINK("https://map.naver.com/p/search/나성동 829", "지도Link")</f>
        <v/>
      </c>
      <c r="K2737" s="5">
        <f>HYPERLINK("http://www.eum.go.kr/web/ar/lu/luLandDet.jsp?pnu=3611010700108290000&amp;isNoScr=script&amp;mode=search", "토지이음")</f>
        <v/>
      </c>
      <c r="L2737" s="3" t="inlineStr">
        <is>
          <t>코끼리</t>
        </is>
      </c>
      <c r="M2737" s="3" t="n">
        <v>1</v>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3" t="inlineStr">
        <is>
          <t>갈마역,둔산권근접거리,초중고,업무용빌딩,상가, 상권좋음</t>
        </is>
      </c>
      <c r="I2738" s="5">
        <f>HYPERLINK("https://fin.land.naver.com/articles/2646995995", "매물Link")</f>
        <v/>
      </c>
      <c r="J2738" s="5">
        <f>HYPERLINK("https://map.naver.com/p/search/나성동 829", "지도Link")</f>
        <v/>
      </c>
      <c r="K2738" s="5">
        <f>HYPERLINK("http://www.eum.go.kr/web/ar/lu/luLandDet.jsp?pnu=3611010700108290000&amp;isNoScr=script&amp;mode=search", "토지이음")</f>
        <v/>
      </c>
      <c r="L2738" s="3" t="inlineStr">
        <is>
          <t>소망</t>
        </is>
      </c>
      <c r="M2738" s="3" t="n">
        <v>1</v>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3" t="inlineStr">
        <is>
          <t>세종시인접 투자용 도로접. 주변 발전가능성 높음.세종과 대전가는길</t>
        </is>
      </c>
      <c r="I2739" s="5">
        <f>HYPERLINK("https://fin.land.naver.com/articles/2645346540", "매물Link")</f>
        <v/>
      </c>
      <c r="J2739" s="5">
        <f>HYPERLINK("https://map.naver.com/p/search/나성동 829", "지도Link")</f>
        <v/>
      </c>
      <c r="K2739" s="5">
        <f>HYPERLINK("http://www.eum.go.kr/web/ar/lu/luLandDet.jsp?pnu=3611010700108290000&amp;isNoScr=script&amp;mode=search", "토지이음")</f>
        <v/>
      </c>
      <c r="L2739" s="3" t="inlineStr">
        <is>
          <t>세종OK</t>
        </is>
      </c>
      <c r="M2739" s="3" t="n">
        <v>1</v>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3" t="inlineStr">
        <is>
          <t>Point 집단취락지구, 야산 아래 조망 뷰 좋음, 토지거래허가구역</t>
        </is>
      </c>
      <c r="I2740" s="5">
        <f>HYPERLINK("https://fin.land.naver.com/articles/2648329864", "매물Link")</f>
        <v/>
      </c>
      <c r="J2740" s="5">
        <f>HYPERLINK("https://map.naver.com/p/search/나성동 829", "지도Link")</f>
        <v/>
      </c>
      <c r="K2740" s="5">
        <f>HYPERLINK("http://www.eum.go.kr/web/ar/lu/luLandDet.jsp?pnu=3611010700108290000&amp;isNoScr=script&amp;mode=search", "토지이음")</f>
        <v/>
      </c>
      <c r="L2740" s="3" t="inlineStr">
        <is>
          <t>도마호반</t>
        </is>
      </c>
      <c r="M2740" s="3" t="n">
        <v>1</v>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3" t="inlineStr">
        <is>
          <t>금남면 영치리 토지답 매매.</t>
        </is>
      </c>
      <c r="I2741" s="5">
        <f>HYPERLINK("https://fin.land.naver.com/articles/2648547340", "매물Link")</f>
        <v/>
      </c>
      <c r="J2741" s="5">
        <f>HYPERLINK("https://map.naver.com/p/search/나성동 829", "지도Link")</f>
        <v/>
      </c>
      <c r="K2741" s="5">
        <f>HYPERLINK("http://www.eum.go.kr/web/ar/lu/luLandDet.jsp?pnu=3611010700108290000&amp;isNoScr=script&amp;mode=search", "토지이음")</f>
        <v/>
      </c>
      <c r="L2741" s="3" t="inlineStr">
        <is>
          <t>세종강산</t>
        </is>
      </c>
      <c r="M2741" s="3" t="n">
        <v>1</v>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3" t="inlineStr">
        <is>
          <t>계획관리지역 대지, 단독주택, 카페 등 추천, 가격 조율 가능</t>
        </is>
      </c>
      <c r="I2742" s="5">
        <f>HYPERLINK("https://fin.land.naver.com/articles/2648636296", "매물Link")</f>
        <v/>
      </c>
      <c r="J2742" s="5">
        <f>HYPERLINK("https://map.naver.com/p/search/나성동 829", "지도Link")</f>
        <v/>
      </c>
      <c r="K2742" s="5">
        <f>HYPERLINK("http://www.eum.go.kr/web/ar/lu/luLandDet.jsp?pnu=3611010700108290000&amp;isNoScr=script&amp;mode=search", "토지이음")</f>
        <v/>
      </c>
      <c r="L2742" s="3" t="inlineStr">
        <is>
          <t>골든</t>
        </is>
      </c>
      <c r="M2742" s="3" t="n">
        <v>1</v>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3" t="inlineStr">
        <is>
          <t>구거에 접한 토지를 저렴한 매매가</t>
        </is>
      </c>
      <c r="I2743" s="5">
        <f>HYPERLINK("https://fin.land.naver.com/articles/2647427800", "매물Link")</f>
        <v/>
      </c>
      <c r="J2743" s="5">
        <f>HYPERLINK("https://map.naver.com/p/search/나성동 829", "지도Link")</f>
        <v/>
      </c>
      <c r="K2743" s="5">
        <f>HYPERLINK("http://www.eum.go.kr/web/ar/lu/luLandDet.jsp?pnu=3611010700108290000&amp;isNoScr=script&amp;mode=search", "토지이음")</f>
        <v/>
      </c>
      <c r="L2743" s="3" t="inlineStr">
        <is>
          <t>가야</t>
        </is>
      </c>
      <c r="M2743" s="3" t="n">
        <v>1</v>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3" t="inlineStr">
        <is>
          <t>세종시 부강면 부강리 전망좋은 토지매매</t>
        </is>
      </c>
      <c r="I2744" s="5">
        <f>HYPERLINK("https://fin.land.naver.com/articles/2647117688", "매물Link")</f>
        <v/>
      </c>
      <c r="J2744" s="5">
        <f>HYPERLINK("https://map.naver.com/p/search/나성동 829", "지도Link")</f>
        <v/>
      </c>
      <c r="K2744" s="5">
        <f>HYPERLINK("http://www.eum.go.kr/web/ar/lu/luLandDet.jsp?pnu=3611010700108290000&amp;isNoScr=script&amp;mode=search", "토지이음")</f>
        <v/>
      </c>
      <c r="L2744" s="3" t="inlineStr">
        <is>
          <t>삼성사무소</t>
        </is>
      </c>
      <c r="M2744" s="3" t="n">
        <v>1</v>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3" t="inlineStr">
        <is>
          <t>세종청사 12km, 공공시설 복합단지,공공기관 및 업무시설등 호재</t>
        </is>
      </c>
      <c r="I2745" s="5">
        <f>HYPERLINK("https://fin.land.naver.com/articles/2649904402", "매물Link")</f>
        <v/>
      </c>
      <c r="J2745" s="5">
        <f>HYPERLINK("https://map.naver.com/p/search/나성동 829", "지도Link")</f>
        <v/>
      </c>
      <c r="K2745" s="5">
        <f>HYPERLINK("http://www.eum.go.kr/web/ar/lu/luLandDet.jsp?pnu=3611010700108290000&amp;isNoScr=script&amp;mode=search", "토지이음")</f>
        <v/>
      </c>
      <c r="L2745" s="3" t="inlineStr">
        <is>
          <t>월드</t>
        </is>
      </c>
      <c r="M2745" s="3" t="n">
        <v>1</v>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3" t="inlineStr">
        <is>
          <t>세종에서 차로5분 불티교가 보이는 금암리 귀한 땅.청벽전원마을옆 정자마을</t>
        </is>
      </c>
      <c r="I2746" s="5">
        <f>HYPERLINK("https://fin.land.naver.com/articles/2649905205", "매물Link")</f>
        <v/>
      </c>
      <c r="J2746" s="5">
        <f>HYPERLINK("https://map.naver.com/p/search/나성동 829", "지도Link")</f>
        <v/>
      </c>
      <c r="K2746" s="5">
        <f>HYPERLINK("http://www.eum.go.kr/web/ar/lu/luLandDet.jsp?pnu=3611010700108290000&amp;isNoScr=script&amp;mode=search", "토지이음")</f>
        <v/>
      </c>
      <c r="L2746" s="3" t="inlineStr">
        <is>
          <t>하이스트정원</t>
        </is>
      </c>
      <c r="M2746" s="3" t="n">
        <v>1</v>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3" t="inlineStr">
        <is>
          <t>세종에서 접근성좋은 야적장으로 추천</t>
        </is>
      </c>
      <c r="I2747" s="5">
        <f>HYPERLINK("https://fin.land.naver.com/articles/2646339607", "매물Link")</f>
        <v/>
      </c>
      <c r="J2747" s="5">
        <f>HYPERLINK("https://map.naver.com/p/search/나성동 829", "지도Link")</f>
        <v/>
      </c>
      <c r="K2747" s="5">
        <f>HYPERLINK("http://www.eum.go.kr/web/ar/lu/luLandDet.jsp?pnu=3611010700108290000&amp;isNoScr=script&amp;mode=search", "토지이음")</f>
        <v/>
      </c>
      <c r="L2747" s="3" t="inlineStr">
        <is>
          <t>창고의여왕</t>
        </is>
      </c>
      <c r="M2747" s="3" t="n">
        <v>1</v>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3" t="inlineStr">
        <is>
          <t>부강면 금호리 전원주택</t>
        </is>
      </c>
      <c r="I2748" s="5">
        <f>HYPERLINK("https://fin.land.naver.com/articles/2645480431", "매물Link")</f>
        <v/>
      </c>
      <c r="J2748" s="5">
        <f>HYPERLINK("https://map.naver.com/p/search/나성동 829", "지도Link")</f>
        <v/>
      </c>
      <c r="K2748" s="5">
        <f>HYPERLINK("http://www.eum.go.kr/web/ar/lu/luLandDet.jsp?pnu=3611010700108290000&amp;isNoScr=script&amp;mode=search", "토지이음")</f>
        <v/>
      </c>
      <c r="L2748" s="3" t="inlineStr">
        <is>
          <t>강아지풀</t>
        </is>
      </c>
      <c r="M2748" s="3" t="n">
        <v>1</v>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3" t="inlineStr">
        <is>
          <t>급매. 노호리 평수 큰 계획관리</t>
        </is>
      </c>
      <c r="I2749" s="5">
        <f>HYPERLINK("https://fin.land.naver.com/articles/2645480343", "매물Link")</f>
        <v/>
      </c>
      <c r="J2749" s="5">
        <f>HYPERLINK("https://map.naver.com/p/search/나성동 829", "지도Link")</f>
        <v/>
      </c>
      <c r="K2749" s="5">
        <f>HYPERLINK("http://www.eum.go.kr/web/ar/lu/luLandDet.jsp?pnu=3611010700108290000&amp;isNoScr=script&amp;mode=search", "토지이음")</f>
        <v/>
      </c>
      <c r="L2749" s="3" t="inlineStr">
        <is>
          <t>강아지풀</t>
        </is>
      </c>
      <c r="M2749" s="3" t="n">
        <v>1</v>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3" t="inlineStr">
        <is>
          <t>급. 부강 부강농협 부지</t>
        </is>
      </c>
      <c r="I2750" s="5">
        <f>HYPERLINK("https://fin.land.naver.com/articles/2645479886", "매물Link")</f>
        <v/>
      </c>
      <c r="J2750" s="5">
        <f>HYPERLINK("https://map.naver.com/p/search/나성동 829", "지도Link")</f>
        <v/>
      </c>
      <c r="K2750" s="5">
        <f>HYPERLINK("http://www.eum.go.kr/web/ar/lu/luLandDet.jsp?pnu=3611010700108290000&amp;isNoScr=script&amp;mode=search", "토지이음")</f>
        <v/>
      </c>
      <c r="L2750" s="3" t="inlineStr">
        <is>
          <t>강아지풀</t>
        </is>
      </c>
      <c r="M2750" s="3" t="n">
        <v>1</v>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3" t="inlineStr">
        <is>
          <t>월세많이나오는토지 월평동대지 월790만 10년째 임대중</t>
        </is>
      </c>
      <c r="I2751" s="5">
        <f>HYPERLINK("https://fin.land.naver.com/articles/2649439720", "매물Link")</f>
        <v/>
      </c>
      <c r="J2751" s="5">
        <f>HYPERLINK("https://map.naver.com/p/search/나성동 829", "지도Link")</f>
        <v/>
      </c>
      <c r="K2751" s="5">
        <f>HYPERLINK("http://www.eum.go.kr/web/ar/lu/luLandDet.jsp?pnu=3611010700108290000&amp;isNoScr=script&amp;mode=search", "토지이음")</f>
        <v/>
      </c>
      <c r="L2751" s="3" t="inlineStr">
        <is>
          <t>명당</t>
        </is>
      </c>
      <c r="M2751" s="3" t="n">
        <v>1</v>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3" t="inlineStr">
        <is>
          <t>남청주i.c에서 11분거리.토목공사완료</t>
        </is>
      </c>
      <c r="I2752" s="5">
        <f>HYPERLINK("https://fin.land.naver.com/articles/2644289893", "매물Link")</f>
        <v/>
      </c>
      <c r="J2752" s="5">
        <f>HYPERLINK("https://map.naver.com/p/search/나성동 829", "지도Link")</f>
        <v/>
      </c>
      <c r="K2752" s="5">
        <f>HYPERLINK("http://www.eum.go.kr/web/ar/lu/luLandDet.jsp?pnu=3611010700108290000&amp;isNoScr=script&amp;mode=search", "토지이음")</f>
        <v/>
      </c>
      <c r="L2752" s="3" t="inlineStr">
        <is>
          <t>명당</t>
        </is>
      </c>
      <c r="M2752" s="3" t="n">
        <v>1</v>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3" t="inlineStr">
        <is>
          <t>대전진입 20분 세종시내10분진입 전원주택지</t>
        </is>
      </c>
      <c r="I2753" s="5">
        <f>HYPERLINK("https://fin.land.naver.com/articles/2649468188", "매물Link")</f>
        <v/>
      </c>
      <c r="J2753" s="5">
        <f>HYPERLINK("https://map.naver.com/p/search/나성동 829", "지도Link")</f>
        <v/>
      </c>
      <c r="K2753" s="5">
        <f>HYPERLINK("http://www.eum.go.kr/web/ar/lu/luLandDet.jsp?pnu=3611010700108290000&amp;isNoScr=script&amp;mode=search", "토지이음")</f>
        <v/>
      </c>
      <c r="L2753" s="3" t="inlineStr">
        <is>
          <t>그린</t>
        </is>
      </c>
      <c r="M2753" s="3" t="n">
        <v>1</v>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3" t="inlineStr">
        <is>
          <t>세종시 5분 금강변인근.주말농장 투자용 대토용</t>
        </is>
      </c>
      <c r="I2754" s="5">
        <f>HYPERLINK("https://fin.land.naver.com/articles/2648710102", "매물Link")</f>
        <v/>
      </c>
      <c r="J2754" s="5">
        <f>HYPERLINK("https://map.naver.com/p/search/나성동 829", "지도Link")</f>
        <v/>
      </c>
      <c r="K2754" s="5">
        <f>HYPERLINK("http://www.eum.go.kr/web/ar/lu/luLandDet.jsp?pnu=3611010700108290000&amp;isNoScr=script&amp;mode=search", "토지이음")</f>
        <v/>
      </c>
      <c r="L2754" s="3" t="inlineStr">
        <is>
          <t>세종OK</t>
        </is>
      </c>
      <c r="M2754" s="3" t="n">
        <v>1</v>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3" t="inlineStr">
        <is>
          <t>상가주택 또는 다가구 신축 적지</t>
        </is>
      </c>
      <c r="I2755" s="5">
        <f>HYPERLINK("https://fin.land.naver.com/articles/2647698459", "매물Link")</f>
        <v/>
      </c>
      <c r="J2755" s="5">
        <f>HYPERLINK("https://map.naver.com/p/search/나성동 829", "지도Link")</f>
        <v/>
      </c>
      <c r="K2755" s="5">
        <f>HYPERLINK("http://www.eum.go.kr/web/ar/lu/luLandDet.jsp?pnu=3611010700108290000&amp;isNoScr=script&amp;mode=search", "토지이음")</f>
        <v/>
      </c>
      <c r="L2755" s="3" t="inlineStr">
        <is>
          <t>서우랜드</t>
        </is>
      </c>
      <c r="M2755" s="3" t="n">
        <v>1</v>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3" t="inlineStr">
        <is>
          <t>nan</t>
        </is>
      </c>
      <c r="I2756" s="5">
        <f>HYPERLINK("https://fin.land.naver.com/articles/2649319860", "매물Link")</f>
        <v/>
      </c>
      <c r="J2756" s="5">
        <f>HYPERLINK("https://map.naver.com/p/search/나성동 829", "지도Link")</f>
        <v/>
      </c>
      <c r="K2756" s="5">
        <f>HYPERLINK("http://www.eum.go.kr/web/ar/lu/luLandDet.jsp?pnu=3611010700108290000&amp;isNoScr=script&amp;mode=search", "토지이음")</f>
        <v/>
      </c>
      <c r="L2756" s="3" t="inlineStr">
        <is>
          <t>공원</t>
        </is>
      </c>
      <c r="M2756" s="3" t="n">
        <v>1</v>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3" t="inlineStr">
        <is>
          <t>미등기된 2층단독주택.소유권이전시 건물 등기해주심.</t>
        </is>
      </c>
      <c r="I2757" s="5">
        <f>HYPERLINK("https://fin.land.naver.com/articles/2649352551", "매물Link")</f>
        <v/>
      </c>
      <c r="J2757" s="5">
        <f>HYPERLINK("https://map.naver.com/p/search/나성동 829", "지도Link")</f>
        <v/>
      </c>
      <c r="K2757" s="5">
        <f>HYPERLINK("http://www.eum.go.kr/web/ar/lu/luLandDet.jsp?pnu=3611010700108290000&amp;isNoScr=script&amp;mode=search", "토지이음")</f>
        <v/>
      </c>
      <c r="L2757" s="3" t="inlineStr">
        <is>
          <t>세종OK</t>
        </is>
      </c>
      <c r="M2757" s="3" t="n">
        <v>1</v>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3" t="inlineStr">
        <is>
          <t>2차선도로 계획있슴,주말농장에 적합함,도시지역인근</t>
        </is>
      </c>
      <c r="I2758" s="5">
        <f>HYPERLINK("https://fin.land.naver.com/articles/2649960860", "매물Link")</f>
        <v/>
      </c>
      <c r="J2758" s="5">
        <f>HYPERLINK("https://map.naver.com/p/search/나성동 829", "지도Link")</f>
        <v/>
      </c>
      <c r="K2758" s="5">
        <f>HYPERLINK("http://www.eum.go.kr/web/ar/lu/luLandDet.jsp?pnu=3611010700108290000&amp;isNoScr=script&amp;mode=search", "토지이음")</f>
        <v/>
      </c>
      <c r="L2758" s="3" t="inlineStr">
        <is>
          <t>세종타운</t>
        </is>
      </c>
      <c r="M2758" s="3" t="n">
        <v>1</v>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3" t="inlineStr">
        <is>
          <t>nan</t>
        </is>
      </c>
      <c r="I2759" s="5">
        <f>HYPERLINK("https://fin.land.naver.com/articles/2649666819", "매물Link")</f>
        <v/>
      </c>
      <c r="J2759" s="5">
        <f>HYPERLINK("https://map.naver.com/p/search/나성동 829", "지도Link")</f>
        <v/>
      </c>
      <c r="K2759" s="5">
        <f>HYPERLINK("http://www.eum.go.kr/web/ar/lu/luLandDet.jsp?pnu=3611010700108290000&amp;isNoScr=script&amp;mode=search", "토지이음")</f>
        <v/>
      </c>
      <c r="L2759" s="3" t="inlineStr">
        <is>
          <t>대방디엠시티</t>
        </is>
      </c>
      <c r="M2759" s="3" t="n">
        <v>1</v>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3" t="inlineStr">
        <is>
          <t>nan</t>
        </is>
      </c>
      <c r="I2760" s="5">
        <f>HYPERLINK("https://fin.land.naver.com/articles/2648950383", "매물Link")</f>
        <v/>
      </c>
      <c r="J2760" s="5">
        <f>HYPERLINK("https://map.naver.com/p/search/나성동 829", "지도Link")</f>
        <v/>
      </c>
      <c r="K2760" s="5">
        <f>HYPERLINK("http://www.eum.go.kr/web/ar/lu/luLandDet.jsp?pnu=3611010700108290000&amp;isNoScr=script&amp;mode=search", "토지이음")</f>
        <v/>
      </c>
      <c r="L2760" s="3" t="inlineStr">
        <is>
          <t>대복</t>
        </is>
      </c>
      <c r="M2760" s="3" t="n">
        <v>2</v>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3" t="inlineStr">
        <is>
          <t>코너각지 접한 대지</t>
        </is>
      </c>
      <c r="I2761" s="5">
        <f>HYPERLINK("https://fin.land.naver.com/articles/2646871910", "매물Link")</f>
        <v/>
      </c>
      <c r="J2761" s="5">
        <f>HYPERLINK("https://map.naver.com/p/search/나성동 829", "지도Link")</f>
        <v/>
      </c>
      <c r="K2761" s="5">
        <f>HYPERLINK("http://www.eum.go.kr/web/ar/lu/luLandDet.jsp?pnu=3611010700108290000&amp;isNoScr=script&amp;mode=search", "토지이음")</f>
        <v/>
      </c>
      <c r="L2761" s="3" t="inlineStr">
        <is>
          <t>정림탑</t>
        </is>
      </c>
      <c r="M2761" s="3" t="n">
        <v>1</v>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3" t="inlineStr">
        <is>
          <t>가수원 광역 철도 예정역 인근 소액투자 가능한 급 매매  소액투자 토지</t>
        </is>
      </c>
      <c r="I2762" s="5">
        <f>HYPERLINK("https://fin.land.naver.com/articles/2648148560", "매물Link")</f>
        <v/>
      </c>
      <c r="J2762" s="5">
        <f>HYPERLINK("https://map.naver.com/p/search/나성동 829", "지도Link")</f>
        <v/>
      </c>
      <c r="K2762" s="5">
        <f>HYPERLINK("http://www.eum.go.kr/web/ar/lu/luLandDet.jsp?pnu=3611010700108290000&amp;isNoScr=script&amp;mode=search", "토지이음")</f>
        <v/>
      </c>
      <c r="L2762" s="3" t="inlineStr">
        <is>
          <t>코끼리</t>
        </is>
      </c>
      <c r="M2762" s="3" t="n">
        <v>1</v>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3" t="inlineStr">
        <is>
          <t>nan</t>
        </is>
      </c>
      <c r="I2763" s="5">
        <f>HYPERLINK("https://fin.land.naver.com/articles/2647811961", "매물Link")</f>
        <v/>
      </c>
      <c r="J2763" s="5">
        <f>HYPERLINK("https://map.naver.com/p/search/나성동 829", "지도Link")</f>
        <v/>
      </c>
      <c r="K2763" s="5">
        <f>HYPERLINK("http://www.eum.go.kr/web/ar/lu/luLandDet.jsp?pnu=3611010700108290000&amp;isNoScr=script&amp;mode=search", "토지이음")</f>
        <v/>
      </c>
      <c r="L2763" s="3" t="inlineStr">
        <is>
          <t>뉴미래로</t>
        </is>
      </c>
      <c r="M2763" s="3" t="n">
        <v>1</v>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3" t="inlineStr">
        <is>
          <t>최대한 조율해볼께요,평촌산업단지 옆,대도로접,위치 좋아요</t>
        </is>
      </c>
      <c r="I2764" s="5">
        <f>HYPERLINK("https://fin.land.naver.com/articles/2646125932", "매물Link")</f>
        <v/>
      </c>
      <c r="J2764" s="5">
        <f>HYPERLINK("https://map.naver.com/p/search/나성동 829", "지도Link")</f>
        <v/>
      </c>
      <c r="K2764" s="5">
        <f>HYPERLINK("http://www.eum.go.kr/web/ar/lu/luLandDet.jsp?pnu=3611010700108290000&amp;isNoScr=script&amp;mode=search", "토지이음")</f>
        <v/>
      </c>
      <c r="L2764" s="3" t="inlineStr">
        <is>
          <t>어반통</t>
        </is>
      </c>
      <c r="M2764" s="3" t="n">
        <v>1</v>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3" t="inlineStr">
        <is>
          <t>Point 대전 근교 모양 좋은 토지, 지적상 도로 접함, 투자 추천</t>
        </is>
      </c>
      <c r="I2765" s="5">
        <f>HYPERLINK("https://fin.land.naver.com/articles/2645152419", "매물Link")</f>
        <v/>
      </c>
      <c r="J2765" s="5">
        <f>HYPERLINK("https://map.naver.com/p/search/나성동 829", "지도Link")</f>
        <v/>
      </c>
      <c r="K2765" s="5">
        <f>HYPERLINK("http://www.eum.go.kr/web/ar/lu/luLandDet.jsp?pnu=3611010700108290000&amp;isNoScr=script&amp;mode=search", "토지이음")</f>
        <v/>
      </c>
      <c r="L2765" s="3" t="inlineStr">
        <is>
          <t>도마호반</t>
        </is>
      </c>
      <c r="M2765" s="3" t="n">
        <v>1</v>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3" t="inlineStr">
        <is>
          <t>산직동, 자연녹지, 장태산 휴양림 가는 길 
산직동 자연녹지, 소도로</t>
        </is>
      </c>
      <c r="I2766" s="5">
        <f>HYPERLINK("https://fin.land.naver.com/articles/2649918786", "매물Link")</f>
        <v/>
      </c>
      <c r="J2766" s="5">
        <f>HYPERLINK("https://map.naver.com/p/search/나성동 829", "지도Link")</f>
        <v/>
      </c>
      <c r="K2766" s="5">
        <f>HYPERLINK("http://www.eum.go.kr/web/ar/lu/luLandDet.jsp?pnu=3611010700108290000&amp;isNoScr=script&amp;mode=search", "토지이음")</f>
        <v/>
      </c>
      <c r="L2766" s="3" t="inlineStr">
        <is>
          <t>한국</t>
        </is>
      </c>
      <c r="M2766" s="3" t="n">
        <v>1</v>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3" t="inlineStr">
        <is>
          <t>산직동, 그린벨트 아님, 주말농장 적합</t>
        </is>
      </c>
      <c r="I2767" s="5">
        <f>HYPERLINK("https://fin.land.naver.com/articles/2649916744", "매물Link")</f>
        <v/>
      </c>
      <c r="J2767" s="5">
        <f>HYPERLINK("https://map.naver.com/p/search/나성동 829", "지도Link")</f>
        <v/>
      </c>
      <c r="K2767" s="5">
        <f>HYPERLINK("http://www.eum.go.kr/web/ar/lu/luLandDet.jsp?pnu=3611010700108290000&amp;isNoScr=script&amp;mode=search", "토지이음")</f>
        <v/>
      </c>
      <c r="L2767" s="3" t="inlineStr">
        <is>
          <t>한국</t>
        </is>
      </c>
      <c r="M2767" s="3" t="n">
        <v>1</v>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3" t="inlineStr">
        <is>
          <t>소형점포 건축 가능한 주차장 용지</t>
        </is>
      </c>
      <c r="I2768" s="5">
        <f>HYPERLINK("https://fin.land.naver.com/articles/2647648808", "매물Link")</f>
        <v/>
      </c>
      <c r="J2768" s="5">
        <f>HYPERLINK("https://map.naver.com/p/search/나성동 829", "지도Link")</f>
        <v/>
      </c>
      <c r="K2768" s="5">
        <f>HYPERLINK("http://www.eum.go.kr/web/ar/lu/luLandDet.jsp?pnu=3611010700108290000&amp;isNoScr=script&amp;mode=search", "토지이음")</f>
        <v/>
      </c>
      <c r="L2768" s="3" t="inlineStr">
        <is>
          <t>강우림</t>
        </is>
      </c>
      <c r="M2768" s="3" t="n">
        <v>1</v>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3" t="inlineStr">
        <is>
          <t>산직동 자연녹지, 소도로 접</t>
        </is>
      </c>
      <c r="I2769" s="5">
        <f>HYPERLINK("https://fin.land.naver.com/articles/2649916235", "매물Link")</f>
        <v/>
      </c>
      <c r="J2769" s="5">
        <f>HYPERLINK("https://map.naver.com/p/search/나성동 829", "지도Link")</f>
        <v/>
      </c>
      <c r="K2769" s="5">
        <f>HYPERLINK("http://www.eum.go.kr/web/ar/lu/luLandDet.jsp?pnu=3611010700108290000&amp;isNoScr=script&amp;mode=search", "토지이음")</f>
        <v/>
      </c>
      <c r="L2769" s="3" t="inlineStr">
        <is>
          <t>한국</t>
        </is>
      </c>
      <c r="M2769" s="3" t="n">
        <v>1</v>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3" t="inlineStr">
        <is>
          <t>산직동 창고용지1, 전3, 임야1필지 총5필지</t>
        </is>
      </c>
      <c r="I2770" s="5">
        <f>HYPERLINK("https://fin.land.naver.com/articles/2649915027", "매물Link")</f>
        <v/>
      </c>
      <c r="J2770" s="5">
        <f>HYPERLINK("https://map.naver.com/p/search/나성동 829", "지도Link")</f>
        <v/>
      </c>
      <c r="K2770" s="5">
        <f>HYPERLINK("http://www.eum.go.kr/web/ar/lu/luLandDet.jsp?pnu=3611010700108290000&amp;isNoScr=script&amp;mode=search", "토지이음")</f>
        <v/>
      </c>
      <c r="L2770" s="3" t="inlineStr">
        <is>
          <t>한국</t>
        </is>
      </c>
      <c r="M2770" s="3" t="n">
        <v>1</v>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3" t="inlineStr">
        <is>
          <t>산직동 자연녹지, 2차선 도로접</t>
        </is>
      </c>
      <c r="I2771" s="5">
        <f>HYPERLINK("https://fin.land.naver.com/articles/2649914552", "매물Link")</f>
        <v/>
      </c>
      <c r="J2771" s="5">
        <f>HYPERLINK("https://map.naver.com/p/search/나성동 829", "지도Link")</f>
        <v/>
      </c>
      <c r="K2771" s="5">
        <f>HYPERLINK("http://www.eum.go.kr/web/ar/lu/luLandDet.jsp?pnu=3611010700108290000&amp;isNoScr=script&amp;mode=search", "토지이음")</f>
        <v/>
      </c>
      <c r="L2771" s="3" t="inlineStr">
        <is>
          <t>한국</t>
        </is>
      </c>
      <c r="M2771" s="3" t="n">
        <v>1</v>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3" t="inlineStr">
        <is>
          <t>장태산 가는 길목에 위치한 농지,현재 전으로 사용중.</t>
        </is>
      </c>
      <c r="I2772" s="5">
        <f>HYPERLINK("https://fin.land.naver.com/articles/2648922374", "매물Link")</f>
        <v/>
      </c>
      <c r="J2772" s="5">
        <f>HYPERLINK("https://map.naver.com/p/search/나성동 829", "지도Link")</f>
        <v/>
      </c>
      <c r="K2772" s="5">
        <f>HYPERLINK("http://www.eum.go.kr/web/ar/lu/luLandDet.jsp?pnu=3611010700108290000&amp;isNoScr=script&amp;mode=search", "토지이음")</f>
        <v/>
      </c>
      <c r="L2772" s="3" t="inlineStr">
        <is>
          <t>연수</t>
        </is>
      </c>
      <c r="M2772" s="3" t="n">
        <v>1</v>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3" t="inlineStr">
        <is>
          <t>개발제한 구역내의 도로접한 농지입니다</t>
        </is>
      </c>
      <c r="I2773" s="5">
        <f>HYPERLINK("https://fin.land.naver.com/articles/2647674997", "매물Link")</f>
        <v/>
      </c>
      <c r="J2773" s="5">
        <f>HYPERLINK("https://map.naver.com/p/search/나성동 829", "지도Link")</f>
        <v/>
      </c>
      <c r="K2773" s="5">
        <f>HYPERLINK("http://www.eum.go.kr/web/ar/lu/luLandDet.jsp?pnu=3611010700108290000&amp;isNoScr=script&amp;mode=search", "토지이음")</f>
        <v/>
      </c>
      <c r="L2773" s="3" t="inlineStr">
        <is>
          <t>도안우미린사랑무소</t>
        </is>
      </c>
      <c r="M2773" s="3" t="n">
        <v>1</v>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3" t="inlineStr">
        <is>
          <t>대전의 명소 장태산휴양지입구</t>
        </is>
      </c>
      <c r="I2774" s="5">
        <f>HYPERLINK("https://fin.land.naver.com/articles/2646360126", "매물Link")</f>
        <v/>
      </c>
      <c r="J2774" s="5">
        <f>HYPERLINK("https://map.naver.com/p/search/나성동 829", "지도Link")</f>
        <v/>
      </c>
      <c r="K2774" s="5">
        <f>HYPERLINK("http://www.eum.go.kr/web/ar/lu/luLandDet.jsp?pnu=3611010700108290000&amp;isNoScr=script&amp;mode=search", "토지이음")</f>
        <v/>
      </c>
      <c r="L2774" s="3" t="inlineStr">
        <is>
          <t>뉴장원</t>
        </is>
      </c>
      <c r="M2774" s="3" t="n">
        <v>1</v>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3" t="inlineStr">
        <is>
          <t>장태산자락 버스도로접, 산아래 지대높아요 ,건축가능,땅반듯도로 넓게접</t>
        </is>
      </c>
      <c r="I2775" s="5">
        <f>HYPERLINK("https://fin.land.naver.com/articles/2648309623", "매물Link")</f>
        <v/>
      </c>
      <c r="J2775" s="5">
        <f>HYPERLINK("https://map.naver.com/p/search/나성동 829", "지도Link")</f>
        <v/>
      </c>
      <c r="K2775" s="5">
        <f>HYPERLINK("http://www.eum.go.kr/web/ar/lu/luLandDet.jsp?pnu=3611010700108290000&amp;isNoScr=script&amp;mode=search", "토지이음")</f>
        <v/>
      </c>
      <c r="L2775" s="3" t="inlineStr">
        <is>
          <t>가수원당근</t>
        </is>
      </c>
      <c r="M2775" s="3" t="n">
        <v>1</v>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3" t="inlineStr">
        <is>
          <t>nan</t>
        </is>
      </c>
      <c r="I2776" s="5">
        <f>HYPERLINK("https://fin.land.naver.com/articles/2648300351", "매물Link")</f>
        <v/>
      </c>
      <c r="J2776" s="5">
        <f>HYPERLINK("https://map.naver.com/p/search/나성동 829", "지도Link")</f>
        <v/>
      </c>
      <c r="K2776" s="5">
        <f>HYPERLINK("http://www.eum.go.kr/web/ar/lu/luLandDet.jsp?pnu=3611010700108290000&amp;isNoScr=script&amp;mode=search", "토지이음")</f>
        <v/>
      </c>
      <c r="L2776" s="3" t="inlineStr">
        <is>
          <t>가수원당근</t>
        </is>
      </c>
      <c r="M2776" s="3" t="n">
        <v>1</v>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3" t="inlineStr">
        <is>
          <t>장태산자락 도로 접한  인허가 가능한 건축부지 매매</t>
        </is>
      </c>
      <c r="I2777" s="5">
        <f>HYPERLINK("https://fin.land.naver.com/articles/2648152293", "매물Link")</f>
        <v/>
      </c>
      <c r="J2777" s="5">
        <f>HYPERLINK("https://map.naver.com/p/search/나성동 829", "지도Link")</f>
        <v/>
      </c>
      <c r="K2777" s="5">
        <f>HYPERLINK("http://www.eum.go.kr/web/ar/lu/luLandDet.jsp?pnu=3611010700108290000&amp;isNoScr=script&amp;mode=search", "토지이음")</f>
        <v/>
      </c>
      <c r="L2777" s="3" t="inlineStr">
        <is>
          <t>코끼리</t>
        </is>
      </c>
      <c r="M2777" s="3" t="n">
        <v>1</v>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3" t="inlineStr">
        <is>
          <t>nan</t>
        </is>
      </c>
      <c r="I2778" s="5">
        <f>HYPERLINK("https://fin.land.naver.com/articles/2647874905", "매물Link")</f>
        <v/>
      </c>
      <c r="J2778" s="5">
        <f>HYPERLINK("https://map.naver.com/p/search/나성동 829", "지도Link")</f>
        <v/>
      </c>
      <c r="K2778" s="5">
        <f>HYPERLINK("http://www.eum.go.kr/web/ar/lu/luLandDet.jsp?pnu=3611010700108290000&amp;isNoScr=script&amp;mode=search", "토지이음")</f>
        <v/>
      </c>
      <c r="L2778" s="3" t="inlineStr">
        <is>
          <t>코오롱하늘채</t>
        </is>
      </c>
      <c r="M2778" s="3" t="n">
        <v>1</v>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3" t="inlineStr">
        <is>
          <t>Point 오동 산단 관련 수혜 예상지, 현재 과수 40주 식재중</t>
        </is>
      </c>
      <c r="I2779" s="5">
        <f>HYPERLINK("https://fin.land.naver.com/articles/2649271970", "매물Link")</f>
        <v/>
      </c>
      <c r="J2779" s="5">
        <f>HYPERLINK("https://map.naver.com/p/search/나성동 829", "지도Link")</f>
        <v/>
      </c>
      <c r="K2779" s="5">
        <f>HYPERLINK("http://www.eum.go.kr/web/ar/lu/luLandDet.jsp?pnu=3611010700108290000&amp;isNoScr=script&amp;mode=search", "토지이음")</f>
        <v/>
      </c>
      <c r="L2779" s="3" t="inlineStr">
        <is>
          <t>도마호반</t>
        </is>
      </c>
      <c r="M2779" s="3" t="n">
        <v>1</v>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3" t="inlineStr">
        <is>
          <t>금강변 경관 수려하고 교통 편리 대토 영농 전원주택 창고 투자용 최상</t>
        </is>
      </c>
      <c r="I2780" s="5">
        <f>HYPERLINK("https://fin.land.naver.com/articles/2646305824", "매물Link")</f>
        <v/>
      </c>
      <c r="J2780" s="5">
        <f>HYPERLINK("https://map.naver.com/p/search/나성동 829", "지도Link")</f>
        <v/>
      </c>
      <c r="K2780" s="5">
        <f>HYPERLINK("http://www.eum.go.kr/web/ar/lu/luLandDet.jsp?pnu=3611010700108290000&amp;isNoScr=script&amp;mode=search", "토지이음")</f>
        <v/>
      </c>
      <c r="L2780" s="3" t="inlineStr">
        <is>
          <t>뉴태양</t>
        </is>
      </c>
      <c r="M2780" s="3" t="n">
        <v>1</v>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3" t="inlineStr">
        <is>
          <t>세종시인접 2차선도로 인접  주말농장 쉼터 휴식처</t>
        </is>
      </c>
      <c r="I2781" s="5">
        <f>HYPERLINK("https://fin.land.naver.com/articles/2645892560", "매물Link")</f>
        <v/>
      </c>
      <c r="J2781" s="5">
        <f>HYPERLINK("https://map.naver.com/p/search/나성동 829", "지도Link")</f>
        <v/>
      </c>
      <c r="K2781" s="5">
        <f>HYPERLINK("http://www.eum.go.kr/web/ar/lu/luLandDet.jsp?pnu=3611010700108290000&amp;isNoScr=script&amp;mode=search", "토지이음")</f>
        <v/>
      </c>
      <c r="L2781" s="3" t="inlineStr">
        <is>
          <t>세종OK</t>
        </is>
      </c>
      <c r="M2781" s="3" t="n">
        <v>1</v>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3" t="inlineStr">
        <is>
          <t>세종시에서는 저렴하여 충분한 투자가치가 있는 토지</t>
        </is>
      </c>
      <c r="I2782" s="5">
        <f>HYPERLINK("https://fin.land.naver.com/articles/2643934047", "매물Link")</f>
        <v/>
      </c>
      <c r="J2782" s="5">
        <f>HYPERLINK("https://map.naver.com/p/search/나성동 829", "지도Link")</f>
        <v/>
      </c>
      <c r="K2782" s="5">
        <f>HYPERLINK("http://www.eum.go.kr/web/ar/lu/luLandDet.jsp?pnu=3611010700108290000&amp;isNoScr=script&amp;mode=search", "토지이음")</f>
        <v/>
      </c>
      <c r="L2782" s="3" t="inlineStr">
        <is>
          <t>둔곡</t>
        </is>
      </c>
      <c r="M2782" s="3" t="n">
        <v>1</v>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3" t="inlineStr">
        <is>
          <t>세종과과학밸트10분내위치, 다양업종가능해요</t>
        </is>
      </c>
      <c r="I2783" s="5">
        <f>HYPERLINK("https://fin.land.naver.com/articles/2644384760", "매물Link")</f>
        <v/>
      </c>
      <c r="J2783" s="5">
        <f>HYPERLINK("https://map.naver.com/p/search/나성동 829", "지도Link")</f>
        <v/>
      </c>
      <c r="K2783" s="5">
        <f>HYPERLINK("http://www.eum.go.kr/web/ar/lu/luLandDet.jsp?pnu=3611010700108290000&amp;isNoScr=script&amp;mode=search", "토지이음")</f>
        <v/>
      </c>
      <c r="L2783" s="3" t="inlineStr">
        <is>
          <t>큰길</t>
        </is>
      </c>
      <c r="M2783" s="3" t="n">
        <v>1</v>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3" t="inlineStr">
        <is>
          <t>전기, 물, 주차장, 비닐하우스가 있어 체류형쉼터로 각광받을 토지</t>
        </is>
      </c>
      <c r="I2784" s="5">
        <f>HYPERLINK("https://fin.land.naver.com/articles/2643932628", "매물Link")</f>
        <v/>
      </c>
      <c r="J2784" s="5">
        <f>HYPERLINK("https://map.naver.com/p/search/나성동 829", "지도Link")</f>
        <v/>
      </c>
      <c r="K2784" s="5">
        <f>HYPERLINK("http://www.eum.go.kr/web/ar/lu/luLandDet.jsp?pnu=3611010700108290000&amp;isNoScr=script&amp;mode=search", "토지이음")</f>
        <v/>
      </c>
      <c r="L2784" s="3" t="inlineStr">
        <is>
          <t>둔곡</t>
        </is>
      </c>
      <c r="M2784" s="3" t="n">
        <v>1</v>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3" t="inlineStr">
        <is>
          <t>nan</t>
        </is>
      </c>
      <c r="I2785" s="5">
        <f>HYPERLINK("https://fin.land.naver.com/articles/2650002484", "매물Link")</f>
        <v/>
      </c>
      <c r="J2785" s="5">
        <f>HYPERLINK("https://map.naver.com/p/search/나성동 829", "지도Link")</f>
        <v/>
      </c>
      <c r="K2785" s="5">
        <f>HYPERLINK("http://www.eum.go.kr/web/ar/lu/luLandDet.jsp?pnu=3611010700108290000&amp;isNoScr=script&amp;mode=search", "토지이음")</f>
        <v/>
      </c>
      <c r="L2785" s="3" t="inlineStr">
        <is>
          <t>두드림</t>
        </is>
      </c>
      <c r="M2785" s="3" t="n">
        <v>1</v>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3" t="inlineStr">
        <is>
          <t>nan</t>
        </is>
      </c>
      <c r="I2786" s="5">
        <f>HYPERLINK("https://fin.land.naver.com/articles/2650002408", "매물Link")</f>
        <v/>
      </c>
      <c r="J2786" s="5">
        <f>HYPERLINK("https://map.naver.com/p/search/나성동 829", "지도Link")</f>
        <v/>
      </c>
      <c r="K2786" s="5">
        <f>HYPERLINK("http://www.eum.go.kr/web/ar/lu/luLandDet.jsp?pnu=3611010700108290000&amp;isNoScr=script&amp;mode=search", "토지이음")</f>
        <v/>
      </c>
      <c r="L2786" s="3" t="inlineStr">
        <is>
          <t>두드림</t>
        </is>
      </c>
      <c r="M2786" s="3" t="n">
        <v>1</v>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3" t="inlineStr">
        <is>
          <t>현황과 법정도로 모두 있는 그린벨트 전입니다.</t>
        </is>
      </c>
      <c r="I2787" s="5">
        <f>HYPERLINK("https://fin.land.naver.com/articles/2649100173", "매물Link")</f>
        <v/>
      </c>
      <c r="J2787" s="5">
        <f>HYPERLINK("https://map.naver.com/p/search/나성동 829", "지도Link")</f>
        <v/>
      </c>
      <c r="K2787" s="5">
        <f>HYPERLINK("http://www.eum.go.kr/web/ar/lu/luLandDet.jsp?pnu=3611010700108290000&amp;isNoScr=script&amp;mode=search", "토지이음")</f>
        <v/>
      </c>
      <c r="L2787" s="3" t="inlineStr">
        <is>
          <t>동행</t>
        </is>
      </c>
      <c r="M2787" s="3" t="n">
        <v>1</v>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3" t="inlineStr">
        <is>
          <t>자연녹지, 노루벌 입구 소재</t>
        </is>
      </c>
      <c r="I2788" s="5">
        <f>HYPERLINK("https://fin.land.naver.com/articles/2649915394", "매물Link")</f>
        <v/>
      </c>
      <c r="J2788" s="5">
        <f>HYPERLINK("https://map.naver.com/p/search/나성동 829", "지도Link")</f>
        <v/>
      </c>
      <c r="K2788" s="5">
        <f>HYPERLINK("http://www.eum.go.kr/web/ar/lu/luLandDet.jsp?pnu=3611010700108290000&amp;isNoScr=script&amp;mode=search", "토지이음")</f>
        <v/>
      </c>
      <c r="L2788" s="3" t="inlineStr">
        <is>
          <t>한국</t>
        </is>
      </c>
      <c r="M2788" s="3" t="n">
        <v>1</v>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3" t="inlineStr">
        <is>
          <t>성장관리지역,조용한전원주택지로 추천,영평사인접,저렴매물</t>
        </is>
      </c>
      <c r="I2789" s="5">
        <f>HYPERLINK("https://fin.land.naver.com/articles/2647619798", "매물Link")</f>
        <v/>
      </c>
      <c r="J2789" s="5">
        <f>HYPERLINK("https://map.naver.com/p/search/나성동 829", "지도Link")</f>
        <v/>
      </c>
      <c r="K2789" s="5">
        <f>HYPERLINK("http://www.eum.go.kr/web/ar/lu/luLandDet.jsp?pnu=3611010700108290000&amp;isNoScr=script&amp;mode=search", "토지이음")</f>
        <v/>
      </c>
      <c r="L2789" s="3" t="inlineStr">
        <is>
          <t>고운햇살</t>
        </is>
      </c>
      <c r="M2789" s="3" t="n">
        <v>1</v>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3" t="inlineStr">
        <is>
          <t>가수원네거리 계백로 대로변 일반상업지역</t>
        </is>
      </c>
      <c r="I2790" s="5">
        <f>HYPERLINK("https://fin.land.naver.com/articles/2646975697", "매물Link")</f>
        <v/>
      </c>
      <c r="J2790" s="5">
        <f>HYPERLINK("https://map.naver.com/p/search/나성동 829", "지도Link")</f>
        <v/>
      </c>
      <c r="K2790" s="5">
        <f>HYPERLINK("http://www.eum.go.kr/web/ar/lu/luLandDet.jsp?pnu=3611010700108290000&amp;isNoScr=script&amp;mode=search", "토지이음")</f>
        <v/>
      </c>
      <c r="L2790" s="3" t="inlineStr">
        <is>
          <t>지산</t>
        </is>
      </c>
      <c r="M2790" s="3" t="n">
        <v>1</v>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3" t="inlineStr">
        <is>
          <t>급매,더삽3차인근관저4지구 ,착한 가격으로  토지매매,</t>
        </is>
      </c>
      <c r="I2791" s="5">
        <f>HYPERLINK("https://fin.land.naver.com/articles/2649731307", "매물Link")</f>
        <v/>
      </c>
      <c r="J2791" s="5">
        <f>HYPERLINK("https://map.naver.com/p/search/나성동 829", "지도Link")</f>
        <v/>
      </c>
      <c r="K2791" s="5">
        <f>HYPERLINK("http://www.eum.go.kr/web/ar/lu/luLandDet.jsp?pnu=3611010700108290000&amp;isNoScr=script&amp;mode=search", "토지이음")</f>
        <v/>
      </c>
      <c r="L2791" s="3" t="inlineStr">
        <is>
          <t>더책임</t>
        </is>
      </c>
      <c r="M2791" s="3" t="n">
        <v>1</v>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3" t="inlineStr">
        <is>
          <t>도안동 1종일반주거지역 나대지 다가구주택이나 상가주택 적지</t>
        </is>
      </c>
      <c r="I2792" s="5">
        <f>HYPERLINK("https://fin.land.naver.com/articles/2647159045", "매물Link")</f>
        <v/>
      </c>
      <c r="J2792" s="5">
        <f>HYPERLINK("https://map.naver.com/p/search/나성동 829", "지도Link")</f>
        <v/>
      </c>
      <c r="K2792" s="5">
        <f>HYPERLINK("http://www.eum.go.kr/web/ar/lu/luLandDet.jsp?pnu=3611010700108290000&amp;isNoScr=script&amp;mode=search", "토지이음")</f>
        <v/>
      </c>
      <c r="L2792" s="3" t="inlineStr">
        <is>
          <t>더책임</t>
        </is>
      </c>
      <c r="M2792" s="3" t="n">
        <v>1</v>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3" t="inlineStr">
        <is>
          <t>주변상권형성 생활편리함</t>
        </is>
      </c>
      <c r="I2793" s="5">
        <f>HYPERLINK("https://fin.land.naver.com/articles/2648848220", "매물Link")</f>
        <v/>
      </c>
      <c r="J2793" s="5">
        <f>HYPERLINK("https://map.naver.com/p/search/나성동 829", "지도Link")</f>
        <v/>
      </c>
      <c r="K2793" s="5">
        <f>HYPERLINK("http://www.eum.go.kr/web/ar/lu/luLandDet.jsp?pnu=3611010700108290000&amp;isNoScr=script&amp;mode=search", "토지이음")</f>
        <v/>
      </c>
      <c r="L2793" s="3" t="inlineStr">
        <is>
          <t>도안수목토부자</t>
        </is>
      </c>
      <c r="M2793" s="3" t="n">
        <v>1</v>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3" t="inlineStr">
        <is>
          <t>향후 개발로 인한 가치 상승 확실</t>
        </is>
      </c>
      <c r="I2794" s="5">
        <f>HYPERLINK("https://fin.land.naver.com/articles/2645144555", "매물Link")</f>
        <v/>
      </c>
      <c r="J2794" s="5">
        <f>HYPERLINK("https://map.naver.com/p/search/나성동 829", "지도Link")</f>
        <v/>
      </c>
      <c r="K2794" s="5">
        <f>HYPERLINK("http://www.eum.go.kr/web/ar/lu/luLandDet.jsp?pnu=3611010700108290000&amp;isNoScr=script&amp;mode=search", "토지이음")</f>
        <v/>
      </c>
      <c r="L2794" s="3" t="inlineStr">
        <is>
          <t>쌍둥이</t>
        </is>
      </c>
      <c r="M2794" s="3" t="n">
        <v>1</v>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3" t="inlineStr">
        <is>
          <t>위치좋은 8차선대로 뒷블럭 각지 북향으로 건축히 좋은 나대지,조절</t>
        </is>
      </c>
      <c r="I2795" s="5">
        <f>HYPERLINK("https://fin.land.naver.com/articles/2647796013", "매물Link")</f>
        <v/>
      </c>
      <c r="J2795" s="5">
        <f>HYPERLINK("https://map.naver.com/p/search/나성동 829", "지도Link")</f>
        <v/>
      </c>
      <c r="K2795" s="5">
        <f>HYPERLINK("http://www.eum.go.kr/web/ar/lu/luLandDet.jsp?pnu=3611010700108290000&amp;isNoScr=script&amp;mode=search", "토지이음")</f>
        <v/>
      </c>
      <c r="L2795" s="3" t="inlineStr">
        <is>
          <t>새시대</t>
        </is>
      </c>
      <c r="M2795" s="3" t="n">
        <v>1</v>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3" t="inlineStr">
        <is>
          <t>가수원행정복지센터 인근 넓은 자연녹지</t>
        </is>
      </c>
      <c r="I2796" s="5">
        <f>HYPERLINK("https://fin.land.naver.com/articles/2646975457", "매물Link")</f>
        <v/>
      </c>
      <c r="J2796" s="5">
        <f>HYPERLINK("https://map.naver.com/p/search/나성동 829", "지도Link")</f>
        <v/>
      </c>
      <c r="K2796" s="5">
        <f>HYPERLINK("http://www.eum.go.kr/web/ar/lu/luLandDet.jsp?pnu=3611010700108290000&amp;isNoScr=script&amp;mode=search", "토지이음")</f>
        <v/>
      </c>
      <c r="L2796" s="3" t="inlineStr">
        <is>
          <t>지산</t>
        </is>
      </c>
      <c r="M2796" s="3" t="n">
        <v>1</v>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3" t="inlineStr">
        <is>
          <t>빼울약수터 가는길목이며 현재 전으로 사용중 .</t>
        </is>
      </c>
      <c r="I2797" s="5">
        <f>HYPERLINK("https://fin.land.naver.com/articles/2648916611", "매물Link")</f>
        <v/>
      </c>
      <c r="J2797" s="5">
        <f>HYPERLINK("https://map.naver.com/p/search/나성동 829", "지도Link")</f>
        <v/>
      </c>
      <c r="K2797" s="5">
        <f>HYPERLINK("http://www.eum.go.kr/web/ar/lu/luLandDet.jsp?pnu=3611010700108290000&amp;isNoScr=script&amp;mode=search", "토지이음")</f>
        <v/>
      </c>
      <c r="L2797" s="3" t="inlineStr">
        <is>
          <t>연수</t>
        </is>
      </c>
      <c r="M2797" s="3" t="n">
        <v>1</v>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3" t="inlineStr">
        <is>
          <t>사업잘되는 터, 건물2동 포함 전부 매도</t>
        </is>
      </c>
      <c r="I2798" s="5">
        <f>HYPERLINK("https://fin.land.naver.com/articles/2649678170", "매물Link")</f>
        <v/>
      </c>
      <c r="J2798" s="5">
        <f>HYPERLINK("https://map.naver.com/p/search/나성동 829", "지도Link")</f>
        <v/>
      </c>
      <c r="K2798" s="5">
        <f>HYPERLINK("http://www.eum.go.kr/web/ar/lu/luLandDet.jsp?pnu=3611010700108290000&amp;isNoScr=script&amp;mode=search", "토지이음")</f>
        <v/>
      </c>
      <c r="L2798" s="3" t="inlineStr">
        <is>
          <t>도안드림우미린트리쉐이드</t>
        </is>
      </c>
      <c r="M2798" s="3" t="n">
        <v>1</v>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3" t="inlineStr">
        <is>
          <t>nan</t>
        </is>
      </c>
      <c r="I2799" s="5">
        <f>HYPERLINK("https://fin.land.naver.com/articles/2644082633", "매물Link")</f>
        <v/>
      </c>
      <c r="J2799" s="5">
        <f>HYPERLINK("https://map.naver.com/p/search/나성동 829", "지도Link")</f>
        <v/>
      </c>
      <c r="K2799" s="5">
        <f>HYPERLINK("http://www.eum.go.kr/web/ar/lu/luLandDet.jsp?pnu=3611010700108290000&amp;isNoScr=script&amp;mode=search", "토지이음")</f>
        <v/>
      </c>
      <c r="L2799" s="3" t="inlineStr">
        <is>
          <t>도마호반</t>
        </is>
      </c>
      <c r="M2799" s="3" t="n">
        <v>1</v>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3" t="inlineStr">
        <is>
          <t>가수원동 빼울약수터 근처 소재, 접근성 좋음</t>
        </is>
      </c>
      <c r="I2800" s="5">
        <f>HYPERLINK("https://fin.land.naver.com/articles/2649905032", "매물Link")</f>
        <v/>
      </c>
      <c r="J2800" s="5">
        <f>HYPERLINK("https://map.naver.com/p/search/나성동 829", "지도Link")</f>
        <v/>
      </c>
      <c r="K2800" s="5">
        <f>HYPERLINK("http://www.eum.go.kr/web/ar/lu/luLandDet.jsp?pnu=3611010700108290000&amp;isNoScr=script&amp;mode=search", "토지이음")</f>
        <v/>
      </c>
      <c r="L2800" s="3" t="inlineStr">
        <is>
          <t>한국</t>
        </is>
      </c>
      <c r="M2800" s="3" t="n">
        <v>1</v>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3" t="inlineStr">
        <is>
          <t>빼울약수터 부근, 자연녹지,개발제한구역, 도로 접</t>
        </is>
      </c>
      <c r="I2801" s="5">
        <f>HYPERLINK("https://fin.land.naver.com/articles/2649910760", "매물Link")</f>
        <v/>
      </c>
      <c r="J2801" s="5">
        <f>HYPERLINK("https://map.naver.com/p/search/나성동 829", "지도Link")</f>
        <v/>
      </c>
      <c r="K2801" s="5">
        <f>HYPERLINK("http://www.eum.go.kr/web/ar/lu/luLandDet.jsp?pnu=3611010700108290000&amp;isNoScr=script&amp;mode=search", "토지이음")</f>
        <v/>
      </c>
      <c r="L2801" s="3" t="inlineStr">
        <is>
          <t>한국</t>
        </is>
      </c>
      <c r="M2801" s="3" t="n">
        <v>1</v>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3" t="inlineStr">
        <is>
          <t>세종시 장군면 용암리는 서울 세종 고속도로 나들목으로 
투자 요충지임</t>
        </is>
      </c>
      <c r="I2802" s="5">
        <f>HYPERLINK("https://fin.land.naver.com/articles/2650202812", "매물Link")</f>
        <v/>
      </c>
      <c r="J2802" s="5">
        <f>HYPERLINK("https://map.naver.com/p/search/나성동 829", "지도Link")</f>
        <v/>
      </c>
      <c r="K2802" s="5">
        <f>HYPERLINK("http://www.eum.go.kr/web/ar/lu/luLandDet.jsp?pnu=3611010700108290000&amp;isNoScr=script&amp;mode=search", "토지이음")</f>
        <v/>
      </c>
      <c r="L2802" s="3" t="inlineStr">
        <is>
          <t>세종공주노심종사무소</t>
        </is>
      </c>
      <c r="M2802" s="3" t="n">
        <v>1</v>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3" t="inlineStr">
        <is>
          <t>가수원동 새말지구4m도로접합.투자및실사용적합.</t>
        </is>
      </c>
      <c r="I2803" s="5">
        <f>HYPERLINK("https://fin.land.naver.com/articles/2645511712", "매물Link")</f>
        <v/>
      </c>
      <c r="J2803" s="5">
        <f>HYPERLINK("https://map.naver.com/p/search/나성동 829", "지도Link")</f>
        <v/>
      </c>
      <c r="K2803" s="5">
        <f>HYPERLINK("http://www.eum.go.kr/web/ar/lu/luLandDet.jsp?pnu=3611010700108290000&amp;isNoScr=script&amp;mode=search", "토지이음")</f>
        <v/>
      </c>
      <c r="L2803" s="3" t="inlineStr">
        <is>
          <t>은아마을</t>
        </is>
      </c>
      <c r="M2803" s="3" t="n">
        <v>1</v>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3" t="inlineStr">
        <is>
          <t>관저동 도안지구 내 대로변 준주거지역 토지</t>
        </is>
      </c>
      <c r="I2804" s="5">
        <f>HYPERLINK("https://fin.land.naver.com/articles/2646976291", "매물Link")</f>
        <v/>
      </c>
      <c r="J2804" s="5">
        <f>HYPERLINK("https://map.naver.com/p/search/나성동 829", "지도Link")</f>
        <v/>
      </c>
      <c r="K2804" s="5">
        <f>HYPERLINK("http://www.eum.go.kr/web/ar/lu/luLandDet.jsp?pnu=3611010700108290000&amp;isNoScr=script&amp;mode=search", "토지이음")</f>
        <v/>
      </c>
      <c r="L2804" s="3" t="inlineStr">
        <is>
          <t>지산</t>
        </is>
      </c>
      <c r="M2804" s="3" t="n">
        <v>1</v>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3" t="inlineStr">
        <is>
          <t>도안대로변 토지 매매</t>
        </is>
      </c>
      <c r="I2805" s="5">
        <f>HYPERLINK("https://fin.land.naver.com/articles/2646975740", "매물Link")</f>
        <v/>
      </c>
      <c r="J2805" s="5">
        <f>HYPERLINK("https://map.naver.com/p/search/나성동 829", "지도Link")</f>
        <v/>
      </c>
      <c r="K2805" s="5">
        <f>HYPERLINK("http://www.eum.go.kr/web/ar/lu/luLandDet.jsp?pnu=3611010700108290000&amp;isNoScr=script&amp;mode=search", "토지이음")</f>
        <v/>
      </c>
      <c r="L2805" s="3" t="inlineStr">
        <is>
          <t>지산</t>
        </is>
      </c>
      <c r="M2805" s="3" t="n">
        <v>1</v>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3" t="inlineStr">
        <is>
          <t>도안택지개발지구 대형 상업지역 토지</t>
        </is>
      </c>
      <c r="I2806" s="5">
        <f>HYPERLINK("https://fin.land.naver.com/articles/2646975338", "매물Link")</f>
        <v/>
      </c>
      <c r="J2806" s="5">
        <f>HYPERLINK("https://map.naver.com/p/search/나성동 829", "지도Link")</f>
        <v/>
      </c>
      <c r="K2806" s="5">
        <f>HYPERLINK("http://www.eum.go.kr/web/ar/lu/luLandDet.jsp?pnu=3611010700108290000&amp;isNoScr=script&amp;mode=search", "토지이음")</f>
        <v/>
      </c>
      <c r="L2806" s="3" t="inlineStr">
        <is>
          <t>지산</t>
        </is>
      </c>
      <c r="M2806" s="3" t="n">
        <v>1</v>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3" t="inlineStr">
        <is>
          <t>더샵관저 댜단위 아파트배후 상가주택지  서대전I.C인근 교통편리</t>
        </is>
      </c>
      <c r="I2807" s="5">
        <f>HYPERLINK("https://fin.land.naver.com/articles/2646854942", "매물Link")</f>
        <v/>
      </c>
      <c r="J2807" s="5">
        <f>HYPERLINK("https://map.naver.com/p/search/나성동 829", "지도Link")</f>
        <v/>
      </c>
      <c r="K2807" s="5">
        <f>HYPERLINK("http://www.eum.go.kr/web/ar/lu/luLandDet.jsp?pnu=3611010700108290000&amp;isNoScr=script&amp;mode=search", "토지이음")</f>
        <v/>
      </c>
      <c r="L2807" s="3" t="inlineStr">
        <is>
          <t>국화</t>
        </is>
      </c>
      <c r="M2807" s="3" t="n">
        <v>1</v>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3" t="inlineStr">
        <is>
          <t>가수원동 2필지, 노유자시설(요양원) 건축허가 득한 곳</t>
        </is>
      </c>
      <c r="I2808" s="5">
        <f>HYPERLINK("https://fin.land.naver.com/articles/2649907541", "매물Link")</f>
        <v/>
      </c>
      <c r="J2808" s="5">
        <f>HYPERLINK("https://map.naver.com/p/search/나성동 829", "지도Link")</f>
        <v/>
      </c>
      <c r="K2808" s="5">
        <f>HYPERLINK("http://www.eum.go.kr/web/ar/lu/luLandDet.jsp?pnu=3611010700108290000&amp;isNoScr=script&amp;mode=search", "토지이음")</f>
        <v/>
      </c>
      <c r="L2808" s="3" t="inlineStr">
        <is>
          <t>한국</t>
        </is>
      </c>
      <c r="M2808" s="3" t="n">
        <v>1</v>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3" t="inlineStr">
        <is>
          <t>Point 토지 모양 좋고, 도안 신도시 귀한 소형 토지 매매</t>
        </is>
      </c>
      <c r="I2809" s="5">
        <f>HYPERLINK("https://fin.land.naver.com/articles/2646958441", "매물Link")</f>
        <v/>
      </c>
      <c r="J2809" s="5">
        <f>HYPERLINK("https://map.naver.com/p/search/나성동 829", "지도Link")</f>
        <v/>
      </c>
      <c r="K2809" s="5">
        <f>HYPERLINK("http://www.eum.go.kr/web/ar/lu/luLandDet.jsp?pnu=3611010700108290000&amp;isNoScr=script&amp;mode=search", "토지이음")</f>
        <v/>
      </c>
      <c r="L2809" s="3" t="inlineStr">
        <is>
          <t>도마호반</t>
        </is>
      </c>
      <c r="M2809" s="3" t="n">
        <v>1</v>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3" t="inlineStr">
        <is>
          <t>3면코너각지 대형필지 조율가능</t>
        </is>
      </c>
      <c r="I2810" s="5">
        <f>HYPERLINK("https://fin.land.naver.com/articles/2647658777", "매물Link")</f>
        <v/>
      </c>
      <c r="J2810" s="5">
        <f>HYPERLINK("https://map.naver.com/p/search/다정동 641", "지도Link")</f>
        <v/>
      </c>
      <c r="K2810" s="5">
        <f>HYPERLINK("http://www.eum.go.kr/web/ar/lu/luLandDet.jsp?pnu=3611010900106410000&amp;isNoScr=script&amp;mode=search", "토지이음")</f>
        <v/>
      </c>
      <c r="L2810" s="3" t="inlineStr">
        <is>
          <t>세종스타</t>
        </is>
      </c>
      <c r="M2810" s="3" t="n">
        <v>2</v>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3" t="inlineStr">
        <is>
          <t>공원 인근 다정동 단독주택지, 넓은 면적 추천</t>
        </is>
      </c>
      <c r="I2811" s="5">
        <f>HYPERLINK("https://fin.land.naver.com/articles/2644187344", "매물Link")</f>
        <v/>
      </c>
      <c r="J2811" s="5">
        <f>HYPERLINK("https://map.naver.com/p/search/다정동 643", "지도Link")</f>
        <v/>
      </c>
      <c r="K2811" s="5">
        <f>HYPERLINK("http://www.eum.go.kr/web/ar/lu/luLandDet.jsp?pnu=3611010900106430000&amp;isNoScr=script&amp;mode=search", "토지이음")</f>
        <v/>
      </c>
      <c r="L2811" s="3" t="inlineStr">
        <is>
          <t>세종무지개</t>
        </is>
      </c>
      <c r="M2811" s="3" t="n">
        <v>1</v>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3" t="inlineStr">
        <is>
          <t>162.1p, 평단가 낮은 다정동 급매 토지</t>
        </is>
      </c>
      <c r="I2812" s="5">
        <f>HYPERLINK("https://fin.land.naver.com/articles/2649006160", "매물Link")</f>
        <v/>
      </c>
      <c r="J2812" s="5">
        <f>HYPERLINK("https://map.naver.com/p/search/다정동 643", "지도Link")</f>
        <v/>
      </c>
      <c r="K2812" s="5">
        <f>HYPERLINK("http://www.eum.go.kr/web/ar/lu/luLandDet.jsp?pnu=3611010900106430000&amp;isNoScr=script&amp;mode=search", "토지이음")</f>
        <v/>
      </c>
      <c r="L2812" s="3" t="inlineStr">
        <is>
          <t>명진</t>
        </is>
      </c>
      <c r="M2812" s="3" t="n">
        <v>1</v>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3" t="inlineStr">
        <is>
          <t>급매매 큰땅입니다</t>
        </is>
      </c>
      <c r="I2813" s="5">
        <f>HYPERLINK("https://fin.land.naver.com/articles/2648362434", "매물Link")</f>
        <v/>
      </c>
      <c r="J2813" s="5">
        <f>HYPERLINK("https://map.naver.com/p/search/다정동 643", "지도Link")</f>
        <v/>
      </c>
      <c r="K2813" s="5">
        <f>HYPERLINK("http://www.eum.go.kr/web/ar/lu/luLandDet.jsp?pnu=3611010900106430000&amp;isNoScr=script&amp;mode=search", "토지이음")</f>
        <v/>
      </c>
      <c r="L2813" s="3" t="inlineStr">
        <is>
          <t>킹세종</t>
        </is>
      </c>
      <c r="M2813" s="3" t="n">
        <v>1</v>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3" t="inlineStr">
        <is>
          <t>가격조정가능 공원옆으로 남향 입지최고</t>
        </is>
      </c>
      <c r="I2814" s="5">
        <f>HYPERLINK("https://fin.land.naver.com/articles/2648976575", "매물Link")</f>
        <v/>
      </c>
      <c r="J2814" s="5">
        <f>HYPERLINK("https://map.naver.com/p/search/다정동 651", "지도Link")</f>
        <v/>
      </c>
      <c r="K2814" s="5">
        <f>HYPERLINK("http://www.eum.go.kr/web/ar/lu/luLandDet.jsp?pnu=3611010900106510000&amp;isNoScr=script&amp;mode=search", "토지이음")</f>
        <v/>
      </c>
      <c r="L2814" s="3" t="inlineStr">
        <is>
          <t>고운동리치세종</t>
        </is>
      </c>
      <c r="M2814" s="3" t="n">
        <v>2</v>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3" t="inlineStr">
        <is>
          <t>총 90.9p, 다정동 가격좋은 조용한 위치 토지매매</t>
        </is>
      </c>
      <c r="I2815" s="5">
        <f>HYPERLINK("https://fin.land.naver.com/articles/2648902119", "매물Link")</f>
        <v/>
      </c>
      <c r="J2815" s="5">
        <f>HYPERLINK("https://map.naver.com/p/search/다정동 651", "지도Link")</f>
        <v/>
      </c>
      <c r="K2815" s="5">
        <f>HYPERLINK("http://www.eum.go.kr/web/ar/lu/luLandDet.jsp?pnu=3611010900106510000&amp;isNoScr=script&amp;mode=search", "토지이음")</f>
        <v/>
      </c>
      <c r="L2815" s="3" t="inlineStr">
        <is>
          <t>명진</t>
        </is>
      </c>
      <c r="M2815" s="3" t="n">
        <v>1</v>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3" t="inlineStr">
        <is>
          <t>총 90.9p, 다정동 조용한 단독주택지, 정남향</t>
        </is>
      </c>
      <c r="I2816" s="5">
        <f>HYPERLINK("https://fin.land.naver.com/articles/2646690725", "매물Link")</f>
        <v/>
      </c>
      <c r="J2816" s="5">
        <f>HYPERLINK("https://map.naver.com/p/search/다정동 651", "지도Link")</f>
        <v/>
      </c>
      <c r="K2816" s="5">
        <f>HYPERLINK("http://www.eum.go.kr/web/ar/lu/luLandDet.jsp?pnu=3611010900106510000&amp;isNoScr=script&amp;mode=search", "토지이음")</f>
        <v/>
      </c>
      <c r="L2816" s="3" t="inlineStr">
        <is>
          <t>세종무지개</t>
        </is>
      </c>
      <c r="M2816" s="3" t="n">
        <v>1</v>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3" t="inlineStr">
        <is>
          <t>급매 정남향 뒤로5천평 공원접함</t>
        </is>
      </c>
      <c r="I2817" s="5">
        <f>HYPERLINK("https://fin.land.naver.com/articles/2646405783", "매물Link")</f>
        <v/>
      </c>
      <c r="J2817" s="5">
        <f>HYPERLINK("https://map.naver.com/p/search/다정동 655", "지도Link")</f>
        <v/>
      </c>
      <c r="K2817" s="5">
        <f>HYPERLINK("http://www.eum.go.kr/web/ar/lu/luLandDet.jsp?pnu=3611010900106550000&amp;isNoScr=script&amp;mode=search", "토지이음")</f>
        <v/>
      </c>
      <c r="L2817" s="3" t="inlineStr">
        <is>
          <t>세종스타</t>
        </is>
      </c>
      <c r="M2817" s="3" t="n">
        <v>1</v>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3" t="inlineStr">
        <is>
          <t>다정동 단독상가 매매, 입지 좋은 조용한 위치</t>
        </is>
      </c>
      <c r="I2818" s="5">
        <f>HYPERLINK("https://fin.land.naver.com/articles/2647425840", "매물Link")</f>
        <v/>
      </c>
      <c r="J2818" s="5">
        <f>HYPERLINK("https://map.naver.com/p/search/다정동 667", "지도Link")</f>
        <v/>
      </c>
      <c r="K2818" s="5">
        <f>HYPERLINK("http://www.eum.go.kr/web/ar/lu/luLandDet.jsp?pnu=3611010900106670000&amp;isNoScr=script&amp;mode=search", "토지이음")</f>
        <v/>
      </c>
      <c r="L2818" s="3" t="inlineStr">
        <is>
          <t>세종무지개</t>
        </is>
      </c>
      <c r="M2818" s="3" t="n">
        <v>1</v>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3" t="inlineStr">
        <is>
          <t>저렴한매매 가격조정가능</t>
        </is>
      </c>
      <c r="I2819" s="5">
        <f>HYPERLINK("https://fin.land.naver.com/articles/2648849052", "매물Link")</f>
        <v/>
      </c>
      <c r="J2819" s="5">
        <f>HYPERLINK("https://map.naver.com/p/search/다정동 674", "지도Link")</f>
        <v/>
      </c>
      <c r="K2819" s="5">
        <f>HYPERLINK("http://www.eum.go.kr/web/ar/lu/luLandDet.jsp?pnu=3611010900106740000&amp;isNoScr=script&amp;mode=search", "토지이음")</f>
        <v/>
      </c>
      <c r="L2819" s="3" t="inlineStr">
        <is>
          <t>고운동리치세종</t>
        </is>
      </c>
      <c r="M2819" s="3" t="n">
        <v>2</v>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3" t="inlineStr">
        <is>
          <t>총 87.9p, 토지 초급매, 추천매물</t>
        </is>
      </c>
      <c r="I2820" s="5">
        <f>HYPERLINK("https://fin.land.naver.com/articles/2649020955", "매물Link")</f>
        <v/>
      </c>
      <c r="J2820" s="5">
        <f>HYPERLINK("https://map.naver.com/p/search/다정동 674", "지도Link")</f>
        <v/>
      </c>
      <c r="K2820" s="5">
        <f>HYPERLINK("http://www.eum.go.kr/web/ar/lu/luLandDet.jsp?pnu=3611010900106740000&amp;isNoScr=script&amp;mode=search", "토지이음")</f>
        <v/>
      </c>
      <c r="L2820" s="3" t="inlineStr">
        <is>
          <t>명진</t>
        </is>
      </c>
      <c r="M2820" s="3" t="n">
        <v>1</v>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3" t="inlineStr">
        <is>
          <t>총 87.9p, 다정동 저렴한 단독주택지 매매</t>
        </is>
      </c>
      <c r="I2821" s="5">
        <f>HYPERLINK("https://fin.land.naver.com/articles/2646694984", "매물Link")</f>
        <v/>
      </c>
      <c r="J2821" s="5">
        <f>HYPERLINK("https://map.naver.com/p/search/다정동 674", "지도Link")</f>
        <v/>
      </c>
      <c r="K2821" s="5">
        <f>HYPERLINK("http://www.eum.go.kr/web/ar/lu/luLandDet.jsp?pnu=3611010900106740000&amp;isNoScr=script&amp;mode=search", "토지이음")</f>
        <v/>
      </c>
      <c r="L2821" s="3" t="inlineStr">
        <is>
          <t>세종무지개</t>
        </is>
      </c>
      <c r="M2821" s="3" t="n">
        <v>1</v>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3" t="inlineStr">
        <is>
          <t>단독주택부지. 교통, 상권 편리한 귀한 필지</t>
        </is>
      </c>
      <c r="I2822" s="5">
        <f>HYPERLINK("https://fin.land.naver.com/articles/2649018519", "매물Link")</f>
        <v/>
      </c>
      <c r="J2822" s="5">
        <f>HYPERLINK("https://map.naver.com/p/search/다정동 677", "지도Link")</f>
        <v/>
      </c>
      <c r="K2822" s="5">
        <f>HYPERLINK("http://www.eum.go.kr/web/ar/lu/luLandDet.jsp?pnu=3611010900106770000&amp;isNoScr=script&amp;mode=search", "토지이음")</f>
        <v/>
      </c>
      <c r="L2822" s="3" t="inlineStr">
        <is>
          <t>라이프</t>
        </is>
      </c>
      <c r="M2822" s="3" t="n">
        <v>2</v>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3" t="inlineStr">
        <is>
          <t>조용한 단독주택지,급매</t>
        </is>
      </c>
      <c r="I2823" s="5">
        <f>HYPERLINK("https://fin.land.naver.com/articles/2648806860", "매물Link")</f>
        <v/>
      </c>
      <c r="J2823" s="5">
        <f>HYPERLINK("https://map.naver.com/p/search/다정동 688", "지도Link")</f>
        <v/>
      </c>
      <c r="K2823" s="5">
        <f>HYPERLINK("http://www.eum.go.kr/web/ar/lu/luLandDet.jsp?pnu=3611010900106880000&amp;isNoScr=script&amp;mode=search", "토지이음")</f>
        <v/>
      </c>
      <c r="L2823" s="3" t="inlineStr">
        <is>
          <t>세종금주</t>
        </is>
      </c>
      <c r="M2823" s="3" t="n">
        <v>1</v>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3" t="inlineStr">
        <is>
          <t>조율가능 편의시설옆 건축하기 좋은 모양</t>
        </is>
      </c>
      <c r="I2824" s="5">
        <f>HYPERLINK("https://fin.land.naver.com/articles/2644917555", "매물Link")</f>
        <v/>
      </c>
      <c r="J2824" s="5">
        <f>HYPERLINK("https://map.naver.com/p/search/다정동 688", "지도Link")</f>
        <v/>
      </c>
      <c r="K2824" s="5">
        <f>HYPERLINK("http://www.eum.go.kr/web/ar/lu/luLandDet.jsp?pnu=3611010900106880000&amp;isNoScr=script&amp;mode=search", "토지이음")</f>
        <v/>
      </c>
      <c r="L2824" s="3" t="inlineStr">
        <is>
          <t>세종스타</t>
        </is>
      </c>
      <c r="M2824" s="3" t="n">
        <v>1</v>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3" t="inlineStr">
        <is>
          <t>다정동 단독주택토지, 코너입지, 111.8p</t>
        </is>
      </c>
      <c r="I2825" s="5">
        <f>HYPERLINK("https://fin.land.naver.com/articles/2646692103", "매물Link")</f>
        <v/>
      </c>
      <c r="J2825" s="5">
        <f>HYPERLINK("https://map.naver.com/p/search/다정동 729", "지도Link")</f>
        <v/>
      </c>
      <c r="K2825" s="5">
        <f>HYPERLINK("http://www.eum.go.kr/web/ar/lu/luLandDet.jsp?pnu=3611010900107290000&amp;isNoScr=script&amp;mode=search", "토지이음")</f>
        <v/>
      </c>
      <c r="L2825" s="3" t="inlineStr">
        <is>
          <t>세종무지개</t>
        </is>
      </c>
      <c r="M2825" s="3" t="n">
        <v>1</v>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3" t="inlineStr">
        <is>
          <t>2면도로 접,주변 60m가로 공원근접함</t>
        </is>
      </c>
      <c r="I2826" s="5">
        <f>HYPERLINK("https://fin.land.naver.com/articles/2649639476", "매물Link")</f>
        <v/>
      </c>
      <c r="J2826" s="5">
        <f>HYPERLINK("https://map.naver.com/p/search/다정동 729", "지도Link")</f>
        <v/>
      </c>
      <c r="K2826" s="5">
        <f>HYPERLINK("http://www.eum.go.kr/web/ar/lu/luLandDet.jsp?pnu=3611010900107290000&amp;isNoScr=script&amp;mode=search", "토지이음")</f>
        <v/>
      </c>
      <c r="L2826" s="3" t="inlineStr">
        <is>
          <t>킹세종</t>
        </is>
      </c>
      <c r="M2826" s="3" t="n">
        <v>2</v>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3" t="inlineStr">
        <is>
          <t>111.8p, 삼거리 코너, 정남향, 다정동 단독주택 토지매매</t>
        </is>
      </c>
      <c r="I2827" s="5">
        <f>HYPERLINK("https://fin.land.naver.com/articles/2648138253", "매물Link")</f>
        <v/>
      </c>
      <c r="J2827" s="5">
        <f>HYPERLINK("https://map.naver.com/p/search/다정동 729", "지도Link")</f>
        <v/>
      </c>
      <c r="K2827" s="5">
        <f>HYPERLINK("http://www.eum.go.kr/web/ar/lu/luLandDet.jsp?pnu=3611010900107290000&amp;isNoScr=script&amp;mode=search", "토지이음")</f>
        <v/>
      </c>
      <c r="L2827" s="3" t="inlineStr">
        <is>
          <t>명진</t>
        </is>
      </c>
      <c r="M2827" s="3" t="n">
        <v>1</v>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3" t="inlineStr">
        <is>
          <t>다정동 조용한 위치 단독주택 매매, 코너위치</t>
        </is>
      </c>
      <c r="I2828" s="5">
        <f>HYPERLINK("https://fin.land.naver.com/articles/2644479943", "매물Link")</f>
        <v/>
      </c>
      <c r="J2828" s="5">
        <f>HYPERLINK("https://map.naver.com/p/search/다정동 756", "지도Link")</f>
        <v/>
      </c>
      <c r="K2828" s="5">
        <f>HYPERLINK("http://www.eum.go.kr/web/ar/lu/luLandDet.jsp?pnu=3611010900107560000&amp;isNoScr=script&amp;mode=search", "토지이음")</f>
        <v/>
      </c>
      <c r="L2828" s="3" t="inlineStr">
        <is>
          <t>세종무지개</t>
        </is>
      </c>
      <c r="M2828" s="3" t="n">
        <v>1</v>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3" t="inlineStr">
        <is>
          <t>코너자리 위치 좋음, 넓은토지</t>
        </is>
      </c>
      <c r="I2829" s="5">
        <f>HYPERLINK("https://fin.land.naver.com/articles/2648152245", "매물Link")</f>
        <v/>
      </c>
      <c r="J2829" s="5">
        <f>HYPERLINK("https://map.naver.com/p/search/다정동 756", "지도Link")</f>
        <v/>
      </c>
      <c r="K2829" s="5">
        <f>HYPERLINK("http://www.eum.go.kr/web/ar/lu/luLandDet.jsp?pnu=3611010900107560000&amp;isNoScr=script&amp;mode=search", "토지이음")</f>
        <v/>
      </c>
      <c r="L2829" s="3" t="inlineStr">
        <is>
          <t>명진</t>
        </is>
      </c>
      <c r="M2829" s="3" t="n">
        <v>1</v>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3" t="inlineStr">
        <is>
          <t>세종시 다정동 안쪽 코너각지 나대지</t>
        </is>
      </c>
      <c r="I2830" s="5">
        <f>HYPERLINK("https://fin.land.naver.com/articles/2645629137", "매물Link")</f>
        <v/>
      </c>
      <c r="J2830" s="5">
        <f>HYPERLINK("https://map.naver.com/p/search/다정동 769", "지도Link")</f>
        <v/>
      </c>
      <c r="K2830" s="5">
        <f>HYPERLINK("http://www.eum.go.kr/web/ar/lu/luLandDet.jsp?pnu=3611010900107690000&amp;isNoScr=script&amp;mode=search", "토지이음")</f>
        <v/>
      </c>
      <c r="L2830" s="3" t="inlineStr">
        <is>
          <t>청명</t>
        </is>
      </c>
      <c r="M2830" s="3" t="n">
        <v>1</v>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3" t="inlineStr">
        <is>
          <t>84.8p, 정남향, 다정동 단독주택지</t>
        </is>
      </c>
      <c r="I2831" s="5">
        <f>HYPERLINK("https://fin.land.naver.com/articles/2647425898", "매물Link")</f>
        <v/>
      </c>
      <c r="J2831" s="5">
        <f>HYPERLINK("https://map.naver.com/p/search/다정동 772", "지도Link")</f>
        <v/>
      </c>
      <c r="K2831" s="5">
        <f>HYPERLINK("http://www.eum.go.kr/web/ar/lu/luLandDet.jsp?pnu=3611010900107720000&amp;isNoScr=script&amp;mode=search", "토지이음")</f>
        <v/>
      </c>
      <c r="L2831" s="3" t="inlineStr">
        <is>
          <t>세종무지개</t>
        </is>
      </c>
      <c r="M2831" s="3" t="n">
        <v>1</v>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3" t="inlineStr">
        <is>
          <t>단독주택 부지  착한 매매가로 추천드립니다.</t>
        </is>
      </c>
      <c r="I2832" s="5">
        <f>HYPERLINK("https://fin.land.naver.com/articles/2648168344", "매물Link")</f>
        <v/>
      </c>
      <c r="J2832" s="5">
        <f>HYPERLINK("https://map.naver.com/p/search/다정동 772", "지도Link")</f>
        <v/>
      </c>
      <c r="K2832" s="5">
        <f>HYPERLINK("http://www.eum.go.kr/web/ar/lu/luLandDet.jsp?pnu=3611010900107720000&amp;isNoScr=script&amp;mode=search", "토지이음")</f>
        <v/>
      </c>
      <c r="L2832" s="3" t="inlineStr">
        <is>
          <t>세종가온채</t>
        </is>
      </c>
      <c r="M2832" s="3" t="n">
        <v>2</v>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3" t="inlineStr">
        <is>
          <t>총 84.8p, 다정동 입지 좋은 단독주태 토지</t>
        </is>
      </c>
      <c r="I2833" s="5">
        <f>HYPERLINK("https://fin.land.naver.com/articles/2649004372", "매물Link")</f>
        <v/>
      </c>
      <c r="J2833" s="5">
        <f>HYPERLINK("https://map.naver.com/p/search/다정동 772", "지도Link")</f>
        <v/>
      </c>
      <c r="K2833" s="5">
        <f>HYPERLINK("http://www.eum.go.kr/web/ar/lu/luLandDet.jsp?pnu=3611010900107720000&amp;isNoScr=script&amp;mode=search", "토지이음")</f>
        <v/>
      </c>
      <c r="L2833" s="3" t="inlineStr">
        <is>
          <t>명진</t>
        </is>
      </c>
      <c r="M2833" s="3" t="n">
        <v>1</v>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3" t="inlineStr">
        <is>
          <t>급매 남향 택지 조용한위치 상권 학교 가까움</t>
        </is>
      </c>
      <c r="I2834" s="5">
        <f>HYPERLINK("https://fin.land.naver.com/articles/2649375100", "매물Link")</f>
        <v/>
      </c>
      <c r="J2834" s="5">
        <f>HYPERLINK("https://map.naver.com/p/search/다정동 773", "지도Link")</f>
        <v/>
      </c>
      <c r="K2834" s="5">
        <f>HYPERLINK("http://www.eum.go.kr/web/ar/lu/luLandDet.jsp?pnu=3611010900107730000&amp;isNoScr=script&amp;mode=search", "토지이음")</f>
        <v/>
      </c>
      <c r="L2834" s="3" t="inlineStr">
        <is>
          <t>세종스타</t>
        </is>
      </c>
      <c r="M2834" s="3" t="n">
        <v>2</v>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3" t="inlineStr">
        <is>
          <t>nan</t>
        </is>
      </c>
      <c r="I2835" s="5">
        <f>HYPERLINK("https://fin.land.naver.com/articles/2647198411", "매물Link")</f>
        <v/>
      </c>
      <c r="J2835" s="5">
        <f>HYPERLINK("https://map.naver.com/p/search/다정동 774", "지도Link")</f>
        <v/>
      </c>
      <c r="K2835" s="5">
        <f>HYPERLINK("http://www.eum.go.kr/web/ar/lu/luLandDet.jsp?pnu=3611010900107740000&amp;isNoScr=script&amp;mode=search", "토지이음")</f>
        <v/>
      </c>
      <c r="L2835" s="3" t="inlineStr">
        <is>
          <t>디아트성심</t>
        </is>
      </c>
      <c r="M2835" s="3" t="n">
        <v>1</v>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3" t="inlineStr">
        <is>
          <t>I 신한 I  급매  Iㅑ채광 좋은 남향 단독주택용지</t>
        </is>
      </c>
      <c r="I2836" s="5">
        <f>HYPERLINK("https://fin.land.naver.com/articles/2644861093", "매물Link")</f>
        <v/>
      </c>
      <c r="J2836" s="5">
        <f>HYPERLINK("https://map.naver.com/p/search/다정동 779", "지도Link")</f>
        <v/>
      </c>
      <c r="K2836" s="5">
        <f>HYPERLINK("http://www.eum.go.kr/web/ar/lu/luLandDet.jsp?pnu=3611010900107790000&amp;isNoScr=script&amp;mode=search", "토지이음")</f>
        <v/>
      </c>
      <c r="L2836" s="3" t="inlineStr">
        <is>
          <t>세종신한</t>
        </is>
      </c>
      <c r="M2836" s="3" t="n">
        <v>1</v>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3" t="inlineStr">
        <is>
          <t>급매 코너각지 정남향 최저가 조율협의가능</t>
        </is>
      </c>
      <c r="I2837" s="5">
        <f>HYPERLINK("https://fin.land.naver.com/articles/2647125848", "매물Link")</f>
        <v/>
      </c>
      <c r="J2837" s="5">
        <f>HYPERLINK("https://map.naver.com/p/search/다정동 781", "지도Link")</f>
        <v/>
      </c>
      <c r="K2837" s="5">
        <f>HYPERLINK("http://www.eum.go.kr/web/ar/lu/luLandDet.jsp?pnu=3611010900107810000&amp;isNoScr=script&amp;mode=search", "토지이음")</f>
        <v/>
      </c>
      <c r="L2837" s="3" t="inlineStr">
        <is>
          <t>세종스타</t>
        </is>
      </c>
      <c r="M2837" s="3" t="n">
        <v>1</v>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3" t="inlineStr">
        <is>
          <t>nan</t>
        </is>
      </c>
      <c r="I2838" s="5">
        <f>HYPERLINK("https://fin.land.naver.com/articles/2647198355", "매물Link")</f>
        <v/>
      </c>
      <c r="J2838" s="5">
        <f>HYPERLINK("https://map.naver.com/p/search/다정동 781", "지도Link")</f>
        <v/>
      </c>
      <c r="K2838" s="5">
        <f>HYPERLINK("http://www.eum.go.kr/web/ar/lu/luLandDet.jsp?pnu=3611010900107810000&amp;isNoScr=script&amp;mode=search", "토지이음")</f>
        <v/>
      </c>
      <c r="L2838" s="3" t="inlineStr">
        <is>
          <t>디아트성심</t>
        </is>
      </c>
      <c r="M2838" s="3" t="n">
        <v>1</v>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3" t="inlineStr">
        <is>
          <t>조율가능 정남향 토지모양최상</t>
        </is>
      </c>
      <c r="I2839" s="5">
        <f>HYPERLINK("https://fin.land.naver.com/articles/2649812025", "매물Link")</f>
        <v/>
      </c>
      <c r="J2839" s="5">
        <f>HYPERLINK("https://map.naver.com/p/search/다정동 783", "지도Link")</f>
        <v/>
      </c>
      <c r="K2839" s="5">
        <f>HYPERLINK("http://www.eum.go.kr/web/ar/lu/luLandDet.jsp?pnu=3611010900107830000&amp;isNoScr=script&amp;mode=search", "토지이음")</f>
        <v/>
      </c>
      <c r="L2839" s="3" t="inlineStr">
        <is>
          <t>세종스타</t>
        </is>
      </c>
      <c r="M2839" s="3" t="n">
        <v>1</v>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3" t="inlineStr">
        <is>
          <t>코너각지,선호하는 위치 모양좋은 대지,가격조율가능</t>
        </is>
      </c>
      <c r="I2840" s="5">
        <f>HYPERLINK("https://fin.land.naver.com/articles/2647229420", "매물Link")</f>
        <v/>
      </c>
      <c r="J2840" s="5">
        <f>HYPERLINK("https://map.naver.com/p/search/다정동 793", "지도Link")</f>
        <v/>
      </c>
      <c r="K2840" s="5">
        <f>HYPERLINK("http://www.eum.go.kr/web/ar/lu/luLandDet.jsp?pnu=3611010900107930000&amp;isNoScr=script&amp;mode=search", "토지이음")</f>
        <v/>
      </c>
      <c r="L2840" s="3" t="inlineStr">
        <is>
          <t>다정동첫번째</t>
        </is>
      </c>
      <c r="M2840" s="3" t="n">
        <v>1</v>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3" t="inlineStr">
        <is>
          <t>코너각지 공공인도접함 선호하는위치</t>
        </is>
      </c>
      <c r="I2841" s="5">
        <f>HYPERLINK("https://fin.land.naver.com/articles/2648716215", "매물Link")</f>
        <v/>
      </c>
      <c r="J2841" s="5">
        <f>HYPERLINK("https://map.naver.com/p/search/다정동 794", "지도Link")</f>
        <v/>
      </c>
      <c r="K2841" s="5">
        <f>HYPERLINK("http://www.eum.go.kr/web/ar/lu/luLandDet.jsp?pnu=3611010900107940000&amp;isNoScr=script&amp;mode=search", "토지이음")</f>
        <v/>
      </c>
      <c r="L2841" s="3" t="inlineStr">
        <is>
          <t>세종스타</t>
        </is>
      </c>
      <c r="M2841" s="3" t="n">
        <v>1</v>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3" t="inlineStr">
        <is>
          <t>추가조율가능 남향택지 상권접근성 용이한 위치</t>
        </is>
      </c>
      <c r="I2842" s="5">
        <f>HYPERLINK("https://fin.land.naver.com/articles/2649618939", "매물Link")</f>
        <v/>
      </c>
      <c r="J2842" s="5">
        <f>HYPERLINK("https://map.naver.com/p/search/다정동 810", "지도Link")</f>
        <v/>
      </c>
      <c r="K2842" s="5">
        <f>HYPERLINK("http://www.eum.go.kr/web/ar/lu/luLandDet.jsp?pnu=3611010900108100000&amp;isNoScr=script&amp;mode=search", "토지이음")</f>
        <v/>
      </c>
      <c r="L2842" s="3" t="inlineStr">
        <is>
          <t>세종스타</t>
        </is>
      </c>
      <c r="M2842" s="3" t="n">
        <v>1</v>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3" t="inlineStr">
        <is>
          <t>사거리 코너, 입지 좋은토지, 조율가능</t>
        </is>
      </c>
      <c r="I2843" s="5">
        <f>HYPERLINK("https://fin.land.naver.com/articles/2647427873", "매물Link")</f>
        <v/>
      </c>
      <c r="J2843" s="5">
        <f>HYPERLINK("https://map.naver.com/p/search/다정동 818", "지도Link")</f>
        <v/>
      </c>
      <c r="K2843" s="5">
        <f>HYPERLINK("http://www.eum.go.kr/web/ar/lu/luLandDet.jsp?pnu=3611010900108180000&amp;isNoScr=script&amp;mode=search", "토지이음")</f>
        <v/>
      </c>
      <c r="L2843" s="3" t="inlineStr">
        <is>
          <t>세종무지개</t>
        </is>
      </c>
      <c r="M2843" s="3" t="n">
        <v>1</v>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3" t="inlineStr">
        <is>
          <t>95.5p, 유치원 맞은편, 가운데 토지</t>
        </is>
      </c>
      <c r="I2844" s="5">
        <f>HYPERLINK("https://fin.land.naver.com/articles/2648833463", "매물Link")</f>
        <v/>
      </c>
      <c r="J2844" s="5">
        <f>HYPERLINK("https://map.naver.com/p/search/다정동 823", "지도Link")</f>
        <v/>
      </c>
      <c r="K2844" s="5">
        <f>HYPERLINK("http://www.eum.go.kr/web/ar/lu/luLandDet.jsp?pnu=3611010900108230000&amp;isNoScr=script&amp;mode=search", "토지이음")</f>
        <v/>
      </c>
      <c r="L2844" s="3" t="inlineStr">
        <is>
          <t>세종무지개</t>
        </is>
      </c>
      <c r="M2844" s="3" t="n">
        <v>1</v>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3" t="inlineStr">
        <is>
          <t>총 95.5p, 조율가능, 다정동 단독주택지</t>
        </is>
      </c>
      <c r="I2845" s="5">
        <f>HYPERLINK("https://fin.land.naver.com/articles/2649022530", "매물Link")</f>
        <v/>
      </c>
      <c r="J2845" s="5">
        <f>HYPERLINK("https://map.naver.com/p/search/다정동 823", "지도Link")</f>
        <v/>
      </c>
      <c r="K2845" s="5">
        <f>HYPERLINK("http://www.eum.go.kr/web/ar/lu/luLandDet.jsp?pnu=3611010900108230000&amp;isNoScr=script&amp;mode=search", "토지이음")</f>
        <v/>
      </c>
      <c r="L2845" s="3" t="inlineStr">
        <is>
          <t>명진</t>
        </is>
      </c>
      <c r="M2845" s="3" t="n">
        <v>1</v>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3" t="inlineStr">
        <is>
          <t>nan</t>
        </is>
      </c>
      <c r="I2846" s="5">
        <f>HYPERLINK("https://fin.land.naver.com/articles/2647198457", "매물Link")</f>
        <v/>
      </c>
      <c r="J2846" s="5">
        <f>HYPERLINK("https://map.naver.com/p/search/다정동 823", "지도Link")</f>
        <v/>
      </c>
      <c r="K2846" s="5">
        <f>HYPERLINK("http://www.eum.go.kr/web/ar/lu/luLandDet.jsp?pnu=3611010900108230000&amp;isNoScr=script&amp;mode=search", "토지이음")</f>
        <v/>
      </c>
      <c r="L2846" s="3" t="inlineStr">
        <is>
          <t>디아트성심</t>
        </is>
      </c>
      <c r="M2846" s="3" t="n">
        <v>1</v>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3" t="inlineStr">
        <is>
          <t>nan</t>
        </is>
      </c>
      <c r="I2847" s="5">
        <f>HYPERLINK("https://fin.land.naver.com/articles/2647198512", "매물Link")</f>
        <v/>
      </c>
      <c r="J2847" s="5">
        <f>HYPERLINK("https://map.naver.com/p/search/다정동 842", "지도Link")</f>
        <v/>
      </c>
      <c r="K2847" s="5">
        <f>HYPERLINK("http://www.eum.go.kr/web/ar/lu/luLandDet.jsp?pnu=3611010900108420000&amp;isNoScr=script&amp;mode=search", "토지이음")</f>
        <v/>
      </c>
      <c r="L2847" s="3" t="inlineStr">
        <is>
          <t>디아트성심</t>
        </is>
      </c>
      <c r="M2847" s="3" t="n">
        <v>1</v>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3" t="inlineStr">
        <is>
          <t>총 95.5p, 유치원 인근 다정동 토지매매</t>
        </is>
      </c>
      <c r="I2848" s="5">
        <f>HYPERLINK("https://fin.land.naver.com/articles/2649571368", "매물Link")</f>
        <v/>
      </c>
      <c r="J2848" s="5">
        <f>HYPERLINK("https://map.naver.com/p/search/다정동 842", "지도Link")</f>
        <v/>
      </c>
      <c r="K2848" s="5">
        <f>HYPERLINK("http://www.eum.go.kr/web/ar/lu/luLandDet.jsp?pnu=3611010900108420000&amp;isNoScr=script&amp;mode=search", "토지이음")</f>
        <v/>
      </c>
      <c r="L2848" s="3" t="inlineStr">
        <is>
          <t>세종무지개</t>
        </is>
      </c>
      <c r="M2848" s="3" t="n">
        <v>1</v>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3" t="inlineStr">
        <is>
          <t>급매 조율가능 조용한 선호하는 안쪽위치</t>
        </is>
      </c>
      <c r="I2849" s="5">
        <f>HYPERLINK("https://fin.land.naver.com/articles/2646479232", "매물Link")</f>
        <v/>
      </c>
      <c r="J2849" s="5">
        <f>HYPERLINK("https://map.naver.com/p/search/다정동 842", "지도Link")</f>
        <v/>
      </c>
      <c r="K2849" s="5">
        <f>HYPERLINK("http://www.eum.go.kr/web/ar/lu/luLandDet.jsp?pnu=3611010900108420000&amp;isNoScr=script&amp;mode=search", "토지이음")</f>
        <v/>
      </c>
      <c r="L2849" s="3" t="inlineStr">
        <is>
          <t>세종스타</t>
        </is>
      </c>
      <c r="M2849" s="3" t="n">
        <v>3</v>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3" t="inlineStr">
        <is>
          <t>총 95.5p, 새솔유치원인근, 가운데 토지</t>
        </is>
      </c>
      <c r="I2850" s="5">
        <f>HYPERLINK("https://fin.land.naver.com/articles/2649005944", "매물Link")</f>
        <v/>
      </c>
      <c r="J2850" s="5">
        <f>HYPERLINK("https://map.naver.com/p/search/다정동 842", "지도Link")</f>
        <v/>
      </c>
      <c r="K2850" s="5">
        <f>HYPERLINK("http://www.eum.go.kr/web/ar/lu/luLandDet.jsp?pnu=3611010900108420000&amp;isNoScr=script&amp;mode=search", "토지이음")</f>
        <v/>
      </c>
      <c r="L2850" s="3" t="inlineStr">
        <is>
          <t>명진</t>
        </is>
      </c>
      <c r="M2850" s="3" t="n">
        <v>1</v>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3" t="inlineStr">
        <is>
          <t>nan</t>
        </is>
      </c>
      <c r="I2851" s="5">
        <f>HYPERLINK("https://fin.land.naver.com/articles/2649625468", "매물Link")</f>
        <v/>
      </c>
      <c r="J2851" s="5">
        <f>HYPERLINK("https://map.naver.com/p/search/다정동 852", "지도Link")</f>
        <v/>
      </c>
      <c r="K2851" s="5">
        <f>HYPERLINK("http://www.eum.go.kr/web/ar/lu/luLandDet.jsp?pnu=3611010900108520000&amp;isNoScr=script&amp;mode=search", "토지이음")</f>
        <v/>
      </c>
      <c r="L2851" s="3" t="inlineStr">
        <is>
          <t>세종리더스</t>
        </is>
      </c>
      <c r="M2851" s="3" t="n">
        <v>1</v>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3" t="inlineStr">
        <is>
          <t>다정동 3면 도로 접한 1종전용주거 대지, 초급매, 코너각지</t>
        </is>
      </c>
      <c r="I2852" s="5">
        <f>HYPERLINK("https://fin.land.naver.com/articles/2647315489", "매물Link")</f>
        <v/>
      </c>
      <c r="J2852" s="5">
        <f>HYPERLINK("https://map.naver.com/p/search/다정동 885", "지도Link")</f>
        <v/>
      </c>
      <c r="K2852" s="5">
        <f>HYPERLINK("http://www.eum.go.kr/web/ar/lu/luLandDet.jsp?pnu=3611010900108850000&amp;isNoScr=script&amp;mode=search", "토지이음")</f>
        <v/>
      </c>
      <c r="L2852" s="3" t="inlineStr">
        <is>
          <t>스카이</t>
        </is>
      </c>
      <c r="M2852" s="3" t="n">
        <v>2</v>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3" t="inlineStr">
        <is>
          <t>nan</t>
        </is>
      </c>
      <c r="I2853" s="5">
        <f>HYPERLINK("https://fin.land.naver.com/articles/2647198581", "매물Link")</f>
        <v/>
      </c>
      <c r="J2853" s="5">
        <f>HYPERLINK("https://map.naver.com/p/search/다정동 885", "지도Link")</f>
        <v/>
      </c>
      <c r="K2853" s="5">
        <f>HYPERLINK("http://www.eum.go.kr/web/ar/lu/luLandDet.jsp?pnu=3611010900108850000&amp;isNoScr=script&amp;mode=search", "토지이음")</f>
        <v/>
      </c>
      <c r="L2853" s="3" t="inlineStr">
        <is>
          <t>디아트성심</t>
        </is>
      </c>
      <c r="M2853" s="3" t="n">
        <v>2</v>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3" t="inlineStr">
        <is>
          <t>총 113.3p, 조율가능, 주유소인근, 다정동 단독주택지</t>
        </is>
      </c>
      <c r="I2854" s="5">
        <f>HYPERLINK("https://fin.land.naver.com/articles/2646690590", "매물Link")</f>
        <v/>
      </c>
      <c r="J2854" s="5">
        <f>HYPERLINK("https://map.naver.com/p/search/다정동 887", "지도Link")</f>
        <v/>
      </c>
      <c r="K2854" s="5">
        <f>HYPERLINK("http://www.eum.go.kr/web/ar/lu/luLandDet.jsp?pnu=3611010900108870000&amp;isNoScr=script&amp;mode=search", "토지이음")</f>
        <v/>
      </c>
      <c r="L2854" s="3" t="inlineStr">
        <is>
          <t>세종무지개</t>
        </is>
      </c>
      <c r="M2854" s="3" t="n">
        <v>1</v>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3" t="inlineStr">
        <is>
          <t>급매 다정동 전원주택토지임.</t>
        </is>
      </c>
      <c r="I2855" s="5">
        <f>HYPERLINK("https://fin.land.naver.com/articles/2647387576", "매물Link")</f>
        <v/>
      </c>
      <c r="J2855" s="5">
        <f>HYPERLINK("https://map.naver.com/p/search/다정동 887", "지도Link")</f>
        <v/>
      </c>
      <c r="K2855" s="5">
        <f>HYPERLINK("http://www.eum.go.kr/web/ar/lu/luLandDet.jsp?pnu=3611010900108870000&amp;isNoScr=script&amp;mode=search", "토지이음")</f>
        <v/>
      </c>
      <c r="L2855" s="3" t="inlineStr">
        <is>
          <t>태흥</t>
        </is>
      </c>
      <c r="M2855" s="3" t="n">
        <v>1</v>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3" t="inlineStr">
        <is>
          <t>113.3p, 주유소 맞은편. 조율가능</t>
        </is>
      </c>
      <c r="I2856" s="5">
        <f>HYPERLINK("https://fin.land.naver.com/articles/2649010012", "매물Link")</f>
        <v/>
      </c>
      <c r="J2856" s="5">
        <f>HYPERLINK("https://map.naver.com/p/search/다정동 887", "지도Link")</f>
        <v/>
      </c>
      <c r="K2856" s="5">
        <f>HYPERLINK("http://www.eum.go.kr/web/ar/lu/luLandDet.jsp?pnu=3611010900108870000&amp;isNoScr=script&amp;mode=search", "토지이음")</f>
        <v/>
      </c>
      <c r="L2856" s="3" t="inlineStr">
        <is>
          <t>명진</t>
        </is>
      </c>
      <c r="M2856" s="3" t="n">
        <v>1</v>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3" t="inlineStr">
        <is>
          <t>급매매 단독택지입지최고 가격조정가능</t>
        </is>
      </c>
      <c r="I2857" s="5">
        <f>HYPERLINK("https://fin.land.naver.com/articles/2648996441", "매물Link")</f>
        <v/>
      </c>
      <c r="J2857" s="5">
        <f>HYPERLINK("https://map.naver.com/p/search/다정동 887", "지도Link")</f>
        <v/>
      </c>
      <c r="K2857" s="5">
        <f>HYPERLINK("http://www.eum.go.kr/web/ar/lu/luLandDet.jsp?pnu=3611010900108870000&amp;isNoScr=script&amp;mode=search", "토지이음")</f>
        <v/>
      </c>
      <c r="L2857" s="3" t="inlineStr">
        <is>
          <t>고운동리치세종</t>
        </is>
      </c>
      <c r="M2857" s="3" t="n">
        <v>2</v>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3" t="inlineStr">
        <is>
          <t>다정동 코너 위치한 근생 토지매매, 조율가능, 입지 최고</t>
        </is>
      </c>
      <c r="I2858" s="5">
        <f>HYPERLINK("https://fin.land.naver.com/articles/2649608618", "매물Link")</f>
        <v/>
      </c>
      <c r="J2858" s="5">
        <f>HYPERLINK("https://map.naver.com/p/search/다정동 897", "지도Link")</f>
        <v/>
      </c>
      <c r="K2858" s="5">
        <f>HYPERLINK("http://www.eum.go.kr/web/ar/lu/luLandDet.jsp?pnu=3611010900108970000&amp;isNoScr=script&amp;mode=search", "토지이음")</f>
        <v/>
      </c>
      <c r="L2858" s="3" t="inlineStr">
        <is>
          <t>세종무지개</t>
        </is>
      </c>
      <c r="M2858" s="3" t="n">
        <v>1</v>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3" t="inlineStr">
        <is>
          <t>nan</t>
        </is>
      </c>
      <c r="I2859" s="5">
        <f>HYPERLINK("https://fin.land.naver.com/articles/2649398258", "매물Link")</f>
        <v/>
      </c>
      <c r="J2859" s="5">
        <f>HYPERLINK("https://map.naver.com/p/search/다정동 897", "지도Link")</f>
        <v/>
      </c>
      <c r="K2859" s="5">
        <f>HYPERLINK("http://www.eum.go.kr/web/ar/lu/luLandDet.jsp?pnu=3611010900108970000&amp;isNoScr=script&amp;mode=search", "토지이음")</f>
        <v/>
      </c>
      <c r="L2859" s="3" t="inlineStr">
        <is>
          <t>세종나라</t>
        </is>
      </c>
      <c r="M2859" s="3" t="n">
        <v>4</v>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3" t="inlineStr">
        <is>
          <t>총 194.2p, 코너자리, 다정동 위치좋은 근생토지</t>
        </is>
      </c>
      <c r="I2860" s="5">
        <f>HYPERLINK("https://fin.land.naver.com/articles/2646747500", "매물Link")</f>
        <v/>
      </c>
      <c r="J2860" s="5">
        <f>HYPERLINK("https://map.naver.com/p/search/다정동 897", "지도Link")</f>
        <v/>
      </c>
      <c r="K2860" s="5">
        <f>HYPERLINK("http://www.eum.go.kr/web/ar/lu/luLandDet.jsp?pnu=3611010900108970000&amp;isNoScr=script&amp;mode=search", "토지이음")</f>
        <v/>
      </c>
      <c r="L2860" s="3" t="inlineStr">
        <is>
          <t>명진</t>
        </is>
      </c>
      <c r="M2860" s="3" t="n">
        <v>1</v>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3" t="inlineStr">
        <is>
          <t>대단지아파트 주변 근린생활시설용지,근생단독건물건축용지</t>
        </is>
      </c>
      <c r="I2861" s="5">
        <f>HYPERLINK("https://fin.land.naver.com/articles/2646127972", "매물Link")</f>
        <v/>
      </c>
      <c r="J2861" s="5">
        <f>HYPERLINK("https://map.naver.com/p/search/다정동 900", "지도Link")</f>
        <v/>
      </c>
      <c r="K2861" s="5">
        <f>HYPERLINK("http://www.eum.go.kr/web/ar/lu/luLandDet.jsp?pnu=3611010900109000000&amp;isNoScr=script&amp;mode=search", "토지이음")</f>
        <v/>
      </c>
      <c r="L2861" s="3" t="inlineStr">
        <is>
          <t>어반통</t>
        </is>
      </c>
      <c r="M2861" s="3" t="n">
        <v>1</v>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3" t="inlineStr">
        <is>
          <t>코너 입지한 근린생활용지 토지 매매, 위치 좋음</t>
        </is>
      </c>
      <c r="I2862" s="5">
        <f>HYPERLINK("https://fin.land.naver.com/articles/2644482916", "매물Link")</f>
        <v/>
      </c>
      <c r="J2862" s="5">
        <f>HYPERLINK("https://map.naver.com/p/search/다정동 902", "지도Link")</f>
        <v/>
      </c>
      <c r="K2862" s="5">
        <f>HYPERLINK("http://www.eum.go.kr/web/ar/lu/luLandDet.jsp?pnu=3611010900109020000&amp;isNoScr=script&amp;mode=search", "토지이음")</f>
        <v/>
      </c>
      <c r="L2862" s="3" t="inlineStr">
        <is>
          <t>세종무지개</t>
        </is>
      </c>
      <c r="M2862" s="3" t="n">
        <v>1</v>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3" t="inlineStr">
        <is>
          <t>근생용지,코너각지땅으로 대단지 아파트초인근임</t>
        </is>
      </c>
      <c r="I2863" s="5">
        <f>HYPERLINK("https://fin.land.naver.com/articles/2649789570", "매물Link")</f>
        <v/>
      </c>
      <c r="J2863" s="5">
        <f>HYPERLINK("https://map.naver.com/p/search/다정동 902", "지도Link")</f>
        <v/>
      </c>
      <c r="K2863" s="5">
        <f>HYPERLINK("http://www.eum.go.kr/web/ar/lu/luLandDet.jsp?pnu=3611010900109020000&amp;isNoScr=script&amp;mode=search", "토지이음")</f>
        <v/>
      </c>
      <c r="L2863" s="3" t="inlineStr">
        <is>
          <t>세종대명</t>
        </is>
      </c>
      <c r="M2863" s="3" t="n">
        <v>1</v>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3" t="inlineStr">
        <is>
          <t>주차장 부지</t>
        </is>
      </c>
      <c r="I2864" s="5">
        <f>HYPERLINK("https://fin.land.naver.com/articles/2646669906", "매물Link")</f>
        <v/>
      </c>
      <c r="J2864" s="5">
        <f>HYPERLINK("https://map.naver.com/p/search/대평동 696", "지도Link")</f>
        <v/>
      </c>
      <c r="K2864" s="5">
        <f>HYPERLINK("http://www.eum.go.kr/web/ar/lu/luLandDet.jsp?pnu=3611010400106960000&amp;isNoScr=script&amp;mode=search", "토지이음")</f>
        <v/>
      </c>
      <c r="L2864" s="3" t="inlineStr">
        <is>
          <t>프로</t>
        </is>
      </c>
      <c r="M2864" s="3" t="n">
        <v>1</v>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3" t="inlineStr">
        <is>
          <t>대평동 일반상업지 주차장부지, 근생 및 주차타워, 건축허가, 감정가 이하</t>
        </is>
      </c>
      <c r="I2865" s="5">
        <f>HYPERLINK("https://fin.land.naver.com/articles/2647660000", "매물Link")</f>
        <v/>
      </c>
      <c r="J2865" s="5">
        <f>HYPERLINK("https://map.naver.com/p/search/대평동 696", "지도Link")</f>
        <v/>
      </c>
      <c r="K2865" s="5">
        <f>HYPERLINK("http://www.eum.go.kr/web/ar/lu/luLandDet.jsp?pnu=3611010400106960000&amp;isNoScr=script&amp;mode=search", "토지이음")</f>
        <v/>
      </c>
      <c r="L2865" s="3" t="inlineStr">
        <is>
          <t>스카이</t>
        </is>
      </c>
      <c r="M2865" s="3" t="n">
        <v>2</v>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3" t="inlineStr">
        <is>
          <t>조율가능 남향 코너각지 천조망가능 최상입지</t>
        </is>
      </c>
      <c r="I2866" s="5">
        <f>HYPERLINK("https://fin.land.naver.com/articles/2649296102", "매물Link")</f>
        <v/>
      </c>
      <c r="J2866" s="5">
        <f>HYPERLINK("https://map.naver.com/p/search/도담동 410", "지도Link")</f>
        <v/>
      </c>
      <c r="K2866" s="5">
        <f>HYPERLINK("http://www.eum.go.kr/web/ar/lu/luLandDet.jsp?pnu=3611011400104100000&amp;isNoScr=script&amp;mode=search", "토지이음")</f>
        <v/>
      </c>
      <c r="L2866" s="3" t="inlineStr">
        <is>
          <t>세종스타</t>
        </is>
      </c>
      <c r="M2866" s="3" t="n">
        <v>1</v>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3" t="inlineStr">
        <is>
          <t>100p, 도담동 말발굽토지, 왼쪽 사거리 코너자리</t>
        </is>
      </c>
      <c r="I2867" s="5">
        <f>HYPERLINK("https://fin.land.naver.com/articles/2647429203", "매물Link")</f>
        <v/>
      </c>
      <c r="J2867" s="5">
        <f>HYPERLINK("https://map.naver.com/p/search/도담동 410", "지도Link")</f>
        <v/>
      </c>
      <c r="K2867" s="5">
        <f>HYPERLINK("http://www.eum.go.kr/web/ar/lu/luLandDet.jsp?pnu=3611011400104100000&amp;isNoScr=script&amp;mode=search", "토지이음")</f>
        <v/>
      </c>
      <c r="L2867" s="3" t="inlineStr">
        <is>
          <t>세종무지개</t>
        </is>
      </c>
      <c r="M2867" s="3" t="n">
        <v>1</v>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3" t="inlineStr">
        <is>
          <t>총 100p, 주민휴게광장옆, 위치좋은 토지</t>
        </is>
      </c>
      <c r="I2868" s="5">
        <f>HYPERLINK("https://fin.land.naver.com/articles/2648902958", "매물Link")</f>
        <v/>
      </c>
      <c r="J2868" s="5">
        <f>HYPERLINK("https://map.naver.com/p/search/도담동 410", "지도Link")</f>
        <v/>
      </c>
      <c r="K2868" s="5">
        <f>HYPERLINK("http://www.eum.go.kr/web/ar/lu/luLandDet.jsp?pnu=3611011400104100000&amp;isNoScr=script&amp;mode=search", "토지이음")</f>
        <v/>
      </c>
      <c r="L2868" s="3" t="inlineStr">
        <is>
          <t>명진</t>
        </is>
      </c>
      <c r="M2868" s="3" t="n">
        <v>1</v>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3" t="inlineStr">
        <is>
          <t>말발굽지에 정남향 위치좋음, 조율가능</t>
        </is>
      </c>
      <c r="I2869" s="5">
        <f>HYPERLINK("https://fin.land.naver.com/articles/2650178437", "매물Link")</f>
        <v/>
      </c>
      <c r="J2869" s="5">
        <f>HYPERLINK("https://map.naver.com/p/search/도담동 419", "지도Link")</f>
        <v/>
      </c>
      <c r="K2869" s="5">
        <f>HYPERLINK("http://www.eum.go.kr/web/ar/lu/luLandDet.jsp?pnu=3611011400104190000&amp;isNoScr=script&amp;mode=search", "토지이음")</f>
        <v/>
      </c>
      <c r="L2869" s="3" t="inlineStr">
        <is>
          <t>연동스카이</t>
        </is>
      </c>
      <c r="M2869" s="3" t="n">
        <v>1</v>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3" t="inlineStr">
        <is>
          <t>말발굽 정남향 귀한 토지, 조율가능</t>
        </is>
      </c>
      <c r="I2870" s="5">
        <f>HYPERLINK("https://fin.land.naver.com/articles/2645666141", "매물Link")</f>
        <v/>
      </c>
      <c r="J2870" s="5">
        <f>HYPERLINK("https://map.naver.com/p/search/도담동 419", "지도Link")</f>
        <v/>
      </c>
      <c r="K2870" s="5">
        <f>HYPERLINK("http://www.eum.go.kr/web/ar/lu/luLandDet.jsp?pnu=3611011400104190000&amp;isNoScr=script&amp;mode=search", "토지이음")</f>
        <v/>
      </c>
      <c r="L2870" s="3" t="inlineStr">
        <is>
          <t>명진</t>
        </is>
      </c>
      <c r="M2870" s="3" t="n">
        <v>1</v>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3" t="inlineStr">
        <is>
          <t>99.1p, 도담동 말발굽 토지, 공원 보행로 접해 있음</t>
        </is>
      </c>
      <c r="I2871" s="5">
        <f>HYPERLINK("https://fin.land.naver.com/articles/2647428982", "매물Link")</f>
        <v/>
      </c>
      <c r="J2871" s="5">
        <f>HYPERLINK("https://map.naver.com/p/search/도담동 419", "지도Link")</f>
        <v/>
      </c>
      <c r="K2871" s="5">
        <f>HYPERLINK("http://www.eum.go.kr/web/ar/lu/luLandDet.jsp?pnu=3611011400104190000&amp;isNoScr=script&amp;mode=search", "토지이음")</f>
        <v/>
      </c>
      <c r="L2871" s="3" t="inlineStr">
        <is>
          <t>세종무지개</t>
        </is>
      </c>
      <c r="M2871" s="3" t="n">
        <v>1</v>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3" t="inlineStr">
        <is>
          <t>조율가능 공원접함 최선호 반원호내 단독주택지</t>
        </is>
      </c>
      <c r="I2872" s="5">
        <f>HYPERLINK("https://fin.land.naver.com/articles/2645720791", "매물Link")</f>
        <v/>
      </c>
      <c r="J2872" s="5">
        <f>HYPERLINK("https://map.naver.com/p/search/도담동 424", "지도Link")</f>
        <v/>
      </c>
      <c r="K2872" s="5">
        <f>HYPERLINK("http://www.eum.go.kr/web/ar/lu/luLandDet.jsp?pnu=3611011400104240000&amp;isNoScr=script&amp;mode=search", "토지이음")</f>
        <v/>
      </c>
      <c r="L2872" s="3" t="inlineStr">
        <is>
          <t>세종스타</t>
        </is>
      </c>
      <c r="M2872" s="3" t="n">
        <v>1</v>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3" t="inlineStr">
        <is>
          <t>총 92.1p, 말발굽 최고입지, 넓은 공원 인근</t>
        </is>
      </c>
      <c r="I2873" s="5">
        <f>HYPERLINK("https://fin.land.naver.com/articles/2647421924", "매물Link")</f>
        <v/>
      </c>
      <c r="J2873" s="5">
        <f>HYPERLINK("https://map.naver.com/p/search/도담동 425", "지도Link")</f>
        <v/>
      </c>
      <c r="K2873" s="5">
        <f>HYPERLINK("http://www.eum.go.kr/web/ar/lu/luLandDet.jsp?pnu=3611011400104250000&amp;isNoScr=script&amp;mode=search", "토지이음")</f>
        <v/>
      </c>
      <c r="L2873" s="3" t="inlineStr">
        <is>
          <t>명진</t>
        </is>
      </c>
      <c r="M2873" s="3" t="n">
        <v>1</v>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3" t="inlineStr">
        <is>
          <t>조율가능 도담동 말발굽내 반달모양 최선호위치</t>
        </is>
      </c>
      <c r="I2874" s="5">
        <f>HYPERLINK("https://fin.land.naver.com/articles/2649479522", "매물Link")</f>
        <v/>
      </c>
      <c r="J2874" s="5">
        <f>HYPERLINK("https://map.naver.com/p/search/도담동 425", "지도Link")</f>
        <v/>
      </c>
      <c r="K2874" s="5">
        <f>HYPERLINK("http://www.eum.go.kr/web/ar/lu/luLandDet.jsp?pnu=3611011400104250000&amp;isNoScr=script&amp;mode=search", "토지이음")</f>
        <v/>
      </c>
      <c r="L2874" s="3" t="inlineStr">
        <is>
          <t>세종스타</t>
        </is>
      </c>
      <c r="M2874" s="3" t="n">
        <v>3</v>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3" t="inlineStr">
        <is>
          <t>도담동 말발굽토지 매매, 공원 인근, 선호도 높은 토지</t>
        </is>
      </c>
      <c r="I2875" s="5">
        <f>HYPERLINK("https://fin.land.naver.com/articles/2644185791", "매물Link")</f>
        <v/>
      </c>
      <c r="J2875" s="5">
        <f>HYPERLINK("https://map.naver.com/p/search/도담동 425", "지도Link")</f>
        <v/>
      </c>
      <c r="K2875" s="5">
        <f>HYPERLINK("http://www.eum.go.kr/web/ar/lu/luLandDet.jsp?pnu=3611011400104250000&amp;isNoScr=script&amp;mode=search", "토지이음")</f>
        <v/>
      </c>
      <c r="L2875" s="3" t="inlineStr">
        <is>
          <t>세종무지개</t>
        </is>
      </c>
      <c r="M2875" s="3" t="n">
        <v>1</v>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3" t="inlineStr">
        <is>
          <t>조율가능한 말발굽 위치 좋은 토지 매매, 코너각지</t>
        </is>
      </c>
      <c r="I2876" s="5">
        <f>HYPERLINK("https://fin.land.naver.com/articles/2644186162", "매물Link")</f>
        <v/>
      </c>
      <c r="J2876" s="5">
        <f>HYPERLINK("https://map.naver.com/p/search/도담동 455", "지도Link")</f>
        <v/>
      </c>
      <c r="K2876" s="5">
        <f>HYPERLINK("http://www.eum.go.kr/web/ar/lu/luLandDet.jsp?pnu=3611011400104550000&amp;isNoScr=script&amp;mode=search", "토지이음")</f>
        <v/>
      </c>
      <c r="L2876" s="3" t="inlineStr">
        <is>
          <t>세종무지개</t>
        </is>
      </c>
      <c r="M2876" s="3" t="n">
        <v>1</v>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3" t="inlineStr">
        <is>
          <t>102.1p, 코너자리, 말발굽 좋은위치, 조율가능</t>
        </is>
      </c>
      <c r="I2877" s="5">
        <f>HYPERLINK("https://fin.land.naver.com/articles/2648898954", "매물Link")</f>
        <v/>
      </c>
      <c r="J2877" s="5">
        <f>HYPERLINK("https://map.naver.com/p/search/도담동 455", "지도Link")</f>
        <v/>
      </c>
      <c r="K2877" s="5">
        <f>HYPERLINK("http://www.eum.go.kr/web/ar/lu/luLandDet.jsp?pnu=3611011400104550000&amp;isNoScr=script&amp;mode=search", "토지이음")</f>
        <v/>
      </c>
      <c r="L2877" s="3" t="inlineStr">
        <is>
          <t>명진</t>
        </is>
      </c>
      <c r="M2877" s="3" t="n">
        <v>1</v>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3" t="inlineStr">
        <is>
          <t>조율가능 반원호내 좋은위치</t>
        </is>
      </c>
      <c r="I2878" s="5">
        <f>HYPERLINK("https://fin.land.naver.com/articles/2649296288", "매물Link")</f>
        <v/>
      </c>
      <c r="J2878" s="5">
        <f>HYPERLINK("https://map.naver.com/p/search/도담동 455", "지도Link")</f>
        <v/>
      </c>
      <c r="K2878" s="5">
        <f>HYPERLINK("http://www.eum.go.kr/web/ar/lu/luLandDet.jsp?pnu=3611011400104550000&amp;isNoScr=script&amp;mode=search", "토지이음")</f>
        <v/>
      </c>
      <c r="L2878" s="3" t="inlineStr">
        <is>
          <t>세종스타</t>
        </is>
      </c>
      <c r="M2878" s="3" t="n">
        <v>1</v>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3" t="inlineStr">
        <is>
          <t>급매 양지초인근 땅모양좋음 공원용지 접함</t>
        </is>
      </c>
      <c r="I2879" s="5">
        <f>HYPERLINK("https://fin.land.naver.com/articles/2649479469", "매물Link")</f>
        <v/>
      </c>
      <c r="J2879" s="5">
        <f>HYPERLINK("https://map.naver.com/p/search/도담동 496", "지도Link")</f>
        <v/>
      </c>
      <c r="K2879" s="5">
        <f>HYPERLINK("http://www.eum.go.kr/web/ar/lu/luLandDet.jsp?pnu=3611011400104960000&amp;isNoScr=script&amp;mode=search", "토지이음")</f>
        <v/>
      </c>
      <c r="L2879" s="3" t="inlineStr">
        <is>
          <t>세종스타</t>
        </is>
      </c>
      <c r="M2879" s="3" t="n">
        <v>2</v>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3" t="inlineStr">
        <is>
          <t>96.9p, 유.초등학교 인근, 삼거리 입지 좋은 토지</t>
        </is>
      </c>
      <c r="I2880" s="5">
        <f>HYPERLINK("https://fin.land.naver.com/articles/2648832742", "매물Link")</f>
        <v/>
      </c>
      <c r="J2880" s="5">
        <f>HYPERLINK("https://map.naver.com/p/search/도담동 496", "지도Link")</f>
        <v/>
      </c>
      <c r="K2880" s="5">
        <f>HYPERLINK("http://www.eum.go.kr/web/ar/lu/luLandDet.jsp?pnu=3611011400104960000&amp;isNoScr=script&amp;mode=search", "토지이음")</f>
        <v/>
      </c>
      <c r="L2880" s="3" t="inlineStr">
        <is>
          <t>세종무지개</t>
        </is>
      </c>
      <c r="M2880" s="3" t="n">
        <v>1</v>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3" t="inlineStr">
        <is>
          <t>99.9p, 유.초등학교 인근, 사거리 코너자리</t>
        </is>
      </c>
      <c r="I2881" s="5">
        <f>HYPERLINK("https://fin.land.naver.com/articles/2648839579", "매물Link")</f>
        <v/>
      </c>
      <c r="J2881" s="5">
        <f>HYPERLINK("https://map.naver.com/p/search/도담동 546", "지도Link")</f>
        <v/>
      </c>
      <c r="K2881" s="5">
        <f>HYPERLINK("http://www.eum.go.kr/web/ar/lu/luLandDet.jsp?pnu=3611011400105460000&amp;isNoScr=script&amp;mode=search", "토지이음")</f>
        <v/>
      </c>
      <c r="L2881" s="3" t="inlineStr">
        <is>
          <t>세종무지개</t>
        </is>
      </c>
      <c r="M2881" s="3" t="n">
        <v>1</v>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3" t="inlineStr">
        <is>
          <t>99.9p, 도담동 말발굽택지 중 급매</t>
        </is>
      </c>
      <c r="I2882" s="5">
        <f>HYPERLINK("https://fin.land.naver.com/articles/2649021645", "매물Link")</f>
        <v/>
      </c>
      <c r="J2882" s="5">
        <f>HYPERLINK("https://map.naver.com/p/search/도담동 546", "지도Link")</f>
        <v/>
      </c>
      <c r="K2882" s="5">
        <f>HYPERLINK("http://www.eum.go.kr/web/ar/lu/luLandDet.jsp?pnu=3611011400105460000&amp;isNoScr=script&amp;mode=search", "토지이음")</f>
        <v/>
      </c>
      <c r="L2882" s="3" t="inlineStr">
        <is>
          <t>명진</t>
        </is>
      </c>
      <c r="M2882" s="3" t="n">
        <v>1</v>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3" t="inlineStr">
        <is>
          <t>양지초 양지유치원 정문 건너편 최선호 위치 주변시세보다 저렴 추천매물</t>
        </is>
      </c>
      <c r="I2883" s="5">
        <f>HYPERLINK("https://fin.land.naver.com/articles/2649479494", "매물Link")</f>
        <v/>
      </c>
      <c r="J2883" s="5">
        <f>HYPERLINK("https://map.naver.com/p/search/도담동 546", "지도Link")</f>
        <v/>
      </c>
      <c r="K2883" s="5">
        <f>HYPERLINK("http://www.eum.go.kr/web/ar/lu/luLandDet.jsp?pnu=3611011400105460000&amp;isNoScr=script&amp;mode=search", "토지이음")</f>
        <v/>
      </c>
      <c r="L2883" s="3" t="inlineStr">
        <is>
          <t>세종스타</t>
        </is>
      </c>
      <c r="M2883" s="3" t="n">
        <v>2</v>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3" t="inlineStr">
        <is>
          <t>말발굽토지 급매, 사거리 코너 최고 입지, 총 116p</t>
        </is>
      </c>
      <c r="I2884" s="5">
        <f>HYPERLINK("https://fin.land.naver.com/articles/2644486584", "매물Link")</f>
        <v/>
      </c>
      <c r="J2884" s="5">
        <f>HYPERLINK("https://map.naver.com/p/search/도담동 561", "지도Link")</f>
        <v/>
      </c>
      <c r="K2884" s="5">
        <f>HYPERLINK("http://www.eum.go.kr/web/ar/lu/luLandDet.jsp?pnu=3611011400105610000&amp;isNoScr=script&amp;mode=search", "토지이음")</f>
        <v/>
      </c>
      <c r="L2884" s="3" t="inlineStr">
        <is>
          <t>세종무지개</t>
        </is>
      </c>
      <c r="M2884" s="3" t="n">
        <v>1</v>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3" t="inlineStr">
        <is>
          <t>조율가능 코너각지 넓은면적 독립된 사이드위치</t>
        </is>
      </c>
      <c r="I2885" s="5">
        <f>HYPERLINK("https://fin.land.naver.com/articles/2648716346", "매물Link")</f>
        <v/>
      </c>
      <c r="J2885" s="5">
        <f>HYPERLINK("https://map.naver.com/p/search/도담동 561", "지도Link")</f>
        <v/>
      </c>
      <c r="K2885" s="5">
        <f>HYPERLINK("http://www.eum.go.kr/web/ar/lu/luLandDet.jsp?pnu=3611011400105610000&amp;isNoScr=script&amp;mode=search", "토지이음")</f>
        <v/>
      </c>
      <c r="L2885" s="3" t="inlineStr">
        <is>
          <t>세종스타</t>
        </is>
      </c>
      <c r="M2885" s="3" t="n">
        <v>3</v>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3" t="inlineStr">
        <is>
          <t>급매, 총 116p, 대형토지, 도담동 말발굽토지, 조율가능</t>
        </is>
      </c>
      <c r="I2886" s="5">
        <f>HYPERLINK("https://fin.land.naver.com/articles/2645496050", "매물Link")</f>
        <v/>
      </c>
      <c r="J2886" s="5">
        <f>HYPERLINK("https://map.naver.com/p/search/도담동 561", "지도Link")</f>
        <v/>
      </c>
      <c r="K2886" s="5">
        <f>HYPERLINK("http://www.eum.go.kr/web/ar/lu/luLandDet.jsp?pnu=3611011400105610000&amp;isNoScr=script&amp;mode=search", "토지이음")</f>
        <v/>
      </c>
      <c r="L2886" s="3" t="inlineStr">
        <is>
          <t>명진</t>
        </is>
      </c>
      <c r="M2886" s="3" t="n">
        <v>1</v>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3" t="inlineStr">
        <is>
          <t>명성공인, 도담 말발굽자리 위치 좋은 명당 추천 매물</t>
        </is>
      </c>
      <c r="I2887" s="5">
        <f>HYPERLINK("https://fin.land.naver.com/articles/2648974784", "매물Link")</f>
        <v/>
      </c>
      <c r="J2887" s="5">
        <f>HYPERLINK("https://map.naver.com/p/search/도담동 562", "지도Link")</f>
        <v/>
      </c>
      <c r="K2887" s="5">
        <f>HYPERLINK("http://www.eum.go.kr/web/ar/lu/luLandDet.jsp?pnu=3611011400105620000&amp;isNoScr=script&amp;mode=search", "토지이음")</f>
        <v/>
      </c>
      <c r="L2887" s="3" t="inlineStr">
        <is>
          <t>명성</t>
        </is>
      </c>
      <c r="M2887" s="3" t="n">
        <v>2</v>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3" t="inlineStr">
        <is>
          <t>양지초,양지유치원 가깝고 brt 도로 가까운 위치좋은 말발굽택지</t>
        </is>
      </c>
      <c r="I2888" s="5">
        <f>HYPERLINK("https://fin.land.naver.com/articles/2648273972", "매물Link")</f>
        <v/>
      </c>
      <c r="J2888" s="5">
        <f>HYPERLINK("https://map.naver.com/p/search/도담동 566", "지도Link")</f>
        <v/>
      </c>
      <c r="K2888" s="5">
        <f>HYPERLINK("http://www.eum.go.kr/web/ar/lu/luLandDet.jsp?pnu=3611011400105660000&amp;isNoScr=script&amp;mode=search", "토지이음")</f>
        <v/>
      </c>
      <c r="L2888" s="3" t="inlineStr">
        <is>
          <t>마마</t>
        </is>
      </c>
      <c r="M2888" s="3" t="n">
        <v>1</v>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3" t="inlineStr">
        <is>
          <t>nan</t>
        </is>
      </c>
      <c r="I2889" s="5">
        <f>HYPERLINK("https://fin.land.naver.com/articles/2647645491", "매물Link")</f>
        <v/>
      </c>
      <c r="J2889" s="5">
        <f>HYPERLINK("https://map.naver.com/p/search/도담동 580", "지도Link")</f>
        <v/>
      </c>
      <c r="K2889" s="5">
        <f>HYPERLINK("http://www.eum.go.kr/web/ar/lu/luLandDet.jsp?pnu=3611011400105800000&amp;isNoScr=script&amp;mode=search", "토지이음")</f>
        <v/>
      </c>
      <c r="L2889" s="3" t="inlineStr">
        <is>
          <t>해밀세종신도시</t>
        </is>
      </c>
      <c r="M2889" s="3" t="n">
        <v>1</v>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3" t="inlineStr">
        <is>
          <t>도담동 근린생활용지 토지매매, 사거리 코너입지</t>
        </is>
      </c>
      <c r="I2890" s="5">
        <f>HYPERLINK("https://fin.land.naver.com/articles/2649607332", "매물Link")</f>
        <v/>
      </c>
      <c r="J2890" s="5">
        <f>HYPERLINK("https://map.naver.com/p/search/도담동 580", "지도Link")</f>
        <v/>
      </c>
      <c r="K2890" s="5">
        <f>HYPERLINK("http://www.eum.go.kr/web/ar/lu/luLandDet.jsp?pnu=3611011400105800000&amp;isNoScr=script&amp;mode=search", "토지이음")</f>
        <v/>
      </c>
      <c r="L2890" s="3" t="inlineStr">
        <is>
          <t>세종무지개</t>
        </is>
      </c>
      <c r="M2890" s="3" t="n">
        <v>1</v>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3" t="inlineStr">
        <is>
          <t>명성공인, 도담동 근생용지 추천 매물</t>
        </is>
      </c>
      <c r="I2891" s="5">
        <f>HYPERLINK("https://fin.land.naver.com/articles/2646317788", "매물Link")</f>
        <v/>
      </c>
      <c r="J2891" s="5">
        <f>HYPERLINK("https://map.naver.com/p/search/도담동 580", "지도Link")</f>
        <v/>
      </c>
      <c r="K2891" s="5">
        <f>HYPERLINK("http://www.eum.go.kr/web/ar/lu/luLandDet.jsp?pnu=3611011400105800000&amp;isNoScr=script&amp;mode=search", "토지이음")</f>
        <v/>
      </c>
      <c r="L2891" s="3" t="inlineStr">
        <is>
          <t>명성</t>
        </is>
      </c>
      <c r="M2891" s="3" t="n">
        <v>1</v>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3" t="inlineStr">
        <is>
          <t>도로에 접해 있으며, 위치좋은 단독주택자리, 충남대병원인근</t>
        </is>
      </c>
      <c r="I2892" s="5">
        <f>HYPERLINK("https://fin.land.naver.com/articles/2647116681", "매물Link")</f>
        <v/>
      </c>
      <c r="J2892" s="5">
        <f>HYPERLINK("https://map.naver.com/p/search/도담동 588", "지도Link")</f>
        <v/>
      </c>
      <c r="K2892" s="5">
        <f>HYPERLINK("http://www.eum.go.kr/web/ar/lu/luLandDet.jsp?pnu=3611011400105880000&amp;isNoScr=script&amp;mode=search", "토지이음")</f>
        <v/>
      </c>
      <c r="L2892" s="3" t="inlineStr">
        <is>
          <t>사이다</t>
        </is>
      </c>
      <c r="M2892" s="3" t="n">
        <v>1</v>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3" t="inlineStr">
        <is>
          <t>급매, 도담동 위치좋은 주택지, 충대병원 , BRT정류장 인접, 가격조율</t>
        </is>
      </c>
      <c r="I2893" s="5">
        <f>HYPERLINK("https://fin.land.naver.com/articles/2647176392", "매물Link")</f>
        <v/>
      </c>
      <c r="J2893" s="5">
        <f>HYPERLINK("https://map.naver.com/p/search/도담동 620", "지도Link")</f>
        <v/>
      </c>
      <c r="K2893" s="5">
        <f>HYPERLINK("http://www.eum.go.kr/web/ar/lu/luLandDet.jsp?pnu=3611011400106200000&amp;isNoScr=script&amp;mode=search", "토지이음")</f>
        <v/>
      </c>
      <c r="L2893" s="3" t="inlineStr">
        <is>
          <t>OK세종</t>
        </is>
      </c>
      <c r="M2893" s="3" t="n">
        <v>2</v>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3" t="inlineStr">
        <is>
          <t>총 98.9p, 도담동 아파트 단지 옆, 삼거리 코너</t>
        </is>
      </c>
      <c r="I2894" s="5">
        <f>HYPERLINK("https://fin.land.naver.com/articles/2646696077", "매물Link")</f>
        <v/>
      </c>
      <c r="J2894" s="5">
        <f>HYPERLINK("https://map.naver.com/p/search/도담동 620", "지도Link")</f>
        <v/>
      </c>
      <c r="K2894" s="5">
        <f>HYPERLINK("http://www.eum.go.kr/web/ar/lu/luLandDet.jsp?pnu=3611011400106200000&amp;isNoScr=script&amp;mode=search", "토지이음")</f>
        <v/>
      </c>
      <c r="L2894" s="3" t="inlineStr">
        <is>
          <t>세종무지개</t>
        </is>
      </c>
      <c r="M2894" s="3" t="n">
        <v>1</v>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3" t="inlineStr">
        <is>
          <t>총 98.9p, 도담동 위치좋은 코너자리 토지</t>
        </is>
      </c>
      <c r="I2895" s="5">
        <f>HYPERLINK("https://fin.land.naver.com/articles/2649012828", "매물Link")</f>
        <v/>
      </c>
      <c r="J2895" s="5">
        <f>HYPERLINK("https://map.naver.com/p/search/도담동 620", "지도Link")</f>
        <v/>
      </c>
      <c r="K2895" s="5">
        <f>HYPERLINK("http://www.eum.go.kr/web/ar/lu/luLandDet.jsp?pnu=3611011400106200000&amp;isNoScr=script&amp;mode=search", "토지이음")</f>
        <v/>
      </c>
      <c r="L2895" s="3" t="inlineStr">
        <is>
          <t>명진</t>
        </is>
      </c>
      <c r="M2895" s="3" t="n">
        <v>1</v>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3" t="inlineStr">
        <is>
          <t>위치최상 정남향 늘봄초앞 남북트인곳</t>
        </is>
      </c>
      <c r="I2896" s="5">
        <f>HYPERLINK("https://fin.land.naver.com/articles/2648041586", "매물Link")</f>
        <v/>
      </c>
      <c r="J2896" s="5">
        <f>HYPERLINK("https://map.naver.com/p/search/도담동 693", "지도Link")</f>
        <v/>
      </c>
      <c r="K2896" s="5">
        <f>HYPERLINK("http://www.eum.go.kr/web/ar/lu/luLandDet.jsp?pnu=3611011400106930000&amp;isNoScr=script&amp;mode=search", "토지이음")</f>
        <v/>
      </c>
      <c r="L2896" s="3" t="inlineStr">
        <is>
          <t>세종스타</t>
        </is>
      </c>
      <c r="M2896" s="3" t="n">
        <v>1</v>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3" t="inlineStr">
        <is>
          <t>조율가능 남향 늘봄초앞 BRT도보가능</t>
        </is>
      </c>
      <c r="I2897" s="5">
        <f>HYPERLINK("https://fin.land.naver.com/articles/2646994031", "매물Link")</f>
        <v/>
      </c>
      <c r="J2897" s="5">
        <f>HYPERLINK("https://map.naver.com/p/search/도담동 705", "지도Link")</f>
        <v/>
      </c>
      <c r="K2897" s="5">
        <f>HYPERLINK("http://www.eum.go.kr/web/ar/lu/luLandDet.jsp?pnu=3611011400107050000&amp;isNoScr=script&amp;mode=search", "토지이음")</f>
        <v/>
      </c>
      <c r="L2897" s="3" t="inlineStr">
        <is>
          <t>세종스타</t>
        </is>
      </c>
      <c r="M2897" s="3" t="n">
        <v>1</v>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3" t="inlineStr">
        <is>
          <t>산조망 코너각지 정남향 입지최상</t>
        </is>
      </c>
      <c r="I2898" s="5">
        <f>HYPERLINK("https://fin.land.naver.com/articles/2649479678", "매물Link")</f>
        <v/>
      </c>
      <c r="J2898" s="5">
        <f>HYPERLINK("https://map.naver.com/p/search/도담동 712", "지도Link")</f>
        <v/>
      </c>
      <c r="K2898" s="5">
        <f>HYPERLINK("http://www.eum.go.kr/web/ar/lu/luLandDet.jsp?pnu=3611011400107120000&amp;isNoScr=script&amp;mode=search", "토지이음")</f>
        <v/>
      </c>
      <c r="L2898" s="3" t="inlineStr">
        <is>
          <t>세종스타</t>
        </is>
      </c>
      <c r="M2898" s="3" t="n">
        <v>1</v>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3" t="inlineStr">
        <is>
          <t>도담동 입지 좋은 단독주택지 토지매매</t>
        </is>
      </c>
      <c r="I2899" s="5">
        <f>HYPERLINK("https://fin.land.naver.com/articles/2648297361", "매물Link")</f>
        <v/>
      </c>
      <c r="J2899" s="5">
        <f>HYPERLINK("https://map.naver.com/p/search/도담동 712", "지도Link")</f>
        <v/>
      </c>
      <c r="K2899" s="5">
        <f>HYPERLINK("http://www.eum.go.kr/web/ar/lu/luLandDet.jsp?pnu=3611011400107120000&amp;isNoScr=script&amp;mode=search", "토지이음")</f>
        <v/>
      </c>
      <c r="L2899" s="3" t="inlineStr">
        <is>
          <t>세종무지개</t>
        </is>
      </c>
      <c r="M2899" s="3" t="n">
        <v>1</v>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3" t="inlineStr">
        <is>
          <t>삼거리 코너 입지, 도담동 단독주택 매매</t>
        </is>
      </c>
      <c r="I2900" s="5">
        <f>HYPERLINK("https://fin.land.naver.com/articles/2648260035", "매물Link")</f>
        <v/>
      </c>
      <c r="J2900" s="5">
        <f>HYPERLINK("https://map.naver.com/p/search/도담동 712", "지도Link")</f>
        <v/>
      </c>
      <c r="K2900" s="5">
        <f>HYPERLINK("http://www.eum.go.kr/web/ar/lu/luLandDet.jsp?pnu=3611011400107120000&amp;isNoScr=script&amp;mode=search", "토지이음")</f>
        <v/>
      </c>
      <c r="L2900" s="3" t="inlineStr">
        <is>
          <t>명진</t>
        </is>
      </c>
      <c r="M2900" s="3" t="n">
        <v>1</v>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3" t="inlineStr">
        <is>
          <t>도담동 입지우수한 근생 용지 부지, 매매의사 확실,가격조율가능</t>
        </is>
      </c>
      <c r="I2901" s="5">
        <f>HYPERLINK("https://fin.land.naver.com/articles/2647797836", "매물Link")</f>
        <v/>
      </c>
      <c r="J2901" s="5">
        <f>HYPERLINK("https://map.naver.com/p/search/도담동 716", "지도Link")</f>
        <v/>
      </c>
      <c r="K2901" s="5">
        <f>HYPERLINK("http://www.eum.go.kr/web/ar/lu/luLandDet.jsp?pnu=3611011400107160000&amp;isNoScr=script&amp;mode=search", "토지이음")</f>
        <v/>
      </c>
      <c r="L2901" s="3" t="inlineStr">
        <is>
          <t>짱</t>
        </is>
      </c>
      <c r="M2901" s="3" t="n">
        <v>1</v>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3" t="inlineStr">
        <is>
          <t>도담동근생용지 주변입지좋아요. 가격조정가능</t>
        </is>
      </c>
      <c r="I2902" s="5">
        <f>HYPERLINK("https://fin.land.naver.com/articles/2644107996", "매물Link")</f>
        <v/>
      </c>
      <c r="J2902" s="5">
        <f>HYPERLINK("https://map.naver.com/p/search/도담동 716", "지도Link")</f>
        <v/>
      </c>
      <c r="K2902" s="5">
        <f>HYPERLINK("http://www.eum.go.kr/web/ar/lu/luLandDet.jsp?pnu=3611011400107160000&amp;isNoScr=script&amp;mode=search", "토지이음")</f>
        <v/>
      </c>
      <c r="L2902" s="3" t="inlineStr">
        <is>
          <t>고운동리치세종</t>
        </is>
      </c>
      <c r="M2902" s="3" t="n">
        <v>1</v>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3" t="inlineStr">
        <is>
          <t>도담동 2단지 단독주택지 앞 상가용 토지.가격 최대조율,연락 주세요.</t>
        </is>
      </c>
      <c r="I2903" s="5">
        <f>HYPERLINK("https://fin.land.naver.com/articles/2646521378", "매물Link")</f>
        <v/>
      </c>
      <c r="J2903" s="5">
        <f>HYPERLINK("https://map.naver.com/p/search/도담동 716", "지도Link")</f>
        <v/>
      </c>
      <c r="K2903" s="5">
        <f>HYPERLINK("http://www.eum.go.kr/web/ar/lu/luLandDet.jsp?pnu=3611011400107160000&amp;isNoScr=script&amp;mode=search", "토지이음")</f>
        <v/>
      </c>
      <c r="L2903" s="3" t="inlineStr">
        <is>
          <t>다정현대</t>
        </is>
      </c>
      <c r="M2903" s="3" t="n">
        <v>2</v>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3" t="inlineStr">
        <is>
          <t>입지 좋은 도담동 근린생활용지 토지 매매, 대로변</t>
        </is>
      </c>
      <c r="I2904" s="5">
        <f>HYPERLINK("https://fin.land.naver.com/articles/2649607976", "매물Link")</f>
        <v/>
      </c>
      <c r="J2904" s="5">
        <f>HYPERLINK("https://map.naver.com/p/search/도담동 716", "지도Link")</f>
        <v/>
      </c>
      <c r="K2904" s="5">
        <f>HYPERLINK("http://www.eum.go.kr/web/ar/lu/luLandDet.jsp?pnu=3611011400107160000&amp;isNoScr=script&amp;mode=search", "토지이음")</f>
        <v/>
      </c>
      <c r="L2904" s="3" t="inlineStr">
        <is>
          <t>세종무지개</t>
        </is>
      </c>
      <c r="M2904" s="3" t="n">
        <v>1</v>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3" t="inlineStr">
        <is>
          <t>급매 도담동 최고입지 프라이버스 완벽하고 지대높은 위치최상</t>
        </is>
      </c>
      <c r="I2905" s="5">
        <f>HYPERLINK("https://fin.land.naver.com/articles/2644908928", "매물Link")</f>
        <v/>
      </c>
      <c r="J2905" s="5">
        <f>HYPERLINK("https://map.naver.com/p/search/도담동 730", "지도Link")</f>
        <v/>
      </c>
      <c r="K2905" s="5">
        <f>HYPERLINK("http://www.eum.go.kr/web/ar/lu/luLandDet.jsp?pnu=3611011400107300000&amp;isNoScr=script&amp;mode=search", "토지이음")</f>
        <v/>
      </c>
      <c r="L2905" s="3" t="inlineStr">
        <is>
          <t>세종스타</t>
        </is>
      </c>
      <c r="M2905" s="3" t="n">
        <v>1</v>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3" t="inlineStr">
        <is>
          <t>홈플러스와 충대병원사이에 위치함 3면코너각지 청사및체육시설근거리이용</t>
        </is>
      </c>
      <c r="I2906" s="5">
        <f>HYPERLINK("https://fin.land.naver.com/articles/2647502682", "매물Link")</f>
        <v/>
      </c>
      <c r="J2906" s="5">
        <f>HYPERLINK("https://map.naver.com/p/search/도담동 757", "지도Link")</f>
        <v/>
      </c>
      <c r="K2906" s="5">
        <f>HYPERLINK("http://www.eum.go.kr/web/ar/lu/luLandDet.jsp?pnu=3611011400107570000&amp;isNoScr=script&amp;mode=search", "토지이음")</f>
        <v/>
      </c>
      <c r="L2906" s="3" t="inlineStr">
        <is>
          <t>세종마당</t>
        </is>
      </c>
      <c r="M2906" s="3" t="n">
        <v>1</v>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3" t="inlineStr">
        <is>
          <t>입지 좋은 도담동 단독주택 토지매매</t>
        </is>
      </c>
      <c r="I2907" s="5">
        <f>HYPERLINK("https://fin.land.naver.com/articles/2644187455", "매물Link")</f>
        <v/>
      </c>
      <c r="J2907" s="5">
        <f>HYPERLINK("https://map.naver.com/p/search/도담동 763", "지도Link")</f>
        <v/>
      </c>
      <c r="K2907" s="5">
        <f>HYPERLINK("http://www.eum.go.kr/web/ar/lu/luLandDet.jsp?pnu=3611011400107630000&amp;isNoScr=script&amp;mode=search", "토지이음")</f>
        <v/>
      </c>
      <c r="L2907" s="3" t="inlineStr">
        <is>
          <t>세종무지개</t>
        </is>
      </c>
      <c r="M2907" s="3" t="n">
        <v>1</v>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3" t="inlineStr">
        <is>
          <t>89.5p, 사거리 코너 입지, 위치 굿, 단지 바로 앞</t>
        </is>
      </c>
      <c r="I2908" s="5">
        <f>HYPERLINK("https://fin.land.naver.com/articles/2648188284", "매물Link")</f>
        <v/>
      </c>
      <c r="J2908" s="5">
        <f>HYPERLINK("https://map.naver.com/p/search/도담동 763", "지도Link")</f>
        <v/>
      </c>
      <c r="K2908" s="5">
        <f>HYPERLINK("http://www.eum.go.kr/web/ar/lu/luLandDet.jsp?pnu=3611011400107630000&amp;isNoScr=script&amp;mode=search", "토지이음")</f>
        <v/>
      </c>
      <c r="L2908" s="3" t="inlineStr">
        <is>
          <t>명진</t>
        </is>
      </c>
      <c r="M2908" s="3" t="n">
        <v>1</v>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3" t="inlineStr">
        <is>
          <t>전원주택지로 최고의 입지와 3면이 좋은 택지입니다.</t>
        </is>
      </c>
      <c r="I2909" s="5">
        <f>HYPERLINK("https://fin.land.naver.com/articles/2647269438", "매물Link")</f>
        <v/>
      </c>
      <c r="J2909" s="5">
        <f>HYPERLINK("https://map.naver.com/p/search/도담동 763", "지도Link")</f>
        <v/>
      </c>
      <c r="K2909" s="5">
        <f>HYPERLINK("http://www.eum.go.kr/web/ar/lu/luLandDet.jsp?pnu=3611011400107630000&amp;isNoScr=script&amp;mode=search", "토지이음")</f>
        <v/>
      </c>
      <c r="L2909" s="3" t="inlineStr">
        <is>
          <t>사계절</t>
        </is>
      </c>
      <c r="M2909" s="3" t="n">
        <v>3</v>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3" t="inlineStr">
        <is>
          <t>생명나무,도담동 홈플러스 근접거리  귀한 단독주택자리</t>
        </is>
      </c>
      <c r="I2910" s="5">
        <f>HYPERLINK("https://fin.land.naver.com/articles/2644319752", "매물Link")</f>
        <v/>
      </c>
      <c r="J2910" s="5">
        <f>HYPERLINK("https://map.naver.com/p/search/도담동 776", "지도Link")</f>
        <v/>
      </c>
      <c r="K2910" s="5">
        <f>HYPERLINK("http://www.eum.go.kr/web/ar/lu/luLandDet.jsp?pnu=3611011400107760000&amp;isNoScr=script&amp;mode=search", "토지이음")</f>
        <v/>
      </c>
      <c r="L2910" s="3" t="inlineStr">
        <is>
          <t>생명나무</t>
        </is>
      </c>
      <c r="M2910" s="3" t="n">
        <v>1</v>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3" t="inlineStr">
        <is>
          <t>BRT라인 상권,방축천 라인,청사,홈플러스,충대병원과 근접한 생활권 위치</t>
        </is>
      </c>
      <c r="I2911" s="5">
        <f>HYPERLINK("https://fin.land.naver.com/articles/2645446523", "매물Link")</f>
        <v/>
      </c>
      <c r="J2911" s="5">
        <f>HYPERLINK("https://map.naver.com/p/search/도담동 779", "지도Link")</f>
        <v/>
      </c>
      <c r="K2911" s="5">
        <f>HYPERLINK("http://www.eum.go.kr/web/ar/lu/luLandDet.jsp?pnu=3611011400107790000&amp;isNoScr=script&amp;mode=search", "토지이음")</f>
        <v/>
      </c>
      <c r="L2911" s="3" t="inlineStr">
        <is>
          <t>세종웅진</t>
        </is>
      </c>
      <c r="M2911" s="3" t="n">
        <v>1</v>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3" t="inlineStr">
        <is>
          <t>코너 유치원 홈플러스 늘봄초인근 조율가능</t>
        </is>
      </c>
      <c r="I2912" s="5">
        <f>HYPERLINK("https://fin.land.naver.com/articles/2649812078", "매물Link")</f>
        <v/>
      </c>
      <c r="J2912" s="5">
        <f>HYPERLINK("https://map.naver.com/p/search/도담동 784", "지도Link")</f>
        <v/>
      </c>
      <c r="K2912" s="5">
        <f>HYPERLINK("http://www.eum.go.kr/web/ar/lu/luLandDet.jsp?pnu=3611011400107840000&amp;isNoScr=script&amp;mode=search", "토지이음")</f>
        <v/>
      </c>
      <c r="L2912" s="3" t="inlineStr">
        <is>
          <t>세종스타</t>
        </is>
      </c>
      <c r="M2912" s="3" t="n">
        <v>1</v>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3" t="inlineStr">
        <is>
          <t>사거리 코너, 생활권 좋은 위치 단독주택지</t>
        </is>
      </c>
      <c r="I2913" s="5">
        <f>HYPERLINK("https://fin.land.naver.com/articles/2647425170", "매물Link")</f>
        <v/>
      </c>
      <c r="J2913" s="5">
        <f>HYPERLINK("https://map.naver.com/p/search/도담동 784", "지도Link")</f>
        <v/>
      </c>
      <c r="K2913" s="5">
        <f>HYPERLINK("http://www.eum.go.kr/web/ar/lu/luLandDet.jsp?pnu=3611011400107840000&amp;isNoScr=script&amp;mode=search", "토지이음")</f>
        <v/>
      </c>
      <c r="L2913" s="3" t="inlineStr">
        <is>
          <t>명진</t>
        </is>
      </c>
      <c r="M2913" s="3" t="n">
        <v>1</v>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3" t="inlineStr">
        <is>
          <t>도담동 생활권 입지 좋은 단독주택지 매매</t>
        </is>
      </c>
      <c r="I2914" s="5">
        <f>HYPERLINK("https://fin.land.naver.com/articles/2647429882", "매물Link")</f>
        <v/>
      </c>
      <c r="J2914" s="5">
        <f>HYPERLINK("https://map.naver.com/p/search/도담동 784", "지도Link")</f>
        <v/>
      </c>
      <c r="K2914" s="5">
        <f>HYPERLINK("http://www.eum.go.kr/web/ar/lu/luLandDet.jsp?pnu=3611011400107840000&amp;isNoScr=script&amp;mode=search", "토지이음")</f>
        <v/>
      </c>
      <c r="L2914" s="3" t="inlineStr">
        <is>
          <t>세종무지개</t>
        </is>
      </c>
      <c r="M2914" s="3" t="n">
        <v>1</v>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3" t="inlineStr">
        <is>
          <t>103.7p, 단지 맞은편, 유치원 인근</t>
        </is>
      </c>
      <c r="I2915" s="5">
        <f>HYPERLINK("https://fin.land.naver.com/articles/2648833697", "매물Link")</f>
        <v/>
      </c>
      <c r="J2915" s="5">
        <f>HYPERLINK("https://map.naver.com/p/search/도담동 790", "지도Link")</f>
        <v/>
      </c>
      <c r="K2915" s="5">
        <f>HYPERLINK("http://www.eum.go.kr/web/ar/lu/luLandDet.jsp?pnu=3611011400107900000&amp;isNoScr=script&amp;mode=search", "토지이음")</f>
        <v/>
      </c>
      <c r="L2915" s="3" t="inlineStr">
        <is>
          <t>세종무지개</t>
        </is>
      </c>
      <c r="M2915" s="3" t="n">
        <v>1</v>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3" t="inlineStr">
        <is>
          <t>총 103.7p, 정남향, 충대병원 홈플러스 인근</t>
        </is>
      </c>
      <c r="I2916" s="5">
        <f>HYPERLINK("https://fin.land.naver.com/articles/2647422061", "매물Link")</f>
        <v/>
      </c>
      <c r="J2916" s="5">
        <f>HYPERLINK("https://map.naver.com/p/search/도담동 790", "지도Link")</f>
        <v/>
      </c>
      <c r="K2916" s="5">
        <f>HYPERLINK("http://www.eum.go.kr/web/ar/lu/luLandDet.jsp?pnu=3611011400107900000&amp;isNoScr=script&amp;mode=search", "토지이음")</f>
        <v/>
      </c>
      <c r="L2916" s="3" t="inlineStr">
        <is>
          <t>명진</t>
        </is>
      </c>
      <c r="M2916" s="3" t="n">
        <v>1</v>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3" t="inlineStr">
        <is>
          <t>96.6P, 도담동 아파트단지 인근 단독주택지</t>
        </is>
      </c>
      <c r="I2917" s="5">
        <f>HYPERLINK("https://fin.land.naver.com/articles/2648909375", "매물Link")</f>
        <v/>
      </c>
      <c r="J2917" s="5">
        <f>HYPERLINK("https://map.naver.com/p/search/도담동 807", "지도Link")</f>
        <v/>
      </c>
      <c r="K2917" s="5">
        <f>HYPERLINK("http://www.eum.go.kr/web/ar/lu/luLandDet.jsp?pnu=3611011400108070000&amp;isNoScr=script&amp;mode=search", "토지이음")</f>
        <v/>
      </c>
      <c r="L2917" s="3" t="inlineStr">
        <is>
          <t>명진</t>
        </is>
      </c>
      <c r="M2917" s="3" t="n">
        <v>1</v>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3" t="inlineStr">
        <is>
          <t>96.6p, 정남향, 단지 맞은편, 가운데 입지</t>
        </is>
      </c>
      <c r="I2918" s="5">
        <f>HYPERLINK("https://fin.land.naver.com/articles/2648837413", "매물Link")</f>
        <v/>
      </c>
      <c r="J2918" s="5">
        <f>HYPERLINK("https://map.naver.com/p/search/도담동 807", "지도Link")</f>
        <v/>
      </c>
      <c r="K2918" s="5">
        <f>HYPERLINK("http://www.eum.go.kr/web/ar/lu/luLandDet.jsp?pnu=3611011400108070000&amp;isNoScr=script&amp;mode=search", "토지이음")</f>
        <v/>
      </c>
      <c r="L2918" s="3" t="inlineStr">
        <is>
          <t>세종무지개</t>
        </is>
      </c>
      <c r="M2918" s="3" t="n">
        <v>1</v>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3" t="inlineStr">
        <is>
          <t>주변가격대비 현격한 급매가 매매</t>
        </is>
      </c>
      <c r="I2919" s="5">
        <f>HYPERLINK("https://fin.land.naver.com/articles/2649574325", "매물Link")</f>
        <v/>
      </c>
      <c r="J2919" s="5">
        <f>HYPERLINK("https://map.naver.com/p/search/도담동 808", "지도Link")</f>
        <v/>
      </c>
      <c r="K2919" s="5">
        <f>HYPERLINK("http://www.eum.go.kr/web/ar/lu/luLandDet.jsp?pnu=3611011400108080000&amp;isNoScr=script&amp;mode=search", "토지이음")</f>
        <v/>
      </c>
      <c r="L2919" s="3" t="inlineStr">
        <is>
          <t>킹세종</t>
        </is>
      </c>
      <c r="M2919" s="3" t="n">
        <v>2</v>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3" t="inlineStr">
        <is>
          <t>남향필지 최선호지역 BRT도보가능 홈플러스인근</t>
        </is>
      </c>
      <c r="I2920" s="5">
        <f>HYPERLINK("https://fin.land.naver.com/articles/2648615509", "매물Link")</f>
        <v/>
      </c>
      <c r="J2920" s="5">
        <f>HYPERLINK("https://map.naver.com/p/search/도담동 824", "지도Link")</f>
        <v/>
      </c>
      <c r="K2920" s="5">
        <f>HYPERLINK("http://www.eum.go.kr/web/ar/lu/luLandDet.jsp?pnu=3611011400108240000&amp;isNoScr=script&amp;mode=search", "토지이음")</f>
        <v/>
      </c>
      <c r="L2920" s="3" t="inlineStr">
        <is>
          <t>세종스타</t>
        </is>
      </c>
      <c r="M2920" s="3" t="n">
        <v>1</v>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3" t="inlineStr">
        <is>
          <t>강추매물, 가격좋은 토지, 홈플인접</t>
        </is>
      </c>
      <c r="I2921" s="5">
        <f>HYPERLINK("https://fin.land.naver.com/articles/2643975473", "매물Link")</f>
        <v/>
      </c>
      <c r="J2921" s="5">
        <f>HYPERLINK("https://map.naver.com/p/search/도담동 837", "지도Link")</f>
        <v/>
      </c>
      <c r="K2921" s="5">
        <f>HYPERLINK("http://www.eum.go.kr/web/ar/lu/luLandDet.jsp?pnu=3611011400108370000&amp;isNoScr=script&amp;mode=search", "토지이음")</f>
        <v/>
      </c>
      <c r="L2921" s="3" t="inlineStr">
        <is>
          <t>사이다</t>
        </is>
      </c>
      <c r="M2921" s="3" t="n">
        <v>1</v>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3" t="inlineStr">
        <is>
          <t>도담동 위치 좋은 단독주택, 홈플러스 인근</t>
        </is>
      </c>
      <c r="I2922" s="5">
        <f>HYPERLINK("https://fin.land.naver.com/articles/2644495119", "매물Link")</f>
        <v/>
      </c>
      <c r="J2922" s="5">
        <f>HYPERLINK("https://map.naver.com/p/search/도담동 837", "지도Link")</f>
        <v/>
      </c>
      <c r="K2922" s="5">
        <f>HYPERLINK("http://www.eum.go.kr/web/ar/lu/luLandDet.jsp?pnu=3611011400108370000&amp;isNoScr=script&amp;mode=search", "토지이음")</f>
        <v/>
      </c>
      <c r="L2922" s="3" t="inlineStr">
        <is>
          <t>세종무지개</t>
        </is>
      </c>
      <c r="M2922" s="3" t="n">
        <v>1</v>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3" t="inlineStr">
        <is>
          <t>95.7p, 도담동 홈플러스인근, 단독주택 토지매매</t>
        </is>
      </c>
      <c r="I2923" s="5">
        <f>HYPERLINK("https://fin.land.naver.com/articles/2648899707", "매물Link")</f>
        <v/>
      </c>
      <c r="J2923" s="5">
        <f>HYPERLINK("https://map.naver.com/p/search/도담동 837", "지도Link")</f>
        <v/>
      </c>
      <c r="K2923" s="5">
        <f>HYPERLINK("http://www.eum.go.kr/web/ar/lu/luLandDet.jsp?pnu=3611011400108370000&amp;isNoScr=script&amp;mode=search", "토지이음")</f>
        <v/>
      </c>
      <c r="L2923" s="3" t="inlineStr">
        <is>
          <t>명진</t>
        </is>
      </c>
      <c r="M2923" s="3" t="n">
        <v>1</v>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3" t="inlineStr">
        <is>
          <t>트로아힐스 건축 가능한 토지 매매</t>
        </is>
      </c>
      <c r="I2924" s="5">
        <f>HYPERLINK("https://fin.land.naver.com/articles/2646878624", "매물Link")</f>
        <v/>
      </c>
      <c r="J2924" s="5">
        <f>HYPERLINK("https://map.naver.com/p/search/도담동 897-1", "지도Link")</f>
        <v/>
      </c>
      <c r="K2924" s="5">
        <f>HYPERLINK("http://www.eum.go.kr/web/ar/lu/luLandDet.jsp?pnu=3611011400108970001&amp;isNoScr=script&amp;mode=search", "토지이음")</f>
        <v/>
      </c>
      <c r="L2924" s="3" t="inlineStr">
        <is>
          <t>세종시티</t>
        </is>
      </c>
      <c r="M2924" s="3" t="n">
        <v>1</v>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3" t="inlineStr">
        <is>
          <t>세종 고급 타운하우스 선호 필지 매매</t>
        </is>
      </c>
      <c r="I2925" s="5">
        <f>HYPERLINK("https://fin.land.naver.com/articles/2646878471", "매물Link")</f>
        <v/>
      </c>
      <c r="J2925" s="5">
        <f>HYPERLINK("https://map.naver.com/p/search/도담동 897-18", "지도Link")</f>
        <v/>
      </c>
      <c r="K2925" s="5">
        <f>HYPERLINK("http://www.eum.go.kr/web/ar/lu/luLandDet.jsp?pnu=3611011400108970018&amp;isNoScr=script&amp;mode=search", "토지이음")</f>
        <v/>
      </c>
      <c r="L2925" s="3" t="inlineStr">
        <is>
          <t>세종시티</t>
        </is>
      </c>
      <c r="M2925" s="3" t="n">
        <v>1</v>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3" t="inlineStr">
        <is>
          <t>세종 도담동 고급 전원주택 단지 앞이 트여 있어 좋아요.</t>
        </is>
      </c>
      <c r="I2926" s="5">
        <f>HYPERLINK("https://fin.land.naver.com/articles/2649482553", "매물Link")</f>
        <v/>
      </c>
      <c r="J2926" s="5">
        <f>HYPERLINK("https://map.naver.com/p/search/도담동 897-20", "지도Link")</f>
        <v/>
      </c>
      <c r="K2926" s="5">
        <f>HYPERLINK("http://www.eum.go.kr/web/ar/lu/luLandDet.jsp?pnu=3611011400108970020&amp;isNoScr=script&amp;mode=search", "토지이음")</f>
        <v/>
      </c>
      <c r="L2926" s="3" t="inlineStr">
        <is>
          <t>세종조이</t>
        </is>
      </c>
      <c r="M2926" s="3" t="n">
        <v>1</v>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3" t="inlineStr">
        <is>
          <t>nan</t>
        </is>
      </c>
      <c r="I2927" s="5">
        <f>HYPERLINK("https://fin.land.naver.com/articles/2647125724", "매물Link")</f>
        <v/>
      </c>
      <c r="J2927" s="5">
        <f>HYPERLINK("https://map.naver.com/p/search/도담동 897-24", "지도Link")</f>
        <v/>
      </c>
      <c r="K2927" s="5">
        <f>HYPERLINK("http://www.eum.go.kr/web/ar/lu/luLandDet.jsp?pnu=3611011400108970024&amp;isNoScr=script&amp;mode=search", "토지이음")</f>
        <v/>
      </c>
      <c r="L2927" s="3" t="inlineStr">
        <is>
          <t>세종스타</t>
        </is>
      </c>
      <c r="M2927" s="3" t="n">
        <v>2</v>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3" t="inlineStr">
        <is>
          <t>반곡동D3 소형 건폐율50 가격조율 협의가능</t>
        </is>
      </c>
      <c r="I2928" s="5">
        <f>HYPERLINK("https://fin.land.naver.com/articles/2645721284", "매물Link")</f>
        <v/>
      </c>
      <c r="J2928" s="5">
        <f>HYPERLINK("https://map.naver.com/p/search/반곡동 1003", "지도Link")</f>
        <v/>
      </c>
      <c r="K2928" s="5">
        <f>HYPERLINK("http://www.eum.go.kr/web/ar/lu/luLandDet.jsp?pnu=3611010100110030000&amp;isNoScr=script&amp;mode=search", "토지이음")</f>
        <v/>
      </c>
      <c r="L2928" s="3" t="inlineStr">
        <is>
          <t>세종스타</t>
        </is>
      </c>
      <c r="M2928" s="3" t="n">
        <v>2</v>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3" t="inlineStr">
        <is>
          <t>조율가능 코너각지 소형 건폐율50프로</t>
        </is>
      </c>
      <c r="I2929" s="5">
        <f>HYPERLINK("https://fin.land.naver.com/articles/2643971878", "매물Link")</f>
        <v/>
      </c>
      <c r="J2929" s="5">
        <f>HYPERLINK("https://map.naver.com/p/search/반곡동 1005", "지도Link")</f>
        <v/>
      </c>
      <c r="K2929" s="5">
        <f>HYPERLINK("http://www.eum.go.kr/web/ar/lu/luLandDet.jsp?pnu=3611010100110050000&amp;isNoScr=script&amp;mode=search", "토지이음")</f>
        <v/>
      </c>
      <c r="L2929" s="3" t="inlineStr">
        <is>
          <t>세종스타</t>
        </is>
      </c>
      <c r="M2929" s="3" t="n">
        <v>1</v>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3" t="inlineStr">
        <is>
          <t>급매 KDI옆 반곡동D2 넓은평수 144.71p</t>
        </is>
      </c>
      <c r="I2930" s="5">
        <f>HYPERLINK("https://fin.land.naver.com/articles/2649626883", "매물Link")</f>
        <v/>
      </c>
      <c r="J2930" s="5">
        <f>HYPERLINK("https://map.naver.com/p/search/반곡동 1061", "지도Link")</f>
        <v/>
      </c>
      <c r="K2930" s="5">
        <f>HYPERLINK("http://www.eum.go.kr/web/ar/lu/luLandDet.jsp?pnu=3611010100110610000&amp;isNoScr=script&amp;mode=search", "토지이음")</f>
        <v/>
      </c>
      <c r="L2930" s="3" t="inlineStr">
        <is>
          <t>세종스타</t>
        </is>
      </c>
      <c r="M2930" s="3" t="n">
        <v>1</v>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3" t="inlineStr">
        <is>
          <t>반곡동 토지매매, 대형평형</t>
        </is>
      </c>
      <c r="I2931" s="5">
        <f>HYPERLINK("https://fin.land.naver.com/articles/2649001111", "매물Link")</f>
        <v/>
      </c>
      <c r="J2931" s="5">
        <f>HYPERLINK("https://map.naver.com/p/search/반곡동 1061", "지도Link")</f>
        <v/>
      </c>
      <c r="K2931" s="5">
        <f>HYPERLINK("http://www.eum.go.kr/web/ar/lu/luLandDet.jsp?pnu=3611010100110610000&amp;isNoScr=script&amp;mode=search", "토지이음")</f>
        <v/>
      </c>
      <c r="L2931" s="3" t="inlineStr">
        <is>
          <t>세종무지개</t>
        </is>
      </c>
      <c r="M2931" s="3" t="n">
        <v>1</v>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3" t="inlineStr">
        <is>
          <t>적극조율가능 공원앞 코너각지 135p</t>
        </is>
      </c>
      <c r="I2932" s="5">
        <f>HYPERLINK("https://fin.land.naver.com/articles/2648758746", "매물Link")</f>
        <v/>
      </c>
      <c r="J2932" s="5">
        <f>HYPERLINK("https://map.naver.com/p/search/반곡동 1077", "지도Link")</f>
        <v/>
      </c>
      <c r="K2932" s="5">
        <f>HYPERLINK("http://www.eum.go.kr/web/ar/lu/luLandDet.jsp?pnu=3611010100110770000&amp;isNoScr=script&amp;mode=search", "토지이음")</f>
        <v/>
      </c>
      <c r="L2932" s="3" t="inlineStr">
        <is>
          <t>세종스타</t>
        </is>
      </c>
      <c r="M2932" s="3" t="n">
        <v>2</v>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3" t="inlineStr">
        <is>
          <t>135p, 넓은 단독주택 토지매매, 공원앞, 입지 굿</t>
        </is>
      </c>
      <c r="I2933" s="5">
        <f>HYPERLINK("https://fin.land.naver.com/articles/2647421791", "매물Link")</f>
        <v/>
      </c>
      <c r="J2933" s="5">
        <f>HYPERLINK("https://map.naver.com/p/search/반곡동 1077", "지도Link")</f>
        <v/>
      </c>
      <c r="K2933" s="5">
        <f>HYPERLINK("http://www.eum.go.kr/web/ar/lu/luLandDet.jsp?pnu=3611010100110770000&amp;isNoScr=script&amp;mode=search", "토지이음")</f>
        <v/>
      </c>
      <c r="L2933" s="3" t="inlineStr">
        <is>
          <t>명진</t>
        </is>
      </c>
      <c r="M2933" s="3" t="n">
        <v>1</v>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3" t="inlineStr">
        <is>
          <t>공원 앞, 사거리 코너 각지 위치, 입지 좋은 토지</t>
        </is>
      </c>
      <c r="I2934" s="5">
        <f>HYPERLINK("https://fin.land.naver.com/articles/2647427000", "매물Link")</f>
        <v/>
      </c>
      <c r="J2934" s="5">
        <f>HYPERLINK("https://map.naver.com/p/search/반곡동 1077", "지도Link")</f>
        <v/>
      </c>
      <c r="K2934" s="5">
        <f>HYPERLINK("http://www.eum.go.kr/web/ar/lu/luLandDet.jsp?pnu=3611010100110770000&amp;isNoScr=script&amp;mode=search", "토지이음")</f>
        <v/>
      </c>
      <c r="L2934" s="3" t="inlineStr">
        <is>
          <t>세종무지개</t>
        </is>
      </c>
      <c r="M2934" s="3" t="n">
        <v>1</v>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3" t="inlineStr">
        <is>
          <t>nan</t>
        </is>
      </c>
      <c r="I2935" s="5">
        <f>HYPERLINK("https://fin.land.naver.com/articles/2647198872", "매물Link")</f>
        <v/>
      </c>
      <c r="J2935" s="5">
        <f>HYPERLINK("https://map.naver.com/p/search/반곡동 1090", "지도Link")</f>
        <v/>
      </c>
      <c r="K2935" s="5">
        <f>HYPERLINK("http://www.eum.go.kr/web/ar/lu/luLandDet.jsp?pnu=3611010100110900000&amp;isNoScr=script&amp;mode=search", "토지이음")</f>
        <v/>
      </c>
      <c r="L2935" s="3" t="inlineStr">
        <is>
          <t>디아트성심</t>
        </is>
      </c>
      <c r="M2935" s="3" t="n">
        <v>1</v>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3" t="inlineStr">
        <is>
          <t>nan</t>
        </is>
      </c>
      <c r="I2936" s="5">
        <f>HYPERLINK("https://fin.land.naver.com/articles/2647198918", "매물Link")</f>
        <v/>
      </c>
      <c r="J2936" s="5">
        <f>HYPERLINK("https://map.naver.com/p/search/반곡동 1096", "지도Link")</f>
        <v/>
      </c>
      <c r="K2936" s="5">
        <f>HYPERLINK("http://www.eum.go.kr/web/ar/lu/luLandDet.jsp?pnu=3611010100110960000&amp;isNoScr=script&amp;mode=search", "토지이음")</f>
        <v/>
      </c>
      <c r="L2936" s="3" t="inlineStr">
        <is>
          <t>디아트성심</t>
        </is>
      </c>
      <c r="M2936" s="3" t="n">
        <v>1</v>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3" t="inlineStr">
        <is>
          <t>삼거리 코너, 위치 좋은 반곡동 토지매매</t>
        </is>
      </c>
      <c r="I2937" s="5">
        <f>HYPERLINK("https://fin.land.naver.com/articles/2648999169", "매물Link")</f>
        <v/>
      </c>
      <c r="J2937" s="5">
        <f>HYPERLINK("https://map.naver.com/p/search/반곡동 1107", "지도Link")</f>
        <v/>
      </c>
      <c r="K2937" s="5">
        <f>HYPERLINK("http://www.eum.go.kr/web/ar/lu/luLandDet.jsp?pnu=3611010100111070000&amp;isNoScr=script&amp;mode=search", "토지이음")</f>
        <v/>
      </c>
      <c r="L2937" s="3" t="inlineStr">
        <is>
          <t>세종무지개</t>
        </is>
      </c>
      <c r="M2937" s="3" t="n">
        <v>1</v>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3" t="inlineStr">
        <is>
          <t>급매 코너각지 132p 추가조율가능</t>
        </is>
      </c>
      <c r="I2938" s="5">
        <f>HYPERLINK("https://fin.land.naver.com/articles/2649805637", "매물Link")</f>
        <v/>
      </c>
      <c r="J2938" s="5">
        <f>HYPERLINK("https://map.naver.com/p/search/반곡동 1107", "지도Link")</f>
        <v/>
      </c>
      <c r="K2938" s="5">
        <f>HYPERLINK("http://www.eum.go.kr/web/ar/lu/luLandDet.jsp?pnu=3611010100111070000&amp;isNoScr=script&amp;mode=search", "토지이음")</f>
        <v/>
      </c>
      <c r="L2938" s="3" t="inlineStr">
        <is>
          <t>세종스타</t>
        </is>
      </c>
      <c r="M2938" s="3" t="n">
        <v>1</v>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3" t="inlineStr">
        <is>
          <t>상가주택용 토지,설계도면무료제공</t>
        </is>
      </c>
      <c r="I2939" s="5">
        <f>HYPERLINK("https://fin.land.naver.com/articles/2646878203", "매물Link")</f>
        <v/>
      </c>
      <c r="J2939" s="5">
        <f>HYPERLINK("https://map.naver.com/p/search/반곡동 1129", "지도Link")</f>
        <v/>
      </c>
      <c r="K2939" s="5">
        <f>HYPERLINK("http://www.eum.go.kr/web/ar/lu/luLandDet.jsp?pnu=3611010100111290000&amp;isNoScr=script&amp;mode=search", "토지이음")</f>
        <v/>
      </c>
      <c r="L2939" s="3" t="inlineStr">
        <is>
          <t>세종시티</t>
        </is>
      </c>
      <c r="M2939" s="3" t="n">
        <v>1</v>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3" t="inlineStr">
        <is>
          <t>상가주택지매매, 협의가능, 설계도면제공원할시.
자세한건 사무실로 연락~</t>
        </is>
      </c>
      <c r="I2940" s="5">
        <f>HYPERLINK("https://fin.land.naver.com/articles/2646878289", "매물Link")</f>
        <v/>
      </c>
      <c r="J2940" s="5">
        <f>HYPERLINK("https://map.naver.com/p/search/반곡동 1130", "지도Link")</f>
        <v/>
      </c>
      <c r="K2940" s="5">
        <f>HYPERLINK("http://www.eum.go.kr/web/ar/lu/luLandDet.jsp?pnu=3611010100111300000&amp;isNoScr=script&amp;mode=search", "토지이음")</f>
        <v/>
      </c>
      <c r="L2940" s="3" t="inlineStr">
        <is>
          <t>세종시티</t>
        </is>
      </c>
      <c r="M2940" s="3" t="n">
        <v>1</v>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3" t="inlineStr">
        <is>
          <t>명성공인, 전용186.64, 근생용지 추천 매물</t>
        </is>
      </c>
      <c r="I2941" s="5">
        <f>HYPERLINK("https://fin.land.naver.com/articles/2646317246", "매물Link")</f>
        <v/>
      </c>
      <c r="J2941" s="5">
        <f>HYPERLINK("https://map.naver.com/p/search/반곡동 1156", "지도Link")</f>
        <v/>
      </c>
      <c r="K2941" s="5">
        <f>HYPERLINK("http://www.eum.go.kr/web/ar/lu/luLandDet.jsp?pnu=3611010100111560000&amp;isNoScr=script&amp;mode=search", "토지이음")</f>
        <v/>
      </c>
      <c r="L2941" s="3" t="inlineStr">
        <is>
          <t>명성</t>
        </is>
      </c>
      <c r="M2941" s="3" t="n">
        <v>1</v>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3" t="inlineStr">
        <is>
          <t>nan</t>
        </is>
      </c>
      <c r="I2942" s="5">
        <f>HYPERLINK("https://fin.land.naver.com/articles/2644433409", "매물Link")</f>
        <v/>
      </c>
      <c r="J2942" s="5">
        <f>HYPERLINK("https://map.naver.com/p/search/반곡동 1156", "지도Link")</f>
        <v/>
      </c>
      <c r="K2942" s="5">
        <f>HYPERLINK("http://www.eum.go.kr/web/ar/lu/luLandDet.jsp?pnu=3611010100111560000&amp;isNoScr=script&amp;mode=search", "토지이음")</f>
        <v/>
      </c>
      <c r="L2942" s="3" t="inlineStr">
        <is>
          <t>국제</t>
        </is>
      </c>
      <c r="M2942" s="3" t="n">
        <v>2</v>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3" t="inlineStr">
        <is>
          <t>초등학교 인접, 반곡동 토지매매, 지대 높음</t>
        </is>
      </c>
      <c r="I2943" s="5">
        <f>HYPERLINK("https://fin.land.naver.com/articles/2648994826", "매물Link")</f>
        <v/>
      </c>
      <c r="J2943" s="5">
        <f>HYPERLINK("https://map.naver.com/p/search/반곡동 901", "지도Link")</f>
        <v/>
      </c>
      <c r="K2943" s="5">
        <f>HYPERLINK("http://www.eum.go.kr/web/ar/lu/luLandDet.jsp?pnu=3611010100109010000&amp;isNoScr=script&amp;mode=search", "토지이음")</f>
        <v/>
      </c>
      <c r="L2943" s="3" t="inlineStr">
        <is>
          <t>세종무지개</t>
        </is>
      </c>
      <c r="M2943" s="3" t="n">
        <v>1</v>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3" t="inlineStr">
        <is>
          <t>지대높고 옆조망 뒷조망 잘나오는곳 초등학교 인접 BRT 인접</t>
        </is>
      </c>
      <c r="I2944" s="5">
        <f>HYPERLINK("https://fin.land.naver.com/articles/2648716234", "매물Link")</f>
        <v/>
      </c>
      <c r="J2944" s="5">
        <f>HYPERLINK("https://map.naver.com/p/search/반곡동 901", "지도Link")</f>
        <v/>
      </c>
      <c r="K2944" s="5">
        <f>HYPERLINK("http://www.eum.go.kr/web/ar/lu/luLandDet.jsp?pnu=3611010100109010000&amp;isNoScr=script&amp;mode=search", "토지이음")</f>
        <v/>
      </c>
      <c r="L2944" s="3" t="inlineStr">
        <is>
          <t>세종스타</t>
        </is>
      </c>
      <c r="M2944" s="3" t="n">
        <v>1</v>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3" t="inlineStr">
        <is>
          <t>3면코너 시유지접함 위치최상</t>
        </is>
      </c>
      <c r="I2945" s="5">
        <f>HYPERLINK("https://fin.land.naver.com/articles/2649625832", "매물Link")</f>
        <v/>
      </c>
      <c r="J2945" s="5">
        <f>HYPERLINK("https://map.naver.com/p/search/반곡동 908", "지도Link")</f>
        <v/>
      </c>
      <c r="K2945" s="5">
        <f>HYPERLINK("http://www.eum.go.kr/web/ar/lu/luLandDet.jsp?pnu=3611010100109080000&amp;isNoScr=script&amp;mode=search", "토지이음")</f>
        <v/>
      </c>
      <c r="L2945" s="3" t="inlineStr">
        <is>
          <t>세종스타</t>
        </is>
      </c>
      <c r="M2945" s="3" t="n">
        <v>1</v>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3" t="inlineStr">
        <is>
          <t>사거리 코너입지, 시유지 접한 위치 좋은 토지</t>
        </is>
      </c>
      <c r="I2946" s="5">
        <f>HYPERLINK("https://fin.land.naver.com/articles/2648970718", "매물Link")</f>
        <v/>
      </c>
      <c r="J2946" s="5">
        <f>HYPERLINK("https://map.naver.com/p/search/반곡동 908", "지도Link")</f>
        <v/>
      </c>
      <c r="K2946" s="5">
        <f>HYPERLINK("http://www.eum.go.kr/web/ar/lu/luLandDet.jsp?pnu=3611010100109080000&amp;isNoScr=script&amp;mode=search", "토지이음")</f>
        <v/>
      </c>
      <c r="L2946" s="3" t="inlineStr">
        <is>
          <t>세종무지개</t>
        </is>
      </c>
      <c r="M2946" s="3" t="n">
        <v>1</v>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3" t="inlineStr">
        <is>
          <t>괴화산과 공지 품은 힐링되는 귀한 반곡동 단독주택 필지</t>
        </is>
      </c>
      <c r="I2947" s="5">
        <f>HYPERLINK("https://fin.land.naver.com/articles/2644754204", "매물Link")</f>
        <v/>
      </c>
      <c r="J2947" s="5">
        <f>HYPERLINK("https://map.naver.com/p/search/반곡동 913", "지도Link")</f>
        <v/>
      </c>
      <c r="K2947" s="5">
        <f>HYPERLINK("http://www.eum.go.kr/web/ar/lu/luLandDet.jsp?pnu=3611010100109130000&amp;isNoScr=script&amp;mode=search", "토지이음")</f>
        <v/>
      </c>
      <c r="L2947" s="3" t="inlineStr">
        <is>
          <t>세종신한</t>
        </is>
      </c>
      <c r="M2947" s="3" t="n">
        <v>1</v>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3" t="inlineStr">
        <is>
          <t>산접한곳 숲유치원 초등학교 인근</t>
        </is>
      </c>
      <c r="I2948" s="5">
        <f>HYPERLINK("https://fin.land.naver.com/articles/2649626129", "매물Link")</f>
        <v/>
      </c>
      <c r="J2948" s="5">
        <f>HYPERLINK("https://map.naver.com/p/search/반곡동 915", "지도Link")</f>
        <v/>
      </c>
      <c r="K2948" s="5">
        <f>HYPERLINK("http://www.eum.go.kr/web/ar/lu/luLandDet.jsp?pnu=3611010100109150000&amp;isNoScr=script&amp;mode=search", "토지이음")</f>
        <v/>
      </c>
      <c r="L2948" s="3" t="inlineStr">
        <is>
          <t>세종스타</t>
        </is>
      </c>
      <c r="M2948" s="3" t="n">
        <v>1</v>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3" t="inlineStr">
        <is>
          <t>유치원. 초등학교 인근, 조용한 입지 토지</t>
        </is>
      </c>
      <c r="I2949" s="5">
        <f>HYPERLINK("https://fin.land.naver.com/articles/2649002989", "매물Link")</f>
        <v/>
      </c>
      <c r="J2949" s="5">
        <f>HYPERLINK("https://map.naver.com/p/search/반곡동 915", "지도Link")</f>
        <v/>
      </c>
      <c r="K2949" s="5">
        <f>HYPERLINK("http://www.eum.go.kr/web/ar/lu/luLandDet.jsp?pnu=3611010100109150000&amp;isNoScr=script&amp;mode=search", "토지이음")</f>
        <v/>
      </c>
      <c r="L2949" s="3" t="inlineStr">
        <is>
          <t>세종무지개</t>
        </is>
      </c>
      <c r="M2949" s="3" t="n">
        <v>1</v>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3" t="inlineStr">
        <is>
          <t>위치좋은 지대높은 토지, 97.2p, 시유지 40p 사용가능</t>
        </is>
      </c>
      <c r="I2950" s="5">
        <f>HYPERLINK("https://fin.land.naver.com/articles/2645253146", "매물Link")</f>
        <v/>
      </c>
      <c r="J2950" s="5">
        <f>HYPERLINK("https://map.naver.com/p/search/반곡동 932", "지도Link")</f>
        <v/>
      </c>
      <c r="K2950" s="5">
        <f>HYPERLINK("http://www.eum.go.kr/web/ar/lu/luLandDet.jsp?pnu=3611010100109320000&amp;isNoScr=script&amp;mode=search", "토지이음")</f>
        <v/>
      </c>
      <c r="L2950" s="3" t="inlineStr">
        <is>
          <t>세종무지개</t>
        </is>
      </c>
      <c r="M2950" s="3" t="n">
        <v>1</v>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3" t="inlineStr">
        <is>
          <t>시유지접한 코너각지 조용한위치 조율가능</t>
        </is>
      </c>
      <c r="I2951" s="5">
        <f>HYPERLINK("https://fin.land.naver.com/articles/2644917557", "매물Link")</f>
        <v/>
      </c>
      <c r="J2951" s="5">
        <f>HYPERLINK("https://map.naver.com/p/search/반곡동 932", "지도Link")</f>
        <v/>
      </c>
      <c r="K2951" s="5">
        <f>HYPERLINK("http://www.eum.go.kr/web/ar/lu/luLandDet.jsp?pnu=3611010100109320000&amp;isNoScr=script&amp;mode=search", "토지이음")</f>
        <v/>
      </c>
      <c r="L2951" s="3" t="inlineStr">
        <is>
          <t>세종스타</t>
        </is>
      </c>
      <c r="M2951" s="3" t="n">
        <v>1</v>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3" t="inlineStr">
        <is>
          <t>실개천옆 벙커주차장 설계가능 적극조율 협의가능</t>
        </is>
      </c>
      <c r="I2952" s="5">
        <f>HYPERLINK("https://fin.land.naver.com/articles/2649625471", "매물Link")</f>
        <v/>
      </c>
      <c r="J2952" s="5">
        <f>HYPERLINK("https://map.naver.com/p/search/반곡동 943", "지도Link")</f>
        <v/>
      </c>
      <c r="K2952" s="5">
        <f>HYPERLINK("http://www.eum.go.kr/web/ar/lu/luLandDet.jsp?pnu=3611010100109430000&amp;isNoScr=script&amp;mode=search", "토지이음")</f>
        <v/>
      </c>
      <c r="L2952" s="3" t="inlineStr">
        <is>
          <t>세종스타</t>
        </is>
      </c>
      <c r="M2952" s="3" t="n">
        <v>1</v>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3" t="inlineStr">
        <is>
          <t>조율가능, 벙커주차장가능, 반곡동 토지매매</t>
        </is>
      </c>
      <c r="I2953" s="5">
        <f>HYPERLINK("https://fin.land.naver.com/articles/2648987702", "매물Link")</f>
        <v/>
      </c>
      <c r="J2953" s="5">
        <f>HYPERLINK("https://map.naver.com/p/search/반곡동 943", "지도Link")</f>
        <v/>
      </c>
      <c r="K2953" s="5">
        <f>HYPERLINK("http://www.eum.go.kr/web/ar/lu/luLandDet.jsp?pnu=3611010100109430000&amp;isNoScr=script&amp;mode=search", "토지이음")</f>
        <v/>
      </c>
      <c r="L2953" s="3" t="inlineStr">
        <is>
          <t>세종무지개</t>
        </is>
      </c>
      <c r="M2953" s="3" t="n">
        <v>1</v>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3" t="inlineStr">
        <is>
          <t>조율가능 산조망 조용한곳 땅모양 네모반듯</t>
        </is>
      </c>
      <c r="I2954" s="5">
        <f>HYPERLINK("https://fin.land.naver.com/articles/2643971813", "매물Link")</f>
        <v/>
      </c>
      <c r="J2954" s="5">
        <f>HYPERLINK("https://map.naver.com/p/search/반곡동 947", "지도Link")</f>
        <v/>
      </c>
      <c r="K2954" s="5">
        <f>HYPERLINK("http://www.eum.go.kr/web/ar/lu/luLandDet.jsp?pnu=3611010100109470000&amp;isNoScr=script&amp;mode=search", "토지이음")</f>
        <v/>
      </c>
      <c r="L2954" s="3" t="inlineStr">
        <is>
          <t>세종스타</t>
        </is>
      </c>
      <c r="M2954" s="3" t="n">
        <v>1</v>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3" t="inlineStr">
        <is>
          <t>추가조율가능 벙커주차장가능 지대높고 개인사생활최상</t>
        </is>
      </c>
      <c r="I2955" s="5">
        <f>HYPERLINK("https://fin.land.naver.com/articles/2644482988", "매물Link")</f>
        <v/>
      </c>
      <c r="J2955" s="5">
        <f>HYPERLINK("https://map.naver.com/p/search/반곡동 959", "지도Link")</f>
        <v/>
      </c>
      <c r="K2955" s="5">
        <f>HYPERLINK("http://www.eum.go.kr/web/ar/lu/luLandDet.jsp?pnu=3611010100109590000&amp;isNoScr=script&amp;mode=search", "토지이음")</f>
        <v/>
      </c>
      <c r="L2955" s="3" t="inlineStr">
        <is>
          <t>세종스타</t>
        </is>
      </c>
      <c r="M2955" s="3" t="n">
        <v>1</v>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3" t="inlineStr">
        <is>
          <t>산접한곳 벙커주차장가능 남향보행로접 조율가능</t>
        </is>
      </c>
      <c r="I2956" s="5">
        <f>HYPERLINK("https://fin.land.naver.com/articles/2648979040", "매물Link")</f>
        <v/>
      </c>
      <c r="J2956" s="5">
        <f>HYPERLINK("https://map.naver.com/p/search/반곡동 962", "지도Link")</f>
        <v/>
      </c>
      <c r="K2956" s="5">
        <f>HYPERLINK("http://www.eum.go.kr/web/ar/lu/luLandDet.jsp?pnu=3611010100109620000&amp;isNoScr=script&amp;mode=search", "토지이음")</f>
        <v/>
      </c>
      <c r="L2956" s="3" t="inlineStr">
        <is>
          <t>세종스타</t>
        </is>
      </c>
      <c r="M2956" s="3" t="n">
        <v>2</v>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3" t="inlineStr">
        <is>
          <t>넓은평수,넓은지하주차장가능,고급 단독주택지,조율가</t>
        </is>
      </c>
      <c r="I2957" s="5">
        <f>HYPERLINK("https://fin.land.naver.com/articles/2646878072", "매물Link")</f>
        <v/>
      </c>
      <c r="J2957" s="5">
        <f>HYPERLINK("https://map.naver.com/p/search/반곡동 963", "지도Link")</f>
        <v/>
      </c>
      <c r="K2957" s="5">
        <f>HYPERLINK("http://www.eum.go.kr/web/ar/lu/luLandDet.jsp?pnu=3611010100109630000&amp;isNoScr=script&amp;mode=search", "토지이음")</f>
        <v/>
      </c>
      <c r="L2957" s="3" t="inlineStr">
        <is>
          <t>세종시티</t>
        </is>
      </c>
      <c r="M2957" s="3" t="n">
        <v>1</v>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3" t="inlineStr">
        <is>
          <t>반곡동 위치 좋은 단독주택, 코너입지</t>
        </is>
      </c>
      <c r="I2958" s="5">
        <f>HYPERLINK("https://fin.land.naver.com/articles/2648962092", "매물Link")</f>
        <v/>
      </c>
      <c r="J2958" s="5">
        <f>HYPERLINK("https://map.naver.com/p/search/반곡동 979", "지도Link")</f>
        <v/>
      </c>
      <c r="K2958" s="5">
        <f>HYPERLINK("http://www.eum.go.kr/web/ar/lu/luLandDet.jsp?pnu=3611010100109790000&amp;isNoScr=script&amp;mode=search", "토지이음")</f>
        <v/>
      </c>
      <c r="L2958" s="3" t="inlineStr">
        <is>
          <t>세종무지개</t>
        </is>
      </c>
      <c r="M2958" s="3" t="n">
        <v>1</v>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3" t="inlineStr">
        <is>
          <t>급매 3면코너 최고위치 조율협의가능</t>
        </is>
      </c>
      <c r="I2959" s="5">
        <f>HYPERLINK("https://fin.land.naver.com/articles/2649625260", "매물Link")</f>
        <v/>
      </c>
      <c r="J2959" s="5">
        <f>HYPERLINK("https://map.naver.com/p/search/반곡동 979", "지도Link")</f>
        <v/>
      </c>
      <c r="K2959" s="5">
        <f>HYPERLINK("http://www.eum.go.kr/web/ar/lu/luLandDet.jsp?pnu=3611010100109790000&amp;isNoScr=script&amp;mode=search", "토지이음")</f>
        <v/>
      </c>
      <c r="L2959" s="3" t="inlineStr">
        <is>
          <t>세종스타</t>
        </is>
      </c>
      <c r="M2959" s="3" t="n">
        <v>1</v>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3" t="inlineStr">
        <is>
          <t>갈산리 대도로접한 토지 매매, 세차장,타이어판매점,음식점 추천</t>
        </is>
      </c>
      <c r="I2960" s="5">
        <f>HYPERLINK("https://fin.land.naver.com/articles/2644607328", "매물Link")</f>
        <v/>
      </c>
      <c r="J2960" s="5">
        <f>HYPERLINK("https://map.naver.com/p/search/부강면 갈산리 162-2", "지도Link")</f>
        <v/>
      </c>
      <c r="K2960" s="5">
        <f>HYPERLINK("http://www.eum.go.kr/web/ar/lu/luLandDet.jsp?pnu=3611033024101620002&amp;isNoScr=script&amp;mode=search", "토지이음")</f>
        <v/>
      </c>
      <c r="L2960" s="3" t="inlineStr">
        <is>
          <t>국제</t>
        </is>
      </c>
      <c r="M2960" s="3" t="n">
        <v>1</v>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3" t="inlineStr">
        <is>
          <t>대로변 위치좋은 토지</t>
        </is>
      </c>
      <c r="I2961" s="5">
        <f>HYPERLINK("https://fin.land.naver.com/articles/2644586466", "매물Link")</f>
        <v/>
      </c>
      <c r="J2961" s="5">
        <f>HYPERLINK("https://map.naver.com/p/search/부강면 갈산리 163-2", "지도Link")</f>
        <v/>
      </c>
      <c r="K2961" s="5">
        <f>HYPERLINK("http://www.eum.go.kr/web/ar/lu/luLandDet.jsp?pnu=3611033024101630002&amp;isNoScr=script&amp;mode=search", "토지이음")</f>
        <v/>
      </c>
      <c r="L2961" s="3" t="inlineStr">
        <is>
          <t>홍길동</t>
        </is>
      </c>
      <c r="M2961" s="3" t="n">
        <v>1</v>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3" t="inlineStr">
        <is>
          <t>nan</t>
        </is>
      </c>
      <c r="I2962" s="5">
        <f>HYPERLINK("https://fin.land.naver.com/articles/2644877187", "매물Link")</f>
        <v/>
      </c>
      <c r="J2962" s="5">
        <f>HYPERLINK("https://map.naver.com/p/search/부강면 갈산리 176-3", "지도Link")</f>
        <v/>
      </c>
      <c r="K2962" s="5">
        <f>HYPERLINK("http://www.eum.go.kr/web/ar/lu/luLandDet.jsp?pnu=3611033024101760003&amp;isNoScr=script&amp;mode=search", "토지이음")</f>
        <v/>
      </c>
      <c r="L2962" s="3" t="inlineStr">
        <is>
          <t>장원</t>
        </is>
      </c>
      <c r="M2962" s="3" t="n">
        <v>1</v>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3" t="inlineStr">
        <is>
          <t>2필지합, 하우스, 농막 적지, 계획관리지역, 토지매매</t>
        </is>
      </c>
      <c r="I2963" s="5">
        <f>HYPERLINK("https://fin.land.naver.com/articles/2646790714", "매물Link")</f>
        <v/>
      </c>
      <c r="J2963" s="5">
        <f>HYPERLINK("https://map.naver.com/p/search/부강면 갈산리 231-5", "지도Link")</f>
        <v/>
      </c>
      <c r="K2963" s="5">
        <f>HYPERLINK("http://www.eum.go.kr/web/ar/lu/luLandDet.jsp?pnu=3611033024102310005&amp;isNoScr=script&amp;mode=search", "토지이음")</f>
        <v/>
      </c>
      <c r="L2963" s="3" t="inlineStr">
        <is>
          <t>성공</t>
        </is>
      </c>
      <c r="M2963" s="3" t="n">
        <v>1</v>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3" t="inlineStr">
        <is>
          <t>4200 남청주ic 5분 공장용지 물류센터 창고</t>
        </is>
      </c>
      <c r="I2964" s="5">
        <f>HYPERLINK("https://fin.land.naver.com/articles/2645059549", "매물Link")</f>
        <v/>
      </c>
      <c r="J2964" s="5">
        <f>HYPERLINK("https://map.naver.com/p/search/부강면 갈산리 395", "지도Link")</f>
        <v/>
      </c>
      <c r="K2964" s="5">
        <f>HYPERLINK("http://www.eum.go.kr/web/ar/lu/luLandDet.jsp?pnu=3611033024103950000&amp;isNoScr=script&amp;mode=search", "토지이음")</f>
        <v/>
      </c>
      <c r="L2964" s="3" t="inlineStr">
        <is>
          <t>반포더드림</t>
        </is>
      </c>
      <c r="M2964" s="3" t="n">
        <v>1</v>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3" t="inlineStr">
        <is>
          <t>남청주 ic 5분, 2차선에서 진입가능한 공장부지</t>
        </is>
      </c>
      <c r="I2965" s="5">
        <f>HYPERLINK("https://fin.land.naver.com/articles/2649865459", "매물Link")</f>
        <v/>
      </c>
      <c r="J2965" s="5">
        <f>HYPERLINK("https://map.naver.com/p/search/부강면 갈산리 395", "지도Link")</f>
        <v/>
      </c>
      <c r="K2965" s="5">
        <f>HYPERLINK("http://www.eum.go.kr/web/ar/lu/luLandDet.jsp?pnu=3611033024103950000&amp;isNoScr=script&amp;mode=search", "토지이음")</f>
        <v/>
      </c>
      <c r="L2965" s="3" t="inlineStr">
        <is>
          <t>토담</t>
        </is>
      </c>
      <c r="M2965" s="3" t="n">
        <v>1</v>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3" t="inlineStr">
        <is>
          <t>nan</t>
        </is>
      </c>
      <c r="I2966" s="5">
        <f>HYPERLINK("https://fin.land.naver.com/articles/2646264083", "매물Link")</f>
        <v/>
      </c>
      <c r="J2966" s="5">
        <f>HYPERLINK("https://map.naver.com/p/search/부강면 갈산리 398-4", "지도Link")</f>
        <v/>
      </c>
      <c r="K2966" s="5">
        <f>HYPERLINK("http://www.eum.go.kr/web/ar/lu/luLandDet.jsp?pnu=3611033024103980004&amp;isNoScr=script&amp;mode=search", "토지이음")</f>
        <v/>
      </c>
      <c r="L2966" s="3" t="inlineStr">
        <is>
          <t>오너스</t>
        </is>
      </c>
      <c r="M2966" s="3" t="n">
        <v>1</v>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3" t="inlineStr">
        <is>
          <t>세종시 부강의 농업보호구역 농지 매매</t>
        </is>
      </c>
      <c r="I2967" s="5">
        <f>HYPERLINK("https://fin.land.naver.com/articles/2648835409", "매물Link")</f>
        <v/>
      </c>
      <c r="J2967" s="5">
        <f>HYPERLINK("https://map.naver.com/p/search/부강면 갈산리 451-2", "지도Link")</f>
        <v/>
      </c>
      <c r="K2967" s="5">
        <f>HYPERLINK("http://www.eum.go.kr/web/ar/lu/luLandDet.jsp?pnu=3611033024104510002&amp;isNoScr=script&amp;mode=search", "토지이음")</f>
        <v/>
      </c>
      <c r="L2967" s="3" t="inlineStr">
        <is>
          <t>대하</t>
        </is>
      </c>
      <c r="M2967" s="3" t="n">
        <v>1</v>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3" t="inlineStr">
        <is>
          <t>투자전망밝고 시세보다 매우 저렴한 물건</t>
        </is>
      </c>
      <c r="I2968" s="5">
        <f>HYPERLINK("https://fin.land.naver.com/articles/2644040968", "매물Link")</f>
        <v/>
      </c>
      <c r="J2968" s="5">
        <f>HYPERLINK("https://map.naver.com/p/search/부강면 갈산리 85", "지도Link")</f>
        <v/>
      </c>
      <c r="K2968" s="5">
        <f>HYPERLINK("http://www.eum.go.kr/web/ar/lu/luLandDet.jsp?pnu=3611033024100850000&amp;isNoScr=script&amp;mode=search", "토지이음")</f>
        <v/>
      </c>
      <c r="L2968" s="3" t="inlineStr">
        <is>
          <t>SK</t>
        </is>
      </c>
      <c r="M2968" s="3" t="n">
        <v>1</v>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3" t="inlineStr">
        <is>
          <t>6m도로 확보, 갈산교차로 인접, 도로변 광고효과</t>
        </is>
      </c>
      <c r="I2969" s="5">
        <f>HYPERLINK("https://fin.land.naver.com/articles/2647676820", "매물Link")</f>
        <v/>
      </c>
      <c r="J2969" s="5">
        <f>HYPERLINK("https://map.naver.com/p/search/부강면 갈산리 산18-1", "지도Link")</f>
        <v/>
      </c>
      <c r="K2969" s="5">
        <f>HYPERLINK("http://www.eum.go.kr/web/ar/lu/luLandDet.jsp?pnu=3611033024200180001&amp;isNoScr=script&amp;mode=search", "토지이음")</f>
        <v/>
      </c>
      <c r="L2969" s="3" t="inlineStr">
        <is>
          <t>황제</t>
        </is>
      </c>
      <c r="M2969" s="3" t="n">
        <v>1</v>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3" t="inlineStr">
        <is>
          <t>계획관리 공장부지  분할매매 가능</t>
        </is>
      </c>
      <c r="I2970" s="5">
        <f>HYPERLINK("https://fin.land.naver.com/articles/2644857538", "매물Link")</f>
        <v/>
      </c>
      <c r="J2970" s="5">
        <f>HYPERLINK("https://map.naver.com/p/search/부강면 갈산리 산18-8", "지도Link")</f>
        <v/>
      </c>
      <c r="K2970" s="5">
        <f>HYPERLINK("http://www.eum.go.kr/web/ar/lu/luLandDet.jsp?pnu=3611033024200180008&amp;isNoScr=script&amp;mode=search", "토지이음")</f>
        <v/>
      </c>
      <c r="L2970" s="3" t="inlineStr">
        <is>
          <t>세종로또</t>
        </is>
      </c>
      <c r="M2970" s="3" t="n">
        <v>1</v>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3" t="inlineStr">
        <is>
          <t>nan</t>
        </is>
      </c>
      <c r="I2971" s="5">
        <f>HYPERLINK("https://fin.land.naver.com/articles/2649462827", "매물Link")</f>
        <v/>
      </c>
      <c r="J2971" s="5">
        <f>HYPERLINK("https://map.naver.com/p/search/부강면 금호리 100", "지도Link")</f>
        <v/>
      </c>
      <c r="K2971" s="5">
        <f>HYPERLINK("http://www.eum.go.kr/web/ar/lu/luLandDet.jsp?pnu=3611033028101000000&amp;isNoScr=script&amp;mode=search", "토지이음")</f>
        <v/>
      </c>
      <c r="L2971" s="3" t="inlineStr">
        <is>
          <t>이레</t>
        </is>
      </c>
      <c r="M2971" s="3" t="n">
        <v>1</v>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3" t="inlineStr">
        <is>
          <t>금강 뷰 전망 최고 둘레길 주변 전원주택 조성중</t>
        </is>
      </c>
      <c r="I2972" s="5">
        <f>HYPERLINK("https://fin.land.naver.com/articles/2649144441", "매물Link")</f>
        <v/>
      </c>
      <c r="J2972" s="5">
        <f>HYPERLINK("https://map.naver.com/p/search/부강면 금호리 108", "지도Link")</f>
        <v/>
      </c>
      <c r="K2972" s="5">
        <f>HYPERLINK("http://www.eum.go.kr/web/ar/lu/luLandDet.jsp?pnu=3611033028101080000&amp;isNoScr=script&amp;mode=search", "토지이음")</f>
        <v/>
      </c>
      <c r="L2972" s="3" t="inlineStr">
        <is>
          <t>광장(프라자)</t>
        </is>
      </c>
      <c r="M2972" s="3" t="n">
        <v>1</v>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3" t="inlineStr">
        <is>
          <t>주변토지 전원주택지 조성중 대도로 금강 인접함</t>
        </is>
      </c>
      <c r="I2973" s="5">
        <f>HYPERLINK("https://fin.land.naver.com/articles/2645389837", "매물Link")</f>
        <v/>
      </c>
      <c r="J2973" s="5">
        <f>HYPERLINK("https://map.naver.com/p/search/부강면 금호리 110", "지도Link")</f>
        <v/>
      </c>
      <c r="K2973" s="5">
        <f>HYPERLINK("http://www.eum.go.kr/web/ar/lu/luLandDet.jsp?pnu=3611033028101100000&amp;isNoScr=script&amp;mode=search", "토지이음")</f>
        <v/>
      </c>
      <c r="L2973" s="3" t="inlineStr">
        <is>
          <t>광장(프라자)</t>
        </is>
      </c>
      <c r="M2973" s="3" t="n">
        <v>1</v>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3" t="inlineStr">
        <is>
          <t>추천. 금호리 금강줄기 인접 근생토지</t>
        </is>
      </c>
      <c r="I2974" s="5">
        <f>HYPERLINK("https://fin.land.naver.com/articles/2645465799", "매물Link")</f>
        <v/>
      </c>
      <c r="J2974" s="5">
        <f>HYPERLINK("https://map.naver.com/p/search/부강면 금호리 155-5", "지도Link")</f>
        <v/>
      </c>
      <c r="K2974" s="5">
        <f>HYPERLINK("http://www.eum.go.kr/web/ar/lu/luLandDet.jsp?pnu=3611033028101550005&amp;isNoScr=script&amp;mode=search", "토지이음")</f>
        <v/>
      </c>
      <c r="L2974" s="3" t="inlineStr">
        <is>
          <t>강아지풀</t>
        </is>
      </c>
      <c r="M2974" s="3" t="n">
        <v>1</v>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3" t="inlineStr">
        <is>
          <t>nan</t>
        </is>
      </c>
      <c r="I2975" s="5">
        <f>HYPERLINK("https://fin.land.naver.com/articles/2648030293", "매물Link")</f>
        <v/>
      </c>
      <c r="J2975" s="5">
        <f>HYPERLINK("https://map.naver.com/p/search/부강면 금호리 157-1", "지도Link")</f>
        <v/>
      </c>
      <c r="K2975" s="5">
        <f>HYPERLINK("http://www.eum.go.kr/web/ar/lu/luLandDet.jsp?pnu=3611033028101570001&amp;isNoScr=script&amp;mode=search", "토지이음")</f>
        <v/>
      </c>
      <c r="L2975" s="3" t="inlineStr">
        <is>
          <t>이레</t>
        </is>
      </c>
      <c r="M2975" s="3" t="n">
        <v>1</v>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3" t="inlineStr">
        <is>
          <t>급매, 단독주택 포함 매매, 총 314p</t>
        </is>
      </c>
      <c r="I2976" s="5">
        <f>HYPERLINK("https://fin.land.naver.com/articles/2645569244", "매물Link")</f>
        <v/>
      </c>
      <c r="J2976" s="5">
        <f>HYPERLINK("https://map.naver.com/p/search/부강면 금호리 165-1", "지도Link")</f>
        <v/>
      </c>
      <c r="K2976" s="5">
        <f>HYPERLINK("http://www.eum.go.kr/web/ar/lu/luLandDet.jsp?pnu=3611033028101650001&amp;isNoScr=script&amp;mode=search", "토지이음")</f>
        <v/>
      </c>
      <c r="L2976" s="3" t="inlineStr">
        <is>
          <t>세종무지개</t>
        </is>
      </c>
      <c r="M2976" s="3" t="n">
        <v>1</v>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3" t="inlineStr">
        <is>
          <t>금강 뷰가 내려 보이는 조망 최고의 전원주택 부지. 신도심 접근성 용이</t>
        </is>
      </c>
      <c r="I2977" s="5">
        <f>HYPERLINK("https://fin.land.naver.com/articles/2647876853", "매물Link")</f>
        <v/>
      </c>
      <c r="J2977" s="5">
        <f>HYPERLINK("https://map.naver.com/p/search/부강면 금호리 172", "지도Link")</f>
        <v/>
      </c>
      <c r="K2977" s="5">
        <f>HYPERLINK("http://www.eum.go.kr/web/ar/lu/luLandDet.jsp?pnu=3611033028101720000&amp;isNoScr=script&amp;mode=search", "토지이음")</f>
        <v/>
      </c>
      <c r="L2977" s="3" t="inlineStr">
        <is>
          <t>신영</t>
        </is>
      </c>
      <c r="M2977" s="3" t="n">
        <v>1</v>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3" t="inlineStr">
        <is>
          <t>nan</t>
        </is>
      </c>
      <c r="I2978" s="5">
        <f>HYPERLINK("https://fin.land.naver.com/articles/2646689407", "매물Link")</f>
        <v/>
      </c>
      <c r="J2978" s="5">
        <f>HYPERLINK("https://map.naver.com/p/search/부강면 금호리 188-2", "지도Link")</f>
        <v/>
      </c>
      <c r="K2978" s="5">
        <f>HYPERLINK("http://www.eum.go.kr/web/ar/lu/luLandDet.jsp?pnu=3611033028101880002&amp;isNoScr=script&amp;mode=search", "토지이음")</f>
        <v/>
      </c>
      <c r="L2978" s="3" t="inlineStr">
        <is>
          <t>대박</t>
        </is>
      </c>
      <c r="M2978" s="3" t="n">
        <v>1</v>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3" t="inlineStr">
        <is>
          <t>계획관리 답. 4미터 도로 접. 부강일반산단 옆</t>
        </is>
      </c>
      <c r="I2979" s="5">
        <f>HYPERLINK("https://fin.land.naver.com/articles/2648341642", "매물Link")</f>
        <v/>
      </c>
      <c r="J2979" s="5">
        <f>HYPERLINK("https://map.naver.com/p/search/부강면 금호리 207-3", "지도Link")</f>
        <v/>
      </c>
      <c r="K2979" s="5">
        <f>HYPERLINK("http://www.eum.go.kr/web/ar/lu/luLandDet.jsp?pnu=3611033028102070003&amp;isNoScr=script&amp;mode=search", "토지이음")</f>
        <v/>
      </c>
      <c r="L2979" s="3" t="inlineStr">
        <is>
          <t>미스터홈즈강남지사</t>
        </is>
      </c>
      <c r="M2979" s="3" t="n">
        <v>2</v>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3" t="inlineStr">
        <is>
          <t>인테리어 걱정 없는 완벽한 카페 건물 및 조경 포함</t>
        </is>
      </c>
      <c r="I2980" s="5">
        <f>HYPERLINK("https://fin.land.naver.com/articles/2644902620", "매물Link")</f>
        <v/>
      </c>
      <c r="J2980" s="5">
        <f>HYPERLINK("https://map.naver.com/p/search/부강면 금호리 234-5", "지도Link")</f>
        <v/>
      </c>
      <c r="K2980" s="5">
        <f>HYPERLINK("http://www.eum.go.kr/web/ar/lu/luLandDet.jsp?pnu=3611033028102340005&amp;isNoScr=script&amp;mode=search", "토지이음")</f>
        <v/>
      </c>
      <c r="L2980" s="3" t="inlineStr">
        <is>
          <t>하임</t>
        </is>
      </c>
      <c r="M2980" s="3" t="n">
        <v>1</v>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3" t="inlineStr">
        <is>
          <t>계획관리지역. 성장관리계획구역. 기존산업단지와 연결되는 인접 토지 매매</t>
        </is>
      </c>
      <c r="I2981" s="5">
        <f>HYPERLINK("https://fin.land.naver.com/articles/2648117869", "매물Link")</f>
        <v/>
      </c>
      <c r="J2981" s="5">
        <f>HYPERLINK("https://map.naver.com/p/search/부강면 금호리 240-10", "지도Link")</f>
        <v/>
      </c>
      <c r="K2981" s="5">
        <f>HYPERLINK("http://www.eum.go.kr/web/ar/lu/luLandDet.jsp?pnu=3611033028102400010&amp;isNoScr=script&amp;mode=search", "토지이음")</f>
        <v/>
      </c>
      <c r="L2981" s="3" t="inlineStr">
        <is>
          <t>진행</t>
        </is>
      </c>
      <c r="M2981" s="3" t="n">
        <v>1</v>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3" t="inlineStr">
        <is>
          <t>공장용지로 지리적위치 접근성이좋고 산업폐기물 인.허가 득하여 투자성이좋음</t>
        </is>
      </c>
      <c r="I2982" s="5">
        <f>HYPERLINK("https://fin.land.naver.com/articles/2644184018", "매물Link")</f>
        <v/>
      </c>
      <c r="J2982" s="5">
        <f>HYPERLINK("https://map.naver.com/p/search/부강면 금호리 30-2", "지도Link")</f>
        <v/>
      </c>
      <c r="K2982" s="5">
        <f>HYPERLINK("http://www.eum.go.kr/web/ar/lu/luLandDet.jsp?pnu=3611033028100300002&amp;isNoScr=script&amp;mode=search", "토지이음")</f>
        <v/>
      </c>
      <c r="L2982" s="3" t="inlineStr">
        <is>
          <t>오투그린1</t>
        </is>
      </c>
      <c r="M2982" s="3" t="n">
        <v>1</v>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3" t="inlineStr">
        <is>
          <t>건축허가 되어 있고 수도 오수 시설도 완비됨 전원주택지로 적합</t>
        </is>
      </c>
      <c r="I2983" s="5">
        <f>HYPERLINK("https://fin.land.naver.com/articles/2648927634", "매물Link")</f>
        <v/>
      </c>
      <c r="J2983" s="5">
        <f>HYPERLINK("https://map.naver.com/p/search/부강면 금호리 358-4", "지도Link")</f>
        <v/>
      </c>
      <c r="K2983" s="5">
        <f>HYPERLINK("http://www.eum.go.kr/web/ar/lu/luLandDet.jsp?pnu=3611033028103580004&amp;isNoScr=script&amp;mode=search", "토지이음")</f>
        <v/>
      </c>
      <c r="L2983" s="3" t="inlineStr">
        <is>
          <t>도램마을</t>
        </is>
      </c>
      <c r="M2983" s="3" t="n">
        <v>2</v>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3" t="inlineStr">
        <is>
          <t>즉시 신축 가능 매매 급매물 상.하수도 전기 기반공사 완료돼있고 건축허가</t>
        </is>
      </c>
      <c r="I2984" s="5">
        <f>HYPERLINK("https://fin.land.naver.com/articles/2648082259", "매물Link")</f>
        <v/>
      </c>
      <c r="J2984" s="5">
        <f>HYPERLINK("https://map.naver.com/p/search/부강면 금호리 358-4", "지도Link")</f>
        <v/>
      </c>
      <c r="K2984" s="5">
        <f>HYPERLINK("http://www.eum.go.kr/web/ar/lu/luLandDet.jsp?pnu=3611033028103580004&amp;isNoScr=script&amp;mode=search", "토지이음")</f>
        <v/>
      </c>
      <c r="L2984" s="3" t="inlineStr">
        <is>
          <t>세종시삼성래미안</t>
        </is>
      </c>
      <c r="M2984" s="3" t="n">
        <v>1</v>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3" t="inlineStr">
        <is>
          <t>계획관리지역 나대지로 투자가치 양호함.</t>
        </is>
      </c>
      <c r="I2985" s="5">
        <f>HYPERLINK("https://fin.land.naver.com/articles/2646929386", "매물Link")</f>
        <v/>
      </c>
      <c r="J2985" s="5">
        <f>HYPERLINK("https://map.naver.com/p/search/부강면 금호리 377-8", "지도Link")</f>
        <v/>
      </c>
      <c r="K2985" s="5">
        <f>HYPERLINK("http://www.eum.go.kr/web/ar/lu/luLandDet.jsp?pnu=3611033028103770008&amp;isNoScr=script&amp;mode=search", "토지이음")</f>
        <v/>
      </c>
      <c r="L2985" s="3" t="inlineStr">
        <is>
          <t>다정현대</t>
        </is>
      </c>
      <c r="M2985" s="3" t="n">
        <v>1</v>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3" t="inlineStr">
        <is>
          <t>도로접한 모양좋은 토지, 카페나, 식당, 주택지로도 좋음</t>
        </is>
      </c>
      <c r="I2986" s="5">
        <f>HYPERLINK("https://fin.land.naver.com/articles/2645606478", "매물Link")</f>
        <v/>
      </c>
      <c r="J2986" s="5">
        <f>HYPERLINK("https://map.naver.com/p/search/부강면 금호리 389-1", "지도Link")</f>
        <v/>
      </c>
      <c r="K2986" s="5">
        <f>HYPERLINK("http://www.eum.go.kr/web/ar/lu/luLandDet.jsp?pnu=3611033028103890001&amp;isNoScr=script&amp;mode=search", "토지이음")</f>
        <v/>
      </c>
      <c r="L2986" s="3" t="inlineStr">
        <is>
          <t>미스터홈즈강남지사</t>
        </is>
      </c>
      <c r="M2986" s="3" t="n">
        <v>1</v>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3" t="inlineStr">
        <is>
          <t>도로접하고 부강일반사업단지근교, 남i주10분이내,사옥,공장물류창고 적합.</t>
        </is>
      </c>
      <c r="I2987" s="5">
        <f>HYPERLINK("https://fin.land.naver.com/articles/2644587028", "매물Link")</f>
        <v/>
      </c>
      <c r="J2987" s="5">
        <f>HYPERLINK("https://map.naver.com/p/search/부강면 금호리 389-10", "지도Link")</f>
        <v/>
      </c>
      <c r="K2987" s="5">
        <f>HYPERLINK("http://www.eum.go.kr/web/ar/lu/luLandDet.jsp?pnu=3611033028103890010&amp;isNoScr=script&amp;mode=search", "토지이음")</f>
        <v/>
      </c>
      <c r="L2987" s="3" t="inlineStr">
        <is>
          <t>원내</t>
        </is>
      </c>
      <c r="M2987" s="3" t="n">
        <v>1</v>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3" t="inlineStr">
        <is>
          <t>금강 조망 가능한 도로접 계획관리 전원형 토지</t>
        </is>
      </c>
      <c r="I2988" s="5">
        <f>HYPERLINK("https://fin.land.naver.com/articles/2648834433", "매물Link")</f>
        <v/>
      </c>
      <c r="J2988" s="5">
        <f>HYPERLINK("https://map.naver.com/p/search/부강면 금호리 389-6", "지도Link")</f>
        <v/>
      </c>
      <c r="K2988" s="5">
        <f>HYPERLINK("http://www.eum.go.kr/web/ar/lu/luLandDet.jsp?pnu=3611033028103890006&amp;isNoScr=script&amp;mode=search", "토지이음")</f>
        <v/>
      </c>
      <c r="L2988" s="3" t="inlineStr">
        <is>
          <t>세종소담황금</t>
        </is>
      </c>
      <c r="M2988" s="3" t="n">
        <v>1</v>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3" t="inlineStr">
        <is>
          <t>부강면 계획관리 토지. 남청주IC 10분중반소요.옆 토지와 같이매매가능</t>
        </is>
      </c>
      <c r="I2989" s="5">
        <f>HYPERLINK("https://fin.land.naver.com/articles/2647166173", "매물Link")</f>
        <v/>
      </c>
      <c r="J2989" s="5">
        <f>HYPERLINK("https://map.naver.com/p/search/부강면 금호리 389-6", "지도Link")</f>
        <v/>
      </c>
      <c r="K2989" s="5">
        <f>HYPERLINK("http://www.eum.go.kr/web/ar/lu/luLandDet.jsp?pnu=3611033028103890006&amp;isNoScr=script&amp;mode=search", "토지이음")</f>
        <v/>
      </c>
      <c r="L2989" s="3" t="inlineStr">
        <is>
          <t>구암양지</t>
        </is>
      </c>
      <c r="M2989" s="3" t="n">
        <v>2</v>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3" t="inlineStr">
        <is>
          <t>현재 전으로 사용중 두필지 전원주택분양 좋음, 사업용사용가능창고,사옥공장</t>
        </is>
      </c>
      <c r="I2990" s="5">
        <f>HYPERLINK("https://fin.land.naver.com/articles/2644590995", "매물Link")</f>
        <v/>
      </c>
      <c r="J2990" s="5">
        <f>HYPERLINK("https://map.naver.com/p/search/부강면 금호리 389-6", "지도Link")</f>
        <v/>
      </c>
      <c r="K2990" s="5">
        <f>HYPERLINK("http://www.eum.go.kr/web/ar/lu/luLandDet.jsp?pnu=3611033028103890006&amp;isNoScr=script&amp;mode=search", "토지이음")</f>
        <v/>
      </c>
      <c r="L2990" s="3" t="inlineStr">
        <is>
          <t>원내</t>
        </is>
      </c>
      <c r="M2990" s="3" t="n">
        <v>1</v>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3" t="inlineStr">
        <is>
          <t>정남향 도로접한 계획관리.성장관리지역 알토란 토지,가격조정가능</t>
        </is>
      </c>
      <c r="I2991" s="5">
        <f>HYPERLINK("https://fin.land.naver.com/articles/2649493705", "매물Link")</f>
        <v/>
      </c>
      <c r="J2991" s="5">
        <f>HYPERLINK("https://map.naver.com/p/search/부강면 금호리 389-6", "지도Link")</f>
        <v/>
      </c>
      <c r="K2991" s="5">
        <f>HYPERLINK("http://www.eum.go.kr/web/ar/lu/luLandDet.jsp?pnu=3611033028103890006&amp;isNoScr=script&amp;mode=search", "토지이음")</f>
        <v/>
      </c>
      <c r="L2991" s="3" t="inlineStr">
        <is>
          <t>고운맘</t>
        </is>
      </c>
      <c r="M2991" s="3" t="n">
        <v>1</v>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3" t="inlineStr">
        <is>
          <t>도로인접, 부용농공단지인근, 생산관리지역, 답</t>
        </is>
      </c>
      <c r="I2992" s="5">
        <f>HYPERLINK("https://fin.land.naver.com/articles/2647026624", "매물Link")</f>
        <v/>
      </c>
      <c r="J2992" s="5">
        <f>HYPERLINK("https://map.naver.com/p/search/부강면 금호리 436", "지도Link")</f>
        <v/>
      </c>
      <c r="K2992" s="5">
        <f>HYPERLINK("http://www.eum.go.kr/web/ar/lu/luLandDet.jsp?pnu=3611033028104360000&amp;isNoScr=script&amp;mode=search", "토지이음")</f>
        <v/>
      </c>
      <c r="L2992" s="3" t="inlineStr">
        <is>
          <t>Home</t>
        </is>
      </c>
      <c r="M2992" s="3" t="n">
        <v>1</v>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3" t="inlineStr">
        <is>
          <t>금강변 부강금호로 인접, 약2km거리 철도 매포역과 부강생활체육공원 있음</t>
        </is>
      </c>
      <c r="I2993" s="5">
        <f>HYPERLINK("https://fin.land.naver.com/articles/2644189690", "매물Link")</f>
        <v/>
      </c>
      <c r="J2993" s="5">
        <f>HYPERLINK("https://map.naver.com/p/search/부강면 금호리 442", "지도Link")</f>
        <v/>
      </c>
      <c r="K2993" s="5">
        <f>HYPERLINK("http://www.eum.go.kr/web/ar/lu/luLandDet.jsp?pnu=3611033028104420000&amp;isNoScr=script&amp;mode=search", "토지이음")</f>
        <v/>
      </c>
      <c r="L2993" s="3" t="inlineStr">
        <is>
          <t>월평랜드</t>
        </is>
      </c>
      <c r="M2993" s="3" t="n">
        <v>1</v>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3" t="inlineStr">
        <is>
          <t>남향의 반듯한 계획관리 토지. 투자용추천</t>
        </is>
      </c>
      <c r="I2994" s="5">
        <f>HYPERLINK("https://fin.land.naver.com/articles/2645394522", "매물Link")</f>
        <v/>
      </c>
      <c r="J2994" s="5">
        <f>HYPERLINK("https://map.naver.com/p/search/부강면 금호리 442", "지도Link")</f>
        <v/>
      </c>
      <c r="K2994" s="5">
        <f>HYPERLINK("http://www.eum.go.kr/web/ar/lu/luLandDet.jsp?pnu=3611033028104420000&amp;isNoScr=script&amp;mode=search", "토지이음")</f>
        <v/>
      </c>
      <c r="L2994" s="3" t="inlineStr">
        <is>
          <t>세종금밭</t>
        </is>
      </c>
      <c r="M2994" s="3" t="n">
        <v>1</v>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3" t="inlineStr">
        <is>
          <t>부강면 금호리 자연취락지구 계획관리 대지</t>
        </is>
      </c>
      <c r="I2995" s="5">
        <f>HYPERLINK("https://fin.land.naver.com/articles/2649283317", "매물Link")</f>
        <v/>
      </c>
      <c r="J2995" s="5">
        <f>HYPERLINK("https://map.naver.com/p/search/부강면 금호리 447-1", "지도Link")</f>
        <v/>
      </c>
      <c r="K2995" s="5">
        <f>HYPERLINK("http://www.eum.go.kr/web/ar/lu/luLandDet.jsp?pnu=3611033028104470001&amp;isNoScr=script&amp;mode=search", "토지이음")</f>
        <v/>
      </c>
      <c r="L2995" s="3" t="inlineStr">
        <is>
          <t>스카이</t>
        </is>
      </c>
      <c r="M2995" s="3" t="n">
        <v>1</v>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3" t="inlineStr">
        <is>
          <t>주택, 텃밭, 카페 추천</t>
        </is>
      </c>
      <c r="I2996" s="5">
        <f>HYPERLINK("https://fin.land.naver.com/articles/2647424368", "매물Link")</f>
        <v/>
      </c>
      <c r="J2996" s="5">
        <f>HYPERLINK("https://map.naver.com/p/search/부강면 금호리 613", "지도Link")</f>
        <v/>
      </c>
      <c r="K2996" s="5">
        <f>HYPERLINK("http://www.eum.go.kr/web/ar/lu/luLandDet.jsp?pnu=3611033028106130000&amp;isNoScr=script&amp;mode=search", "토지이음")</f>
        <v/>
      </c>
      <c r="L2996" s="3" t="inlineStr">
        <is>
          <t>황제</t>
        </is>
      </c>
      <c r="M2996" s="3" t="n">
        <v>1</v>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3" t="inlineStr">
        <is>
          <t>개발가능한 임야</t>
        </is>
      </c>
      <c r="I2997" s="5">
        <f>HYPERLINK("https://fin.land.naver.com/articles/2647807421", "매물Link")</f>
        <v/>
      </c>
      <c r="J2997" s="5">
        <f>HYPERLINK("https://map.naver.com/p/search/부강면 금호리 614-1", "지도Link")</f>
        <v/>
      </c>
      <c r="K2997" s="5">
        <f>HYPERLINK("http://www.eum.go.kr/web/ar/lu/luLandDet.jsp?pnu=3611033028106140001&amp;isNoScr=script&amp;mode=search", "토지이음")</f>
        <v/>
      </c>
      <c r="L2997" s="3" t="inlineStr">
        <is>
          <t>골든타임</t>
        </is>
      </c>
      <c r="M2997" s="3" t="n">
        <v>1</v>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3" t="inlineStr">
        <is>
          <t>세종시 부강면 금호리  토지 매매</t>
        </is>
      </c>
      <c r="I2998" s="5">
        <f>HYPERLINK("https://fin.land.naver.com/articles/2643920275", "매물Link")</f>
        <v/>
      </c>
      <c r="J2998" s="5">
        <f>HYPERLINK("https://map.naver.com/p/search/부강면 금호리 652", "지도Link")</f>
        <v/>
      </c>
      <c r="K2998" s="5">
        <f>HYPERLINK("http://www.eum.go.kr/web/ar/lu/luLandDet.jsp?pnu=3611033028106520000&amp;isNoScr=script&amp;mode=search", "토지이음")</f>
        <v/>
      </c>
      <c r="L2998" s="3" t="inlineStr">
        <is>
          <t>세종행복한</t>
        </is>
      </c>
      <c r="M2998" s="3" t="n">
        <v>1</v>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3" t="inlineStr">
        <is>
          <t>2차선 대로변 계획관리.5생활권 대학부지10분이내거리</t>
        </is>
      </c>
      <c r="I2999" s="5">
        <f>HYPERLINK("https://fin.land.naver.com/articles/2649065861", "매물Link")</f>
        <v/>
      </c>
      <c r="J2999" s="5">
        <f>HYPERLINK("https://map.naver.com/p/search/부강면 금호리 700-17", "지도Link")</f>
        <v/>
      </c>
      <c r="K2999" s="5">
        <f>HYPERLINK("http://www.eum.go.kr/web/ar/lu/luLandDet.jsp?pnu=3611033028107000017&amp;isNoScr=script&amp;mode=search", "토지이음")</f>
        <v/>
      </c>
      <c r="L2999" s="3" t="inlineStr">
        <is>
          <t>황금나무</t>
        </is>
      </c>
      <c r="M2999" s="3" t="n">
        <v>1</v>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3" t="inlineStr">
        <is>
          <t>nan</t>
        </is>
      </c>
      <c r="I3000" s="5">
        <f>HYPERLINK("https://fin.land.naver.com/articles/2649528902", "매물Link")</f>
        <v/>
      </c>
      <c r="J3000" s="5">
        <f>HYPERLINK("https://map.naver.com/p/search/부강면 금호리 708-2", "지도Link")</f>
        <v/>
      </c>
      <c r="K3000" s="5">
        <f>HYPERLINK("http://www.eum.go.kr/web/ar/lu/luLandDet.jsp?pnu=3611033028107080002&amp;isNoScr=script&amp;mode=search", "토지이음")</f>
        <v/>
      </c>
      <c r="L3000" s="3" t="inlineStr">
        <is>
          <t>경남아너스빌</t>
        </is>
      </c>
      <c r="M3000" s="3" t="n">
        <v>1</v>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3" t="inlineStr">
        <is>
          <t>계획관리자연취락 대지 및 기존주택, 산단세종오송 접근 우수</t>
        </is>
      </c>
      <c r="I3001" s="5">
        <f>HYPERLINK("https://fin.land.naver.com/articles/2645073021", "매물Link")</f>
        <v/>
      </c>
      <c r="J3001" s="5">
        <f>HYPERLINK("https://map.naver.com/p/search/부강면 금호리 712-16", "지도Link")</f>
        <v/>
      </c>
      <c r="K3001" s="5">
        <f>HYPERLINK("http://www.eum.go.kr/web/ar/lu/luLandDet.jsp?pnu=3611033028107120016&amp;isNoScr=script&amp;mode=search", "토지이음")</f>
        <v/>
      </c>
      <c r="L3001" s="3" t="inlineStr">
        <is>
          <t>세종소담황금</t>
        </is>
      </c>
      <c r="M3001" s="3" t="n">
        <v>1</v>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3" t="inlineStr">
        <is>
          <t>남청주IC 자동차로 약17분거리10km</t>
        </is>
      </c>
      <c r="I3002" s="5">
        <f>HYPERLINK("https://fin.land.naver.com/articles/2648088822", "매물Link")</f>
        <v/>
      </c>
      <c r="J3002" s="5">
        <f>HYPERLINK("https://map.naver.com/p/search/부강면 금호리 712-16", "지도Link")</f>
        <v/>
      </c>
      <c r="K3002" s="5">
        <f>HYPERLINK("http://www.eum.go.kr/web/ar/lu/luLandDet.jsp?pnu=3611033028107120016&amp;isNoScr=script&amp;mode=search", "토지이음")</f>
        <v/>
      </c>
      <c r="L3002" s="3" t="inlineStr">
        <is>
          <t>지장고</t>
        </is>
      </c>
      <c r="M3002" s="3" t="n">
        <v>1</v>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3" t="inlineStr">
        <is>
          <t>세종시7분거리, 산단밀집지, 주택 리모델링해서 사용,또는 공방, 쉼터사용</t>
        </is>
      </c>
      <c r="I3003" s="5">
        <f>HYPERLINK("https://fin.land.naver.com/articles/2646197212", "매물Link")</f>
        <v/>
      </c>
      <c r="J3003" s="5">
        <f>HYPERLINK("https://map.naver.com/p/search/부강면 금호리 712-16", "지도Link")</f>
        <v/>
      </c>
      <c r="K3003" s="5">
        <f>HYPERLINK("http://www.eum.go.kr/web/ar/lu/luLandDet.jsp?pnu=3611033028107120016&amp;isNoScr=script&amp;mode=search", "토지이음")</f>
        <v/>
      </c>
      <c r="L3003" s="3" t="inlineStr">
        <is>
          <t>세종복댕이</t>
        </is>
      </c>
      <c r="M3003" s="3" t="n">
        <v>1</v>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3" t="inlineStr">
        <is>
          <t>금강변 조용한 마을 내 전원주택부지</t>
        </is>
      </c>
      <c r="I3004" s="5">
        <f>HYPERLINK("https://fin.land.naver.com/articles/2645609445", "매물Link")</f>
        <v/>
      </c>
      <c r="J3004" s="5">
        <f>HYPERLINK("https://map.naver.com/p/search/부강면 금호리 725-1", "지도Link")</f>
        <v/>
      </c>
      <c r="K3004" s="5">
        <f>HYPERLINK("http://www.eum.go.kr/web/ar/lu/luLandDet.jsp?pnu=3611033028107250001&amp;isNoScr=script&amp;mode=search", "토지이음")</f>
        <v/>
      </c>
      <c r="L3004" s="3" t="inlineStr">
        <is>
          <t>청담</t>
        </is>
      </c>
      <c r="M3004" s="3" t="n">
        <v>1</v>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3" t="inlineStr">
        <is>
          <t>세종시 부강면 산업단지 인근 시세보다 저렴한 토지 매매</t>
        </is>
      </c>
      <c r="I3005" s="5">
        <f>HYPERLINK("https://fin.land.naver.com/articles/2649751521", "매물Link")</f>
        <v/>
      </c>
      <c r="J3005" s="5">
        <f>HYPERLINK("https://map.naver.com/p/search/부강면 금호리 731", "지도Link")</f>
        <v/>
      </c>
      <c r="K3005" s="5">
        <f>HYPERLINK("http://www.eum.go.kr/web/ar/lu/luLandDet.jsp?pnu=3611033028107310000&amp;isNoScr=script&amp;mode=search", "토지이음")</f>
        <v/>
      </c>
      <c r="L3005" s="3" t="inlineStr">
        <is>
          <t>뉴스카이</t>
        </is>
      </c>
      <c r="M3005" s="3" t="n">
        <v>1</v>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3" t="inlineStr">
        <is>
          <t>nan</t>
        </is>
      </c>
      <c r="I3006" s="5">
        <f>HYPERLINK("https://fin.land.naver.com/articles/2644595846", "매물Link")</f>
        <v/>
      </c>
      <c r="J3006" s="5">
        <f>HYPERLINK("https://map.naver.com/p/search/부강면 금호리 산10-1", "지도Link")</f>
        <v/>
      </c>
      <c r="K3006" s="5">
        <f>HYPERLINK("http://www.eum.go.kr/web/ar/lu/luLandDet.jsp?pnu=3611033028200100001&amp;isNoScr=script&amp;mode=search", "토지이음")</f>
        <v/>
      </c>
      <c r="L3006" s="3" t="inlineStr">
        <is>
          <t>세종몽땅</t>
        </is>
      </c>
      <c r="M3006" s="3" t="n">
        <v>1</v>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3" t="inlineStr">
        <is>
          <t>부강면 금호리는 4생활권에서 5분거리, 금호교건너면 바로앞 금강임.</t>
        </is>
      </c>
      <c r="I3007" s="5">
        <f>HYPERLINK("https://fin.land.naver.com/articles/2647579496", "매물Link")</f>
        <v/>
      </c>
      <c r="J3007" s="5">
        <f>HYPERLINK("https://map.naver.com/p/search/부강면 금호리 산46-4", "지도Link")</f>
        <v/>
      </c>
      <c r="K3007" s="5">
        <f>HYPERLINK("http://www.eum.go.kr/web/ar/lu/luLandDet.jsp?pnu=3611033028200460004&amp;isNoScr=script&amp;mode=search", "토지이음")</f>
        <v/>
      </c>
      <c r="L3007" s="3" t="inlineStr">
        <is>
          <t>꿈드림</t>
        </is>
      </c>
      <c r="M3007" s="3" t="n">
        <v>1</v>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3" t="inlineStr">
        <is>
          <t>공장,창고 건축 가능, 도로 접함</t>
        </is>
      </c>
      <c r="I3008" s="5">
        <f>HYPERLINK("https://fin.land.naver.com/articles/2646886887", "매물Link")</f>
        <v/>
      </c>
      <c r="J3008" s="5">
        <f>HYPERLINK("https://map.naver.com/p/search/부강면 노호리 24", "지도Link")</f>
        <v/>
      </c>
      <c r="K3008" s="5">
        <f>HYPERLINK("http://www.eum.go.kr/web/ar/lu/luLandDet.jsp?pnu=3611033027100240000&amp;isNoScr=script&amp;mode=search", "토지이음")</f>
        <v/>
      </c>
      <c r="L3008" s="3" t="inlineStr">
        <is>
          <t>나릿재슬기로운</t>
        </is>
      </c>
      <c r="M3008" s="3" t="n">
        <v>1</v>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3" t="inlineStr">
        <is>
          <t>세종특별자치시 부강면 노호리 계획관리지역 답 2118㎡ 토지매매</t>
        </is>
      </c>
      <c r="I3009" s="5">
        <f>HYPERLINK("https://fin.land.naver.com/articles/2648116519", "매물Link")</f>
        <v/>
      </c>
      <c r="J3009" s="5">
        <f>HYPERLINK("https://map.naver.com/p/search/부강면 노호리 287", "지도Link")</f>
        <v/>
      </c>
      <c r="K3009" s="5">
        <f>HYPERLINK("http://www.eum.go.kr/web/ar/lu/luLandDet.jsp?pnu=3611033027102870000&amp;isNoScr=script&amp;mode=search", "토지이음")</f>
        <v/>
      </c>
      <c r="L3009" s="3" t="inlineStr">
        <is>
          <t>진행</t>
        </is>
      </c>
      <c r="M3009" s="3" t="n">
        <v>1</v>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3" t="inlineStr">
        <is>
          <t>계획관리 정남향의 토지 전원주택부지로 적극추천 주말농장하면서 투자로</t>
        </is>
      </c>
      <c r="I3010" s="5">
        <f>HYPERLINK("https://fin.land.naver.com/articles/2649097737", "매물Link")</f>
        <v/>
      </c>
      <c r="J3010" s="5">
        <f>HYPERLINK("https://map.naver.com/p/search/부강면 노호리 297", "지도Link")</f>
        <v/>
      </c>
      <c r="K3010" s="5">
        <f>HYPERLINK("http://www.eum.go.kr/web/ar/lu/luLandDet.jsp?pnu=3611033027102970000&amp;isNoScr=script&amp;mode=search", "토지이음")</f>
        <v/>
      </c>
      <c r="L3010" s="3" t="inlineStr">
        <is>
          <t>대전토지로무소</t>
        </is>
      </c>
      <c r="M3010" s="3" t="n">
        <v>1</v>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3" t="inlineStr">
        <is>
          <t>세종 인근 접근성 좋은 부강면 노호리 전원주택지 매매,남향</t>
        </is>
      </c>
      <c r="I3011" s="5">
        <f>HYPERLINK("https://fin.land.naver.com/articles/2648864117", "매물Link")</f>
        <v/>
      </c>
      <c r="J3011" s="5">
        <f>HYPERLINK("https://map.naver.com/p/search/부강면 노호리 334", "지도Link")</f>
        <v/>
      </c>
      <c r="K3011" s="5">
        <f>HYPERLINK("http://www.eum.go.kr/web/ar/lu/luLandDet.jsp?pnu=3611033027103340000&amp;isNoScr=script&amp;mode=search", "토지이음")</f>
        <v/>
      </c>
      <c r="L3011" s="3" t="inlineStr">
        <is>
          <t>천재원</t>
        </is>
      </c>
      <c r="M3011" s="3" t="n">
        <v>1</v>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3" t="inlineStr">
        <is>
          <t>부강면 노호리 도로접한 토지매매.</t>
        </is>
      </c>
      <c r="I3012" s="5">
        <f>HYPERLINK("https://fin.land.naver.com/articles/2647631268", "매물Link")</f>
        <v/>
      </c>
      <c r="J3012" s="5">
        <f>HYPERLINK("https://map.naver.com/p/search/부강면 노호리 356-1", "지도Link")</f>
        <v/>
      </c>
      <c r="K3012" s="5">
        <f>HYPERLINK("http://www.eum.go.kr/web/ar/lu/luLandDet.jsp?pnu=3611033027103560001&amp;isNoScr=script&amp;mode=search", "토지이음")</f>
        <v/>
      </c>
      <c r="L3012" s="3" t="inlineStr">
        <is>
          <t>방서에이스</t>
        </is>
      </c>
      <c r="M3012" s="3" t="n">
        <v>1</v>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3" t="inlineStr">
        <is>
          <t>매포역 인근 금강 변, 국도 인접 생산관리지역, 개발호재 많은 투자 물건</t>
        </is>
      </c>
      <c r="I3013" s="5">
        <f>HYPERLINK("https://fin.land.naver.com/articles/2650180451", "매물Link")</f>
        <v/>
      </c>
      <c r="J3013" s="5">
        <f>HYPERLINK("https://map.naver.com/p/search/부강면 노호리 356-1", "지도Link")</f>
        <v/>
      </c>
      <c r="K3013" s="5">
        <f>HYPERLINK("http://www.eum.go.kr/web/ar/lu/luLandDet.jsp?pnu=3611033027103560001&amp;isNoScr=script&amp;mode=search", "토지이음")</f>
        <v/>
      </c>
      <c r="L3013" s="3" t="inlineStr">
        <is>
          <t>오송3산단  사무소</t>
        </is>
      </c>
      <c r="M3013" s="3" t="n">
        <v>1</v>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3" t="inlineStr">
        <is>
          <t>부강 매포역에서 차량 3분 마을 인접, 전원주택, 세컨하우스 수요많음</t>
        </is>
      </c>
      <c r="I3014" s="5">
        <f>HYPERLINK("https://fin.land.naver.com/articles/2649098611", "매물Link")</f>
        <v/>
      </c>
      <c r="J3014" s="5">
        <f>HYPERLINK("https://map.naver.com/p/search/부강면 노호리 356-1", "지도Link")</f>
        <v/>
      </c>
      <c r="K3014" s="5">
        <f>HYPERLINK("http://www.eum.go.kr/web/ar/lu/luLandDet.jsp?pnu=3611033027103560001&amp;isNoScr=script&amp;mode=search", "토지이음")</f>
        <v/>
      </c>
      <c r="L3014" s="3" t="inlineStr">
        <is>
          <t>114</t>
        </is>
      </c>
      <c r="M3014" s="3" t="n">
        <v>1</v>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3" t="inlineStr">
        <is>
          <t>부강면노호리 생산관리지역 마을인접 가격조정가능</t>
        </is>
      </c>
      <c r="I3015" s="5">
        <f>HYPERLINK("https://fin.land.naver.com/articles/2649144191", "매물Link")</f>
        <v/>
      </c>
      <c r="J3015" s="5">
        <f>HYPERLINK("https://map.naver.com/p/search/부강면 노호리 356-1", "지도Link")</f>
        <v/>
      </c>
      <c r="K3015" s="5">
        <f>HYPERLINK("http://www.eum.go.kr/web/ar/lu/luLandDet.jsp?pnu=3611033027103560001&amp;isNoScr=script&amp;mode=search", "토지이음")</f>
        <v/>
      </c>
      <c r="L3015" s="3" t="inlineStr">
        <is>
          <t>고운동리치세종</t>
        </is>
      </c>
      <c r="M3015" s="3" t="n">
        <v>1</v>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3" t="inlineStr">
        <is>
          <t>부강면 노호리에 있는 계획관리지역의 지목이 대지입니다</t>
        </is>
      </c>
      <c r="I3016" s="5">
        <f>HYPERLINK("https://fin.land.naver.com/articles/2645016395", "매물Link")</f>
        <v/>
      </c>
      <c r="J3016" s="5">
        <f>HYPERLINK("https://map.naver.com/p/search/부강면 노호리 55-3", "지도Link")</f>
        <v/>
      </c>
      <c r="K3016" s="5">
        <f>HYPERLINK("http://www.eum.go.kr/web/ar/lu/luLandDet.jsp?pnu=3611033027100550003&amp;isNoScr=script&amp;mode=search", "토지이음")</f>
        <v/>
      </c>
      <c r="L3016" s="3" t="inlineStr">
        <is>
          <t>스마일세종</t>
        </is>
      </c>
      <c r="M3016" s="3" t="n">
        <v>1</v>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3" t="inlineStr">
        <is>
          <t>계획관리 토지, 지목대지,답 단독주택</t>
        </is>
      </c>
      <c r="I3017" s="5">
        <f>HYPERLINK("https://fin.land.naver.com/articles/2648813381", "매물Link")</f>
        <v/>
      </c>
      <c r="J3017" s="5">
        <f>HYPERLINK("https://map.naver.com/p/search/부강면 노호리 63-4", "지도Link")</f>
        <v/>
      </c>
      <c r="K3017" s="5">
        <f>HYPERLINK("http://www.eum.go.kr/web/ar/lu/luLandDet.jsp?pnu=3611033027100630004&amp;isNoScr=script&amp;mode=search", "토지이음")</f>
        <v/>
      </c>
      <c r="L3017" s="3" t="inlineStr">
        <is>
          <t>세종대박</t>
        </is>
      </c>
      <c r="M3017" s="3" t="n">
        <v>1</v>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3" t="inlineStr">
        <is>
          <t>계획관리지역 최고의 전원주택부지 인접지역이 개발호재가 많아 미래가치있음</t>
        </is>
      </c>
      <c r="I3018" s="5">
        <f>HYPERLINK("https://fin.land.naver.com/articles/2647636976", "매물Link")</f>
        <v/>
      </c>
      <c r="J3018" s="5">
        <f>HYPERLINK("https://map.naver.com/p/search/부강면 노호리 산66-16", "지도Link")</f>
        <v/>
      </c>
      <c r="K3018" s="5">
        <f>HYPERLINK("http://www.eum.go.kr/web/ar/lu/luLandDet.jsp?pnu=3611033027200660016&amp;isNoScr=script&amp;mode=search", "토지이음")</f>
        <v/>
      </c>
      <c r="L3018" s="3" t="inlineStr">
        <is>
          <t>대전토지로무소</t>
        </is>
      </c>
      <c r="M3018" s="3" t="n">
        <v>1</v>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3" t="inlineStr">
        <is>
          <t>나대지</t>
        </is>
      </c>
      <c r="I3019" s="5">
        <f>HYPERLINK("https://fin.land.naver.com/articles/2647745236", "매물Link")</f>
        <v/>
      </c>
      <c r="J3019" s="5">
        <f>HYPERLINK("https://map.naver.com/p/search/부강면 등곡리 178", "지도Link")</f>
        <v/>
      </c>
      <c r="K3019" s="5">
        <f>HYPERLINK("http://www.eum.go.kr/web/ar/lu/luLandDet.jsp?pnu=3611033026101780000&amp;isNoScr=script&amp;mode=search", "토지이음")</f>
        <v/>
      </c>
      <c r="L3019" s="3" t="inlineStr">
        <is>
          <t>다산</t>
        </is>
      </c>
      <c r="M3019" s="3" t="n">
        <v>1</v>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3" t="inlineStr">
        <is>
          <t>급매도,현재밭으로 경작중,매포역가까움,밭으로 들어가는 흙길있음</t>
        </is>
      </c>
      <c r="I3020" s="5">
        <f>HYPERLINK("https://fin.land.naver.com/articles/2645392625", "매물Link")</f>
        <v/>
      </c>
      <c r="J3020" s="5">
        <f>HYPERLINK("https://map.naver.com/p/search/부강면 등곡리 452", "지도Link")</f>
        <v/>
      </c>
      <c r="K3020" s="5">
        <f>HYPERLINK("http://www.eum.go.kr/web/ar/lu/luLandDet.jsp?pnu=3611033026104520000&amp;isNoScr=script&amp;mode=search", "토지이음")</f>
        <v/>
      </c>
      <c r="L3020" s="3" t="inlineStr">
        <is>
          <t>배곧행복</t>
        </is>
      </c>
      <c r="M3020" s="3" t="n">
        <v>1</v>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3" t="inlineStr">
        <is>
          <t>접근성좋고 주말농장이나 전원주택 용지로도좋음.</t>
        </is>
      </c>
      <c r="I3021" s="5">
        <f>HYPERLINK("https://fin.land.naver.com/articles/2644673415", "매물Link")</f>
        <v/>
      </c>
      <c r="J3021" s="5">
        <f>HYPERLINK("https://map.naver.com/p/search/부강면 등곡리 55", "지도Link")</f>
        <v/>
      </c>
      <c r="K3021" s="5">
        <f>HYPERLINK("http://www.eum.go.kr/web/ar/lu/luLandDet.jsp?pnu=3611033026100550000&amp;isNoScr=script&amp;mode=search", "토지이음")</f>
        <v/>
      </c>
      <c r="L3021" s="3" t="inlineStr">
        <is>
          <t>오투그린1</t>
        </is>
      </c>
      <c r="M3021" s="3" t="n">
        <v>1</v>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3" t="inlineStr">
        <is>
          <t>대지 토지 매매</t>
        </is>
      </c>
      <c r="I3022" s="5">
        <f>HYPERLINK("https://fin.land.naver.com/articles/2647503458", "매물Link")</f>
        <v/>
      </c>
      <c r="J3022" s="5">
        <f>HYPERLINK("https://map.naver.com/p/search/부강면 문곡리 1060-3", "지도Link")</f>
        <v/>
      </c>
      <c r="K3022" s="5">
        <f>HYPERLINK("http://www.eum.go.kr/web/ar/lu/luLandDet.jsp?pnu=3611033025110600003&amp;isNoScr=script&amp;mode=search", "토지이음")</f>
        <v/>
      </c>
      <c r="L3022" s="3" t="inlineStr">
        <is>
          <t>주식회사넥서스</t>
        </is>
      </c>
      <c r="M3022" s="3" t="n">
        <v>1</v>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3" t="inlineStr">
        <is>
          <t>남청주IC 3분거리, 2차선 접한 토지, 대형차량 진출입 용이</t>
        </is>
      </c>
      <c r="I3023" s="5">
        <f>HYPERLINK("https://fin.land.naver.com/articles/2646835641", "매물Link")</f>
        <v/>
      </c>
      <c r="J3023" s="5">
        <f>HYPERLINK("https://map.naver.com/p/search/부강면 문곡리 1064", "지도Link")</f>
        <v/>
      </c>
      <c r="K3023" s="5">
        <f>HYPERLINK("http://www.eum.go.kr/web/ar/lu/luLandDet.jsp?pnu=3611033025110640000&amp;isNoScr=script&amp;mode=search", "토지이음")</f>
        <v/>
      </c>
      <c r="L3023" s="3" t="inlineStr">
        <is>
          <t>금화랜드</t>
        </is>
      </c>
      <c r="M3023" s="3" t="n">
        <v>2</v>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3" t="inlineStr">
        <is>
          <t>세종과 남청주IC 도로 인근에 위치하여 진출입이 용이한 곳</t>
        </is>
      </c>
      <c r="I3024" s="5">
        <f>HYPERLINK("https://fin.land.naver.com/articles/2645657257", "매물Link")</f>
        <v/>
      </c>
      <c r="J3024" s="5">
        <f>HYPERLINK("https://map.naver.com/p/search/부강면 문곡리 1064-1", "지도Link")</f>
        <v/>
      </c>
      <c r="K3024" s="5">
        <f>HYPERLINK("http://www.eum.go.kr/web/ar/lu/luLandDet.jsp?pnu=3611033025110640001&amp;isNoScr=script&amp;mode=search", "토지이음")</f>
        <v/>
      </c>
      <c r="L3024" s="3" t="inlineStr">
        <is>
          <t>(주)미르</t>
        </is>
      </c>
      <c r="M3024" s="3" t="n">
        <v>1</v>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3" t="inlineStr">
        <is>
          <t>공장,창고로 추천,남청주IC 5분거리,대형차량 진출입 편리</t>
        </is>
      </c>
      <c r="I3025" s="5">
        <f>HYPERLINK("https://fin.land.naver.com/articles/2647505310", "매물Link")</f>
        <v/>
      </c>
      <c r="J3025" s="5">
        <f>HYPERLINK("https://map.naver.com/p/search/부강면 문곡리 1066", "지도Link")</f>
        <v/>
      </c>
      <c r="K3025" s="5">
        <f>HYPERLINK("http://www.eum.go.kr/web/ar/lu/luLandDet.jsp?pnu=3611033025110660000&amp;isNoScr=script&amp;mode=search", "토지이음")</f>
        <v/>
      </c>
      <c r="L3025" s="3" t="inlineStr">
        <is>
          <t>금화랜드</t>
        </is>
      </c>
      <c r="M3025" s="3" t="n">
        <v>1</v>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3" t="inlineStr">
        <is>
          <t>2차선 도로와 연결로 대형차 진출입이 편리, 남청주IC인근에 위치</t>
        </is>
      </c>
      <c r="I3026" s="5">
        <f>HYPERLINK("https://fin.land.naver.com/articles/2645782513", "매물Link")</f>
        <v/>
      </c>
      <c r="J3026" s="5">
        <f>HYPERLINK("https://map.naver.com/p/search/부강면 문곡리 114", "지도Link")</f>
        <v/>
      </c>
      <c r="K3026" s="5">
        <f>HYPERLINK("http://www.eum.go.kr/web/ar/lu/luLandDet.jsp?pnu=3611033025101140000&amp;isNoScr=script&amp;mode=search", "토지이음")</f>
        <v/>
      </c>
      <c r="L3026" s="3" t="inlineStr">
        <is>
          <t>(주)미르</t>
        </is>
      </c>
      <c r="M3026" s="3" t="n">
        <v>1</v>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3" t="inlineStr">
        <is>
          <t>1층단독한옥주택 준공완료,일괄매매,친환경 힐링하실분,뻥뷰</t>
        </is>
      </c>
      <c r="I3027" s="5">
        <f>HYPERLINK("https://fin.land.naver.com/articles/2644664157", "매물Link")</f>
        <v/>
      </c>
      <c r="J3027" s="5">
        <f>HYPERLINK("https://map.naver.com/p/search/부강면 문곡리 240-1", "지도Link")</f>
        <v/>
      </c>
      <c r="K3027" s="5">
        <f>HYPERLINK("http://www.eum.go.kr/web/ar/lu/luLandDet.jsp?pnu=3611033025102400001&amp;isNoScr=script&amp;mode=search", "토지이음")</f>
        <v/>
      </c>
      <c r="L3027" s="3" t="inlineStr">
        <is>
          <t>힐스테이트행복</t>
        </is>
      </c>
      <c r="M3027" s="3" t="n">
        <v>1</v>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3" t="inlineStr">
        <is>
          <t>계획관리지역 주목</t>
        </is>
      </c>
      <c r="I3028" s="5">
        <f>HYPERLINK("https://fin.land.naver.com/articles/2649735022", "매물Link")</f>
        <v/>
      </c>
      <c r="J3028" s="5">
        <f>HYPERLINK("https://map.naver.com/p/search/부강면 문곡리 364", "지도Link")</f>
        <v/>
      </c>
      <c r="K3028" s="5">
        <f>HYPERLINK("http://www.eum.go.kr/web/ar/lu/luLandDet.jsp?pnu=3611033025103640000&amp;isNoScr=script&amp;mode=search", "토지이음")</f>
        <v/>
      </c>
      <c r="L3028" s="3" t="inlineStr">
        <is>
          <t>세종몽땅</t>
        </is>
      </c>
      <c r="M3028" s="3" t="n">
        <v>1</v>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3" t="inlineStr">
        <is>
          <t>부강면 문곡리 2차선 도로옆 토지, 세레니티cc 진입로, 건축가능</t>
        </is>
      </c>
      <c r="I3029" s="5">
        <f>HYPERLINK("https://fin.land.naver.com/articles/2647851904", "매물Link")</f>
        <v/>
      </c>
      <c r="J3029" s="5">
        <f>HYPERLINK("https://map.naver.com/p/search/부강면 문곡리 364", "지도Link")</f>
        <v/>
      </c>
      <c r="K3029" s="5">
        <f>HYPERLINK("http://www.eum.go.kr/web/ar/lu/luLandDet.jsp?pnu=3611033025103640000&amp;isNoScr=script&amp;mode=search", "토지이음")</f>
        <v/>
      </c>
      <c r="L3029" s="3" t="inlineStr">
        <is>
          <t>스카이</t>
        </is>
      </c>
      <c r="M3029" s="3" t="n">
        <v>1</v>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3" t="inlineStr">
        <is>
          <t>남청주IC 2분거리,대로변 접한 토지로 광고효과,대형차량 진출입 편리</t>
        </is>
      </c>
      <c r="I3030" s="5">
        <f>HYPERLINK("https://fin.land.naver.com/articles/2648918435", "매물Link")</f>
        <v/>
      </c>
      <c r="J3030" s="5">
        <f>HYPERLINK("https://map.naver.com/p/search/부강면 문곡리 384", "지도Link")</f>
        <v/>
      </c>
      <c r="K3030" s="5">
        <f>HYPERLINK("http://www.eum.go.kr/web/ar/lu/luLandDet.jsp?pnu=3611033025103840000&amp;isNoScr=script&amp;mode=search", "토지이음")</f>
        <v/>
      </c>
      <c r="L3030" s="3" t="inlineStr">
        <is>
          <t>금화랜드</t>
        </is>
      </c>
      <c r="M3030" s="3" t="n">
        <v>1</v>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3" t="inlineStr">
        <is>
          <t>공장등록 가능한 공장 용지, 남청주 IC 5분 거리, 대형차 진출입 용이</t>
        </is>
      </c>
      <c r="I3031" s="5">
        <f>HYPERLINK("https://fin.land.naver.com/articles/2647644287", "매물Link")</f>
        <v/>
      </c>
      <c r="J3031" s="5">
        <f>HYPERLINK("https://map.naver.com/p/search/부강면 문곡리 437", "지도Link")</f>
        <v/>
      </c>
      <c r="K3031" s="5">
        <f>HYPERLINK("http://www.eum.go.kr/web/ar/lu/luLandDet.jsp?pnu=3611033025104370000&amp;isNoScr=script&amp;mode=search", "토지이음")</f>
        <v/>
      </c>
      <c r="L3031" s="3" t="inlineStr">
        <is>
          <t>에이스</t>
        </is>
      </c>
      <c r="M3031" s="3" t="n">
        <v>1</v>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3" t="inlineStr">
        <is>
          <t>계획관리 평당 70만원 도로접 건축가능 체류형쉼터</t>
        </is>
      </c>
      <c r="I3032" s="5">
        <f>HYPERLINK("https://fin.land.naver.com/articles/2645544934", "매물Link")</f>
        <v/>
      </c>
      <c r="J3032" s="5">
        <f>HYPERLINK("https://map.naver.com/p/search/부강면 문곡리 446", "지도Link")</f>
        <v/>
      </c>
      <c r="K3032" s="5">
        <f>HYPERLINK("http://www.eum.go.kr/web/ar/lu/luLandDet.jsp?pnu=3611033025104460000&amp;isNoScr=script&amp;mode=search", "토지이음")</f>
        <v/>
      </c>
      <c r="L3032" s="3" t="inlineStr">
        <is>
          <t>미스터홈즈강남지사</t>
        </is>
      </c>
      <c r="M3032" s="3" t="n">
        <v>1</v>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3" t="inlineStr">
        <is>
          <t>2차선 도로변 소액 투자 및 주말 농장 물건</t>
        </is>
      </c>
      <c r="I3033" s="5">
        <f>HYPERLINK("https://fin.land.naver.com/articles/2645529440", "매물Link")</f>
        <v/>
      </c>
      <c r="J3033" s="5">
        <f>HYPERLINK("https://map.naver.com/p/search/부강면 문곡리 717-2", "지도Link")</f>
        <v/>
      </c>
      <c r="K3033" s="5">
        <f>HYPERLINK("http://www.eum.go.kr/web/ar/lu/luLandDet.jsp?pnu=3611033025107170002&amp;isNoScr=script&amp;mode=search", "토지이음")</f>
        <v/>
      </c>
      <c r="L3033" s="3" t="inlineStr">
        <is>
          <t>프라임</t>
        </is>
      </c>
      <c r="M3033" s="3" t="n">
        <v>1</v>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3" t="inlineStr">
        <is>
          <t>대로옆  진출입 편리한 계획관리지역 답</t>
        </is>
      </c>
      <c r="I3034" s="5">
        <f>HYPERLINK("https://fin.land.naver.com/articles/2649293430", "매물Link")</f>
        <v/>
      </c>
      <c r="J3034" s="5">
        <f>HYPERLINK("https://map.naver.com/p/search/부강면 문곡리 726", "지도Link")</f>
        <v/>
      </c>
      <c r="K3034" s="5">
        <f>HYPERLINK("http://www.eum.go.kr/web/ar/lu/luLandDet.jsp?pnu=3611033025107260000&amp;isNoScr=script&amp;mode=search", "토지이음")</f>
        <v/>
      </c>
      <c r="L3034" s="3" t="inlineStr">
        <is>
          <t>해밀마을공간</t>
        </is>
      </c>
      <c r="M3034" s="3" t="n">
        <v>1</v>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3" t="inlineStr">
        <is>
          <t>토지 편의점 세차장 일괄 매매</t>
        </is>
      </c>
      <c r="I3035" s="5">
        <f>HYPERLINK("https://fin.land.naver.com/articles/2649131266", "매물Link")</f>
        <v/>
      </c>
      <c r="J3035" s="5">
        <f>HYPERLINK("https://map.naver.com/p/search/부강면 문곡리 750-3", "지도Link")</f>
        <v/>
      </c>
      <c r="K3035" s="5">
        <f>HYPERLINK("http://www.eum.go.kr/web/ar/lu/luLandDet.jsp?pnu=3611033025107500003&amp;isNoScr=script&amp;mode=search", "토지이음")</f>
        <v/>
      </c>
      <c r="L3035" s="3" t="inlineStr">
        <is>
          <t>프라임</t>
        </is>
      </c>
      <c r="M3035" s="3" t="n">
        <v>1</v>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3" t="inlineStr">
        <is>
          <t>nan</t>
        </is>
      </c>
      <c r="I3036" s="5">
        <f>HYPERLINK("https://fin.land.naver.com/articles/2647677197", "매물Link")</f>
        <v/>
      </c>
      <c r="J3036" s="5">
        <f>HYPERLINK("https://map.naver.com/p/search/부강면 문곡리 759", "지도Link")</f>
        <v/>
      </c>
      <c r="K3036" s="5">
        <f>HYPERLINK("http://www.eum.go.kr/web/ar/lu/luLandDet.jsp?pnu=3611033025107590000&amp;isNoScr=script&amp;mode=search", "토지이음")</f>
        <v/>
      </c>
      <c r="L3036" s="3" t="inlineStr">
        <is>
          <t>황제</t>
        </is>
      </c>
      <c r="M3036" s="3" t="n">
        <v>1</v>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3" t="inlineStr">
        <is>
          <t>nan</t>
        </is>
      </c>
      <c r="I3037" s="5">
        <f>HYPERLINK("https://fin.land.naver.com/articles/2646747087", "매물Link")</f>
        <v/>
      </c>
      <c r="J3037" s="5">
        <f>HYPERLINK("https://map.naver.com/p/search/부강면 문곡리 802", "지도Link")</f>
        <v/>
      </c>
      <c r="K3037" s="5">
        <f>HYPERLINK("http://www.eum.go.kr/web/ar/lu/luLandDet.jsp?pnu=3611033025108020000&amp;isNoScr=script&amp;mode=search", "토지이음")</f>
        <v/>
      </c>
      <c r="L3037" s="3" t="inlineStr">
        <is>
          <t>대웅</t>
        </is>
      </c>
      <c r="M3037" s="3" t="n">
        <v>1</v>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3" t="inlineStr">
        <is>
          <t>nan</t>
        </is>
      </c>
      <c r="I3038" s="5">
        <f>HYPERLINK("https://fin.land.naver.com/articles/2649292434", "매물Link")</f>
        <v/>
      </c>
      <c r="J3038" s="5">
        <f>HYPERLINK("https://map.naver.com/p/search/부강면 문곡리 802", "지도Link")</f>
        <v/>
      </c>
      <c r="K3038" s="5">
        <f>HYPERLINK("http://www.eum.go.kr/web/ar/lu/luLandDet.jsp?pnu=3611033025108020000&amp;isNoScr=script&amp;mode=search", "토지이음")</f>
        <v/>
      </c>
      <c r="L3038" s="3" t="inlineStr">
        <is>
          <t>갤러리</t>
        </is>
      </c>
      <c r="M3038" s="3" t="n">
        <v>1</v>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3" t="inlineStr">
        <is>
          <t>2차선 도로옆으로 남청주 IC 3km</t>
        </is>
      </c>
      <c r="I3039" s="5">
        <f>HYPERLINK("https://fin.land.naver.com/articles/2646025170", "매물Link")</f>
        <v/>
      </c>
      <c r="J3039" s="5">
        <f>HYPERLINK("https://map.naver.com/p/search/부강면 문곡리 81", "지도Link")</f>
        <v/>
      </c>
      <c r="K3039" s="5">
        <f>HYPERLINK("http://www.eum.go.kr/web/ar/lu/luLandDet.jsp?pnu=3611033025100810000&amp;isNoScr=script&amp;mode=search", "토지이음")</f>
        <v/>
      </c>
      <c r="L3039" s="3" t="inlineStr">
        <is>
          <t>대웅</t>
        </is>
      </c>
      <c r="M3039" s="3" t="n">
        <v>1</v>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3" t="inlineStr">
        <is>
          <t>계획관리지역,  세종에서 10분이내거리</t>
        </is>
      </c>
      <c r="I3040" s="5">
        <f>HYPERLINK("https://fin.land.naver.com/articles/2649059214", "매물Link")</f>
        <v/>
      </c>
      <c r="J3040" s="5">
        <f>HYPERLINK("https://map.naver.com/p/search/부강면 문곡리 836-2", "지도Link")</f>
        <v/>
      </c>
      <c r="K3040" s="5">
        <f>HYPERLINK("http://www.eum.go.kr/web/ar/lu/luLandDet.jsp?pnu=3611033025108360002&amp;isNoScr=script&amp;mode=search", "토지이음")</f>
        <v/>
      </c>
      <c r="L3040" s="3" t="inlineStr">
        <is>
          <t>이담</t>
        </is>
      </c>
      <c r="M3040" s="3" t="n">
        <v>1</v>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3" t="inlineStr">
        <is>
          <t>세종시 부강면 문곡리  토지 매매</t>
        </is>
      </c>
      <c r="I3041" s="5">
        <f>HYPERLINK("https://fin.land.naver.com/articles/2647497030", "매물Link")</f>
        <v/>
      </c>
      <c r="J3041" s="5">
        <f>HYPERLINK("https://map.naver.com/p/search/부강면 문곡리 836-2", "지도Link")</f>
        <v/>
      </c>
      <c r="K3041" s="5">
        <f>HYPERLINK("http://www.eum.go.kr/web/ar/lu/luLandDet.jsp?pnu=3611033025108360002&amp;isNoScr=script&amp;mode=search", "토지이음")</f>
        <v/>
      </c>
      <c r="L3041" s="3" t="inlineStr">
        <is>
          <t>주식회사넥서스</t>
        </is>
      </c>
      <c r="M3041" s="3" t="n">
        <v>1</v>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3" t="inlineStr">
        <is>
          <t>도로에 접한 계획관리 토지공장허가득함</t>
        </is>
      </c>
      <c r="I3042" s="5">
        <f>HYPERLINK("https://fin.land.naver.com/articles/2644444540", "매물Link")</f>
        <v/>
      </c>
      <c r="J3042" s="5">
        <f>HYPERLINK("https://map.naver.com/p/search/부강면 문곡리 901", "지도Link")</f>
        <v/>
      </c>
      <c r="K3042" s="5">
        <f>HYPERLINK("http://www.eum.go.kr/web/ar/lu/luLandDet.jsp?pnu=3611033025109010000&amp;isNoScr=script&amp;mode=search", "토지이음")</f>
        <v/>
      </c>
      <c r="L3042" s="3" t="inlineStr">
        <is>
          <t>세종대박</t>
        </is>
      </c>
      <c r="M3042" s="3" t="n">
        <v>1</v>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3" t="inlineStr">
        <is>
          <t>투자,공장,창고,주택용지 계획관리토지분할매매가능</t>
        </is>
      </c>
      <c r="I3043" s="5">
        <f>HYPERLINK("https://fin.land.naver.com/articles/2648813377", "매물Link")</f>
        <v/>
      </c>
      <c r="J3043" s="5">
        <f>HYPERLINK("https://map.naver.com/p/search/부강면 문곡리 902-1", "지도Link")</f>
        <v/>
      </c>
      <c r="K3043" s="5">
        <f>HYPERLINK("http://www.eum.go.kr/web/ar/lu/luLandDet.jsp?pnu=3611033025109020001&amp;isNoScr=script&amp;mode=search", "토지이음")</f>
        <v/>
      </c>
      <c r="L3043" s="3" t="inlineStr">
        <is>
          <t>세종대박</t>
        </is>
      </c>
      <c r="M3043" s="3" t="n">
        <v>4</v>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3" t="inlineStr">
        <is>
          <t>즉시 건축 가능한 공장 및 창고부지 계획관리지역 남청주 IC인근</t>
        </is>
      </c>
      <c r="I3044" s="5">
        <f>HYPERLINK("https://fin.land.naver.com/articles/2646279919", "매물Link")</f>
        <v/>
      </c>
      <c r="J3044" s="5">
        <f>HYPERLINK("https://map.naver.com/p/search/부강면 문곡리 903-3", "지도Link")</f>
        <v/>
      </c>
      <c r="K3044" s="5">
        <f>HYPERLINK("http://www.eum.go.kr/web/ar/lu/luLandDet.jsp?pnu=3611033025109030003&amp;isNoScr=script&amp;mode=search", "토지이음")</f>
        <v/>
      </c>
      <c r="L3044" s="3" t="inlineStr">
        <is>
          <t>대전토지로무소</t>
        </is>
      </c>
      <c r="M3044" s="3" t="n">
        <v>1</v>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3" t="inlineStr">
        <is>
          <t>남청주IC와 가까워 물류센터,공장 추천,계획관리지역의 토지</t>
        </is>
      </c>
      <c r="I3045" s="5">
        <f>HYPERLINK("https://fin.land.naver.com/articles/2649253784", "매물Link")</f>
        <v/>
      </c>
      <c r="J3045" s="5">
        <f>HYPERLINK("https://map.naver.com/p/search/부강면 문곡리 903-3", "지도Link")</f>
        <v/>
      </c>
      <c r="K3045" s="5">
        <f>HYPERLINK("http://www.eum.go.kr/web/ar/lu/luLandDet.jsp?pnu=3611033025109030003&amp;isNoScr=script&amp;mode=search", "토지이음")</f>
        <v/>
      </c>
      <c r="L3045" s="3" t="inlineStr">
        <is>
          <t>(주)미르</t>
        </is>
      </c>
      <c r="M3045" s="3" t="n">
        <v>2</v>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3" t="inlineStr">
        <is>
          <t>조율가능 2차선변 진입로넓음 토지모양 평탄화 컨디션최상</t>
        </is>
      </c>
      <c r="I3046" s="5">
        <f>HYPERLINK("https://fin.land.naver.com/articles/2647126182", "매물Link")</f>
        <v/>
      </c>
      <c r="J3046" s="5">
        <f>HYPERLINK("https://map.naver.com/p/search/부강면 문곡리 918-1", "지도Link")</f>
        <v/>
      </c>
      <c r="K3046" s="5">
        <f>HYPERLINK("http://www.eum.go.kr/web/ar/lu/luLandDet.jsp?pnu=3611033025109180001&amp;isNoScr=script&amp;mode=search", "토지이음")</f>
        <v/>
      </c>
      <c r="L3046" s="3" t="inlineStr">
        <is>
          <t>세종스타</t>
        </is>
      </c>
      <c r="M3046" s="3" t="n">
        <v>1</v>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3" t="inlineStr">
        <is>
          <t>도로확보조건이며, 정남향의 토지로 주택개발이나 투자 추천</t>
        </is>
      </c>
      <c r="I3047" s="5">
        <f>HYPERLINK("https://fin.land.naver.com/articles/2648262020", "매물Link")</f>
        <v/>
      </c>
      <c r="J3047" s="5">
        <f>HYPERLINK("https://map.naver.com/p/search/부강면 문곡리 산73-8", "지도Link")</f>
        <v/>
      </c>
      <c r="K3047" s="5">
        <f>HYPERLINK("http://www.eum.go.kr/web/ar/lu/luLandDet.jsp?pnu=3611033025200730008&amp;isNoScr=script&amp;mode=search", "토지이음")</f>
        <v/>
      </c>
      <c r="L3047" s="3" t="inlineStr">
        <is>
          <t>연동스카이</t>
        </is>
      </c>
      <c r="M3047" s="3" t="n">
        <v>1</v>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3" t="inlineStr">
        <is>
          <t>5생활권과 남청주IC 중간에 위치한 보전관리 토지</t>
        </is>
      </c>
      <c r="I3048" s="5">
        <f>HYPERLINK("https://fin.land.naver.com/articles/2647677099", "매물Link")</f>
        <v/>
      </c>
      <c r="J3048" s="5">
        <f>HYPERLINK("https://map.naver.com/p/search/부강면 문곡리 산79", "지도Link")</f>
        <v/>
      </c>
      <c r="K3048" s="5">
        <f>HYPERLINK("http://www.eum.go.kr/web/ar/lu/luLandDet.jsp?pnu=3611033025200790000&amp;isNoScr=script&amp;mode=search", "토지이음")</f>
        <v/>
      </c>
      <c r="L3048" s="3" t="inlineStr">
        <is>
          <t>황제</t>
        </is>
      </c>
      <c r="M3048" s="3" t="n">
        <v>1</v>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3" t="inlineStr">
        <is>
          <t>적극협의가능 분할매매가능 4차선변 최상위치</t>
        </is>
      </c>
      <c r="I3049" s="5">
        <f>HYPERLINK("https://fin.land.naver.com/articles/2644908864", "매물Link")</f>
        <v/>
      </c>
      <c r="J3049" s="5">
        <f>HYPERLINK("https://map.naver.com/p/search/부강면 부강리 1015", "지도Link")</f>
        <v/>
      </c>
      <c r="K3049" s="5">
        <f>HYPERLINK("http://www.eum.go.kr/web/ar/lu/luLandDet.jsp?pnu=3611033021110150000&amp;isNoScr=script&amp;mode=search", "토지이음")</f>
        <v/>
      </c>
      <c r="L3049" s="3" t="inlineStr">
        <is>
          <t>세종스타</t>
        </is>
      </c>
      <c r="M3049" s="3" t="n">
        <v>1</v>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3" t="inlineStr">
        <is>
          <t>nan</t>
        </is>
      </c>
      <c r="I3050" s="5">
        <f>HYPERLINK("https://fin.land.naver.com/articles/2645360588", "매물Link")</f>
        <v/>
      </c>
      <c r="J3050" s="5">
        <f>HYPERLINK("https://map.naver.com/p/search/부강면 부강리 1046-1", "지도Link")</f>
        <v/>
      </c>
      <c r="K3050" s="5">
        <f>HYPERLINK("http://www.eum.go.kr/web/ar/lu/luLandDet.jsp?pnu=3611033021110460001&amp;isNoScr=script&amp;mode=search", "토지이음")</f>
        <v/>
      </c>
      <c r="L3050" s="3" t="inlineStr">
        <is>
          <t>세종땅전문</t>
        </is>
      </c>
      <c r="M3050" s="3" t="n">
        <v>1</v>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3" t="inlineStr">
        <is>
          <t>부강리 도시지역 자역녹지 대지와 전 2필지로 정비소나 애완카페등으로 이용</t>
        </is>
      </c>
      <c r="I3051" s="5">
        <f>HYPERLINK("https://fin.land.naver.com/articles/2645998383", "매물Link")</f>
        <v/>
      </c>
      <c r="J3051" s="5">
        <f>HYPERLINK("https://map.naver.com/p/search/부강면 부강리 1046-4", "지도Link")</f>
        <v/>
      </c>
      <c r="K3051" s="5">
        <f>HYPERLINK("http://www.eum.go.kr/web/ar/lu/luLandDet.jsp?pnu=3611033021110460004&amp;isNoScr=script&amp;mode=search", "토지이음")</f>
        <v/>
      </c>
      <c r="L3051" s="3" t="inlineStr">
        <is>
          <t>스마일세종</t>
        </is>
      </c>
      <c r="M3051" s="3" t="n">
        <v>1</v>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3" t="inlineStr">
        <is>
          <t>버스 .대형차 차고지 사용하실분 환영 (사무실용도 27㎡)포함임</t>
        </is>
      </c>
      <c r="I3052" s="5">
        <f>HYPERLINK("https://fin.land.naver.com/articles/2646976829", "매물Link")</f>
        <v/>
      </c>
      <c r="J3052" s="5">
        <f>HYPERLINK("https://map.naver.com/p/search/부강면 부강리 1060-4", "지도Link")</f>
        <v/>
      </c>
      <c r="K3052" s="5">
        <f>HYPERLINK("http://www.eum.go.kr/web/ar/lu/luLandDet.jsp?pnu=3611033021110600004&amp;isNoScr=script&amp;mode=search", "토지이음")</f>
        <v/>
      </c>
      <c r="L3052" s="3" t="inlineStr">
        <is>
          <t>대박</t>
        </is>
      </c>
      <c r="M3052" s="3" t="n">
        <v>1</v>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3" t="inlineStr">
        <is>
          <t>투자추천. 세종시 귀한 소형평수. 남세종IC. 부강역인근. 5생활권 근접</t>
        </is>
      </c>
      <c r="I3053" s="5">
        <f>HYPERLINK("https://fin.land.naver.com/articles/2645421177", "매물Link")</f>
        <v/>
      </c>
      <c r="J3053" s="5">
        <f>HYPERLINK("https://map.naver.com/p/search/부강면 부강리 1094-1", "지도Link")</f>
        <v/>
      </c>
      <c r="K3053" s="5">
        <f>HYPERLINK("http://www.eum.go.kr/web/ar/lu/luLandDet.jsp?pnu=3611033021110940001&amp;isNoScr=script&amp;mode=search", "토지이음")</f>
        <v/>
      </c>
      <c r="L3053" s="3" t="inlineStr">
        <is>
          <t>세종금밭</t>
        </is>
      </c>
      <c r="M3053" s="3" t="n">
        <v>1</v>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3" t="inlineStr">
        <is>
          <t>5생활권 분양시작으로 인한 원투룸이 부족한상태이므로 다가구부지추천</t>
        </is>
      </c>
      <c r="I3054" s="5">
        <f>HYPERLINK("https://fin.land.naver.com/articles/2648254762", "매물Link")</f>
        <v/>
      </c>
      <c r="J3054" s="5">
        <f>HYPERLINK("https://map.naver.com/p/search/부강면 부강리 113-2", "지도Link")</f>
        <v/>
      </c>
      <c r="K3054" s="5">
        <f>HYPERLINK("http://www.eum.go.kr/web/ar/lu/luLandDet.jsp?pnu=3611033021101130002&amp;isNoScr=script&amp;mode=search", "토지이음")</f>
        <v/>
      </c>
      <c r="L3054" s="3" t="inlineStr">
        <is>
          <t>연동스카이</t>
        </is>
      </c>
      <c r="M3054" s="3" t="n">
        <v>1</v>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3" t="inlineStr">
        <is>
          <t>대토추천, 세로한면불토지</t>
        </is>
      </c>
      <c r="I3055" s="5">
        <f>HYPERLINK("https://fin.land.naver.com/articles/2650179837", "매물Link")</f>
        <v/>
      </c>
      <c r="J3055" s="5">
        <f>HYPERLINK("https://map.naver.com/p/search/부강면 부강리 1215-2", "지도Link")</f>
        <v/>
      </c>
      <c r="K3055" s="5">
        <f>HYPERLINK("http://www.eum.go.kr/web/ar/lu/luLandDet.jsp?pnu=3611033021112150002&amp;isNoScr=script&amp;mode=search", "토지이음")</f>
        <v/>
      </c>
      <c r="L3055" s="3" t="inlineStr">
        <is>
          <t>연동스카이</t>
        </is>
      </c>
      <c r="M3055" s="3" t="n">
        <v>1</v>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3" t="inlineStr">
        <is>
          <t>계획관리지역, 농막, 비닐하우스, 성토완료, 지하수있음</t>
        </is>
      </c>
      <c r="I3056" s="5">
        <f>HYPERLINK("https://fin.land.naver.com/articles/2648785151", "매물Link")</f>
        <v/>
      </c>
      <c r="J3056" s="5">
        <f>HYPERLINK("https://map.naver.com/p/search/부강면 부강리 1230", "지도Link")</f>
        <v/>
      </c>
      <c r="K3056" s="5">
        <f>HYPERLINK("http://www.eum.go.kr/web/ar/lu/luLandDet.jsp?pnu=3611033021112300000&amp;isNoScr=script&amp;mode=search", "토지이음")</f>
        <v/>
      </c>
      <c r="L3056" s="3" t="inlineStr">
        <is>
          <t>이담</t>
        </is>
      </c>
      <c r="M3056" s="3" t="n">
        <v>1</v>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3" t="inlineStr">
        <is>
          <t>코너각지땅모양예쁜땅,지대가높아확트인조망,행복도시10분이내</t>
        </is>
      </c>
      <c r="I3057" s="5">
        <f>HYPERLINK("https://fin.land.naver.com/articles/2645765651", "매물Link")</f>
        <v/>
      </c>
      <c r="J3057" s="5">
        <f>HYPERLINK("https://map.naver.com/p/search/부강면 부강리 343-1", "지도Link")</f>
        <v/>
      </c>
      <c r="K3057" s="5">
        <f>HYPERLINK("http://www.eum.go.kr/web/ar/lu/luLandDet.jsp?pnu=3611033021103430001&amp;isNoScr=script&amp;mode=search", "토지이음")</f>
        <v/>
      </c>
      <c r="L3057" s="3" t="inlineStr">
        <is>
          <t>타이밍</t>
        </is>
      </c>
      <c r="M3057" s="3" t="n">
        <v>1</v>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3" t="inlineStr">
        <is>
          <t>부강면 나대지 매매, 부강역, 부강면사무소 인근, 근생 및 단독주택 건축</t>
        </is>
      </c>
      <c r="I3058" s="5">
        <f>HYPERLINK("https://fin.land.naver.com/articles/2645576373", "매물Link")</f>
        <v/>
      </c>
      <c r="J3058" s="5">
        <f>HYPERLINK("https://map.naver.com/p/search/부강면 부강리 386", "지도Link")</f>
        <v/>
      </c>
      <c r="K3058" s="5">
        <f>HYPERLINK("http://www.eum.go.kr/web/ar/lu/luLandDet.jsp?pnu=3611033021103860000&amp;isNoScr=script&amp;mode=search", "토지이음")</f>
        <v/>
      </c>
      <c r="L3058" s="3" t="inlineStr">
        <is>
          <t>스카이</t>
        </is>
      </c>
      <c r="M3058" s="3" t="n">
        <v>1</v>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3" t="inlineStr">
        <is>
          <t>5생활권 인근  주택  유통 할수 있고 미래 투자가치  좋은대지.</t>
        </is>
      </c>
      <c r="I3059" s="5">
        <f>HYPERLINK("https://fin.land.naver.com/articles/2647755692", "매물Link")</f>
        <v/>
      </c>
      <c r="J3059" s="5">
        <f>HYPERLINK("https://map.naver.com/p/search/부강면 부강리 386", "지도Link")</f>
        <v/>
      </c>
      <c r="K3059" s="5">
        <f>HYPERLINK("http://www.eum.go.kr/web/ar/lu/luLandDet.jsp?pnu=3611033021103860000&amp;isNoScr=script&amp;mode=search", "토지이음")</f>
        <v/>
      </c>
      <c r="L3059" s="3" t="inlineStr">
        <is>
          <t>강남뜰</t>
        </is>
      </c>
      <c r="M3059" s="3" t="n">
        <v>1</v>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3" t="inlineStr">
        <is>
          <t>추천.  현재 식당 운영 입지좋은 위치 상업시설 짓기 좋은 곳</t>
        </is>
      </c>
      <c r="I3060" s="5">
        <f>HYPERLINK("https://fin.land.naver.com/articles/2646737506", "매물Link")</f>
        <v/>
      </c>
      <c r="J3060" s="5">
        <f>HYPERLINK("https://map.naver.com/p/search/부강면 부강리 446-13", "지도Link")</f>
        <v/>
      </c>
      <c r="K3060" s="5">
        <f>HYPERLINK("http://www.eum.go.kr/web/ar/lu/luLandDet.jsp?pnu=3611033021104460013&amp;isNoScr=script&amp;mode=search", "토지이음")</f>
        <v/>
      </c>
      <c r="L3060" s="3" t="inlineStr">
        <is>
          <t>한강롯데(단지내)</t>
        </is>
      </c>
      <c r="M3060" s="3" t="n">
        <v>1</v>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3" t="inlineStr">
        <is>
          <t>세종시의 주거 상업용지로  개발가치및 인프라좋은 저렴한 매물</t>
        </is>
      </c>
      <c r="I3061" s="5">
        <f>HYPERLINK("https://fin.land.naver.com/articles/2646390369", "매물Link")</f>
        <v/>
      </c>
      <c r="J3061" s="5">
        <f>HYPERLINK("https://map.naver.com/p/search/부강면 부강리 457-3", "지도Link")</f>
        <v/>
      </c>
      <c r="K3061" s="5">
        <f>HYPERLINK("http://www.eum.go.kr/web/ar/lu/luLandDet.jsp?pnu=3611033021104570003&amp;isNoScr=script&amp;mode=search", "토지이음")</f>
        <v/>
      </c>
      <c r="L3061" s="3" t="inlineStr">
        <is>
          <t>매그놀리아</t>
        </is>
      </c>
      <c r="M3061" s="3" t="n">
        <v>2</v>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3" t="inlineStr">
        <is>
          <t>부강초등학교 인근에 있는 일반주거지역으로 다가구주택 부지로 좋은 대지</t>
        </is>
      </c>
      <c r="I3062" s="5">
        <f>HYPERLINK("https://fin.land.naver.com/articles/2645181919", "매물Link")</f>
        <v/>
      </c>
      <c r="J3062" s="5">
        <f>HYPERLINK("https://map.naver.com/p/search/부강면 부강리 486-3", "지도Link")</f>
        <v/>
      </c>
      <c r="K3062" s="5">
        <f>HYPERLINK("http://www.eum.go.kr/web/ar/lu/luLandDet.jsp?pnu=3611033021104860003&amp;isNoScr=script&amp;mode=search", "토지이음")</f>
        <v/>
      </c>
      <c r="L3062" s="3" t="inlineStr">
        <is>
          <t>스마일세종</t>
        </is>
      </c>
      <c r="M3062" s="3" t="n">
        <v>2</v>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3" t="inlineStr">
        <is>
          <t>nan</t>
        </is>
      </c>
      <c r="I3063" s="5">
        <f>HYPERLINK("https://fin.land.naver.com/articles/2645446051", "매물Link")</f>
        <v/>
      </c>
      <c r="J3063" s="5">
        <f>HYPERLINK("https://map.naver.com/p/search/부강면 부강리 506-9", "지도Link")</f>
        <v/>
      </c>
      <c r="K3063" s="5">
        <f>HYPERLINK("http://www.eum.go.kr/web/ar/lu/luLandDet.jsp?pnu=3611033021105060009&amp;isNoScr=script&amp;mode=search", "토지이음")</f>
        <v/>
      </c>
      <c r="L3063" s="3" t="inlineStr">
        <is>
          <t>진황금</t>
        </is>
      </c>
      <c r="M3063" s="3" t="n">
        <v>1</v>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3" t="inlineStr">
        <is>
          <t>입지 좋은 접근성 최상의 토지, 대로 2류 착공 예정, 가격 상승 기대</t>
        </is>
      </c>
      <c r="I3064" s="5">
        <f>HYPERLINK("https://fin.land.naver.com/articles/2644671934", "매물Link")</f>
        <v/>
      </c>
      <c r="J3064" s="5">
        <f>HYPERLINK("https://map.naver.com/p/search/부강면 부강리 580-1", "지도Link")</f>
        <v/>
      </c>
      <c r="K3064" s="5">
        <f>HYPERLINK("http://www.eum.go.kr/web/ar/lu/luLandDet.jsp?pnu=3611033021105800001&amp;isNoScr=script&amp;mode=search", "토지이음")</f>
        <v/>
      </c>
      <c r="L3064" s="3" t="inlineStr">
        <is>
          <t>행복한무소</t>
        </is>
      </c>
      <c r="M3064" s="3" t="n">
        <v>1</v>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3" t="inlineStr">
        <is>
          <t>nan</t>
        </is>
      </c>
      <c r="I3065" s="5">
        <f>HYPERLINK("https://fin.land.naver.com/articles/2647077993", "매물Link")</f>
        <v/>
      </c>
      <c r="J3065" s="5">
        <f>HYPERLINK("https://map.naver.com/p/search/부강면 부강리 580-1", "지도Link")</f>
        <v/>
      </c>
      <c r="K3065" s="5">
        <f>HYPERLINK("http://www.eum.go.kr/web/ar/lu/luLandDet.jsp?pnu=3611033021105800001&amp;isNoScr=script&amp;mode=search", "토지이음")</f>
        <v/>
      </c>
      <c r="L3065" s="3" t="inlineStr">
        <is>
          <t>박프로TV</t>
        </is>
      </c>
      <c r="M3065" s="3" t="n">
        <v>1</v>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3" t="inlineStr">
        <is>
          <t>다용도로사용가능.현재사무실및창고용건물존재116.64제곱.금강변인접</t>
        </is>
      </c>
      <c r="I3066" s="5">
        <f>HYPERLINK("https://fin.land.naver.com/articles/2648371246", "매물Link")</f>
        <v/>
      </c>
      <c r="J3066" s="5">
        <f>HYPERLINK("https://map.naver.com/p/search/부강면 부강리 717", "지도Link")</f>
        <v/>
      </c>
      <c r="K3066" s="5">
        <f>HYPERLINK("http://www.eum.go.kr/web/ar/lu/luLandDet.jsp?pnu=3611033021107170000&amp;isNoScr=script&amp;mode=search", "토지이음")</f>
        <v/>
      </c>
      <c r="L3066" s="3" t="inlineStr">
        <is>
          <t>돈방석</t>
        </is>
      </c>
      <c r="M3066" s="3" t="n">
        <v>1</v>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3" t="inlineStr">
        <is>
          <t>부강면과 북대전IC간 광역도로 개통 호재 있는 부강면 계획관리 대지 급매</t>
        </is>
      </c>
      <c r="I3067" s="5">
        <f>HYPERLINK("https://fin.land.naver.com/articles/2645608868", "매물Link")</f>
        <v/>
      </c>
      <c r="J3067" s="5">
        <f>HYPERLINK("https://map.naver.com/p/search/부강면 부강리 729", "지도Link")</f>
        <v/>
      </c>
      <c r="K3067" s="5">
        <f>HYPERLINK("http://www.eum.go.kr/web/ar/lu/luLandDet.jsp?pnu=3611033021107290000&amp;isNoScr=script&amp;mode=search", "토지이음")</f>
        <v/>
      </c>
      <c r="L3067" s="3" t="inlineStr">
        <is>
          <t>청담</t>
        </is>
      </c>
      <c r="M3067" s="3" t="n">
        <v>1</v>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3" t="inlineStr">
        <is>
          <t>세종 부강면 진입로 있는 토지,전기 인입등 투자용 토지</t>
        </is>
      </c>
      <c r="I3068" s="5">
        <f>HYPERLINK("https://fin.land.naver.com/articles/2647002431", "매물Link")</f>
        <v/>
      </c>
      <c r="J3068" s="5">
        <f>HYPERLINK("https://map.naver.com/p/search/부강면 부강리 745", "지도Link")</f>
        <v/>
      </c>
      <c r="K3068" s="5">
        <f>HYPERLINK("http://www.eum.go.kr/web/ar/lu/luLandDet.jsp?pnu=3611033021107450000&amp;isNoScr=script&amp;mode=search", "토지이음")</f>
        <v/>
      </c>
      <c r="L3068" s="3" t="inlineStr">
        <is>
          <t>민트</t>
        </is>
      </c>
      <c r="M3068" s="3" t="n">
        <v>1</v>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3" t="inlineStr">
        <is>
          <t>도로 인접</t>
        </is>
      </c>
      <c r="I3069" s="5">
        <f>HYPERLINK("https://fin.land.naver.com/articles/2648271909", "매물Link")</f>
        <v/>
      </c>
      <c r="J3069" s="5">
        <f>HYPERLINK("https://map.naver.com/p/search/부강면 부강리 758", "지도Link")</f>
        <v/>
      </c>
      <c r="K3069" s="5">
        <f>HYPERLINK("http://www.eum.go.kr/web/ar/lu/luLandDet.jsp?pnu=3611033021107580000&amp;isNoScr=script&amp;mode=search", "토지이음")</f>
        <v/>
      </c>
      <c r="L3069" s="3" t="inlineStr">
        <is>
          <t>세종제일1</t>
        </is>
      </c>
      <c r="M3069" s="3" t="n">
        <v>3</v>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3" t="inlineStr">
        <is>
          <t>급매,가격협의가능, 대토 또는 투자로 추천</t>
        </is>
      </c>
      <c r="I3070" s="5">
        <f>HYPERLINK("https://fin.land.naver.com/articles/2646090614", "매물Link")</f>
        <v/>
      </c>
      <c r="J3070" s="5">
        <f>HYPERLINK("https://map.naver.com/p/search/부강면 부강리 825-4", "지도Link")</f>
        <v/>
      </c>
      <c r="K3070" s="5">
        <f>HYPERLINK("http://www.eum.go.kr/web/ar/lu/luLandDet.jsp?pnu=3611033021108250004&amp;isNoScr=script&amp;mode=search", "토지이음")</f>
        <v/>
      </c>
      <c r="L3070" s="3" t="inlineStr">
        <is>
          <t>담뜰</t>
        </is>
      </c>
      <c r="M3070" s="3" t="n">
        <v>1</v>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3" t="inlineStr">
        <is>
          <t>도시지역,2차선접,땅모양좋아요</t>
        </is>
      </c>
      <c r="I3071" s="5">
        <f>HYPERLINK("https://fin.land.naver.com/articles/2644050906", "매물Link")</f>
        <v/>
      </c>
      <c r="J3071" s="5">
        <f>HYPERLINK("https://map.naver.com/p/search/부강면 부강리 885", "지도Link")</f>
        <v/>
      </c>
      <c r="K3071" s="5">
        <f>HYPERLINK("http://www.eum.go.kr/web/ar/lu/luLandDet.jsp?pnu=3611033021108850000&amp;isNoScr=script&amp;mode=search", "토지이음")</f>
        <v/>
      </c>
      <c r="L3071" s="3" t="inlineStr">
        <is>
          <t>힐스테이트행복</t>
        </is>
      </c>
      <c r="M3071" s="3" t="n">
        <v>1</v>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3" t="inlineStr">
        <is>
          <t>소액으로 투자할수있는 가격저렴한 작은토지로 최상</t>
        </is>
      </c>
      <c r="I3072" s="5">
        <f>HYPERLINK("https://fin.land.naver.com/articles/2650178056", "매물Link")</f>
        <v/>
      </c>
      <c r="J3072" s="5">
        <f>HYPERLINK("https://map.naver.com/p/search/부강면 부강리 894", "지도Link")</f>
        <v/>
      </c>
      <c r="K3072" s="5">
        <f>HYPERLINK("http://www.eum.go.kr/web/ar/lu/luLandDet.jsp?pnu=3611033021108940000&amp;isNoScr=script&amp;mode=search", "토지이음")</f>
        <v/>
      </c>
      <c r="L3072" s="3" t="inlineStr">
        <is>
          <t>연동스카이</t>
        </is>
      </c>
      <c r="M3072" s="3" t="n">
        <v>1</v>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3" t="inlineStr">
        <is>
          <t>nan</t>
        </is>
      </c>
      <c r="I3073" s="5">
        <f>HYPERLINK("https://fin.land.naver.com/articles/2649292999", "매물Link")</f>
        <v/>
      </c>
      <c r="J3073" s="5">
        <f>HYPERLINK("https://map.naver.com/p/search/부강면 부강리 933-7", "지도Link")</f>
        <v/>
      </c>
      <c r="K3073" s="5">
        <f>HYPERLINK("http://www.eum.go.kr/web/ar/lu/luLandDet.jsp?pnu=3611033021109330007&amp;isNoScr=script&amp;mode=search", "토지이음")</f>
        <v/>
      </c>
      <c r="L3073" s="3" t="inlineStr">
        <is>
          <t>해밀마을공간</t>
        </is>
      </c>
      <c r="M3073" s="3" t="n">
        <v>1</v>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3" t="inlineStr">
        <is>
          <t>급매, 절충가능한 다가구 주택 부지로 적합한 제2종일반주거지역의 토지</t>
        </is>
      </c>
      <c r="I3074" s="5">
        <f>HYPERLINK("https://fin.land.naver.com/articles/2647476137", "매물Link")</f>
        <v/>
      </c>
      <c r="J3074" s="5">
        <f>HYPERLINK("https://map.naver.com/p/search/부강면 부강리 951", "지도Link")</f>
        <v/>
      </c>
      <c r="K3074" s="5">
        <f>HYPERLINK("http://www.eum.go.kr/web/ar/lu/luLandDet.jsp?pnu=3611033021109510000&amp;isNoScr=script&amp;mode=search", "토지이음")</f>
        <v/>
      </c>
      <c r="L3074" s="3" t="inlineStr">
        <is>
          <t>스마일세종</t>
        </is>
      </c>
      <c r="M3074" s="3" t="n">
        <v>1</v>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3" t="inlineStr">
        <is>
          <t>nan</t>
        </is>
      </c>
      <c r="I3075" s="5">
        <f>HYPERLINK("https://fin.land.naver.com/articles/2650177835", "매물Link")</f>
        <v/>
      </c>
      <c r="J3075" s="5">
        <f>HYPERLINK("https://map.naver.com/p/search/부강면 부강리 955-1", "지도Link")</f>
        <v/>
      </c>
      <c r="K3075" s="5">
        <f>HYPERLINK("http://www.eum.go.kr/web/ar/lu/luLandDet.jsp?pnu=3611033021109550001&amp;isNoScr=script&amp;mode=search", "토지이음")</f>
        <v/>
      </c>
      <c r="L3075" s="3" t="inlineStr">
        <is>
          <t>연동스카이</t>
        </is>
      </c>
      <c r="M3075" s="3" t="n">
        <v>1</v>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3" t="inlineStr">
        <is>
          <t>부강리 제2종일반주거지역으로 다가구 주택을 지으면 수익율 좋은 토지입니다</t>
        </is>
      </c>
      <c r="I3076" s="5">
        <f>HYPERLINK("https://fin.land.naver.com/articles/2646322612", "매물Link")</f>
        <v/>
      </c>
      <c r="J3076" s="5">
        <f>HYPERLINK("https://map.naver.com/p/search/부강면 부강리 961-1", "지도Link")</f>
        <v/>
      </c>
      <c r="K3076" s="5">
        <f>HYPERLINK("http://www.eum.go.kr/web/ar/lu/luLandDet.jsp?pnu=3611033021109610001&amp;isNoScr=script&amp;mode=search", "토지이음")</f>
        <v/>
      </c>
      <c r="L3076" s="3" t="inlineStr">
        <is>
          <t>스마일세종</t>
        </is>
      </c>
      <c r="M3076" s="3" t="n">
        <v>1</v>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3" t="inlineStr">
        <is>
          <t>nan</t>
        </is>
      </c>
      <c r="I3077" s="5">
        <f>HYPERLINK("https://fin.land.naver.com/articles/2647515151", "매물Link")</f>
        <v/>
      </c>
      <c r="J3077" s="5">
        <f>HYPERLINK("https://map.naver.com/p/search/부강면 부강리 967-4", "지도Link")</f>
        <v/>
      </c>
      <c r="K3077" s="5">
        <f>HYPERLINK("http://www.eum.go.kr/web/ar/lu/luLandDet.jsp?pnu=3611033021109670004&amp;isNoScr=script&amp;mode=search", "토지이음")</f>
        <v/>
      </c>
      <c r="L3077" s="3" t="inlineStr">
        <is>
          <t>안성대로</t>
        </is>
      </c>
      <c r="M3077" s="3" t="n">
        <v>1</v>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3" t="inlineStr">
        <is>
          <t>8미터 계획도로접한 2종일반주거 다가구,상가 건축가능 오배수연결완료됨</t>
        </is>
      </c>
      <c r="I3078" s="5">
        <f>HYPERLINK("https://fin.land.naver.com/articles/2646745570", "매물Link")</f>
        <v/>
      </c>
      <c r="J3078" s="5">
        <f>HYPERLINK("https://map.naver.com/p/search/부강면 부강리 973-26", "지도Link")</f>
        <v/>
      </c>
      <c r="K3078" s="5">
        <f>HYPERLINK("http://www.eum.go.kr/web/ar/lu/luLandDet.jsp?pnu=3611033021109730026&amp;isNoScr=script&amp;mode=search", "토지이음")</f>
        <v/>
      </c>
      <c r="L3078" s="3" t="inlineStr">
        <is>
          <t>향기나는방</t>
        </is>
      </c>
      <c r="M3078" s="3" t="n">
        <v>1</v>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3" t="inlineStr">
        <is>
          <t>8미터 계획도로접한 2종일반주거 다가구,상가 건축가능 오배수연결완료됨</t>
        </is>
      </c>
      <c r="I3079" s="5">
        <f>HYPERLINK("https://fin.land.naver.com/articles/2646745166", "매물Link")</f>
        <v/>
      </c>
      <c r="J3079" s="5">
        <f>HYPERLINK("https://map.naver.com/p/search/부강면 부강리 973-3", "지도Link")</f>
        <v/>
      </c>
      <c r="K3079" s="5">
        <f>HYPERLINK("http://www.eum.go.kr/web/ar/lu/luLandDet.jsp?pnu=3611033021109730003&amp;isNoScr=script&amp;mode=search", "토지이음")</f>
        <v/>
      </c>
      <c r="L3079" s="3" t="inlineStr">
        <is>
          <t>향기나는방</t>
        </is>
      </c>
      <c r="M3079" s="3" t="n">
        <v>1</v>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3" t="inlineStr">
        <is>
          <t>계획관리 대지 전원주택용 투자처로 추천</t>
        </is>
      </c>
      <c r="I3080" s="5">
        <f>HYPERLINK("https://fin.land.naver.com/articles/2647087633", "매물Link")</f>
        <v/>
      </c>
      <c r="J3080" s="5">
        <f>HYPERLINK("https://map.naver.com/p/search/부강면 산수리 128", "지도Link")</f>
        <v/>
      </c>
      <c r="K3080" s="5">
        <f>HYPERLINK("http://www.eum.go.kr/web/ar/lu/luLandDet.jsp?pnu=3611033023101280000&amp;isNoScr=script&amp;mode=search", "토지이음")</f>
        <v/>
      </c>
      <c r="L3080" s="3" t="inlineStr">
        <is>
          <t>뉴엘리트탑</t>
        </is>
      </c>
      <c r="M3080" s="3" t="n">
        <v>1</v>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3" t="inlineStr">
        <is>
          <t>계획관리 투자 또는 전원생활 최적지로 강력 추천</t>
        </is>
      </c>
      <c r="I3081" s="5">
        <f>HYPERLINK("https://fin.land.naver.com/articles/2648544454", "매물Link")</f>
        <v/>
      </c>
      <c r="J3081" s="5">
        <f>HYPERLINK("https://map.naver.com/p/search/부강면 산수리 207", "지도Link")</f>
        <v/>
      </c>
      <c r="K3081" s="5">
        <f>HYPERLINK("http://www.eum.go.kr/web/ar/lu/luLandDet.jsp?pnu=3611033023102070000&amp;isNoScr=script&amp;mode=search", "토지이음")</f>
        <v/>
      </c>
      <c r="L3081" s="3" t="inlineStr">
        <is>
          <t>뉴엘리트탑</t>
        </is>
      </c>
      <c r="M3081" s="3" t="n">
        <v>1</v>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3" t="inlineStr">
        <is>
          <t>주택허가축사경작지 일괄, 축산승계귀농농장 추천</t>
        </is>
      </c>
      <c r="I3082" s="5">
        <f>HYPERLINK("https://fin.land.naver.com/articles/2649836388", "매물Link")</f>
        <v/>
      </c>
      <c r="J3082" s="5">
        <f>HYPERLINK("https://map.naver.com/p/search/부강면 산수리 243", "지도Link")</f>
        <v/>
      </c>
      <c r="K3082" s="5">
        <f>HYPERLINK("http://www.eum.go.kr/web/ar/lu/luLandDet.jsp?pnu=3611033023102430000&amp;isNoScr=script&amp;mode=search", "토지이음")</f>
        <v/>
      </c>
      <c r="L3082" s="3" t="inlineStr">
        <is>
          <t>세종소담황금</t>
        </is>
      </c>
      <c r="M3082" s="3" t="n">
        <v>1</v>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3" t="inlineStr">
        <is>
          <t>세종시 부강면 주택, 축사·부속시설, 전 사통팔달 교통,계획관리알짜 급매</t>
        </is>
      </c>
      <c r="I3083" s="5">
        <f>HYPERLINK("https://fin.land.naver.com/articles/2650006026", "매물Link")</f>
        <v/>
      </c>
      <c r="J3083" s="5">
        <f>HYPERLINK("https://map.naver.com/p/search/부강면 산수리 243", "지도Link")</f>
        <v/>
      </c>
      <c r="K3083" s="5">
        <f>HYPERLINK("http://www.eum.go.kr/web/ar/lu/luLandDet.jsp?pnu=3611033023102430000&amp;isNoScr=script&amp;mode=search", "토지이음")</f>
        <v/>
      </c>
      <c r="L3083" s="3" t="inlineStr">
        <is>
          <t>세종</t>
        </is>
      </c>
      <c r="M3083" s="3" t="n">
        <v>1</v>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3" t="inlineStr">
        <is>
          <t>투자유망 세종관내 목장, 주택등 매매</t>
        </is>
      </c>
      <c r="I3084" s="5">
        <f>HYPERLINK("https://fin.land.naver.com/articles/2648634114", "매물Link")</f>
        <v/>
      </c>
      <c r="J3084" s="5">
        <f>HYPERLINK("https://map.naver.com/p/search/부강면 산수리 243-2", "지도Link")</f>
        <v/>
      </c>
      <c r="K3084" s="5">
        <f>HYPERLINK("http://www.eum.go.kr/web/ar/lu/luLandDet.jsp?pnu=3611033023102430002&amp;isNoScr=script&amp;mode=search", "토지이음")</f>
        <v/>
      </c>
      <c r="L3084" s="3" t="inlineStr">
        <is>
          <t>대하</t>
        </is>
      </c>
      <c r="M3084" s="3" t="n">
        <v>1</v>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3" t="inlineStr">
        <is>
          <t>농림지역, 현 창고 ,산수삼거리 인접, 창고, 편의점, 소매, 고물상추천</t>
        </is>
      </c>
      <c r="I3085" s="5">
        <f>HYPERLINK("https://fin.land.naver.com/articles/2643998878", "매물Link")</f>
        <v/>
      </c>
      <c r="J3085" s="5">
        <f>HYPERLINK("https://map.naver.com/p/search/부강면 산수리 35-7", "지도Link")</f>
        <v/>
      </c>
      <c r="K3085" s="5">
        <f>HYPERLINK("http://www.eum.go.kr/web/ar/lu/luLandDet.jsp?pnu=3611033023100350007&amp;isNoScr=script&amp;mode=search", "토지이음")</f>
        <v/>
      </c>
      <c r="L3085" s="3" t="inlineStr">
        <is>
          <t>청주모충사모1/2LH트릴로채명성</t>
        </is>
      </c>
      <c r="M3085" s="3" t="n">
        <v>1</v>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3" t="inlineStr">
        <is>
          <t>nan</t>
        </is>
      </c>
      <c r="I3086" s="5">
        <f>HYPERLINK("https://fin.land.naver.com/articles/2649606859", "매물Link")</f>
        <v/>
      </c>
      <c r="J3086" s="5">
        <f>HYPERLINK("https://map.naver.com/p/search/부강면 산수리 366", "지도Link")</f>
        <v/>
      </c>
      <c r="K3086" s="5">
        <f>HYPERLINK("http://www.eum.go.kr/web/ar/lu/luLandDet.jsp?pnu=3611033023103660000&amp;isNoScr=script&amp;mode=search", "토지이음")</f>
        <v/>
      </c>
      <c r="L3086" s="3" t="inlineStr">
        <is>
          <t>행복가득한</t>
        </is>
      </c>
      <c r="M3086" s="3" t="n">
        <v>1</v>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3" t="inlineStr">
        <is>
          <t>농지 급매  세종시 농지 매도합니다. 대토 추천</t>
        </is>
      </c>
      <c r="I3087" s="5">
        <f>HYPERLINK("https://fin.land.naver.com/articles/2649906361", "매물Link")</f>
        <v/>
      </c>
      <c r="J3087" s="5">
        <f>HYPERLINK("https://map.naver.com/p/search/부강면 산수리 397", "지도Link")</f>
        <v/>
      </c>
      <c r="K3087" s="5">
        <f>HYPERLINK("http://www.eum.go.kr/web/ar/lu/luLandDet.jsp?pnu=3611033023103970000&amp;isNoScr=script&amp;mode=search", "토지이음")</f>
        <v/>
      </c>
      <c r="L3087" s="3" t="inlineStr">
        <is>
          <t>미스터홈즈강남지사</t>
        </is>
      </c>
      <c r="M3087" s="3" t="n">
        <v>1</v>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3" t="inlineStr">
        <is>
          <t>세종시 부강면에 위치한 토지 매매</t>
        </is>
      </c>
      <c r="I3088" s="5">
        <f>HYPERLINK("https://fin.land.naver.com/articles/2647590296", "매물Link")</f>
        <v/>
      </c>
      <c r="J3088" s="5">
        <f>HYPERLINK("https://map.naver.com/p/search/부강면 산수리 539", "지도Link")</f>
        <v/>
      </c>
      <c r="K3088" s="5">
        <f>HYPERLINK("http://www.eum.go.kr/web/ar/lu/luLandDet.jsp?pnu=3611033023105390000&amp;isNoScr=script&amp;mode=search", "토지이음")</f>
        <v/>
      </c>
      <c r="L3088" s="3" t="inlineStr">
        <is>
          <t>대지</t>
        </is>
      </c>
      <c r="M3088" s="3" t="n">
        <v>1</v>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3" t="inlineStr">
        <is>
          <t>산수리 계획관리지역 대지 전 매매</t>
        </is>
      </c>
      <c r="I3089" s="5">
        <f>HYPERLINK("https://fin.land.naver.com/articles/2646598391", "매물Link")</f>
        <v/>
      </c>
      <c r="J3089" s="5">
        <f>HYPERLINK("https://map.naver.com/p/search/부강면 산수리 92-2", "지도Link")</f>
        <v/>
      </c>
      <c r="K3089" s="5">
        <f>HYPERLINK("http://www.eum.go.kr/web/ar/lu/luLandDet.jsp?pnu=3611033023100920002&amp;isNoScr=script&amp;mode=search", "토지이음")</f>
        <v/>
      </c>
      <c r="L3089" s="3" t="inlineStr">
        <is>
          <t>진성</t>
        </is>
      </c>
      <c r="M3089" s="3" t="n">
        <v>1</v>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3" t="inlineStr">
        <is>
          <t>산수리 계획관리지역으로 전과 대로 이뤄진 2필지 급매</t>
        </is>
      </c>
      <c r="I3090" s="5">
        <f>HYPERLINK("https://fin.land.naver.com/articles/2645640836", "매물Link")</f>
        <v/>
      </c>
      <c r="J3090" s="5">
        <f>HYPERLINK("https://map.naver.com/p/search/부강면 산수리 92-2", "지도Link")</f>
        <v/>
      </c>
      <c r="K3090" s="5">
        <f>HYPERLINK("http://www.eum.go.kr/web/ar/lu/luLandDet.jsp?pnu=3611033023100920002&amp;isNoScr=script&amp;mode=search", "토지이음")</f>
        <v/>
      </c>
      <c r="L3090" s="3" t="inlineStr">
        <is>
          <t>세종대장</t>
        </is>
      </c>
      <c r="M3090" s="3" t="n">
        <v>1</v>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3" t="inlineStr">
        <is>
          <t>nan</t>
        </is>
      </c>
      <c r="I3091" s="5">
        <f>HYPERLINK("https://fin.land.naver.com/articles/2647287235", "매물Link")</f>
        <v/>
      </c>
      <c r="J3091" s="5">
        <f>HYPERLINK("https://map.naver.com/p/search/부강면 행산리 118-11", "지도Link")</f>
        <v/>
      </c>
      <c r="K3091" s="5">
        <f>HYPERLINK("http://www.eum.go.kr/web/ar/lu/luLandDet.jsp?pnu=3611033022101180011&amp;isNoScr=script&amp;mode=search", "토지이음")</f>
        <v/>
      </c>
      <c r="L3091" s="3" t="inlineStr">
        <is>
          <t>세종제일1</t>
        </is>
      </c>
      <c r="M3091" s="3" t="n">
        <v>1</v>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3" t="inlineStr">
        <is>
          <t>농사짓는 도로 인접</t>
        </is>
      </c>
      <c r="I3092" s="5">
        <f>HYPERLINK("https://fin.land.naver.com/articles/2647287581", "매물Link")</f>
        <v/>
      </c>
      <c r="J3092" s="5">
        <f>HYPERLINK("https://map.naver.com/p/search/부강면 행산리 141-11", "지도Link")</f>
        <v/>
      </c>
      <c r="K3092" s="5">
        <f>HYPERLINK("http://www.eum.go.kr/web/ar/lu/luLandDet.jsp?pnu=3611033022101410011&amp;isNoScr=script&amp;mode=search", "토지이음")</f>
        <v/>
      </c>
      <c r="L3092" s="3" t="inlineStr">
        <is>
          <t>세종제일1</t>
        </is>
      </c>
      <c r="M3092" s="3" t="n">
        <v>1</v>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3" t="inlineStr">
        <is>
          <t>세종시 부근에서 공장부지로 최상</t>
        </is>
      </c>
      <c r="I3093" s="5">
        <f>HYPERLINK("https://fin.land.naver.com/articles/2646866931", "매물Link")</f>
        <v/>
      </c>
      <c r="J3093" s="5">
        <f>HYPERLINK("https://map.naver.com/p/search/부강면 행산리 162-3", "지도Link")</f>
        <v/>
      </c>
      <c r="K3093" s="5">
        <f>HYPERLINK("http://www.eum.go.kr/web/ar/lu/luLandDet.jsp?pnu=3611033022101620003&amp;isNoScr=script&amp;mode=search", "토지이음")</f>
        <v/>
      </c>
      <c r="L3093" s="3" t="inlineStr">
        <is>
          <t>금화</t>
        </is>
      </c>
      <c r="M3093" s="3" t="n">
        <v>1</v>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3" t="inlineStr">
        <is>
          <t>청주전용도로 부근의 작고 아담한 계획관리 토지</t>
        </is>
      </c>
      <c r="I3094" s="5">
        <f>HYPERLINK("https://fin.land.naver.com/articles/2650177374", "매물Link")</f>
        <v/>
      </c>
      <c r="J3094" s="5">
        <f>HYPERLINK("https://map.naver.com/p/search/부강면 행산리 163", "지도Link")</f>
        <v/>
      </c>
      <c r="K3094" s="5">
        <f>HYPERLINK("http://www.eum.go.kr/web/ar/lu/luLandDet.jsp?pnu=3611033022101630000&amp;isNoScr=script&amp;mode=search", "토지이음")</f>
        <v/>
      </c>
      <c r="L3094" s="3" t="inlineStr">
        <is>
          <t>연동스카이</t>
        </is>
      </c>
      <c r="M3094" s="3" t="n">
        <v>2</v>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3" t="inlineStr">
        <is>
          <t>2차선 도로에서 30m 떨어진 계획관리토지로 공장이나 창고추천</t>
        </is>
      </c>
      <c r="I3095" s="5">
        <f>HYPERLINK("https://fin.land.naver.com/articles/2648255658", "매물Link")</f>
        <v/>
      </c>
      <c r="J3095" s="5">
        <f>HYPERLINK("https://map.naver.com/p/search/부강면 행산리 223", "지도Link")</f>
        <v/>
      </c>
      <c r="K3095" s="5">
        <f>HYPERLINK("http://www.eum.go.kr/web/ar/lu/luLandDet.jsp?pnu=3611033022102230000&amp;isNoScr=script&amp;mode=search", "토지이음")</f>
        <v/>
      </c>
      <c r="L3095" s="3" t="inlineStr">
        <is>
          <t>연동스카이</t>
        </is>
      </c>
      <c r="M3095" s="3" t="n">
        <v>1</v>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3" t="inlineStr">
        <is>
          <t>세종시 부강면 행산리 2차선 도로변  토지 매매</t>
        </is>
      </c>
      <c r="I3096" s="5">
        <f>HYPERLINK("https://fin.land.naver.com/articles/2643920138", "매물Link")</f>
        <v/>
      </c>
      <c r="J3096" s="5">
        <f>HYPERLINK("https://map.naver.com/p/search/부강면 행산리 224", "지도Link")</f>
        <v/>
      </c>
      <c r="K3096" s="5">
        <f>HYPERLINK("http://www.eum.go.kr/web/ar/lu/luLandDet.jsp?pnu=3611033022102240000&amp;isNoScr=script&amp;mode=search", "토지이음")</f>
        <v/>
      </c>
      <c r="L3096" s="3" t="inlineStr">
        <is>
          <t>세종행복한</t>
        </is>
      </c>
      <c r="M3096" s="3" t="n">
        <v>1</v>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3" t="inlineStr">
        <is>
          <t>부강면 계획관리지역 목장용지, 토지 5,143.4제곱미터 매매</t>
        </is>
      </c>
      <c r="I3097" s="5">
        <f>HYPERLINK("https://fin.land.naver.com/articles/2648919249", "매물Link")</f>
        <v/>
      </c>
      <c r="J3097" s="5">
        <f>HYPERLINK("https://map.naver.com/p/search/부강면 행산리 296", "지도Link")</f>
        <v/>
      </c>
      <c r="K3097" s="5">
        <f>HYPERLINK("http://www.eum.go.kr/web/ar/lu/luLandDet.jsp?pnu=3611033022102960000&amp;isNoScr=script&amp;mode=search", "토지이음")</f>
        <v/>
      </c>
      <c r="L3097" s="3" t="inlineStr">
        <is>
          <t>진행</t>
        </is>
      </c>
      <c r="M3097" s="3" t="n">
        <v>2</v>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3" t="inlineStr">
        <is>
          <t>세종시 부강면 5생활권 10분거리 각 3필지(149, 235, 522)</t>
        </is>
      </c>
      <c r="I3098" s="5">
        <f>HYPERLINK("https://fin.land.naver.com/articles/2649158860", "매물Link")</f>
        <v/>
      </c>
      <c r="J3098" s="5">
        <f>HYPERLINK("https://map.naver.com/p/search/부강면 행산리 389", "지도Link")</f>
        <v/>
      </c>
      <c r="K3098" s="5">
        <f>HYPERLINK("http://www.eum.go.kr/web/ar/lu/luLandDet.jsp?pnu=3611033022103890000&amp;isNoScr=script&amp;mode=search", "토지이음")</f>
        <v/>
      </c>
      <c r="L3098" s="3" t="inlineStr">
        <is>
          <t>오송k랜드</t>
        </is>
      </c>
      <c r="M3098" s="3" t="n">
        <v>1</v>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3" t="inlineStr">
        <is>
          <t>급매,도로접한 계획관리지역,다용도 사용목적 가능,투자용 추천</t>
        </is>
      </c>
      <c r="I3099" s="5">
        <f>HYPERLINK("https://fin.land.naver.com/articles/2649493659", "매물Link")</f>
        <v/>
      </c>
      <c r="J3099" s="5">
        <f>HYPERLINK("https://map.naver.com/p/search/부강면 행산리 389", "지도Link")</f>
        <v/>
      </c>
      <c r="K3099" s="5">
        <f>HYPERLINK("http://www.eum.go.kr/web/ar/lu/luLandDet.jsp?pnu=3611033022103890000&amp;isNoScr=script&amp;mode=search", "토지이음")</f>
        <v/>
      </c>
      <c r="L3099" s="3" t="inlineStr">
        <is>
          <t>고운맘</t>
        </is>
      </c>
      <c r="M3099" s="3" t="n">
        <v>1</v>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3" t="inlineStr">
        <is>
          <t>계획관리지역의 과수원으로 전기 및 인터넷, 상수도 배수시설이 완비된 토지</t>
        </is>
      </c>
      <c r="I3100" s="5">
        <f>HYPERLINK("https://fin.land.naver.com/articles/2649861654", "매물Link")</f>
        <v/>
      </c>
      <c r="J3100" s="5">
        <f>HYPERLINK("https://map.naver.com/p/search/부강면 행산리 389", "지도Link")</f>
        <v/>
      </c>
      <c r="K3100" s="5">
        <f>HYPERLINK("http://www.eum.go.kr/web/ar/lu/luLandDet.jsp?pnu=3611033022103890000&amp;isNoScr=script&amp;mode=search", "토지이음")</f>
        <v/>
      </c>
      <c r="L3100" s="3" t="inlineStr">
        <is>
          <t>스마일세종</t>
        </is>
      </c>
      <c r="M3100" s="3" t="n">
        <v>2</v>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3" t="inlineStr">
        <is>
          <t>자연취락지구 포함 전원주택 귀촌형 부지 검토</t>
        </is>
      </c>
      <c r="I3101" s="5">
        <f>HYPERLINK("https://fin.land.naver.com/articles/2648843558", "매물Link")</f>
        <v/>
      </c>
      <c r="J3101" s="5">
        <f>HYPERLINK("https://map.naver.com/p/search/부강면 행산리 389", "지도Link")</f>
        <v/>
      </c>
      <c r="K3101" s="5">
        <f>HYPERLINK("http://www.eum.go.kr/web/ar/lu/luLandDet.jsp?pnu=3611033022103890000&amp;isNoScr=script&amp;mode=search", "토지이음")</f>
        <v/>
      </c>
      <c r="L3101" s="3" t="inlineStr">
        <is>
          <t>세종소담황금</t>
        </is>
      </c>
      <c r="M3101" s="3" t="n">
        <v>1</v>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3" t="inlineStr">
        <is>
          <t>감나무 블루베리 등이 식재되어 5생활권 5분거리 과수원</t>
        </is>
      </c>
      <c r="I3102" s="5">
        <f>HYPERLINK("https://fin.land.naver.com/articles/2646808438", "매물Link")</f>
        <v/>
      </c>
      <c r="J3102" s="5">
        <f>HYPERLINK("https://map.naver.com/p/search/부강면 행산리 389-3", "지도Link")</f>
        <v/>
      </c>
      <c r="K3102" s="5">
        <f>HYPERLINK("http://www.eum.go.kr/web/ar/lu/luLandDet.jsp?pnu=3611033022103890003&amp;isNoScr=script&amp;mode=search", "토지이음")</f>
        <v/>
      </c>
      <c r="L3102" s="3" t="inlineStr">
        <is>
          <t>지성</t>
        </is>
      </c>
      <c r="M3102" s="3" t="n">
        <v>1</v>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3" t="inlineStr">
        <is>
          <t>계획관리지역의 과수원으로 농촌 체류형 쉼터나 공방 및 전원주택지로 좋은</t>
        </is>
      </c>
      <c r="I3103" s="5">
        <f>HYPERLINK("https://fin.land.naver.com/articles/2645376576", "매물Link")</f>
        <v/>
      </c>
      <c r="J3103" s="5">
        <f>HYPERLINK("https://map.naver.com/p/search/부강면 행산리 389-3", "지도Link")</f>
        <v/>
      </c>
      <c r="K3103" s="5">
        <f>HYPERLINK("http://www.eum.go.kr/web/ar/lu/luLandDet.jsp?pnu=3611033022103890003&amp;isNoScr=script&amp;mode=search", "토지이음")</f>
        <v/>
      </c>
      <c r="L3103" s="3" t="inlineStr">
        <is>
          <t>스마일세종</t>
        </is>
      </c>
      <c r="M3103" s="3" t="n">
        <v>1</v>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3" t="inlineStr">
        <is>
          <t>급매,도로접한 계획관리지역,다용도 사용목적 가능,투자용 추천</t>
        </is>
      </c>
      <c r="I3104" s="5">
        <f>HYPERLINK("https://fin.land.naver.com/articles/2649114293", "매물Link")</f>
        <v/>
      </c>
      <c r="J3104" s="5">
        <f>HYPERLINK("https://map.naver.com/p/search/부강면 행산리 389-3", "지도Link")</f>
        <v/>
      </c>
      <c r="K3104" s="5">
        <f>HYPERLINK("http://www.eum.go.kr/web/ar/lu/luLandDet.jsp?pnu=3611033022103890003&amp;isNoScr=script&amp;mode=search", "토지이음")</f>
        <v/>
      </c>
      <c r="L3104" s="3" t="inlineStr">
        <is>
          <t>고운맘</t>
        </is>
      </c>
      <c r="M3104" s="3" t="n">
        <v>1</v>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3" t="inlineStr">
        <is>
          <t>급매,도로접한 계획관리지역,다용도 사용목적 가능,투자용 추천</t>
        </is>
      </c>
      <c r="I3105" s="5">
        <f>HYPERLINK("https://fin.land.naver.com/articles/2649114004", "매물Link")</f>
        <v/>
      </c>
      <c r="J3105" s="5">
        <f>HYPERLINK("https://map.naver.com/p/search/부강면 행산리 389-4", "지도Link")</f>
        <v/>
      </c>
      <c r="K3105" s="5">
        <f>HYPERLINK("http://www.eum.go.kr/web/ar/lu/luLandDet.jsp?pnu=3611033022103890004&amp;isNoScr=script&amp;mode=search", "토지이음")</f>
        <v/>
      </c>
      <c r="L3105" s="3" t="inlineStr">
        <is>
          <t>고운맘</t>
        </is>
      </c>
      <c r="M3105" s="3" t="n">
        <v>1</v>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3" t="inlineStr">
        <is>
          <t>행산리 황금필지, 세종5생활권의 최대의 수익지 , 건축바로가능</t>
        </is>
      </c>
      <c r="I3106" s="5">
        <f>HYPERLINK("https://fin.land.naver.com/articles/2647016748", "매물Link")</f>
        <v/>
      </c>
      <c r="J3106" s="5">
        <f>HYPERLINK("https://map.naver.com/p/search/부강면 행산리 389-4", "지도Link")</f>
        <v/>
      </c>
      <c r="K3106" s="5">
        <f>HYPERLINK("http://www.eum.go.kr/web/ar/lu/luLandDet.jsp?pnu=3611033022103890004&amp;isNoScr=script&amp;mode=search", "토지이음")</f>
        <v/>
      </c>
      <c r="L3106" s="3" t="inlineStr">
        <is>
          <t>이담</t>
        </is>
      </c>
      <c r="M3106" s="3" t="n">
        <v>4</v>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3" t="inlineStr">
        <is>
          <t>nan</t>
        </is>
      </c>
      <c r="I3107" s="5">
        <f>HYPERLINK("https://fin.land.naver.com/articles/2650179359", "매물Link")</f>
        <v/>
      </c>
      <c r="J3107" s="5">
        <f>HYPERLINK("https://map.naver.com/p/search/부강면 행산리 393", "지도Link")</f>
        <v/>
      </c>
      <c r="K3107" s="5">
        <f>HYPERLINK("http://www.eum.go.kr/web/ar/lu/luLandDet.jsp?pnu=3611033022103930000&amp;isNoScr=script&amp;mode=search", "토지이음")</f>
        <v/>
      </c>
      <c r="L3107" s="3" t="inlineStr">
        <is>
          <t>연동스카이</t>
        </is>
      </c>
      <c r="M3107" s="3" t="n">
        <v>1</v>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3" t="inlineStr">
        <is>
          <t>대토농지로 추천</t>
        </is>
      </c>
      <c r="I3108" s="5">
        <f>HYPERLINK("https://fin.land.naver.com/articles/2646383096", "매물Link")</f>
        <v/>
      </c>
      <c r="J3108" s="5">
        <f>HYPERLINK("https://map.naver.com/p/search/부강면 행산리 447", "지도Link")</f>
        <v/>
      </c>
      <c r="K3108" s="5">
        <f>HYPERLINK("http://www.eum.go.kr/web/ar/lu/luLandDet.jsp?pnu=3611033022104470000&amp;isNoScr=script&amp;mode=search", "토지이음")</f>
        <v/>
      </c>
      <c r="L3108" s="3" t="inlineStr">
        <is>
          <t>담뜰</t>
        </is>
      </c>
      <c r="M3108" s="3" t="n">
        <v>1</v>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3" t="inlineStr">
        <is>
          <t>매매가 할인2,200만원 대토농지</t>
        </is>
      </c>
      <c r="I3109" s="5">
        <f>HYPERLINK("https://fin.land.naver.com/articles/2644414062", "매물Link")</f>
        <v/>
      </c>
      <c r="J3109" s="5">
        <f>HYPERLINK("https://map.naver.com/p/search/부강면 행산리 447", "지도Link")</f>
        <v/>
      </c>
      <c r="K3109" s="5">
        <f>HYPERLINK("http://www.eum.go.kr/web/ar/lu/luLandDet.jsp?pnu=3611033022104470000&amp;isNoScr=script&amp;mode=search", "토지이음")</f>
        <v/>
      </c>
      <c r="L3109" s="3" t="inlineStr">
        <is>
          <t>로데오상가</t>
        </is>
      </c>
      <c r="M3109" s="3" t="n">
        <v>1</v>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3" t="inlineStr">
        <is>
          <t>2차선 도로 인접 토지 매매</t>
        </is>
      </c>
      <c r="I3110" s="5">
        <f>HYPERLINK("https://fin.land.naver.com/articles/2647502475", "매물Link")</f>
        <v/>
      </c>
      <c r="J3110" s="5">
        <f>HYPERLINK("https://map.naver.com/p/search/부강면 행산리 448", "지도Link")</f>
        <v/>
      </c>
      <c r="K3110" s="5">
        <f>HYPERLINK("http://www.eum.go.kr/web/ar/lu/luLandDet.jsp?pnu=3611033022104480000&amp;isNoScr=script&amp;mode=search", "토지이음")</f>
        <v/>
      </c>
      <c r="L3110" s="3" t="inlineStr">
        <is>
          <t>주식회사넥서스</t>
        </is>
      </c>
      <c r="M3110" s="3" t="n">
        <v>3</v>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3" t="inlineStr">
        <is>
          <t>세종시5생활권입접.대규모농지.인접447번지와동시매매가능.장기투자목적</t>
        </is>
      </c>
      <c r="I3111" s="5">
        <f>HYPERLINK("https://fin.land.naver.com/articles/2649221277", "매물Link")</f>
        <v/>
      </c>
      <c r="J3111" s="5">
        <f>HYPERLINK("https://map.naver.com/p/search/부강면 행산리 448", "지도Link")</f>
        <v/>
      </c>
      <c r="K3111" s="5">
        <f>HYPERLINK("http://www.eum.go.kr/web/ar/lu/luLandDet.jsp?pnu=3611033022104480000&amp;isNoScr=script&amp;mode=search", "토지이음")</f>
        <v/>
      </c>
      <c r="L3111" s="3" t="inlineStr">
        <is>
          <t>돈방석</t>
        </is>
      </c>
      <c r="M3111" s="3" t="n">
        <v>3</v>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3" t="inlineStr">
        <is>
          <t>행산리 농림지역 대토 농지 논 답</t>
        </is>
      </c>
      <c r="I3112" s="5">
        <f>HYPERLINK("https://fin.land.naver.com/articles/2644414298", "매물Link")</f>
        <v/>
      </c>
      <c r="J3112" s="5">
        <f>HYPERLINK("https://map.naver.com/p/search/부강면 행산리 448", "지도Link")</f>
        <v/>
      </c>
      <c r="K3112" s="5">
        <f>HYPERLINK("http://www.eum.go.kr/web/ar/lu/luLandDet.jsp?pnu=3611033022104480000&amp;isNoScr=script&amp;mode=search", "토지이음")</f>
        <v/>
      </c>
      <c r="L3112" s="3" t="inlineStr">
        <is>
          <t>로데오상가</t>
        </is>
      </c>
      <c r="M3112" s="3" t="n">
        <v>2</v>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3" t="inlineStr">
        <is>
          <t>급매물 입니다 평당 45만원 입니다.</t>
        </is>
      </c>
      <c r="I3113" s="5">
        <f>HYPERLINK("https://fin.land.naver.com/articles/2649632999", "매물Link")</f>
        <v/>
      </c>
      <c r="J3113" s="5">
        <f>HYPERLINK("https://map.naver.com/p/search/부강면 행산리 552", "지도Link")</f>
        <v/>
      </c>
      <c r="K3113" s="5">
        <f>HYPERLINK("http://www.eum.go.kr/web/ar/lu/luLandDet.jsp?pnu=3611033022105520000&amp;isNoScr=script&amp;mode=search", "토지이음")</f>
        <v/>
      </c>
      <c r="L3113" s="3" t="inlineStr">
        <is>
          <t>승미</t>
        </is>
      </c>
      <c r="M3113" s="3" t="n">
        <v>2</v>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3" t="inlineStr">
        <is>
          <t>농업인주택 및 경작용 토지매매</t>
        </is>
      </c>
      <c r="I3114" s="5">
        <f>HYPERLINK("https://fin.land.naver.com/articles/2646698782", "매물Link")</f>
        <v/>
      </c>
      <c r="J3114" s="5">
        <f>HYPERLINK("https://map.naver.com/p/search/부강면 행산리 615", "지도Link")</f>
        <v/>
      </c>
      <c r="K3114" s="5">
        <f>HYPERLINK("http://www.eum.go.kr/web/ar/lu/luLandDet.jsp?pnu=3611033022106150000&amp;isNoScr=script&amp;mode=search", "토지이음")</f>
        <v/>
      </c>
      <c r="L3114" s="3" t="inlineStr">
        <is>
          <t>광장</t>
        </is>
      </c>
      <c r="M3114" s="3" t="n">
        <v>1</v>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3" t="inlineStr">
        <is>
          <t>2차선변 위치,마을인접,토지바로앞에 버스정류장 있어요</t>
        </is>
      </c>
      <c r="I3115" s="5">
        <f>HYPERLINK("https://fin.land.naver.com/articles/2646799670", "매물Link")</f>
        <v/>
      </c>
      <c r="J3115" s="5">
        <f>HYPERLINK("https://map.naver.com/p/search/부강면 행산리 615", "지도Link")</f>
        <v/>
      </c>
      <c r="K3115" s="5">
        <f>HYPERLINK("http://www.eum.go.kr/web/ar/lu/luLandDet.jsp?pnu=3611033022106150000&amp;isNoScr=script&amp;mode=search", "토지이음")</f>
        <v/>
      </c>
      <c r="L3115" s="3" t="inlineStr">
        <is>
          <t>가치잇는</t>
        </is>
      </c>
      <c r="M3115" s="3" t="n">
        <v>6</v>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3" t="inlineStr">
        <is>
          <t>현황도로 접, 뽕나무 등 식재, 자연인  이나 휴식용공간으로 추천</t>
        </is>
      </c>
      <c r="I3116" s="5">
        <f>HYPERLINK("https://fin.land.naver.com/articles/2649547090", "매물Link")</f>
        <v/>
      </c>
      <c r="J3116" s="5">
        <f>HYPERLINK("https://map.naver.com/p/search/부강면 행산리 산65", "지도Link")</f>
        <v/>
      </c>
      <c r="K3116" s="5">
        <f>HYPERLINK("http://www.eum.go.kr/web/ar/lu/luLandDet.jsp?pnu=3611033022200650000&amp;isNoScr=script&amp;mode=search", "토지이음")</f>
        <v/>
      </c>
      <c r="L3116" s="3" t="inlineStr">
        <is>
          <t>박단아사사무소</t>
        </is>
      </c>
      <c r="M3116" s="3" t="n">
        <v>1</v>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3" t="inlineStr">
        <is>
          <t>nan</t>
        </is>
      </c>
      <c r="I3117" s="5">
        <f>HYPERLINK("https://fin.land.naver.com/articles/2649955074", "매물Link")</f>
        <v/>
      </c>
      <c r="J3117" s="5">
        <f>HYPERLINK("https://map.naver.com/p/search/산울동 산28", "지도Link")</f>
        <v/>
      </c>
      <c r="K3117" s="5">
        <f>HYPERLINK("http://www.eum.go.kr/web/ar/lu/luLandDet.jsp?pnu=3611011500200280000&amp;isNoScr=script&amp;mode=search", "토지이음")</f>
        <v/>
      </c>
      <c r="L3117" s="3" t="inlineStr">
        <is>
          <t>세종로또</t>
        </is>
      </c>
      <c r="M3117" s="3" t="n">
        <v>1</v>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3" t="inlineStr">
        <is>
          <t>세종 스마트그린산업단지 인근 저렴한 창고부지</t>
        </is>
      </c>
      <c r="I3118" s="5">
        <f>HYPERLINK("https://fin.land.naver.com/articles/2645609198", "매물Link")</f>
        <v/>
      </c>
      <c r="J3118" s="5">
        <f>HYPERLINK("https://map.naver.com/p/search/소정면 고등리 11", "지도Link")</f>
        <v/>
      </c>
      <c r="K3118" s="5">
        <f>HYPERLINK("http://www.eum.go.kr/web/ar/lu/luLandDet.jsp?pnu=3611039024100110000&amp;isNoScr=script&amp;mode=search", "토지이음")</f>
        <v/>
      </c>
      <c r="L3118" s="3" t="inlineStr">
        <is>
          <t>청담</t>
        </is>
      </c>
      <c r="M3118" s="3" t="n">
        <v>1</v>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3" t="inlineStr">
        <is>
          <t>게획관리지역  대형평수 공장부지</t>
        </is>
      </c>
      <c r="I3119" s="5">
        <f>HYPERLINK("https://fin.land.naver.com/articles/2644392431", "매물Link")</f>
        <v/>
      </c>
      <c r="J3119" s="5">
        <f>HYPERLINK("https://map.naver.com/p/search/소정면 고등리 230-1", "지도Link")</f>
        <v/>
      </c>
      <c r="K3119" s="5">
        <f>HYPERLINK("http://www.eum.go.kr/web/ar/lu/luLandDet.jsp?pnu=3611039024102300001&amp;isNoScr=script&amp;mode=search", "토지이음")</f>
        <v/>
      </c>
      <c r="L3119" s="3" t="inlineStr">
        <is>
          <t>글로벌</t>
        </is>
      </c>
      <c r="M3119" s="3" t="n">
        <v>1</v>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3" t="inlineStr">
        <is>
          <t>스마트그린일반산업단지 초인접 4차선도로 접한 계획관리 토지</t>
        </is>
      </c>
      <c r="I3120" s="5">
        <f>HYPERLINK("https://fin.land.naver.com/articles/2647868514", "매물Link")</f>
        <v/>
      </c>
      <c r="J3120" s="5">
        <f>HYPERLINK("https://map.naver.com/p/search/소정면 고등리 26-5", "지도Link")</f>
        <v/>
      </c>
      <c r="K3120" s="5">
        <f>HYPERLINK("http://www.eum.go.kr/web/ar/lu/luLandDet.jsp?pnu=3611039024100260005&amp;isNoScr=script&amp;mode=search", "토지이음")</f>
        <v/>
      </c>
      <c r="L3120" s="3" t="inlineStr">
        <is>
          <t>스카이</t>
        </is>
      </c>
      <c r="M3120" s="3" t="n">
        <v>1</v>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3" t="inlineStr">
        <is>
          <t>산단 초근접 4차선대로접 계획관리지역(성장관리계획구역)</t>
        </is>
      </c>
      <c r="I3121" s="5">
        <f>HYPERLINK("https://fin.land.naver.com/articles/2645763010", "매물Link")</f>
        <v/>
      </c>
      <c r="J3121" s="5">
        <f>HYPERLINK("https://map.naver.com/p/search/소정면 고등리 408-1", "지도Link")</f>
        <v/>
      </c>
      <c r="K3121" s="5">
        <f>HYPERLINK("http://www.eum.go.kr/web/ar/lu/luLandDet.jsp?pnu=3611039024104080001&amp;isNoScr=script&amp;mode=search", "토지이음")</f>
        <v/>
      </c>
      <c r="L3121" s="3" t="inlineStr">
        <is>
          <t>드림</t>
        </is>
      </c>
      <c r="M3121" s="3" t="n">
        <v>1</v>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3" t="inlineStr">
        <is>
          <t>세종일반산업단지 근처임,공장용지,대로변 접함,</t>
        </is>
      </c>
      <c r="I3122" s="5">
        <f>HYPERLINK("https://fin.land.naver.com/articles/2647978683", "매물Link")</f>
        <v/>
      </c>
      <c r="J3122" s="5">
        <f>HYPERLINK("https://map.naver.com/p/search/소정면 고등리 410-10", "지도Link")</f>
        <v/>
      </c>
      <c r="K3122" s="5">
        <f>HYPERLINK("http://www.eum.go.kr/web/ar/lu/luLandDet.jsp?pnu=3611039024104100010&amp;isNoScr=script&amp;mode=search", "토지이음")</f>
        <v/>
      </c>
      <c r="L3122" s="3" t="inlineStr">
        <is>
          <t>신두정3차</t>
        </is>
      </c>
      <c r="M3122" s="3" t="n">
        <v>2</v>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3" t="inlineStr">
        <is>
          <t>감정가 이하 급매 스마트그린산업단지 인접 계획관리지역 토지</t>
        </is>
      </c>
      <c r="I3123" s="5">
        <f>HYPERLINK("https://fin.land.naver.com/articles/2646856959", "매물Link")</f>
        <v/>
      </c>
      <c r="J3123" s="5">
        <f>HYPERLINK("https://map.naver.com/p/search/소정면 고등리 441", "지도Link")</f>
        <v/>
      </c>
      <c r="K3123" s="5">
        <f>HYPERLINK("http://www.eum.go.kr/web/ar/lu/luLandDet.jsp?pnu=3611039024104410000&amp;isNoScr=script&amp;mode=search", "토지이음")</f>
        <v/>
      </c>
      <c r="L3123" s="3" t="inlineStr">
        <is>
          <t>법조연합은온</t>
        </is>
      </c>
      <c r="M3123" s="3" t="n">
        <v>1</v>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3" t="inlineStr">
        <is>
          <t>세종스마트그린일반산업단지 권역 다용도 토지</t>
        </is>
      </c>
      <c r="I3124" s="5">
        <f>HYPERLINK("https://fin.land.naver.com/articles/2644939781", "매물Link")</f>
        <v/>
      </c>
      <c r="J3124" s="5">
        <f>HYPERLINK("https://map.naver.com/p/search/소정면 고등리 453", "지도Link")</f>
        <v/>
      </c>
      <c r="K3124" s="5">
        <f>HYPERLINK("http://www.eum.go.kr/web/ar/lu/luLandDet.jsp?pnu=3611039024104530000&amp;isNoScr=script&amp;mode=search", "토지이음")</f>
        <v/>
      </c>
      <c r="L3124" s="3" t="inlineStr">
        <is>
          <t>단촌</t>
        </is>
      </c>
      <c r="M3124" s="3" t="n">
        <v>1</v>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3" t="inlineStr">
        <is>
          <t>세종스마트그린일반산업단지 권역 다용도 토지</t>
        </is>
      </c>
      <c r="I3125" s="5">
        <f>HYPERLINK("https://fin.land.naver.com/articles/2644939896", "매물Link")</f>
        <v/>
      </c>
      <c r="J3125" s="5">
        <f>HYPERLINK("https://map.naver.com/p/search/소정면 고등리 536", "지도Link")</f>
        <v/>
      </c>
      <c r="K3125" s="5">
        <f>HYPERLINK("http://www.eum.go.kr/web/ar/lu/luLandDet.jsp?pnu=3611039024105360000&amp;isNoScr=script&amp;mode=search", "토지이음")</f>
        <v/>
      </c>
      <c r="L3125" s="3" t="inlineStr">
        <is>
          <t>단촌</t>
        </is>
      </c>
      <c r="M3125" s="3" t="n">
        <v>1</v>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3" t="inlineStr">
        <is>
          <t>소정면 산업단지 바로 건너평에 있는 토지로 공장또는 창고용으로 추천함</t>
        </is>
      </c>
      <c r="I3126" s="5">
        <f>HYPERLINK("https://fin.land.naver.com/articles/2648518809", "매물Link")</f>
        <v/>
      </c>
      <c r="J3126" s="5">
        <f>HYPERLINK("https://map.naver.com/p/search/소정면 고등리 579", "지도Link")</f>
        <v/>
      </c>
      <c r="K3126" s="5">
        <f>HYPERLINK("http://www.eum.go.kr/web/ar/lu/luLandDet.jsp?pnu=3611039024105790000&amp;isNoScr=script&amp;mode=search", "토지이음")</f>
        <v/>
      </c>
      <c r="L3126" s="3" t="inlineStr">
        <is>
          <t>세종리츠</t>
        </is>
      </c>
      <c r="M3126" s="3" t="n">
        <v>1</v>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3" t="inlineStr">
        <is>
          <t>소정면 고등리 계획관리 도로접 토지매매</t>
        </is>
      </c>
      <c r="I3127" s="5">
        <f>HYPERLINK("https://fin.land.naver.com/articles/2646376211", "매물Link")</f>
        <v/>
      </c>
      <c r="J3127" s="5">
        <f>HYPERLINK("https://map.naver.com/p/search/소정면 고등리 579", "지도Link")</f>
        <v/>
      </c>
      <c r="K3127" s="5">
        <f>HYPERLINK("http://www.eum.go.kr/web/ar/lu/luLandDet.jsp?pnu=3611039024105790000&amp;isNoScr=script&amp;mode=search", "토지이음")</f>
        <v/>
      </c>
      <c r="L3127" s="3" t="inlineStr">
        <is>
          <t>재화</t>
        </is>
      </c>
      <c r="M3127" s="3" t="n">
        <v>1</v>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3" t="inlineStr">
        <is>
          <t>nan</t>
        </is>
      </c>
      <c r="I3128" s="5">
        <f>HYPERLINK("https://fin.land.naver.com/articles/2645766738", "매물Link")</f>
        <v/>
      </c>
      <c r="J3128" s="5">
        <f>HYPERLINK("https://map.naver.com/p/search/소정면 고등리 612", "지도Link")</f>
        <v/>
      </c>
      <c r="K3128" s="5">
        <f>HYPERLINK("http://www.eum.go.kr/web/ar/lu/luLandDet.jsp?pnu=3611039024106120000&amp;isNoScr=script&amp;mode=search", "토지이음")</f>
        <v/>
      </c>
      <c r="L3128" s="3" t="inlineStr">
        <is>
          <t>드림</t>
        </is>
      </c>
      <c r="M3128" s="3" t="n">
        <v>1</v>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3" t="inlineStr">
        <is>
          <t>nan</t>
        </is>
      </c>
      <c r="I3129" s="5">
        <f>HYPERLINK("https://fin.land.naver.com/articles/2645043559", "매물Link")</f>
        <v/>
      </c>
      <c r="J3129" s="5">
        <f>HYPERLINK("https://map.naver.com/p/search/소정면 고등리 622-6", "지도Link")</f>
        <v/>
      </c>
      <c r="K3129" s="5">
        <f>HYPERLINK("http://www.eum.go.kr/web/ar/lu/luLandDet.jsp?pnu=3611039024106220006&amp;isNoScr=script&amp;mode=search", "토지이음")</f>
        <v/>
      </c>
      <c r="L3129" s="3" t="inlineStr">
        <is>
          <t>올라</t>
        </is>
      </c>
      <c r="M3129" s="3" t="n">
        <v>1</v>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3" t="inlineStr">
        <is>
          <t>세종첨단 일반 산업단지, 식품,화학, 의료,플라스틱 등 제조가능</t>
        </is>
      </c>
      <c r="I3130" s="5">
        <f>HYPERLINK("https://fin.land.naver.com/articles/2644802717", "매물Link")</f>
        <v/>
      </c>
      <c r="J3130" s="5">
        <f>HYPERLINK("https://map.naver.com/p/search/소정면 고등리 698-1", "지도Link")</f>
        <v/>
      </c>
      <c r="K3130" s="5">
        <f>HYPERLINK("http://www.eum.go.kr/web/ar/lu/luLandDet.jsp?pnu=3611039024106980001&amp;isNoScr=script&amp;mode=search", "토지이음")</f>
        <v/>
      </c>
      <c r="L3130" s="3" t="inlineStr">
        <is>
          <t>플러스자이합동</t>
        </is>
      </c>
      <c r="M3130" s="3" t="n">
        <v>1</v>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3" t="inlineStr">
        <is>
          <t>소정면 세종첨단산업일반단지 도로접한 나대지</t>
        </is>
      </c>
      <c r="I3131" s="5">
        <f>HYPERLINK("https://fin.land.naver.com/articles/2649934140", "매물Link")</f>
        <v/>
      </c>
      <c r="J3131" s="5">
        <f>HYPERLINK("https://map.naver.com/p/search/소정면 고등리 760", "지도Link")</f>
        <v/>
      </c>
      <c r="K3131" s="5">
        <f>HYPERLINK("http://www.eum.go.kr/web/ar/lu/luLandDet.jsp?pnu=3611039024107600000&amp;isNoScr=script&amp;mode=search", "토지이음")</f>
        <v/>
      </c>
      <c r="L3131" s="3" t="inlineStr">
        <is>
          <t>세종잘하는</t>
        </is>
      </c>
      <c r="M3131" s="3" t="n">
        <v>1</v>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3" t="inlineStr">
        <is>
          <t>추천소정대곡리 임야 농림지역 투자용5732㎡ 2차선접 세종첨단산업단지</t>
        </is>
      </c>
      <c r="I3132" s="5">
        <f>HYPERLINK("https://fin.land.naver.com/articles/2644395758", "매물Link")</f>
        <v/>
      </c>
      <c r="J3132" s="5">
        <f>HYPERLINK("https://map.naver.com/p/search/소정면 대곡리 10-21", "지도Link")</f>
        <v/>
      </c>
      <c r="K3132" s="5">
        <f>HYPERLINK("http://www.eum.go.kr/web/ar/lu/luLandDet.jsp?pnu=3611039023100100021&amp;isNoScr=script&amp;mode=search", "토지이음")</f>
        <v/>
      </c>
      <c r="L3132" s="3" t="inlineStr">
        <is>
          <t>천안삼거리</t>
        </is>
      </c>
      <c r="M3132" s="3" t="n">
        <v>1</v>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3" t="inlineStr">
        <is>
          <t>3m농로 접한 계획관리 토지</t>
        </is>
      </c>
      <c r="I3133" s="5">
        <f>HYPERLINK("https://fin.land.naver.com/articles/2645606450", "매물Link")</f>
        <v/>
      </c>
      <c r="J3133" s="5">
        <f>HYPERLINK("https://map.naver.com/p/search/소정면 대곡리 116", "지도Link")</f>
        <v/>
      </c>
      <c r="K3133" s="5">
        <f>HYPERLINK("http://www.eum.go.kr/web/ar/lu/luLandDet.jsp?pnu=3611039023101160000&amp;isNoScr=script&amp;mode=search", "토지이음")</f>
        <v/>
      </c>
      <c r="L3133" s="3" t="inlineStr">
        <is>
          <t>미스터홈즈강남지사</t>
        </is>
      </c>
      <c r="M3133" s="3" t="n">
        <v>1</v>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3" t="inlineStr">
        <is>
          <t>소정면 대곡리 주택 매매</t>
        </is>
      </c>
      <c r="I3134" s="5">
        <f>HYPERLINK("https://fin.land.naver.com/articles/2644036861", "매물Link")</f>
        <v/>
      </c>
      <c r="J3134" s="5">
        <f>HYPERLINK("https://map.naver.com/p/search/소정면 대곡리 180-1", "지도Link")</f>
        <v/>
      </c>
      <c r="K3134" s="5">
        <f>HYPERLINK("http://www.eum.go.kr/web/ar/lu/luLandDet.jsp?pnu=3611039023101800001&amp;isNoScr=script&amp;mode=search", "토지이음")</f>
        <v/>
      </c>
      <c r="L3134" s="3" t="inlineStr">
        <is>
          <t>재화</t>
        </is>
      </c>
      <c r="M3134" s="3" t="n">
        <v>1</v>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3" t="inlineStr">
        <is>
          <t>도로접한 토지,마을 안쪽 토지로 전원주택지로 좋음,조용하고 전망좋음</t>
        </is>
      </c>
      <c r="I3135" s="5">
        <f>HYPERLINK("https://fin.land.naver.com/articles/2644295162", "매물Link")</f>
        <v/>
      </c>
      <c r="J3135" s="5">
        <f>HYPERLINK("https://map.naver.com/p/search/소정면 대곡리 184", "지도Link")</f>
        <v/>
      </c>
      <c r="K3135" s="5">
        <f>HYPERLINK("http://www.eum.go.kr/web/ar/lu/luLandDet.jsp?pnu=3611039023101840000&amp;isNoScr=script&amp;mode=search", "토지이음")</f>
        <v/>
      </c>
      <c r="L3135" s="3" t="inlineStr">
        <is>
          <t>담뜰</t>
        </is>
      </c>
      <c r="M3135" s="3" t="n">
        <v>1</v>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3" t="inlineStr">
        <is>
          <t>nan</t>
        </is>
      </c>
      <c r="I3136" s="5">
        <f>HYPERLINK("https://fin.land.naver.com/articles/2644818444", "매물Link")</f>
        <v/>
      </c>
      <c r="J3136" s="5">
        <f>HYPERLINK("https://map.naver.com/p/search/소정면 대곡리 188-1", "지도Link")</f>
        <v/>
      </c>
      <c r="K3136" s="5">
        <f>HYPERLINK("http://www.eum.go.kr/web/ar/lu/luLandDet.jsp?pnu=3611039023101880001&amp;isNoScr=script&amp;mode=search", "토지이음")</f>
        <v/>
      </c>
      <c r="L3136" s="3" t="inlineStr">
        <is>
          <t>코아루</t>
        </is>
      </c>
      <c r="M3136" s="3" t="n">
        <v>1</v>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3" t="inlineStr">
        <is>
          <t>세종,천안 더블 생활권 산업단지 인근 소정리역 인근 관리잘된 예쁜토지</t>
        </is>
      </c>
      <c r="I3137" s="5">
        <f>HYPERLINK("https://fin.land.naver.com/articles/2645973325", "매물Link")</f>
        <v/>
      </c>
      <c r="J3137" s="5">
        <f>HYPERLINK("https://map.naver.com/p/search/소정면 대곡리 212", "지도Link")</f>
        <v/>
      </c>
      <c r="K3137" s="5">
        <f>HYPERLINK("http://www.eum.go.kr/web/ar/lu/luLandDet.jsp?pnu=3611039023102120000&amp;isNoScr=script&amp;mode=search", "토지이음")</f>
        <v/>
      </c>
      <c r="L3137" s="3" t="inlineStr">
        <is>
          <t>아임</t>
        </is>
      </c>
      <c r="M3137" s="3" t="n">
        <v>1</v>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3" t="inlineStr">
        <is>
          <t>IC·산단 접근 좋은 계획관리 소규모 실사용 토지</t>
        </is>
      </c>
      <c r="I3138" s="5">
        <f>HYPERLINK("https://fin.land.naver.com/articles/2648856450", "매물Link")</f>
        <v/>
      </c>
      <c r="J3138" s="5">
        <f>HYPERLINK("https://map.naver.com/p/search/소정면 대곡리 223-1", "지도Link")</f>
        <v/>
      </c>
      <c r="K3138" s="5">
        <f>HYPERLINK("http://www.eum.go.kr/web/ar/lu/luLandDet.jsp?pnu=3611039023102230001&amp;isNoScr=script&amp;mode=search", "토지이음")</f>
        <v/>
      </c>
      <c r="L3138" s="3" t="inlineStr">
        <is>
          <t>세종소담황금</t>
        </is>
      </c>
      <c r="M3138" s="3" t="n">
        <v>1</v>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3" t="inlineStr">
        <is>
          <t>2차선 대로변 접  녋은토지</t>
        </is>
      </c>
      <c r="I3139" s="5">
        <f>HYPERLINK("https://fin.land.naver.com/articles/2644389635", "매물Link")</f>
        <v/>
      </c>
      <c r="J3139" s="5">
        <f>HYPERLINK("https://map.naver.com/p/search/소정면 대곡리 280-14", "지도Link")</f>
        <v/>
      </c>
      <c r="K3139" s="5">
        <f>HYPERLINK("http://www.eum.go.kr/web/ar/lu/luLandDet.jsp?pnu=3611039023102800014&amp;isNoScr=script&amp;mode=search", "토지이음")</f>
        <v/>
      </c>
      <c r="L3139" s="3" t="inlineStr">
        <is>
          <t>글로벌</t>
        </is>
      </c>
      <c r="M3139" s="3" t="n">
        <v>1</v>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3" t="inlineStr">
        <is>
          <t>계획관리 토지매매개발가능</t>
        </is>
      </c>
      <c r="I3140" s="5">
        <f>HYPERLINK("https://fin.land.naver.com/articles/2648813658", "매물Link")</f>
        <v/>
      </c>
      <c r="J3140" s="5">
        <f>HYPERLINK("https://map.naver.com/p/search/소정면 대곡리 31", "지도Link")</f>
        <v/>
      </c>
      <c r="K3140" s="5">
        <f>HYPERLINK("http://www.eum.go.kr/web/ar/lu/luLandDet.jsp?pnu=3611039023100310000&amp;isNoScr=script&amp;mode=search", "토지이음")</f>
        <v/>
      </c>
      <c r="L3140" s="3" t="inlineStr">
        <is>
          <t>세종대박</t>
        </is>
      </c>
      <c r="M3140" s="3" t="n">
        <v>1</v>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3" t="inlineStr">
        <is>
          <t>1번국도 접한 대형 토지매매 전체 계획관리지역</t>
        </is>
      </c>
      <c r="I3141" s="5">
        <f>HYPERLINK("https://fin.land.naver.com/articles/2648122200", "매물Link")</f>
        <v/>
      </c>
      <c r="J3141" s="5">
        <f>HYPERLINK("https://map.naver.com/p/search/소정면 대곡리 322-18", "지도Link")</f>
        <v/>
      </c>
      <c r="K3141" s="5">
        <f>HYPERLINK("http://www.eum.go.kr/web/ar/lu/luLandDet.jsp?pnu=3611039023103220018&amp;isNoScr=script&amp;mode=search", "토지이음")</f>
        <v/>
      </c>
      <c r="L3141" s="3" t="inlineStr">
        <is>
          <t>성우</t>
        </is>
      </c>
      <c r="M3141" s="3" t="n">
        <v>1</v>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3" t="inlineStr">
        <is>
          <t>1번국도인근  창고,제조시설,카페등</t>
        </is>
      </c>
      <c r="I3142" s="5">
        <f>HYPERLINK("https://fin.land.naver.com/articles/2647416225", "매물Link")</f>
        <v/>
      </c>
      <c r="J3142" s="5">
        <f>HYPERLINK("https://map.naver.com/p/search/소정면 대곡리 327", "지도Link")</f>
        <v/>
      </c>
      <c r="K3142" s="5">
        <f>HYPERLINK("http://www.eum.go.kr/web/ar/lu/luLandDet.jsp?pnu=3611039023103270000&amp;isNoScr=script&amp;mode=search", "토지이음")</f>
        <v/>
      </c>
      <c r="L3142" s="3" t="inlineStr">
        <is>
          <t>도시</t>
        </is>
      </c>
      <c r="M3142" s="3" t="n">
        <v>1</v>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3" t="inlineStr">
        <is>
          <t>세종시 소정면 대도로변에 위치한 계획관리 토지 매매</t>
        </is>
      </c>
      <c r="I3143" s="5">
        <f>HYPERLINK("https://fin.land.naver.com/articles/2646832444", "매물Link")</f>
        <v/>
      </c>
      <c r="J3143" s="5">
        <f>HYPERLINK("https://map.naver.com/p/search/소정면 대곡리 349-2", "지도Link")</f>
        <v/>
      </c>
      <c r="K3143" s="5">
        <f>HYPERLINK("http://www.eum.go.kr/web/ar/lu/luLandDet.jsp?pnu=3611039023103490002&amp;isNoScr=script&amp;mode=search", "토지이음")</f>
        <v/>
      </c>
      <c r="L3143" s="3" t="inlineStr">
        <is>
          <t>뉴스카이</t>
        </is>
      </c>
      <c r="M3143" s="3" t="n">
        <v>1</v>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3" t="inlineStr">
        <is>
          <t>세종상용차물류단지 예정지인근 계획관리지역4필지 2,500P 27.5억</t>
        </is>
      </c>
      <c r="I3144" s="5">
        <f>HYPERLINK("https://fin.land.naver.com/articles/2644210608", "매물Link")</f>
        <v/>
      </c>
      <c r="J3144" s="5">
        <f>HYPERLINK("https://map.naver.com/p/search/소정면 대곡리 414-2", "지도Link")</f>
        <v/>
      </c>
      <c r="K3144" s="5">
        <f>HYPERLINK("http://www.eum.go.kr/web/ar/lu/luLandDet.jsp?pnu=3611039023104140002&amp;isNoScr=script&amp;mode=search", "토지이음")</f>
        <v/>
      </c>
      <c r="L3144" s="3" t="inlineStr">
        <is>
          <t>이화</t>
        </is>
      </c>
      <c r="M3144" s="3" t="n">
        <v>1</v>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3" t="inlineStr">
        <is>
          <t>계획관리 20m도로계획수혜지 평지 전,답</t>
        </is>
      </c>
      <c r="I3145" s="5">
        <f>HYPERLINK("https://fin.land.naver.com/articles/2647914317", "매물Link")</f>
        <v/>
      </c>
      <c r="J3145" s="5">
        <f>HYPERLINK("https://map.naver.com/p/search/소정면 대곡리 418-1", "지도Link")</f>
        <v/>
      </c>
      <c r="K3145" s="5">
        <f>HYPERLINK("http://www.eum.go.kr/web/ar/lu/luLandDet.jsp?pnu=3611039023104180001&amp;isNoScr=script&amp;mode=search", "토지이음")</f>
        <v/>
      </c>
      <c r="L3145" s="3" t="inlineStr">
        <is>
          <t>토마토사무소</t>
        </is>
      </c>
      <c r="M3145" s="3" t="n">
        <v>1</v>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3" t="inlineStr">
        <is>
          <t>세종시 소재 토지를  저렴한 가격으로 확보 기회</t>
        </is>
      </c>
      <c r="I3146" s="5">
        <f>HYPERLINK("https://fin.land.naver.com/articles/2644419219", "매물Link")</f>
        <v/>
      </c>
      <c r="J3146" s="5">
        <f>HYPERLINK("https://map.naver.com/p/search/소정면 대곡리 43-1", "지도Link")</f>
        <v/>
      </c>
      <c r="K3146" s="5">
        <f>HYPERLINK("http://www.eum.go.kr/web/ar/lu/luLandDet.jsp?pnu=3611039023100430001&amp;isNoScr=script&amp;mode=search", "토지이음")</f>
        <v/>
      </c>
      <c r="L3146" s="3" t="inlineStr">
        <is>
          <t>봄날</t>
        </is>
      </c>
      <c r="M3146" s="3" t="n">
        <v>1</v>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3" t="inlineStr">
        <is>
          <t>nan</t>
        </is>
      </c>
      <c r="I3147" s="5">
        <f>HYPERLINK("https://fin.land.naver.com/articles/2646851680", "매물Link")</f>
        <v/>
      </c>
      <c r="J3147" s="5">
        <f>HYPERLINK("https://map.naver.com/p/search/소정면 대곡리 43-1", "지도Link")</f>
        <v/>
      </c>
      <c r="K3147" s="5">
        <f>HYPERLINK("http://www.eum.go.kr/web/ar/lu/luLandDet.jsp?pnu=3611039023100430001&amp;isNoScr=script&amp;mode=search", "토지이음")</f>
        <v/>
      </c>
      <c r="L3147" s="3" t="inlineStr">
        <is>
          <t>진</t>
        </is>
      </c>
      <c r="M3147" s="3" t="n">
        <v>1</v>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3" t="inlineStr">
        <is>
          <t>소정면 대곡리 가격절충가능</t>
        </is>
      </c>
      <c r="I3148" s="5">
        <f>HYPERLINK("https://fin.land.naver.com/articles/2646661262", "매물Link")</f>
        <v/>
      </c>
      <c r="J3148" s="5">
        <f>HYPERLINK("https://map.naver.com/p/search/소정면 대곡리 471-4", "지도Link")</f>
        <v/>
      </c>
      <c r="K3148" s="5">
        <f>HYPERLINK("http://www.eum.go.kr/web/ar/lu/luLandDet.jsp?pnu=3611039023104710004&amp;isNoScr=script&amp;mode=search", "토지이음")</f>
        <v/>
      </c>
      <c r="L3148" s="3" t="inlineStr">
        <is>
          <t>88</t>
        </is>
      </c>
      <c r="M3148" s="3" t="n">
        <v>1</v>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3" t="inlineStr">
        <is>
          <t>nan</t>
        </is>
      </c>
      <c r="I3149" s="5">
        <f>HYPERLINK("https://fin.land.naver.com/articles/2648858396", "매물Link")</f>
        <v/>
      </c>
      <c r="J3149" s="5">
        <f>HYPERLINK("https://map.naver.com/p/search/소정면 대곡리 539-4", "지도Link")</f>
        <v/>
      </c>
      <c r="K3149" s="5">
        <f>HYPERLINK("http://www.eum.go.kr/web/ar/lu/luLandDet.jsp?pnu=3611039023105390004&amp;isNoScr=script&amp;mode=search", "토지이음")</f>
        <v/>
      </c>
      <c r="L3149" s="3" t="inlineStr">
        <is>
          <t>세종소담황금</t>
        </is>
      </c>
      <c r="M3149" s="3" t="n">
        <v>1</v>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3" t="inlineStr">
        <is>
          <t>농지 초급매  세종시 농지 매도합니다. 대토추천</t>
        </is>
      </c>
      <c r="I3150" s="5">
        <f>HYPERLINK("https://fin.land.naver.com/articles/2645601930", "매물Link")</f>
        <v/>
      </c>
      <c r="J3150" s="5">
        <f>HYPERLINK("https://map.naver.com/p/search/소정면 대곡리 545-14", "지도Link")</f>
        <v/>
      </c>
      <c r="K3150" s="5">
        <f>HYPERLINK("http://www.eum.go.kr/web/ar/lu/luLandDet.jsp?pnu=3611039023105450014&amp;isNoScr=script&amp;mode=search", "토지이음")</f>
        <v/>
      </c>
      <c r="L3150" s="3" t="inlineStr">
        <is>
          <t>미스터홈즈강남지사</t>
        </is>
      </c>
      <c r="M3150" s="3" t="n">
        <v>1</v>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3" t="inlineStr">
        <is>
          <t>소정면 대곡리 농림지역 토지매매</t>
        </is>
      </c>
      <c r="I3151" s="5">
        <f>HYPERLINK("https://fin.land.naver.com/articles/2644036949", "매물Link")</f>
        <v/>
      </c>
      <c r="J3151" s="5">
        <f>HYPERLINK("https://map.naver.com/p/search/소정면 대곡리 545-14", "지도Link")</f>
        <v/>
      </c>
      <c r="K3151" s="5">
        <f>HYPERLINK("http://www.eum.go.kr/web/ar/lu/luLandDet.jsp?pnu=3611039023105450014&amp;isNoScr=script&amp;mode=search", "토지이음")</f>
        <v/>
      </c>
      <c r="L3151" s="3" t="inlineStr">
        <is>
          <t>재화</t>
        </is>
      </c>
      <c r="M3151" s="3" t="n">
        <v>1</v>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3" t="inlineStr">
        <is>
          <t>세종시 저렴한 임야</t>
        </is>
      </c>
      <c r="I3152" s="5">
        <f>HYPERLINK("https://fin.land.naver.com/articles/2645322941", "매물Link")</f>
        <v/>
      </c>
      <c r="J3152" s="5">
        <f>HYPERLINK("https://map.naver.com/p/search/소정면 대곡리 산 22-1", "지도Link")</f>
        <v/>
      </c>
      <c r="K3152" s="5">
        <f>HYPERLINK("http://www.eum.go.kr/web/ar/lu/luLandDet.jsp?pnu=3611039023200220001&amp;isNoScr=script&amp;mode=search", "토지이음")</f>
        <v/>
      </c>
      <c r="L3152" s="3" t="inlineStr">
        <is>
          <t>북세종</t>
        </is>
      </c>
      <c r="M3152" s="3" t="n">
        <v>1</v>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3" t="inlineStr">
        <is>
          <t>올 계획관리지역</t>
        </is>
      </c>
      <c r="I3153" s="5">
        <f>HYPERLINK("https://fin.land.naver.com/articles/2645620729", "매물Link")</f>
        <v/>
      </c>
      <c r="J3153" s="5">
        <f>HYPERLINK("https://map.naver.com/p/search/소정면 대곡리 산 5-1", "지도Link")</f>
        <v/>
      </c>
      <c r="K3153" s="5">
        <f>HYPERLINK("http://www.eum.go.kr/web/ar/lu/luLandDet.jsp?pnu=3611039023200050001&amp;isNoScr=script&amp;mode=search", "토지이음")</f>
        <v/>
      </c>
      <c r="L3153" s="3" t="inlineStr">
        <is>
          <t>으뜸</t>
        </is>
      </c>
      <c r="M3153" s="3" t="n">
        <v>1</v>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3" t="inlineStr">
        <is>
          <t>소정면 대곡리 계획관리 임야, 저렴한가격, 개발용, 남천안IC 인근</t>
        </is>
      </c>
      <c r="I3154" s="5">
        <f>HYPERLINK("https://fin.land.naver.com/articles/2645845846", "매물Link")</f>
        <v/>
      </c>
      <c r="J3154" s="5">
        <f>HYPERLINK("https://map.naver.com/p/search/소정면 대곡리 산 5-1", "지도Link")</f>
        <v/>
      </c>
      <c r="K3154" s="5">
        <f>HYPERLINK("http://www.eum.go.kr/web/ar/lu/luLandDet.jsp?pnu=3611039023200050001&amp;isNoScr=script&amp;mode=search", "토지이음")</f>
        <v/>
      </c>
      <c r="L3154" s="3" t="inlineStr">
        <is>
          <t>스카이</t>
        </is>
      </c>
      <c r="M3154" s="3" t="n">
        <v>3</v>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3" t="inlineStr">
        <is>
          <t>소정면 대곡리 계획관리 도로접 임야 매매</t>
        </is>
      </c>
      <c r="I3155" s="5">
        <f>HYPERLINK("https://fin.land.naver.com/articles/2644552939", "매물Link")</f>
        <v/>
      </c>
      <c r="J3155" s="5">
        <f>HYPERLINK("https://map.naver.com/p/search/소정면 대곡리 산 5-1", "지도Link")</f>
        <v/>
      </c>
      <c r="K3155" s="5">
        <f>HYPERLINK("http://www.eum.go.kr/web/ar/lu/luLandDet.jsp?pnu=3611039023200050001&amp;isNoScr=script&amp;mode=search", "토지이음")</f>
        <v/>
      </c>
      <c r="L3155" s="3" t="inlineStr">
        <is>
          <t>재화</t>
        </is>
      </c>
      <c r="M3155" s="3" t="n">
        <v>1</v>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3" t="inlineStr">
        <is>
          <t>소정면 대곡리 4차선 도로 옆 계획관리 토지, 남풍세 및 남천안IC</t>
        </is>
      </c>
      <c r="I3156" s="5">
        <f>HYPERLINK("https://fin.land.naver.com/articles/2645846528", "매물Link")</f>
        <v/>
      </c>
      <c r="J3156" s="5">
        <f>HYPERLINK("https://map.naver.com/p/search/소정면 대곡리 산51-12", "지도Link")</f>
        <v/>
      </c>
      <c r="K3156" s="5">
        <f>HYPERLINK("http://www.eum.go.kr/web/ar/lu/luLandDet.jsp?pnu=3611039023200510012&amp;isNoScr=script&amp;mode=search", "토지이음")</f>
        <v/>
      </c>
      <c r="L3156" s="3" t="inlineStr">
        <is>
          <t>스카이</t>
        </is>
      </c>
      <c r="M3156" s="3" t="n">
        <v>1</v>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3" t="inlineStr">
        <is>
          <t>소정역 인근 모양좋은 생산관리지역</t>
        </is>
      </c>
      <c r="I3157" s="5">
        <f>HYPERLINK("https://fin.land.naver.com/articles/2646220602", "매물Link")</f>
        <v/>
      </c>
      <c r="J3157" s="5">
        <f>HYPERLINK("https://map.naver.com/p/search/소정면 소정리 15-1", "지도Link")</f>
        <v/>
      </c>
      <c r="K3157" s="5">
        <f>HYPERLINK("http://www.eum.go.kr/web/ar/lu/luLandDet.jsp?pnu=3611039021100150001&amp;isNoScr=script&amp;mode=search", "토지이음")</f>
        <v/>
      </c>
      <c r="L3157" s="3" t="inlineStr">
        <is>
          <t>불당대동</t>
        </is>
      </c>
      <c r="M3157" s="3" t="n">
        <v>1</v>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3" t="inlineStr">
        <is>
          <t>소정역 인근 모양좋은 생산관리 토지</t>
        </is>
      </c>
      <c r="I3158" s="5">
        <f>HYPERLINK("https://fin.land.naver.com/articles/2647328800", "매물Link")</f>
        <v/>
      </c>
      <c r="J3158" s="5">
        <f>HYPERLINK("https://map.naver.com/p/search/소정면 소정리 16-1", "지도Link")</f>
        <v/>
      </c>
      <c r="K3158" s="5">
        <f>HYPERLINK("http://www.eum.go.kr/web/ar/lu/luLandDet.jsp?pnu=3611039021100160001&amp;isNoScr=script&amp;mode=search", "토지이음")</f>
        <v/>
      </c>
      <c r="L3158" s="3" t="inlineStr">
        <is>
          <t>불당대동</t>
        </is>
      </c>
      <c r="M3158" s="3" t="n">
        <v>1</v>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3" t="inlineStr">
        <is>
          <t>소정면 소정리 2차선변 계획관리 토지, 남풍세IC, 근생 및 창고 건축</t>
        </is>
      </c>
      <c r="I3159" s="5">
        <f>HYPERLINK("https://fin.land.naver.com/articles/2647359622", "매물Link")</f>
        <v/>
      </c>
      <c r="J3159" s="5">
        <f>HYPERLINK("https://map.naver.com/p/search/소정면 소정리 286-1", "지도Link")</f>
        <v/>
      </c>
      <c r="K3159" s="5">
        <f>HYPERLINK("http://www.eum.go.kr/web/ar/lu/luLandDet.jsp?pnu=3611039021102860001&amp;isNoScr=script&amp;mode=search", "토지이음")</f>
        <v/>
      </c>
      <c r="L3159" s="3" t="inlineStr">
        <is>
          <t>스카이</t>
        </is>
      </c>
      <c r="M3159" s="3" t="n">
        <v>1</v>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3" t="inlineStr">
        <is>
          <t>산업단지 인근 계획관리 창고 공장 용지추천</t>
        </is>
      </c>
      <c r="I3160" s="5">
        <f>HYPERLINK("https://fin.land.naver.com/articles/2648030444", "매물Link")</f>
        <v/>
      </c>
      <c r="J3160" s="5">
        <f>HYPERLINK("https://map.naver.com/p/search/소정면 소정리 286-1", "지도Link")</f>
        <v/>
      </c>
      <c r="K3160" s="5">
        <f>HYPERLINK("http://www.eum.go.kr/web/ar/lu/luLandDet.jsp?pnu=3611039021102860001&amp;isNoScr=script&amp;mode=search", "토지이음")</f>
        <v/>
      </c>
      <c r="L3160" s="3" t="inlineStr">
        <is>
          <t>THE행복</t>
        </is>
      </c>
      <c r="M3160" s="3" t="n">
        <v>1</v>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3" t="inlineStr">
        <is>
          <t>초급매,도로접 계획관리,융복합미래도시 소정지구 도시개발구역,가격조정가능</t>
        </is>
      </c>
      <c r="I3161" s="5">
        <f>HYPERLINK("https://fin.land.naver.com/articles/2646537940", "매물Link")</f>
        <v/>
      </c>
      <c r="J3161" s="5">
        <f>HYPERLINK("https://map.naver.com/p/search/소정면 소정리 33-3", "지도Link")</f>
        <v/>
      </c>
      <c r="K3161" s="5">
        <f>HYPERLINK("http://www.eum.go.kr/web/ar/lu/luLandDet.jsp?pnu=3611039021100330003&amp;isNoScr=script&amp;mode=search", "토지이음")</f>
        <v/>
      </c>
      <c r="L3161" s="3" t="inlineStr">
        <is>
          <t>고운맘</t>
        </is>
      </c>
      <c r="M3161" s="3" t="n">
        <v>1</v>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3" t="inlineStr">
        <is>
          <t>1번국도 소정2리 교차로 접한토지</t>
        </is>
      </c>
      <c r="I3162" s="5">
        <f>HYPERLINK("https://fin.land.naver.com/articles/2646624196", "매물Link")</f>
        <v/>
      </c>
      <c r="J3162" s="5">
        <f>HYPERLINK("https://map.naver.com/p/search/소정면 소정리 371-2", "지도Link")</f>
        <v/>
      </c>
      <c r="K3162" s="5">
        <f>HYPERLINK("http://www.eum.go.kr/web/ar/lu/luLandDet.jsp?pnu=3611039021103710002&amp;isNoScr=script&amp;mode=search", "토지이음")</f>
        <v/>
      </c>
      <c r="L3162" s="3" t="inlineStr">
        <is>
          <t>가람</t>
        </is>
      </c>
      <c r="M3162" s="3" t="n">
        <v>1</v>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3" t="inlineStr">
        <is>
          <t>주택신축 하는데 딱 이정도면 되지않을까요</t>
        </is>
      </c>
      <c r="I3163" s="5">
        <f>HYPERLINK("https://fin.land.naver.com/articles/2648747519", "매물Link")</f>
        <v/>
      </c>
      <c r="J3163" s="5">
        <f>HYPERLINK("https://map.naver.com/p/search/소정면 소정리 409-3", "지도Link")</f>
        <v/>
      </c>
      <c r="K3163" s="5">
        <f>HYPERLINK("http://www.eum.go.kr/web/ar/lu/luLandDet.jsp?pnu=3611039021104090003&amp;isNoScr=script&amp;mode=search", "토지이음")</f>
        <v/>
      </c>
      <c r="L3163" s="3" t="inlineStr">
        <is>
          <t>용궁</t>
        </is>
      </c>
      <c r="M3163" s="3" t="n">
        <v>1</v>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3" t="inlineStr">
        <is>
          <t>(명당추천)천안아산역 15km 15분 분할 가능한 전원주택 매매</t>
        </is>
      </c>
      <c r="I3164" s="5">
        <f>HYPERLINK("https://fin.land.naver.com/articles/2645042945", "매물Link")</f>
        <v/>
      </c>
      <c r="J3164" s="5">
        <f>HYPERLINK("https://map.naver.com/p/search/소정면 소정리 451-1", "지도Link")</f>
        <v/>
      </c>
      <c r="K3164" s="5">
        <f>HYPERLINK("http://www.eum.go.kr/web/ar/lu/luLandDet.jsp?pnu=3611039021104510001&amp;isNoScr=script&amp;mode=search", "토지이음")</f>
        <v/>
      </c>
      <c r="L3164" s="3" t="inlineStr">
        <is>
          <t>올라</t>
        </is>
      </c>
      <c r="M3164" s="3" t="n">
        <v>1</v>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3" t="inlineStr">
        <is>
          <t>2차선 도로에 붙은 정사각형  토지 매매</t>
        </is>
      </c>
      <c r="I3165" s="5">
        <f>HYPERLINK("https://fin.land.naver.com/articles/2646293736", "매물Link")</f>
        <v/>
      </c>
      <c r="J3165" s="5">
        <f>HYPERLINK("https://map.naver.com/p/search/소정면 소정리 49-12", "지도Link")</f>
        <v/>
      </c>
      <c r="K3165" s="5">
        <f>HYPERLINK("http://www.eum.go.kr/web/ar/lu/luLandDet.jsp?pnu=3611039021100490012&amp;isNoScr=script&amp;mode=search", "토지이음")</f>
        <v/>
      </c>
      <c r="L3165" s="3" t="inlineStr">
        <is>
          <t>주식회사넥서스</t>
        </is>
      </c>
      <c r="M3165" s="3" t="n">
        <v>1</v>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3" t="inlineStr">
        <is>
          <t>급매 세종소정리 계획관리 도로접 대지 전원주택 주말농장 농촌체류형쉼터</t>
        </is>
      </c>
      <c r="I3166" s="5">
        <f>HYPERLINK("https://fin.land.naver.com/articles/2646754234", "매물Link")</f>
        <v/>
      </c>
      <c r="J3166" s="5">
        <f>HYPERLINK("https://map.naver.com/p/search/소정면 소정리 492-7", "지도Link")</f>
        <v/>
      </c>
      <c r="K3166" s="5">
        <f>HYPERLINK("http://www.eum.go.kr/web/ar/lu/luLandDet.jsp?pnu=3611039021104920007&amp;isNoScr=script&amp;mode=search", "토지이음")</f>
        <v/>
      </c>
      <c r="L3166" s="3" t="inlineStr">
        <is>
          <t>천안삼거리</t>
        </is>
      </c>
      <c r="M3166" s="3" t="n">
        <v>1</v>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3" t="inlineStr">
        <is>
          <t>모양좋은 저렴한 나대지 매매</t>
        </is>
      </c>
      <c r="I3167" s="5">
        <f>HYPERLINK("https://fin.land.naver.com/articles/2647110467", "매물Link")</f>
        <v/>
      </c>
      <c r="J3167" s="5">
        <f>HYPERLINK("https://map.naver.com/p/search/소정면 소정리 492-7", "지도Link")</f>
        <v/>
      </c>
      <c r="K3167" s="5">
        <f>HYPERLINK("http://www.eum.go.kr/web/ar/lu/luLandDet.jsp?pnu=3611039021104920007&amp;isNoScr=script&amp;mode=search", "토지이음")</f>
        <v/>
      </c>
      <c r="L3167" s="3" t="inlineStr">
        <is>
          <t>THE행복</t>
        </is>
      </c>
      <c r="M3167" s="3" t="n">
        <v>1</v>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3" t="inlineStr">
        <is>
          <t>남풍세ic , 세종평택로 국도 인근 전원주택 토지. 계획관리지역</t>
        </is>
      </c>
      <c r="I3168" s="5">
        <f>HYPERLINK("https://fin.land.naver.com/articles/2644770765", "매물Link")</f>
        <v/>
      </c>
      <c r="J3168" s="5">
        <f>HYPERLINK("https://map.naver.com/p/search/소정면 소정리 492-7", "지도Link")</f>
        <v/>
      </c>
      <c r="K3168" s="5">
        <f>HYPERLINK("http://www.eum.go.kr/web/ar/lu/luLandDet.jsp?pnu=3611039021104920007&amp;isNoScr=script&amp;mode=search", "토지이음")</f>
        <v/>
      </c>
      <c r="L3168" s="3" t="inlineStr">
        <is>
          <t>복드림</t>
        </is>
      </c>
      <c r="M3168" s="3" t="n">
        <v>1</v>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3" t="inlineStr">
        <is>
          <t>남풍세ic 차량1분거리 도로접 토지매매</t>
        </is>
      </c>
      <c r="I3169" s="5">
        <f>HYPERLINK("https://fin.land.naver.com/articles/2647850602", "매물Link")</f>
        <v/>
      </c>
      <c r="J3169" s="5">
        <f>HYPERLINK("https://map.naver.com/p/search/소정면 소정리 511-10", "지도Link")</f>
        <v/>
      </c>
      <c r="K3169" s="5">
        <f>HYPERLINK("http://www.eum.go.kr/web/ar/lu/luLandDet.jsp?pnu=3611039021105110010&amp;isNoScr=script&amp;mode=search", "토지이음")</f>
        <v/>
      </c>
      <c r="L3169" s="3" t="inlineStr">
        <is>
          <t>다모아</t>
        </is>
      </c>
      <c r="M3169" s="3" t="n">
        <v>3</v>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3" t="inlineStr">
        <is>
          <t>2차선 도로 접 생산관리 토지로 상가등 다용도 추천 장래투자가치 있어요</t>
        </is>
      </c>
      <c r="I3170" s="5">
        <f>HYPERLINK("https://fin.land.naver.com/articles/2646117300", "매물Link")</f>
        <v/>
      </c>
      <c r="J3170" s="5">
        <f>HYPERLINK("https://map.naver.com/p/search/소정면 소정리 512-2", "지도Link")</f>
        <v/>
      </c>
      <c r="K3170" s="5">
        <f>HYPERLINK("http://www.eum.go.kr/web/ar/lu/luLandDet.jsp?pnu=3611039021105120002&amp;isNoScr=script&amp;mode=search", "토지이음")</f>
        <v/>
      </c>
      <c r="L3170" s="3" t="inlineStr">
        <is>
          <t>병천참조은</t>
        </is>
      </c>
      <c r="M3170" s="3" t="n">
        <v>2</v>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3" t="inlineStr">
        <is>
          <t>스마트팜 농장 매매. 시설비 금액별도</t>
        </is>
      </c>
      <c r="I3171" s="5">
        <f>HYPERLINK("https://fin.land.naver.com/articles/2648485498", "매물Link")</f>
        <v/>
      </c>
      <c r="J3171" s="5">
        <f>HYPERLINK("https://map.naver.com/p/search/소정면 소정리 77-1", "지도Link")</f>
        <v/>
      </c>
      <c r="K3171" s="5">
        <f>HYPERLINK("http://www.eum.go.kr/web/ar/lu/luLandDet.jsp?pnu=3611039021100770001&amp;isNoScr=script&amp;mode=search", "토지이음")</f>
        <v/>
      </c>
      <c r="L3171" s="3" t="inlineStr">
        <is>
          <t>주식회사넥서스</t>
        </is>
      </c>
      <c r="M3171" s="3" t="n">
        <v>1</v>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3" t="inlineStr">
        <is>
          <t>남풍세IC 접근 좋은 포장농로 접한 평탄 농지</t>
        </is>
      </c>
      <c r="I3172" s="5">
        <f>HYPERLINK("https://fin.land.naver.com/articles/2648861289", "매물Link")</f>
        <v/>
      </c>
      <c r="J3172" s="5">
        <f>HYPERLINK("https://map.naver.com/p/search/소정면 소정리 86-2", "지도Link")</f>
        <v/>
      </c>
      <c r="K3172" s="5">
        <f>HYPERLINK("http://www.eum.go.kr/web/ar/lu/luLandDet.jsp?pnu=3611039021100860002&amp;isNoScr=script&amp;mode=search", "토지이음")</f>
        <v/>
      </c>
      <c r="L3172" s="3" t="inlineStr">
        <is>
          <t>세종소담황금</t>
        </is>
      </c>
      <c r="M3172" s="3" t="n">
        <v>1</v>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3" t="inlineStr">
        <is>
          <t>소정리 저렴한 농지 대토 추천 복토해서 밭으로 사용중입니다</t>
        </is>
      </c>
      <c r="I3173" s="5">
        <f>HYPERLINK("https://fin.land.naver.com/articles/2648077459", "매물Link")</f>
        <v/>
      </c>
      <c r="J3173" s="5">
        <f>HYPERLINK("https://map.naver.com/p/search/소정면 소정리 91-2", "지도Link")</f>
        <v/>
      </c>
      <c r="K3173" s="5">
        <f>HYPERLINK("http://www.eum.go.kr/web/ar/lu/luLandDet.jsp?pnu=3611039021100910002&amp;isNoScr=script&amp;mode=search", "토지이음")</f>
        <v/>
      </c>
      <c r="L3173" s="3" t="inlineStr">
        <is>
          <t>OK수</t>
        </is>
      </c>
      <c r="M3173" s="3" t="n">
        <v>1</v>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3" t="inlineStr">
        <is>
          <t>행정 수도 이전 완료 시 개발 이익 및 지가 상승 선취매 강력 추천 매물</t>
        </is>
      </c>
      <c r="I3174" s="5">
        <f>HYPERLINK("https://fin.land.naver.com/articles/2649206235", "매물Link")</f>
        <v/>
      </c>
      <c r="J3174" s="5">
        <f>HYPERLINK("https://map.naver.com/p/search/소정면 운당리 142-3", "지도Link")</f>
        <v/>
      </c>
      <c r="K3174" s="5">
        <f>HYPERLINK("http://www.eum.go.kr/web/ar/lu/luLandDet.jsp?pnu=3611039022101420003&amp;isNoScr=script&amp;mode=search", "토지이음")</f>
        <v/>
      </c>
      <c r="L3174" s="3" t="inlineStr">
        <is>
          <t>자이</t>
        </is>
      </c>
      <c r="M3174" s="3" t="n">
        <v>1</v>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3" t="inlineStr">
        <is>
          <t>대토용으로 추천합니다.</t>
        </is>
      </c>
      <c r="I3175" s="5">
        <f>HYPERLINK("https://fin.land.naver.com/articles/2645620565", "매물Link")</f>
        <v/>
      </c>
      <c r="J3175" s="5">
        <f>HYPERLINK("https://map.naver.com/p/search/소정면 운당리 200-2", "지도Link")</f>
        <v/>
      </c>
      <c r="K3175" s="5">
        <f>HYPERLINK("http://www.eum.go.kr/web/ar/lu/luLandDet.jsp?pnu=3611039022102000002&amp;isNoScr=script&amp;mode=search", "토지이음")</f>
        <v/>
      </c>
      <c r="L3175" s="3" t="inlineStr">
        <is>
          <t>으뜸</t>
        </is>
      </c>
      <c r="M3175" s="3" t="n">
        <v>1</v>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3" t="inlineStr">
        <is>
          <t>건축가능한 토지, 계획관리지역</t>
        </is>
      </c>
      <c r="I3176" s="5">
        <f>HYPERLINK("https://fin.land.naver.com/articles/2644444571", "매물Link")</f>
        <v/>
      </c>
      <c r="J3176" s="5">
        <f>HYPERLINK("https://map.naver.com/p/search/소정면 운당리 206-8", "지도Link")</f>
        <v/>
      </c>
      <c r="K3176" s="5">
        <f>HYPERLINK("http://www.eum.go.kr/web/ar/lu/luLandDet.jsp?pnu=3611039022102060008&amp;isNoScr=script&amp;mode=search", "토지이음")</f>
        <v/>
      </c>
      <c r="L3176" s="3" t="inlineStr">
        <is>
          <t>세종대박</t>
        </is>
      </c>
      <c r="M3176" s="3" t="n">
        <v>1</v>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3" t="inlineStr">
        <is>
          <t>nan</t>
        </is>
      </c>
      <c r="I3177" s="5">
        <f>HYPERLINK("https://fin.land.naver.com/articles/2647538965", "매물Link")</f>
        <v/>
      </c>
      <c r="J3177" s="5">
        <f>HYPERLINK("https://map.naver.com/p/search/소정면 운당리 227-2", "지도Link")</f>
        <v/>
      </c>
      <c r="K3177" s="5">
        <f>HYPERLINK("http://www.eum.go.kr/web/ar/lu/luLandDet.jsp?pnu=3611039022102270002&amp;isNoScr=script&amp;mode=search", "토지이음")</f>
        <v/>
      </c>
      <c r="L3177" s="3" t="inlineStr">
        <is>
          <t>잘살아보세</t>
        </is>
      </c>
      <c r="M3177" s="3" t="n">
        <v>1</v>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3" t="inlineStr">
        <is>
          <t>공장허가 완료 금속제조 창고 적합 대면적 부지</t>
        </is>
      </c>
      <c r="I3178" s="5">
        <f>HYPERLINK("https://fin.land.naver.com/articles/2648845305", "매물Link")</f>
        <v/>
      </c>
      <c r="J3178" s="5">
        <f>HYPERLINK("https://map.naver.com/p/search/소정면 운당리 81-4", "지도Link")</f>
        <v/>
      </c>
      <c r="K3178" s="5">
        <f>HYPERLINK("http://www.eum.go.kr/web/ar/lu/luLandDet.jsp?pnu=3611039022100810004&amp;isNoScr=script&amp;mode=search", "토지이음")</f>
        <v/>
      </c>
      <c r="L3178" s="3" t="inlineStr">
        <is>
          <t>세종소담황금</t>
        </is>
      </c>
      <c r="M3178" s="3" t="n">
        <v>1</v>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3" t="inlineStr">
        <is>
          <t>농가주택, 농업시설추천, 톨게이트인근</t>
        </is>
      </c>
      <c r="I3179" s="5">
        <f>HYPERLINK("https://fin.land.naver.com/articles/2647416228", "매물Link")</f>
        <v/>
      </c>
      <c r="J3179" s="5">
        <f>HYPERLINK("https://map.naver.com/p/search/소정면 운당리 96-1", "지도Link")</f>
        <v/>
      </c>
      <c r="K3179" s="5">
        <f>HYPERLINK("http://www.eum.go.kr/web/ar/lu/luLandDet.jsp?pnu=3611039022100960001&amp;isNoScr=script&amp;mode=search", "토지이음")</f>
        <v/>
      </c>
      <c r="L3179" s="3" t="inlineStr">
        <is>
          <t>도시</t>
        </is>
      </c>
      <c r="M3179" s="3" t="n">
        <v>1</v>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3" t="inlineStr">
        <is>
          <t>세종시 임야 지분매매로 장기 보유 및 소액 투자 추천</t>
        </is>
      </c>
      <c r="I3180" s="5">
        <f>HYPERLINK("https://fin.land.naver.com/articles/2648185078", "매물Link")</f>
        <v/>
      </c>
      <c r="J3180" s="5">
        <f>HYPERLINK("https://map.naver.com/p/search/소정면 운당리 산29-5", "지도Link")</f>
        <v/>
      </c>
      <c r="K3180" s="5">
        <f>HYPERLINK("http://www.eum.go.kr/web/ar/lu/luLandDet.jsp?pnu=3611039022200290005&amp;isNoScr=script&amp;mode=search", "토지이음")</f>
        <v/>
      </c>
      <c r="L3180" s="3" t="inlineStr">
        <is>
          <t>가치잇는</t>
        </is>
      </c>
      <c r="M3180" s="3" t="n">
        <v>1</v>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3" t="inlineStr">
        <is>
          <t>동문에 남향 집 지을 수 있는 땅</t>
        </is>
      </c>
      <c r="I3181" s="5">
        <f>HYPERLINK("https://fin.land.naver.com/articles/2645974540", "매물Link")</f>
        <v/>
      </c>
      <c r="J3181" s="5">
        <f>HYPERLINK("https://map.naver.com/p/search/아름동 1016", "지도Link")</f>
        <v/>
      </c>
      <c r="K3181" s="5">
        <f>HYPERLINK("http://www.eum.go.kr/web/ar/lu/luLandDet.jsp?pnu=3611011300110160000&amp;isNoScr=script&amp;mode=search", "토지이음")</f>
        <v/>
      </c>
      <c r="L3181" s="3" t="inlineStr">
        <is>
          <t>세종다정랜드</t>
        </is>
      </c>
      <c r="M3181" s="3" t="n">
        <v>1</v>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3" t="inlineStr">
        <is>
          <t>전용100.5p, 국제고인근, 아름동 단독주택지</t>
        </is>
      </c>
      <c r="I3182" s="5">
        <f>HYPERLINK("https://fin.land.naver.com/articles/2646694903", "매물Link")</f>
        <v/>
      </c>
      <c r="J3182" s="5">
        <f>HYPERLINK("https://map.naver.com/p/search/아름동 1037", "지도Link")</f>
        <v/>
      </c>
      <c r="K3182" s="5">
        <f>HYPERLINK("http://www.eum.go.kr/web/ar/lu/luLandDet.jsp?pnu=3611011300110370000&amp;isNoScr=script&amp;mode=search", "토지이음")</f>
        <v/>
      </c>
      <c r="L3182" s="3" t="inlineStr">
        <is>
          <t>세종무지개</t>
        </is>
      </c>
      <c r="M3182" s="3" t="n">
        <v>1</v>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3" t="inlineStr">
        <is>
          <t>총 100.5p, 위치좋은 아름동 단독주택지 토지</t>
        </is>
      </c>
      <c r="I3183" s="5">
        <f>HYPERLINK("https://fin.land.naver.com/articles/2649022307", "매물Link")</f>
        <v/>
      </c>
      <c r="J3183" s="5">
        <f>HYPERLINK("https://map.naver.com/p/search/아름동 1037", "지도Link")</f>
        <v/>
      </c>
      <c r="K3183" s="5">
        <f>HYPERLINK("http://www.eum.go.kr/web/ar/lu/luLandDet.jsp?pnu=3611011300110370000&amp;isNoScr=script&amp;mode=search", "토지이음")</f>
        <v/>
      </c>
      <c r="L3183" s="3" t="inlineStr">
        <is>
          <t>명진</t>
        </is>
      </c>
      <c r="M3183" s="3" t="n">
        <v>1</v>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3" t="inlineStr">
        <is>
          <t>nan</t>
        </is>
      </c>
      <c r="I3184" s="5">
        <f>HYPERLINK("https://fin.land.naver.com/articles/2644040067", "매물Link")</f>
        <v/>
      </c>
      <c r="J3184" s="5">
        <f>HYPERLINK("https://map.naver.com/p/search/아름동 1049", "지도Link")</f>
        <v/>
      </c>
      <c r="K3184" s="5">
        <f>HYPERLINK("http://www.eum.go.kr/web/ar/lu/luLandDet.jsp?pnu=3611011300110490000&amp;isNoScr=script&amp;mode=search", "토지이음")</f>
        <v/>
      </c>
      <c r="L3184" s="3" t="inlineStr">
        <is>
          <t>생명나무</t>
        </is>
      </c>
      <c r="M3184" s="3" t="n">
        <v>1</v>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3" t="inlineStr">
        <is>
          <t>코너각지, 위치와 접근성 좋은 전원주택지</t>
        </is>
      </c>
      <c r="I3185" s="5">
        <f>HYPERLINK("https://fin.land.naver.com/articles/2648804023", "매물Link")</f>
        <v/>
      </c>
      <c r="J3185" s="5">
        <f>HYPERLINK("https://map.naver.com/p/search/아름동 1049", "지도Link")</f>
        <v/>
      </c>
      <c r="K3185" s="5">
        <f>HYPERLINK("http://www.eum.go.kr/web/ar/lu/luLandDet.jsp?pnu=3611011300110490000&amp;isNoScr=script&amp;mode=search", "토지이음")</f>
        <v/>
      </c>
      <c r="L3185" s="3" t="inlineStr">
        <is>
          <t>부엉이</t>
        </is>
      </c>
      <c r="M3185" s="3" t="n">
        <v>1</v>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3" t="inlineStr">
        <is>
          <t>nan</t>
        </is>
      </c>
      <c r="I3186" s="5">
        <f>HYPERLINK("https://fin.land.naver.com/articles/2644637835", "매물Link")</f>
        <v/>
      </c>
      <c r="J3186" s="5">
        <f>HYPERLINK("https://map.naver.com/p/search/아름동 1070", "지도Link")</f>
        <v/>
      </c>
      <c r="K3186" s="5">
        <f>HYPERLINK("http://www.eum.go.kr/web/ar/lu/luLandDet.jsp?pnu=3611011300110700000&amp;isNoScr=script&amp;mode=search", "토지이음")</f>
        <v/>
      </c>
      <c r="L3186" s="3" t="inlineStr">
        <is>
          <t>엠스테이트</t>
        </is>
      </c>
      <c r="M3186" s="3" t="n">
        <v>2</v>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3" t="inlineStr">
        <is>
          <t>위치최상 벙커주차장가능 언덕 탁트인시야</t>
        </is>
      </c>
      <c r="I3187" s="5">
        <f>HYPERLINK("https://fin.land.naver.com/articles/2648042320", "매물Link")</f>
        <v/>
      </c>
      <c r="J3187" s="5">
        <f>HYPERLINK("https://map.naver.com/p/search/아름동 1079", "지도Link")</f>
        <v/>
      </c>
      <c r="K3187" s="5">
        <f>HYPERLINK("http://www.eum.go.kr/web/ar/lu/luLandDet.jsp?pnu=3611011300110790000&amp;isNoScr=script&amp;mode=search", "토지이음")</f>
        <v/>
      </c>
      <c r="L3187" s="3" t="inlineStr">
        <is>
          <t>세종스타</t>
        </is>
      </c>
      <c r="M3187" s="3" t="n">
        <v>1</v>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3" t="inlineStr">
        <is>
          <t>총 108.9p, 사거리코너 위치좋은 입지</t>
        </is>
      </c>
      <c r="I3188" s="5">
        <f>HYPERLINK("https://fin.land.naver.com/articles/2647422006", "매물Link")</f>
        <v/>
      </c>
      <c r="J3188" s="5">
        <f>HYPERLINK("https://map.naver.com/p/search/아름동 1116", "지도Link")</f>
        <v/>
      </c>
      <c r="K3188" s="5">
        <f>HYPERLINK("http://www.eum.go.kr/web/ar/lu/luLandDet.jsp?pnu=3611011300111160000&amp;isNoScr=script&amp;mode=search", "토지이음")</f>
        <v/>
      </c>
      <c r="L3188" s="3" t="inlineStr">
        <is>
          <t>명진</t>
        </is>
      </c>
      <c r="M3188" s="3" t="n">
        <v>1</v>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3" t="inlineStr">
        <is>
          <t>오가낭뜰과 어린이공원 가까운 선호되는 저렴한 넓은 모서리 택지</t>
        </is>
      </c>
      <c r="I3189" s="5">
        <f>HYPERLINK("https://fin.land.naver.com/articles/2645210881", "매물Link")</f>
        <v/>
      </c>
      <c r="J3189" s="5">
        <f>HYPERLINK("https://map.naver.com/p/search/아름동 1116", "지도Link")</f>
        <v/>
      </c>
      <c r="K3189" s="5">
        <f>HYPERLINK("http://www.eum.go.kr/web/ar/lu/luLandDet.jsp?pnu=3611011300111160000&amp;isNoScr=script&amp;mode=search", "토지이음")</f>
        <v/>
      </c>
      <c r="L3189" s="3" t="inlineStr">
        <is>
          <t>바로그</t>
        </is>
      </c>
      <c r="M3189" s="3" t="n">
        <v>1</v>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3" t="inlineStr">
        <is>
          <t>108.9p, 사거리 코너자리, 아름동 최고입지</t>
        </is>
      </c>
      <c r="I3190" s="5">
        <f>HYPERLINK("https://fin.land.naver.com/articles/2648835394", "매물Link")</f>
        <v/>
      </c>
      <c r="J3190" s="5">
        <f>HYPERLINK("https://map.naver.com/p/search/아름동 1116", "지도Link")</f>
        <v/>
      </c>
      <c r="K3190" s="5">
        <f>HYPERLINK("http://www.eum.go.kr/web/ar/lu/luLandDet.jsp?pnu=3611011300111160000&amp;isNoScr=script&amp;mode=search", "토지이음")</f>
        <v/>
      </c>
      <c r="L3190" s="3" t="inlineStr">
        <is>
          <t>세종무지개</t>
        </is>
      </c>
      <c r="M3190" s="3" t="n">
        <v>1</v>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3" t="inlineStr">
        <is>
          <t>코너 정남향 위치최상 조율가능</t>
        </is>
      </c>
      <c r="I3191" s="5">
        <f>HYPERLINK("https://fin.land.naver.com/articles/2645720959", "매물Link")</f>
        <v/>
      </c>
      <c r="J3191" s="5">
        <f>HYPERLINK("https://map.naver.com/p/search/아름동 1118", "지도Link")</f>
        <v/>
      </c>
      <c r="K3191" s="5">
        <f>HYPERLINK("http://www.eum.go.kr/web/ar/lu/luLandDet.jsp?pnu=3611011300111180000&amp;isNoScr=script&amp;mode=search", "토지이음")</f>
        <v/>
      </c>
      <c r="L3191" s="3" t="inlineStr">
        <is>
          <t>세종스타</t>
        </is>
      </c>
      <c r="M3191" s="3" t="n">
        <v>2</v>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3" t="inlineStr">
        <is>
          <t>공원옆 큰평수 추가조율가능</t>
        </is>
      </c>
      <c r="I3192" s="5">
        <f>HYPERLINK("https://fin.land.naver.com/articles/2646401136", "매물Link")</f>
        <v/>
      </c>
      <c r="J3192" s="5">
        <f>HYPERLINK("https://map.naver.com/p/search/아름동 1121", "지도Link")</f>
        <v/>
      </c>
      <c r="K3192" s="5">
        <f>HYPERLINK("http://www.eum.go.kr/web/ar/lu/luLandDet.jsp?pnu=3611011300111210000&amp;isNoScr=script&amp;mode=search", "토지이음")</f>
        <v/>
      </c>
      <c r="L3192" s="3" t="inlineStr">
        <is>
          <t>세종스타</t>
        </is>
      </c>
      <c r="M3192" s="3" t="n">
        <v>1</v>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3" t="inlineStr">
        <is>
          <t>오가낭뜰 공원과 근접한 선호되는 위치의 저렴한 급매물,조율가</t>
        </is>
      </c>
      <c r="I3193" s="5">
        <f>HYPERLINK("https://fin.land.naver.com/articles/2645254951", "매물Link")</f>
        <v/>
      </c>
      <c r="J3193" s="5">
        <f>HYPERLINK("https://map.naver.com/p/search/아름동 1135", "지도Link")</f>
        <v/>
      </c>
      <c r="K3193" s="5">
        <f>HYPERLINK("http://www.eum.go.kr/web/ar/lu/luLandDet.jsp?pnu=3611011300111350000&amp;isNoScr=script&amp;mode=search", "토지이음")</f>
        <v/>
      </c>
      <c r="L3193" s="3" t="inlineStr">
        <is>
          <t>바로그</t>
        </is>
      </c>
      <c r="M3193" s="3" t="n">
        <v>1</v>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3" t="inlineStr">
        <is>
          <t>충대병원 인근 가격 좋은 토지, 조율도 가능</t>
        </is>
      </c>
      <c r="I3194" s="5">
        <f>HYPERLINK("https://fin.land.naver.com/articles/2644085444", "매물Link")</f>
        <v/>
      </c>
      <c r="J3194" s="5">
        <f>HYPERLINK("https://map.naver.com/p/search/아름동 1142", "지도Link")</f>
        <v/>
      </c>
      <c r="K3194" s="5">
        <f>HYPERLINK("http://www.eum.go.kr/web/ar/lu/luLandDet.jsp?pnu=3611011300111420000&amp;isNoScr=script&amp;mode=search", "토지이음")</f>
        <v/>
      </c>
      <c r="L3194" s="3" t="inlineStr">
        <is>
          <t>세종무지개</t>
        </is>
      </c>
      <c r="M3194" s="3" t="n">
        <v>1</v>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3" t="inlineStr">
        <is>
          <t>97.6p, 충대병원 인근 토지 급매, 조율도가능</t>
        </is>
      </c>
      <c r="I3195" s="5">
        <f>HYPERLINK("https://fin.land.naver.com/articles/2647420786", "매물Link")</f>
        <v/>
      </c>
      <c r="J3195" s="5">
        <f>HYPERLINK("https://map.naver.com/p/search/아름동 1142", "지도Link")</f>
        <v/>
      </c>
      <c r="K3195" s="5">
        <f>HYPERLINK("http://www.eum.go.kr/web/ar/lu/luLandDet.jsp?pnu=3611011300111420000&amp;isNoScr=script&amp;mode=search", "토지이음")</f>
        <v/>
      </c>
      <c r="L3195" s="3" t="inlineStr">
        <is>
          <t>명진</t>
        </is>
      </c>
      <c r="M3195" s="3" t="n">
        <v>1</v>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3" t="inlineStr">
        <is>
          <t>급매 추가조율가능 입지좋은 충대병원인근</t>
        </is>
      </c>
      <c r="I3196" s="5">
        <f>HYPERLINK("https://fin.land.naver.com/articles/2648040028", "매물Link")</f>
        <v/>
      </c>
      <c r="J3196" s="5">
        <f>HYPERLINK("https://map.naver.com/p/search/아름동 1142", "지도Link")</f>
        <v/>
      </c>
      <c r="K3196" s="5">
        <f>HYPERLINK("http://www.eum.go.kr/web/ar/lu/luLandDet.jsp?pnu=3611011300111420000&amp;isNoScr=script&amp;mode=search", "토지이음")</f>
        <v/>
      </c>
      <c r="L3196" s="3" t="inlineStr">
        <is>
          <t>세종스타</t>
        </is>
      </c>
      <c r="M3196" s="3" t="n">
        <v>1</v>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3" t="inlineStr">
        <is>
          <t>최상 단독주택 용지, 입지 매우 좋음, 생활 인프라 등 학군 우수 지역</t>
        </is>
      </c>
      <c r="I3197" s="5">
        <f>HYPERLINK("https://fin.land.naver.com/articles/2647194933", "매물Link")</f>
        <v/>
      </c>
      <c r="J3197" s="5">
        <f>HYPERLINK("https://map.naver.com/p/search/아름동 1144", "지도Link")</f>
        <v/>
      </c>
      <c r="K3197" s="5">
        <f>HYPERLINK("http://www.eum.go.kr/web/ar/lu/luLandDet.jsp?pnu=3611011300111440000&amp;isNoScr=script&amp;mode=search", "토지이음")</f>
        <v/>
      </c>
      <c r="L3197" s="3" t="inlineStr">
        <is>
          <t>방배탑</t>
        </is>
      </c>
      <c r="M3197" s="3" t="n">
        <v>2</v>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3" t="inlineStr">
        <is>
          <t>세종충남대 병원 인근 단독주택 택지,뒷뜰이 오가낭뜰 숲속공원 ,풋살장등</t>
        </is>
      </c>
      <c r="I3198" s="5">
        <f>HYPERLINK("https://fin.land.naver.com/articles/2644133519", "매물Link")</f>
        <v/>
      </c>
      <c r="J3198" s="5">
        <f>HYPERLINK("https://map.naver.com/p/search/아름동 1150", "지도Link")</f>
        <v/>
      </c>
      <c r="K3198" s="5">
        <f>HYPERLINK("http://www.eum.go.kr/web/ar/lu/luLandDet.jsp?pnu=3611011300111500000&amp;isNoScr=script&amp;mode=search", "토지이음")</f>
        <v/>
      </c>
      <c r="L3198" s="3" t="inlineStr">
        <is>
          <t>신안무소</t>
        </is>
      </c>
      <c r="M3198" s="3" t="n">
        <v>1</v>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3" t="inlineStr">
        <is>
          <t>야산을 품은 아름동 단독주택지</t>
        </is>
      </c>
      <c r="I3199" s="5">
        <f>HYPERLINK("https://fin.land.naver.com/articles/2647620395", "매물Link")</f>
        <v/>
      </c>
      <c r="J3199" s="5">
        <f>HYPERLINK("https://map.naver.com/p/search/아름동 1154", "지도Link")</f>
        <v/>
      </c>
      <c r="K3199" s="5">
        <f>HYPERLINK("http://www.eum.go.kr/web/ar/lu/luLandDet.jsp?pnu=3611011300111540000&amp;isNoScr=script&amp;mode=search", "토지이음")</f>
        <v/>
      </c>
      <c r="L3199" s="3" t="inlineStr">
        <is>
          <t>킹세종</t>
        </is>
      </c>
      <c r="M3199" s="3" t="n">
        <v>2</v>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3" t="inlineStr">
        <is>
          <t>조용한 단독주택지, 공원 인근, 높은 지대</t>
        </is>
      </c>
      <c r="I3200" s="5">
        <f>HYPERLINK("https://fin.land.naver.com/articles/2645653281", "매물Link")</f>
        <v/>
      </c>
      <c r="J3200" s="5">
        <f>HYPERLINK("https://map.naver.com/p/search/아름동 1154", "지도Link")</f>
        <v/>
      </c>
      <c r="K3200" s="5">
        <f>HYPERLINK("http://www.eum.go.kr/web/ar/lu/luLandDet.jsp?pnu=3611011300111540000&amp;isNoScr=script&amp;mode=search", "토지이음")</f>
        <v/>
      </c>
      <c r="L3200" s="3" t="inlineStr">
        <is>
          <t>명진</t>
        </is>
      </c>
      <c r="M3200" s="3" t="n">
        <v>1</v>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3" t="inlineStr">
        <is>
          <t>nan</t>
        </is>
      </c>
      <c r="I3201" s="5">
        <f>HYPERLINK("https://fin.land.naver.com/articles/2649329264", "매물Link")</f>
        <v/>
      </c>
      <c r="J3201" s="5">
        <f>HYPERLINK("https://map.naver.com/p/search/아름동 1160", "지도Link")</f>
        <v/>
      </c>
      <c r="K3201" s="5">
        <f>HYPERLINK("http://www.eum.go.kr/web/ar/lu/luLandDet.jsp?pnu=3611011300111600000&amp;isNoScr=script&amp;mode=search", "토지이음")</f>
        <v/>
      </c>
      <c r="L3201" s="3" t="inlineStr">
        <is>
          <t>국제</t>
        </is>
      </c>
      <c r="M3201" s="3" t="n">
        <v>1</v>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3" t="inlineStr">
        <is>
          <t>대로변 코너 노출 좋은 입지좋은 근생 토지 매매</t>
        </is>
      </c>
      <c r="I3202" s="5">
        <f>HYPERLINK("https://fin.land.naver.com/articles/2645544961", "매물Link")</f>
        <v/>
      </c>
      <c r="J3202" s="5">
        <f>HYPERLINK("https://map.naver.com/p/search/아름동 1163", "지도Link")</f>
        <v/>
      </c>
      <c r="K3202" s="5">
        <f>HYPERLINK("http://www.eum.go.kr/web/ar/lu/luLandDet.jsp?pnu=3611011300111630000&amp;isNoScr=script&amp;mode=search", "토지이음")</f>
        <v/>
      </c>
      <c r="L3202" s="3" t="inlineStr">
        <is>
          <t>명진</t>
        </is>
      </c>
      <c r="M3202" s="3" t="n">
        <v>1</v>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3" t="inlineStr">
        <is>
          <t>충대병원, 약국추천자리, 근생토지, 대로변 노출 좋은 자리</t>
        </is>
      </c>
      <c r="I3203" s="5">
        <f>HYPERLINK("https://fin.land.naver.com/articles/2645549673", "매물Link")</f>
        <v/>
      </c>
      <c r="J3203" s="5">
        <f>HYPERLINK("https://map.naver.com/p/search/아름동 1163", "지도Link")</f>
        <v/>
      </c>
      <c r="K3203" s="5">
        <f>HYPERLINK("http://www.eum.go.kr/web/ar/lu/luLandDet.jsp?pnu=3611011300111630000&amp;isNoScr=script&amp;mode=search", "토지이음")</f>
        <v/>
      </c>
      <c r="L3203" s="3" t="inlineStr">
        <is>
          <t>세종무지개</t>
        </is>
      </c>
      <c r="M3203" s="3" t="n">
        <v>1</v>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3" t="inlineStr">
        <is>
          <t>서울세종고속도로 개통예정으로 교통량 증가 예상지역. 근린상업용지</t>
        </is>
      </c>
      <c r="I3204" s="5">
        <f>HYPERLINK("https://fin.land.naver.com/articles/2649336596", "매물Link")</f>
        <v/>
      </c>
      <c r="J3204" s="5">
        <f>HYPERLINK("https://map.naver.com/p/search/아름동 1182", "지도Link")</f>
        <v/>
      </c>
      <c r="K3204" s="5">
        <f>HYPERLINK("http://www.eum.go.kr/web/ar/lu/luLandDet.jsp?pnu=3611011300111820000&amp;isNoScr=script&amp;mode=search", "토지이음")</f>
        <v/>
      </c>
      <c r="L3204" s="3" t="inlineStr">
        <is>
          <t>아름</t>
        </is>
      </c>
      <c r="M3204" s="3" t="n">
        <v>2</v>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3" t="inlineStr">
        <is>
          <t>아름동 대로변 근생용지, 96.1p</t>
        </is>
      </c>
      <c r="I3205" s="5">
        <f>HYPERLINK("https://fin.land.naver.com/articles/2646696611", "매물Link")</f>
        <v/>
      </c>
      <c r="J3205" s="5">
        <f>HYPERLINK("https://map.naver.com/p/search/아름동 1183", "지도Link")</f>
        <v/>
      </c>
      <c r="K3205" s="5">
        <f>HYPERLINK("http://www.eum.go.kr/web/ar/lu/luLandDet.jsp?pnu=3611011300111830000&amp;isNoScr=script&amp;mode=search", "토지이음")</f>
        <v/>
      </c>
      <c r="L3205" s="3" t="inlineStr">
        <is>
          <t>세종무지개</t>
        </is>
      </c>
      <c r="M3205" s="3" t="n">
        <v>1</v>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3" t="inlineStr">
        <is>
          <t>96.1p, 근생용지, 도로변 위치 굿, 건축허가완료</t>
        </is>
      </c>
      <c r="I3206" s="5">
        <f>HYPERLINK("https://fin.land.naver.com/articles/2647421008", "매물Link")</f>
        <v/>
      </c>
      <c r="J3206" s="5">
        <f>HYPERLINK("https://map.naver.com/p/search/아름동 1183", "지도Link")</f>
        <v/>
      </c>
      <c r="K3206" s="5">
        <f>HYPERLINK("http://www.eum.go.kr/web/ar/lu/luLandDet.jsp?pnu=3611011300111830000&amp;isNoScr=script&amp;mode=search", "토지이음")</f>
        <v/>
      </c>
      <c r="L3206" s="3" t="inlineStr">
        <is>
          <t>명진</t>
        </is>
      </c>
      <c r="M3206" s="3" t="n">
        <v>1</v>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3" t="inlineStr">
        <is>
          <t>근린생활시설 용지로서 대단위 아파트 전면에 위치하여 최고의 상권</t>
        </is>
      </c>
      <c r="I3207" s="5">
        <f>HYPERLINK("https://fin.land.naver.com/articles/2646095737", "매물Link")</f>
        <v/>
      </c>
      <c r="J3207" s="5">
        <f>HYPERLINK("https://map.naver.com/p/search/아름동 1183", "지도Link")</f>
        <v/>
      </c>
      <c r="K3207" s="5">
        <f>HYPERLINK("http://www.eum.go.kr/web/ar/lu/luLandDet.jsp?pnu=3611011300111830000&amp;isNoScr=script&amp;mode=search", "토지이음")</f>
        <v/>
      </c>
      <c r="L3207" s="3" t="inlineStr">
        <is>
          <t>대우마을</t>
        </is>
      </c>
      <c r="M3207" s="3" t="n">
        <v>1</v>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3" t="inlineStr">
        <is>
          <t>총 109.3p, 사거리코너자리, 충대병원 인접 토지</t>
        </is>
      </c>
      <c r="I3208" s="5">
        <f>HYPERLINK("https://fin.land.naver.com/articles/2648139112", "매물Link")</f>
        <v/>
      </c>
      <c r="J3208" s="5">
        <f>HYPERLINK("https://map.naver.com/p/search/아름동 1191", "지도Link")</f>
        <v/>
      </c>
      <c r="K3208" s="5">
        <f>HYPERLINK("http://www.eum.go.kr/web/ar/lu/luLandDet.jsp?pnu=3611011300111910000&amp;isNoScr=script&amp;mode=search", "토지이음")</f>
        <v/>
      </c>
      <c r="L3208" s="3" t="inlineStr">
        <is>
          <t>명진</t>
        </is>
      </c>
      <c r="M3208" s="3" t="n">
        <v>1</v>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3" t="inlineStr">
        <is>
          <t>급매 남향 코너각지 조율가능 옆필지 연접매매가능</t>
        </is>
      </c>
      <c r="I3209" s="5">
        <f>HYPERLINK("https://fin.land.naver.com/articles/2649375248", "매물Link")</f>
        <v/>
      </c>
      <c r="J3209" s="5">
        <f>HYPERLINK("https://map.naver.com/p/search/아름동 1191", "지도Link")</f>
        <v/>
      </c>
      <c r="K3209" s="5">
        <f>HYPERLINK("http://www.eum.go.kr/web/ar/lu/luLandDet.jsp?pnu=3611011300111910000&amp;isNoScr=script&amp;mode=search", "토지이음")</f>
        <v/>
      </c>
      <c r="L3209" s="3" t="inlineStr">
        <is>
          <t>세종스타</t>
        </is>
      </c>
      <c r="M3209" s="3" t="n">
        <v>1</v>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3" t="inlineStr">
        <is>
          <t>사거리 코너입지 최고, 조율도 가능</t>
        </is>
      </c>
      <c r="I3210" s="5">
        <f>HYPERLINK("https://fin.land.naver.com/articles/2648832400", "매물Link")</f>
        <v/>
      </c>
      <c r="J3210" s="5">
        <f>HYPERLINK("https://map.naver.com/p/search/아름동 1191", "지도Link")</f>
        <v/>
      </c>
      <c r="K3210" s="5">
        <f>HYPERLINK("http://www.eum.go.kr/web/ar/lu/luLandDet.jsp?pnu=3611011300111910000&amp;isNoScr=script&amp;mode=search", "토지이음")</f>
        <v/>
      </c>
      <c r="L3210" s="3" t="inlineStr">
        <is>
          <t>세종무지개</t>
        </is>
      </c>
      <c r="M3210" s="3" t="n">
        <v>1</v>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3" t="inlineStr">
        <is>
          <t>4거리 코너땅,야산 인접 쾌적함</t>
        </is>
      </c>
      <c r="I3211" s="5">
        <f>HYPERLINK("https://fin.land.naver.com/articles/2645783866", "매물Link")</f>
        <v/>
      </c>
      <c r="J3211" s="5">
        <f>HYPERLINK("https://map.naver.com/p/search/아름동 1192", "지도Link")</f>
        <v/>
      </c>
      <c r="K3211" s="5">
        <f>HYPERLINK("http://www.eum.go.kr/web/ar/lu/luLandDet.jsp?pnu=3611011300111920000&amp;isNoScr=script&amp;mode=search", "토지이음")</f>
        <v/>
      </c>
      <c r="L3211" s="3" t="inlineStr">
        <is>
          <t>킹세종</t>
        </is>
      </c>
      <c r="M3211" s="3" t="n">
        <v>2</v>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3" t="inlineStr">
        <is>
          <t>충남대학병원 근접,양방향도로 접,아파트단지 주변 택지</t>
        </is>
      </c>
      <c r="I3212" s="5">
        <f>HYPERLINK("https://fin.land.naver.com/articles/2649459551", "매물Link")</f>
        <v/>
      </c>
      <c r="J3212" s="5">
        <f>HYPERLINK("https://map.naver.com/p/search/아름동 1193", "지도Link")</f>
        <v/>
      </c>
      <c r="K3212" s="5">
        <f>HYPERLINK("http://www.eum.go.kr/web/ar/lu/luLandDet.jsp?pnu=3611011300111930000&amp;isNoScr=script&amp;mode=search", "토지이음")</f>
        <v/>
      </c>
      <c r="L3212" s="3" t="inlineStr">
        <is>
          <t>해밀마을공간</t>
        </is>
      </c>
      <c r="M3212" s="3" t="n">
        <v>2</v>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3" t="inlineStr">
        <is>
          <t>코너,대단지인접,충남대병원도보5분,조율가능</t>
        </is>
      </c>
      <c r="I3213" s="5">
        <f>HYPERLINK("https://fin.land.naver.com/articles/2644069252", "매물Link")</f>
        <v/>
      </c>
      <c r="J3213" s="5">
        <f>HYPERLINK("https://map.naver.com/p/search/아름동 1204", "지도Link")</f>
        <v/>
      </c>
      <c r="K3213" s="5">
        <f>HYPERLINK("http://www.eum.go.kr/web/ar/lu/luLandDet.jsp?pnu=3611011300112040000&amp;isNoScr=script&amp;mode=search", "토지이음")</f>
        <v/>
      </c>
      <c r="L3213" s="3" t="inlineStr">
        <is>
          <t>똑똑</t>
        </is>
      </c>
      <c r="M3213" s="3" t="n">
        <v>2</v>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3" t="inlineStr">
        <is>
          <t>nan</t>
        </is>
      </c>
      <c r="I3214" s="5">
        <f>HYPERLINK("https://fin.land.naver.com/articles/2645545159", "매물Link")</f>
        <v/>
      </c>
      <c r="J3214" s="5">
        <f>HYPERLINK("https://map.naver.com/p/search/아름동 1221", "지도Link")</f>
        <v/>
      </c>
      <c r="K3214" s="5">
        <f>HYPERLINK("http://www.eum.go.kr/web/ar/lu/luLandDet.jsp?pnu=3611011300112210000&amp;isNoScr=script&amp;mode=search", "토지이음")</f>
        <v/>
      </c>
      <c r="L3214" s="3" t="inlineStr">
        <is>
          <t>세종시삼성래미안</t>
        </is>
      </c>
      <c r="M3214" s="3" t="n">
        <v>1</v>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3" t="inlineStr">
        <is>
          <t>총 110.7p, 아파트 단지 옆, 아름초 인근, 위치좋고 가격좋은 토지</t>
        </is>
      </c>
      <c r="I3215" s="5">
        <f>HYPERLINK("https://fin.land.naver.com/articles/2646690367", "매물Link")</f>
        <v/>
      </c>
      <c r="J3215" s="5">
        <f>HYPERLINK("https://map.naver.com/p/search/아름동 1231", "지도Link")</f>
        <v/>
      </c>
      <c r="K3215" s="5">
        <f>HYPERLINK("http://www.eum.go.kr/web/ar/lu/luLandDet.jsp?pnu=3611011300112310000&amp;isNoScr=script&amp;mode=search", "토지이음")</f>
        <v/>
      </c>
      <c r="L3215" s="3" t="inlineStr">
        <is>
          <t>세종무지개</t>
        </is>
      </c>
      <c r="M3215" s="3" t="n">
        <v>1</v>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3" t="inlineStr">
        <is>
          <t>급매 추가조율가능 귀한큰평형 아름초도보3분 학원가도보5분 충대병원10분</t>
        </is>
      </c>
      <c r="I3216" s="5">
        <f>HYPERLINK("https://fin.land.naver.com/articles/2649375287", "매물Link")</f>
        <v/>
      </c>
      <c r="J3216" s="5">
        <f>HYPERLINK("https://map.naver.com/p/search/아름동 1231", "지도Link")</f>
        <v/>
      </c>
      <c r="K3216" s="5">
        <f>HYPERLINK("http://www.eum.go.kr/web/ar/lu/luLandDet.jsp?pnu=3611011300112310000&amp;isNoScr=script&amp;mode=search", "토지이음")</f>
        <v/>
      </c>
      <c r="L3216" s="3" t="inlineStr">
        <is>
          <t>세종스타</t>
        </is>
      </c>
      <c r="M3216" s="3" t="n">
        <v>3</v>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3" t="inlineStr">
        <is>
          <t>급매 아름동학원가, 상권이용편리로얄택지, 금액조율가능, 추천매매</t>
        </is>
      </c>
      <c r="I3217" s="5">
        <f>HYPERLINK("https://fin.land.naver.com/articles/2644302320", "매물Link")</f>
        <v/>
      </c>
      <c r="J3217" s="5">
        <f>HYPERLINK("https://map.naver.com/p/search/아름동 1231", "지도Link")</f>
        <v/>
      </c>
      <c r="K3217" s="5">
        <f>HYPERLINK("http://www.eum.go.kr/web/ar/lu/luLandDet.jsp?pnu=3611011300112310000&amp;isNoScr=script&amp;mode=search", "토지이음")</f>
        <v/>
      </c>
      <c r="L3217" s="3" t="inlineStr">
        <is>
          <t>한방</t>
        </is>
      </c>
      <c r="M3217" s="3" t="n">
        <v>1</v>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3" t="inlineStr">
        <is>
          <t>급매, 110.7p, 아름초인접, 범지기10단지인근</t>
        </is>
      </c>
      <c r="I3218" s="5">
        <f>HYPERLINK("https://fin.land.naver.com/articles/2648905337", "매물Link")</f>
        <v/>
      </c>
      <c r="J3218" s="5">
        <f>HYPERLINK("https://map.naver.com/p/search/아름동 1231", "지도Link")</f>
        <v/>
      </c>
      <c r="K3218" s="5">
        <f>HYPERLINK("http://www.eum.go.kr/web/ar/lu/luLandDet.jsp?pnu=3611011300112310000&amp;isNoScr=script&amp;mode=search", "토지이음")</f>
        <v/>
      </c>
      <c r="L3218" s="3" t="inlineStr">
        <is>
          <t>명진</t>
        </is>
      </c>
      <c r="M3218" s="3" t="n">
        <v>1</v>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3" t="inlineStr">
        <is>
          <t>총 107.4p, 아름초인근, 위치좋은 단독주택지 추천</t>
        </is>
      </c>
      <c r="I3219" s="5">
        <f>HYPERLINK("https://fin.land.naver.com/articles/2645651733", "매물Link")</f>
        <v/>
      </c>
      <c r="J3219" s="5">
        <f>HYPERLINK("https://map.naver.com/p/search/아름동 1256", "지도Link")</f>
        <v/>
      </c>
      <c r="K3219" s="5">
        <f>HYPERLINK("http://www.eum.go.kr/web/ar/lu/luLandDet.jsp?pnu=3611011300112560000&amp;isNoScr=script&amp;mode=search", "토지이음")</f>
        <v/>
      </c>
      <c r="L3219" s="3" t="inlineStr">
        <is>
          <t>명진</t>
        </is>
      </c>
      <c r="M3219" s="3" t="n">
        <v>1</v>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3" t="inlineStr">
        <is>
          <t>초등학교인접, 대단지 맞은편 아름동 단독주택</t>
        </is>
      </c>
      <c r="I3220" s="5">
        <f>HYPERLINK("https://fin.land.naver.com/articles/2644185391", "매물Link")</f>
        <v/>
      </c>
      <c r="J3220" s="5">
        <f>HYPERLINK("https://map.naver.com/p/search/아름동 1256", "지도Link")</f>
        <v/>
      </c>
      <c r="K3220" s="5">
        <f>HYPERLINK("http://www.eum.go.kr/web/ar/lu/luLandDet.jsp?pnu=3611011300112560000&amp;isNoScr=script&amp;mode=search", "토지이음")</f>
        <v/>
      </c>
      <c r="L3220" s="3" t="inlineStr">
        <is>
          <t>세종무지개</t>
        </is>
      </c>
      <c r="M3220" s="3" t="n">
        <v>1</v>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3" t="inlineStr">
        <is>
          <t>103.7p, 삼거리 코너자리, 왼쪽 토지 활용도 높은 좋은 위치</t>
        </is>
      </c>
      <c r="I3221" s="5">
        <f>HYPERLINK("https://fin.land.naver.com/articles/2648904182", "매물Link")</f>
        <v/>
      </c>
      <c r="J3221" s="5">
        <f>HYPERLINK("https://map.naver.com/p/search/아름동 1365", "지도Link")</f>
        <v/>
      </c>
      <c r="K3221" s="5">
        <f>HYPERLINK("http://www.eum.go.kr/web/ar/lu/luLandDet.jsp?pnu=3611011300113650000&amp;isNoScr=script&amp;mode=search", "토지이음")</f>
        <v/>
      </c>
      <c r="L3221" s="3" t="inlineStr">
        <is>
          <t>명진</t>
        </is>
      </c>
      <c r="M3221" s="3" t="n">
        <v>1</v>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3" t="inlineStr">
        <is>
          <t>총 103.7p, 아름동 삼거리 코너, 아파트 단지 근처</t>
        </is>
      </c>
      <c r="I3222" s="5">
        <f>HYPERLINK("https://fin.land.naver.com/articles/2646696239", "매물Link")</f>
        <v/>
      </c>
      <c r="J3222" s="5">
        <f>HYPERLINK("https://map.naver.com/p/search/아름동 1365", "지도Link")</f>
        <v/>
      </c>
      <c r="K3222" s="5">
        <f>HYPERLINK("http://www.eum.go.kr/web/ar/lu/luLandDet.jsp?pnu=3611011300113650000&amp;isNoScr=script&amp;mode=search", "토지이음")</f>
        <v/>
      </c>
      <c r="L3222" s="3" t="inlineStr">
        <is>
          <t>세종무지개</t>
        </is>
      </c>
      <c r="M3222" s="3" t="n">
        <v>1</v>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3" t="inlineStr">
        <is>
          <t>조율가능 학원가최인접 땅모양 건축하기 좋음</t>
        </is>
      </c>
      <c r="I3223" s="5">
        <f>HYPERLINK("https://fin.land.naver.com/articles/2649479115", "매물Link")</f>
        <v/>
      </c>
      <c r="J3223" s="5">
        <f>HYPERLINK("https://map.naver.com/p/search/아름동 1365", "지도Link")</f>
        <v/>
      </c>
      <c r="K3223" s="5">
        <f>HYPERLINK("http://www.eum.go.kr/web/ar/lu/luLandDet.jsp?pnu=3611011300113650000&amp;isNoScr=script&amp;mode=search", "토지이음")</f>
        <v/>
      </c>
      <c r="L3223" s="3" t="inlineStr">
        <is>
          <t>세종스타</t>
        </is>
      </c>
      <c r="M3223" s="3" t="n">
        <v>3</v>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3" t="inlineStr">
        <is>
          <t>아름동 단독주택 토지매매, 위치 좋은 자리</t>
        </is>
      </c>
      <c r="I3224" s="5">
        <f>HYPERLINK("https://fin.land.naver.com/articles/2649577908", "매물Link")</f>
        <v/>
      </c>
      <c r="J3224" s="5">
        <f>HYPERLINK("https://map.naver.com/p/search/아름동 1370", "지도Link")</f>
        <v/>
      </c>
      <c r="K3224" s="5">
        <f>HYPERLINK("http://www.eum.go.kr/web/ar/lu/luLandDet.jsp?pnu=3611011300113700000&amp;isNoScr=script&amp;mode=search", "토지이음")</f>
        <v/>
      </c>
      <c r="L3224" s="3" t="inlineStr">
        <is>
          <t>세종무지개</t>
        </is>
      </c>
      <c r="M3224" s="3" t="n">
        <v>1</v>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3" t="inlineStr">
        <is>
          <t>(급매) 단독주택 건축을 고려하시면 추천합니다.</t>
        </is>
      </c>
      <c r="I3225" s="5">
        <f>HYPERLINK("https://fin.land.naver.com/articles/2650054888", "매물Link")</f>
        <v/>
      </c>
      <c r="J3225" s="5">
        <f>HYPERLINK("https://map.naver.com/p/search/아름동 1370", "지도Link")</f>
        <v/>
      </c>
      <c r="K3225" s="5">
        <f>HYPERLINK("http://www.eum.go.kr/web/ar/lu/luLandDet.jsp?pnu=3611011300113700000&amp;isNoScr=script&amp;mode=search", "토지이음")</f>
        <v/>
      </c>
      <c r="L3225" s="3" t="inlineStr">
        <is>
          <t>리치빌아주</t>
        </is>
      </c>
      <c r="M3225" s="3" t="n">
        <v>1</v>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3" t="inlineStr">
        <is>
          <t>4단지 맞은편, 단독주택 토지 매매</t>
        </is>
      </c>
      <c r="I3226" s="5">
        <f>HYPERLINK("https://fin.land.naver.com/articles/2649878133", "매물Link")</f>
        <v/>
      </c>
      <c r="J3226" s="5">
        <f>HYPERLINK("https://map.naver.com/p/search/아름동 1370", "지도Link")</f>
        <v/>
      </c>
      <c r="K3226" s="5">
        <f>HYPERLINK("http://www.eum.go.kr/web/ar/lu/luLandDet.jsp?pnu=3611011300113700000&amp;isNoScr=script&amp;mode=search", "토지이음")</f>
        <v/>
      </c>
      <c r="L3226" s="3" t="inlineStr">
        <is>
          <t>명진</t>
        </is>
      </c>
      <c r="M3226" s="3" t="n">
        <v>1</v>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3" t="inlineStr">
        <is>
          <t>급매, 총 91p, 삼거리코너, 아파트 단지 밑</t>
        </is>
      </c>
      <c r="I3227" s="5">
        <f>HYPERLINK("https://fin.land.naver.com/articles/2646695404", "매물Link")</f>
        <v/>
      </c>
      <c r="J3227" s="5">
        <f>HYPERLINK("https://map.naver.com/p/search/아름동 1380", "지도Link")</f>
        <v/>
      </c>
      <c r="K3227" s="5">
        <f>HYPERLINK("http://www.eum.go.kr/web/ar/lu/luLandDet.jsp?pnu=3611011300113800000&amp;isNoScr=script&amp;mode=search", "토지이음")</f>
        <v/>
      </c>
      <c r="L3227" s="3" t="inlineStr">
        <is>
          <t>세종무지개</t>
        </is>
      </c>
      <c r="M3227" s="3" t="n">
        <v>1</v>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3" t="inlineStr">
        <is>
          <t>급매 아름동학원가, 상권이용편리로얄택지, 금액조율가능, 추천매매</t>
        </is>
      </c>
      <c r="I3228" s="5">
        <f>HYPERLINK("https://fin.land.naver.com/articles/2644133032", "매물Link")</f>
        <v/>
      </c>
      <c r="J3228" s="5">
        <f>HYPERLINK("https://map.naver.com/p/search/아름동 1380", "지도Link")</f>
        <v/>
      </c>
      <c r="K3228" s="5">
        <f>HYPERLINK("http://www.eum.go.kr/web/ar/lu/luLandDet.jsp?pnu=3611011300113800000&amp;isNoScr=script&amp;mode=search", "토지이음")</f>
        <v/>
      </c>
      <c r="L3228" s="3" t="inlineStr">
        <is>
          <t>한방</t>
        </is>
      </c>
      <c r="M3228" s="3" t="n">
        <v>1</v>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3" t="inlineStr">
        <is>
          <t>총 91p, 삼거리 코너, 단지 인접, 급매</t>
        </is>
      </c>
      <c r="I3229" s="5">
        <f>HYPERLINK("https://fin.land.naver.com/articles/2648138484", "매물Link")</f>
        <v/>
      </c>
      <c r="J3229" s="5">
        <f>HYPERLINK("https://map.naver.com/p/search/아름동 1380", "지도Link")</f>
        <v/>
      </c>
      <c r="K3229" s="5">
        <f>HYPERLINK("http://www.eum.go.kr/web/ar/lu/luLandDet.jsp?pnu=3611011300113800000&amp;isNoScr=script&amp;mode=search", "토지이음")</f>
        <v/>
      </c>
      <c r="L3229" s="3" t="inlineStr">
        <is>
          <t>명진</t>
        </is>
      </c>
      <c r="M3229" s="3" t="n">
        <v>1</v>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3" t="inlineStr">
        <is>
          <t>D8중 최저가.네고 가능.초,중,고 가깝고,마트.교통까지 편리</t>
        </is>
      </c>
      <c r="I3230" s="5">
        <f>HYPERLINK("https://fin.land.naver.com/articles/2644953939", "매물Link")</f>
        <v/>
      </c>
      <c r="J3230" s="5">
        <f>HYPERLINK("https://map.naver.com/p/search/아름동 1380", "지도Link")</f>
        <v/>
      </c>
      <c r="K3230" s="5">
        <f>HYPERLINK("http://www.eum.go.kr/web/ar/lu/luLandDet.jsp?pnu=3611011300113800000&amp;isNoScr=script&amp;mode=search", "토지이음")</f>
        <v/>
      </c>
      <c r="L3230" s="3" t="inlineStr">
        <is>
          <t>수자인</t>
        </is>
      </c>
      <c r="M3230" s="3" t="n">
        <v>1</v>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3" t="inlineStr">
        <is>
          <t>아름동 11단지 아파트 앞 단독주택지 토지.</t>
        </is>
      </c>
      <c r="I3231" s="5">
        <f>HYPERLINK("https://fin.land.naver.com/articles/2646521764", "매물Link")</f>
        <v/>
      </c>
      <c r="J3231" s="5">
        <f>HYPERLINK("https://map.naver.com/p/search/아름동 1380", "지도Link")</f>
        <v/>
      </c>
      <c r="K3231" s="5">
        <f>HYPERLINK("http://www.eum.go.kr/web/ar/lu/luLandDet.jsp?pnu=3611011300113800000&amp;isNoScr=script&amp;mode=search", "토지이음")</f>
        <v/>
      </c>
      <c r="L3231" s="3" t="inlineStr">
        <is>
          <t>다정현대</t>
        </is>
      </c>
      <c r="M3231" s="3" t="n">
        <v>2</v>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3" t="inlineStr">
        <is>
          <t>아름동 영무예다음아파트 앞에 위치,하루종일 햇볕 받을수 있는 곳,주택지</t>
        </is>
      </c>
      <c r="I3232" s="5">
        <f>HYPERLINK("https://fin.land.naver.com/articles/2648233324", "매물Link")</f>
        <v/>
      </c>
      <c r="J3232" s="5">
        <f>HYPERLINK("https://map.naver.com/p/search/아름동 1380", "지도Link")</f>
        <v/>
      </c>
      <c r="K3232" s="5">
        <f>HYPERLINK("http://www.eum.go.kr/web/ar/lu/luLandDet.jsp?pnu=3611011300113800000&amp;isNoScr=script&amp;mode=search", "토지이음")</f>
        <v/>
      </c>
      <c r="L3232" s="3" t="inlineStr">
        <is>
          <t>어반통</t>
        </is>
      </c>
      <c r="M3232" s="3" t="n">
        <v>1</v>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3" t="inlineStr">
        <is>
          <t>초중고 학군 좋고 근린공원 낀 인기 주택단지</t>
        </is>
      </c>
      <c r="I3233" s="5">
        <f>HYPERLINK("https://fin.land.naver.com/articles/2646537172", "매물Link")</f>
        <v/>
      </c>
      <c r="J3233" s="5">
        <f>HYPERLINK("https://map.naver.com/p/search/아름동 1380", "지도Link")</f>
        <v/>
      </c>
      <c r="K3233" s="5">
        <f>HYPERLINK("http://www.eum.go.kr/web/ar/lu/luLandDet.jsp?pnu=3611011300113800000&amp;isNoScr=script&amp;mode=search", "토지이음")</f>
        <v/>
      </c>
      <c r="L3233" s="3" t="inlineStr">
        <is>
          <t>현대탑</t>
        </is>
      </c>
      <c r="M3233" s="3" t="n">
        <v>1</v>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3" t="inlineStr">
        <is>
          <t>급매, 학교, 편의시설, 정부청사 가까워 생활편리, 보행도로접 코너각지</t>
        </is>
      </c>
      <c r="I3234" s="5">
        <f>HYPERLINK("https://fin.land.naver.com/articles/2649697166", "매물Link")</f>
        <v/>
      </c>
      <c r="J3234" s="5">
        <f>HYPERLINK("https://map.naver.com/p/search/아름동 1380", "지도Link")</f>
        <v/>
      </c>
      <c r="K3234" s="5">
        <f>HYPERLINK("http://www.eum.go.kr/web/ar/lu/luLandDet.jsp?pnu=3611011300113800000&amp;isNoScr=script&amp;mode=search", "토지이음")</f>
        <v/>
      </c>
      <c r="L3234" s="3" t="inlineStr">
        <is>
          <t>온뜰</t>
        </is>
      </c>
      <c r="M3234" s="3" t="n">
        <v>1</v>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3" t="inlineStr">
        <is>
          <t>위치좋고 상권가까운 조율가능 학교 학원 상가 도보로 5분거리</t>
        </is>
      </c>
      <c r="I3235" s="5">
        <f>HYPERLINK("https://fin.land.naver.com/articles/2650154983", "매물Link")</f>
        <v/>
      </c>
      <c r="J3235" s="5">
        <f>HYPERLINK("https://map.naver.com/p/search/아름동 1380", "지도Link")</f>
        <v/>
      </c>
      <c r="K3235" s="5">
        <f>HYPERLINK("http://www.eum.go.kr/web/ar/lu/luLandDet.jsp?pnu=3611011300113800000&amp;isNoScr=script&amp;mode=search", "토지이음")</f>
        <v/>
      </c>
      <c r="L3235" s="3" t="inlineStr">
        <is>
          <t>은성</t>
        </is>
      </c>
      <c r="M3235" s="3" t="n">
        <v>13</v>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3" t="inlineStr">
        <is>
          <t>네모 반듯한 토지로 생활 편리하고,교통,쾌적함을 갖춘 대지.</t>
        </is>
      </c>
      <c r="I3236" s="5">
        <f>HYPERLINK("https://fin.land.naver.com/articles/2646513921", "매물Link")</f>
        <v/>
      </c>
      <c r="J3236" s="5">
        <f>HYPERLINK("https://map.naver.com/p/search/아름동 1411", "지도Link")</f>
        <v/>
      </c>
      <c r="K3236" s="5">
        <f>HYPERLINK("http://www.eum.go.kr/web/ar/lu/luLandDet.jsp?pnu=3611011300114110000&amp;isNoScr=script&amp;mode=search", "토지이음")</f>
        <v/>
      </c>
      <c r="L3236" s="3" t="inlineStr">
        <is>
          <t>수자인</t>
        </is>
      </c>
      <c r="M3236" s="3" t="n">
        <v>1</v>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3" t="inlineStr">
        <is>
          <t>코너각지 홈플러스인근 아름동학원가 인접 조율가능</t>
        </is>
      </c>
      <c r="I3237" s="5">
        <f>HYPERLINK("https://fin.land.naver.com/articles/2648615417", "매물Link")</f>
        <v/>
      </c>
      <c r="J3237" s="5">
        <f>HYPERLINK("https://map.naver.com/p/search/아름동 1418", "지도Link")</f>
        <v/>
      </c>
      <c r="K3237" s="5">
        <f>HYPERLINK("http://www.eum.go.kr/web/ar/lu/luLandDet.jsp?pnu=3611011300114180000&amp;isNoScr=script&amp;mode=search", "토지이음")</f>
        <v/>
      </c>
      <c r="L3237" s="3" t="inlineStr">
        <is>
          <t>세종스타</t>
        </is>
      </c>
      <c r="M3237" s="3" t="n">
        <v>2</v>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3" t="inlineStr">
        <is>
          <t>92.1p, 초급매, 가격조율가능, 코너최고자리</t>
        </is>
      </c>
      <c r="I3238" s="5">
        <f>HYPERLINK("https://fin.land.naver.com/articles/2649024607", "매물Link")</f>
        <v/>
      </c>
      <c r="J3238" s="5">
        <f>HYPERLINK("https://map.naver.com/p/search/아름동 1418", "지도Link")</f>
        <v/>
      </c>
      <c r="K3238" s="5">
        <f>HYPERLINK("http://www.eum.go.kr/web/ar/lu/luLandDet.jsp?pnu=3611011300114180000&amp;isNoScr=script&amp;mode=search", "토지이음")</f>
        <v/>
      </c>
      <c r="L3238" s="3" t="inlineStr">
        <is>
          <t>명진</t>
        </is>
      </c>
      <c r="M3238" s="3" t="n">
        <v>1</v>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3" t="inlineStr">
        <is>
          <t>아름동 최상의 택지,학군,상권,충남대병원 생활권 편리,밀마루전망대  인근</t>
        </is>
      </c>
      <c r="I3239" s="5">
        <f>HYPERLINK("https://fin.land.naver.com/articles/2647931377", "매물Link")</f>
        <v/>
      </c>
      <c r="J3239" s="5">
        <f>HYPERLINK("https://map.naver.com/p/search/아름동 1418", "지도Link")</f>
        <v/>
      </c>
      <c r="K3239" s="5">
        <f>HYPERLINK("http://www.eum.go.kr/web/ar/lu/luLandDet.jsp?pnu=3611011300114180000&amp;isNoScr=script&amp;mode=search", "토지이음")</f>
        <v/>
      </c>
      <c r="L3239" s="3" t="inlineStr">
        <is>
          <t>고운맘</t>
        </is>
      </c>
      <c r="M3239" s="3" t="n">
        <v>1</v>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3" t="inlineStr">
        <is>
          <t>92p, 입지좋은 단독주택지</t>
        </is>
      </c>
      <c r="I3240" s="5">
        <f>HYPERLINK("https://fin.land.naver.com/articles/2647424262", "매물Link")</f>
        <v/>
      </c>
      <c r="J3240" s="5">
        <f>HYPERLINK("https://map.naver.com/p/search/아름동 1420", "지도Link")</f>
        <v/>
      </c>
      <c r="K3240" s="5">
        <f>HYPERLINK("http://www.eum.go.kr/web/ar/lu/luLandDet.jsp?pnu=3611011300114200000&amp;isNoScr=script&amp;mode=search", "토지이음")</f>
        <v/>
      </c>
      <c r="L3240" s="3" t="inlineStr">
        <is>
          <t>세종무지개</t>
        </is>
      </c>
      <c r="M3240" s="3" t="n">
        <v>1</v>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3" t="inlineStr">
        <is>
          <t>92.1p, 단지 바로 옆, 아름동 단독주택지</t>
        </is>
      </c>
      <c r="I3241" s="5">
        <f>HYPERLINK("https://fin.land.naver.com/articles/2649008450", "매물Link")</f>
        <v/>
      </c>
      <c r="J3241" s="5">
        <f>HYPERLINK("https://map.naver.com/p/search/아름동 1420", "지도Link")</f>
        <v/>
      </c>
      <c r="K3241" s="5">
        <f>HYPERLINK("http://www.eum.go.kr/web/ar/lu/luLandDet.jsp?pnu=3611011300114200000&amp;isNoScr=script&amp;mode=search", "토지이음")</f>
        <v/>
      </c>
      <c r="L3241" s="3" t="inlineStr">
        <is>
          <t>명진</t>
        </is>
      </c>
      <c r="M3241" s="3" t="n">
        <v>1</v>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3" t="inlineStr">
        <is>
          <t>단독주택지.대지</t>
        </is>
      </c>
      <c r="I3242" s="5">
        <f>HYPERLINK("https://fin.land.naver.com/articles/2644815011", "매물Link")</f>
        <v/>
      </c>
      <c r="J3242" s="5">
        <f>HYPERLINK("https://map.naver.com/p/search/아름동 1443", "지도Link")</f>
        <v/>
      </c>
      <c r="K3242" s="5">
        <f>HYPERLINK("http://www.eum.go.kr/web/ar/lu/luLandDet.jsp?pnu=3611011300114430000&amp;isNoScr=script&amp;mode=search", "토지이음")</f>
        <v/>
      </c>
      <c r="L3242" s="3" t="inlineStr">
        <is>
          <t>세종몽땅</t>
        </is>
      </c>
      <c r="M3242" s="3" t="n">
        <v>1</v>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3" t="inlineStr">
        <is>
          <t>접근성 좋은 아름동 택지</t>
        </is>
      </c>
      <c r="I3243" s="5">
        <f>HYPERLINK("https://fin.land.naver.com/articles/2646824248", "매물Link")</f>
        <v/>
      </c>
      <c r="J3243" s="5">
        <f>HYPERLINK("https://map.naver.com/p/search/아름동 1443", "지도Link")</f>
        <v/>
      </c>
      <c r="K3243" s="5">
        <f>HYPERLINK("http://www.eum.go.kr/web/ar/lu/luLandDet.jsp?pnu=3611011300114430000&amp;isNoScr=script&amp;mode=search", "토지이음")</f>
        <v/>
      </c>
      <c r="L3243" s="3" t="inlineStr">
        <is>
          <t>강아지풀</t>
        </is>
      </c>
      <c r="M3243" s="3" t="n">
        <v>1</v>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3" t="inlineStr">
        <is>
          <t>96.7p, 단지 맞은편, 사거리 코너자리</t>
        </is>
      </c>
      <c r="I3244" s="5">
        <f>HYPERLINK("https://fin.land.naver.com/articles/2647425590", "매물Link")</f>
        <v/>
      </c>
      <c r="J3244" s="5">
        <f>HYPERLINK("https://map.naver.com/p/search/아름동 1452", "지도Link")</f>
        <v/>
      </c>
      <c r="K3244" s="5">
        <f>HYPERLINK("http://www.eum.go.kr/web/ar/lu/luLandDet.jsp?pnu=3611011300114520000&amp;isNoScr=script&amp;mode=search", "토지이음")</f>
        <v/>
      </c>
      <c r="L3244" s="3" t="inlineStr">
        <is>
          <t>세종무지개</t>
        </is>
      </c>
      <c r="M3244" s="3" t="n">
        <v>1</v>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3" t="inlineStr">
        <is>
          <t>총 96.7p, 12단지 맞은편 위치좋은 단독주택지</t>
        </is>
      </c>
      <c r="I3245" s="5">
        <f>HYPERLINK("https://fin.land.naver.com/articles/2645650952", "매물Link")</f>
        <v/>
      </c>
      <c r="J3245" s="5">
        <f>HYPERLINK("https://map.naver.com/p/search/아름동 1452", "지도Link")</f>
        <v/>
      </c>
      <c r="K3245" s="5">
        <f>HYPERLINK("http://www.eum.go.kr/web/ar/lu/luLandDet.jsp?pnu=3611011300114520000&amp;isNoScr=script&amp;mode=search", "토지이음")</f>
        <v/>
      </c>
      <c r="L3245" s="3" t="inlineStr">
        <is>
          <t>명진</t>
        </is>
      </c>
      <c r="M3245" s="3" t="n">
        <v>1</v>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3" t="inlineStr">
        <is>
          <t>데이터센터, 방송국 사옥부지, 조율가능, 정보통신업 추천</t>
        </is>
      </c>
      <c r="I3246" s="5">
        <f>HYPERLINK("https://fin.land.naver.com/articles/2647424416", "매물Link")</f>
        <v/>
      </c>
      <c r="J3246" s="5">
        <f>HYPERLINK("https://map.naver.com/p/search/아름동 815", "지도Link")</f>
        <v/>
      </c>
      <c r="K3246" s="5">
        <f>HYPERLINK("http://www.eum.go.kr/web/ar/lu/luLandDet.jsp?pnu=3611011300108150000&amp;isNoScr=script&amp;mode=search", "토지이음")</f>
        <v/>
      </c>
      <c r="L3246" s="3" t="inlineStr">
        <is>
          <t>세종무지개</t>
        </is>
      </c>
      <c r="M3246" s="3" t="n">
        <v>1</v>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3" t="inlineStr">
        <is>
          <t>조율가능 도심 데이터센터 사옥 방송국 통신사 데이터센터 출판사 프로그래밍</t>
        </is>
      </c>
      <c r="I3247" s="5">
        <f>HYPERLINK("https://fin.land.naver.com/articles/2649619371", "매물Link")</f>
        <v/>
      </c>
      <c r="J3247" s="5">
        <f>HYPERLINK("https://map.naver.com/p/search/아름동 815", "지도Link")</f>
        <v/>
      </c>
      <c r="K3247" s="5">
        <f>HYPERLINK("http://www.eum.go.kr/web/ar/lu/luLandDet.jsp?pnu=3611011300108150000&amp;isNoScr=script&amp;mode=search", "토지이음")</f>
        <v/>
      </c>
      <c r="L3247" s="3" t="inlineStr">
        <is>
          <t>세종스타</t>
        </is>
      </c>
      <c r="M3247" s="3" t="n">
        <v>2</v>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3" t="inlineStr">
        <is>
          <t>151.5p, 데이터센터, 방송관련 사옥 추천, 조율가능, 입지좋은 토지</t>
        </is>
      </c>
      <c r="I3248" s="5">
        <f>HYPERLINK("https://fin.land.naver.com/articles/2649023062", "매물Link")</f>
        <v/>
      </c>
      <c r="J3248" s="5">
        <f>HYPERLINK("https://map.naver.com/p/search/아름동 815", "지도Link")</f>
        <v/>
      </c>
      <c r="K3248" s="5">
        <f>HYPERLINK("http://www.eum.go.kr/web/ar/lu/luLandDet.jsp?pnu=3611011300108150000&amp;isNoScr=script&amp;mode=search", "토지이음")</f>
        <v/>
      </c>
      <c r="L3248" s="3" t="inlineStr">
        <is>
          <t>명진</t>
        </is>
      </c>
      <c r="M3248" s="3" t="n">
        <v>1</v>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3" t="inlineStr">
        <is>
          <t>아름동 국제고 인근, 입지좋은 단독주택 토지매매</t>
        </is>
      </c>
      <c r="I3249" s="5">
        <f>HYPERLINK("https://fin.land.naver.com/articles/2648188007", "매물Link")</f>
        <v/>
      </c>
      <c r="J3249" s="5">
        <f>HYPERLINK("https://map.naver.com/p/search/아름동 826", "지도Link")</f>
        <v/>
      </c>
      <c r="K3249" s="5">
        <f>HYPERLINK("http://www.eum.go.kr/web/ar/lu/luLandDet.jsp?pnu=3611011300108260000&amp;isNoScr=script&amp;mode=search", "토지이음")</f>
        <v/>
      </c>
      <c r="L3249" s="3" t="inlineStr">
        <is>
          <t>명진</t>
        </is>
      </c>
      <c r="M3249" s="3" t="n">
        <v>1</v>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3" t="inlineStr">
        <is>
          <t>국제고 인근, 충대병원 가까운 아름동 단독주택 토지매매</t>
        </is>
      </c>
      <c r="I3250" s="5">
        <f>HYPERLINK("https://fin.land.naver.com/articles/2646695052", "매물Link")</f>
        <v/>
      </c>
      <c r="J3250" s="5">
        <f>HYPERLINK("https://map.naver.com/p/search/아름동 826", "지도Link")</f>
        <v/>
      </c>
      <c r="K3250" s="5">
        <f>HYPERLINK("http://www.eum.go.kr/web/ar/lu/luLandDet.jsp?pnu=3611011300108260000&amp;isNoScr=script&amp;mode=search", "토지이음")</f>
        <v/>
      </c>
      <c r="L3250" s="3" t="inlineStr">
        <is>
          <t>세종무지개</t>
        </is>
      </c>
      <c r="M3250" s="3" t="n">
        <v>1</v>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3" t="inlineStr">
        <is>
          <t>급매, 땅모양 방향 최적의 위치, 추천매매</t>
        </is>
      </c>
      <c r="I3251" s="5">
        <f>HYPERLINK("https://fin.land.naver.com/articles/2648795212", "매물Link")</f>
        <v/>
      </c>
      <c r="J3251" s="5">
        <f>HYPERLINK("https://map.naver.com/p/search/아름동 847", "지도Link")</f>
        <v/>
      </c>
      <c r="K3251" s="5">
        <f>HYPERLINK("http://www.eum.go.kr/web/ar/lu/luLandDet.jsp?pnu=3611011300108470000&amp;isNoScr=script&amp;mode=search", "토지이음")</f>
        <v/>
      </c>
      <c r="L3251" s="3" t="inlineStr">
        <is>
          <t>한림신화</t>
        </is>
      </c>
      <c r="M3251" s="3" t="n">
        <v>1</v>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3" t="inlineStr">
        <is>
          <t>세종 국제고, 영재고, 충대병원, 공원인접한 살기 좋은 동네 택지</t>
        </is>
      </c>
      <c r="I3252" s="5">
        <f>HYPERLINK("https://fin.land.naver.com/articles/2644541517", "매물Link")</f>
        <v/>
      </c>
      <c r="J3252" s="5">
        <f>HYPERLINK("https://map.naver.com/p/search/아름동 863", "지도Link")</f>
        <v/>
      </c>
      <c r="K3252" s="5">
        <f>HYPERLINK("http://www.eum.go.kr/web/ar/lu/luLandDet.jsp?pnu=3611011300108630000&amp;isNoScr=script&amp;mode=search", "토지이음")</f>
        <v/>
      </c>
      <c r="L3252" s="3" t="inlineStr">
        <is>
          <t>새롬삼둥이</t>
        </is>
      </c>
      <c r="M3252" s="3" t="n">
        <v>2</v>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3" t="inlineStr">
        <is>
          <t>5억으로 인하. 아름동 국제고 예술영재고인근. 충남대병원 5분</t>
        </is>
      </c>
      <c r="I3253" s="5">
        <f>HYPERLINK("https://fin.land.naver.com/articles/2645602488", "매물Link")</f>
        <v/>
      </c>
      <c r="J3253" s="5">
        <f>HYPERLINK("https://map.naver.com/p/search/아름동 872", "지도Link")</f>
        <v/>
      </c>
      <c r="K3253" s="5">
        <f>HYPERLINK("http://www.eum.go.kr/web/ar/lu/luLandDet.jsp?pnu=3611011300108720000&amp;isNoScr=script&amp;mode=search", "토지이음")</f>
        <v/>
      </c>
      <c r="L3253" s="3" t="inlineStr">
        <is>
          <t>미스터홈즈강남지사</t>
        </is>
      </c>
      <c r="M3253" s="3" t="n">
        <v>1</v>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3" t="inlineStr">
        <is>
          <t>103p, 충대병원인근, 아름동 입지좋은 토지</t>
        </is>
      </c>
      <c r="I3254" s="5">
        <f>HYPERLINK("https://fin.land.naver.com/articles/2648832833", "매물Link")</f>
        <v/>
      </c>
      <c r="J3254" s="5">
        <f>HYPERLINK("https://map.naver.com/p/search/아름동 874", "지도Link")</f>
        <v/>
      </c>
      <c r="K3254" s="5">
        <f>HYPERLINK("http://www.eum.go.kr/web/ar/lu/luLandDet.jsp?pnu=3611011300108740000&amp;isNoScr=script&amp;mode=search", "토지이음")</f>
        <v/>
      </c>
      <c r="L3254" s="3" t="inlineStr">
        <is>
          <t>세종무지개</t>
        </is>
      </c>
      <c r="M3254" s="3" t="n">
        <v>1</v>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3" t="inlineStr">
        <is>
          <t>급매 ,아름동 최상 택지,충남대병원 인접 생활권 편리,어린이공원접</t>
        </is>
      </c>
      <c r="I3255" s="5">
        <f>HYPERLINK("https://fin.land.naver.com/articles/2644749470", "매물Link")</f>
        <v/>
      </c>
      <c r="J3255" s="5">
        <f>HYPERLINK("https://map.naver.com/p/search/아름동 879", "지도Link")</f>
        <v/>
      </c>
      <c r="K3255" s="5">
        <f>HYPERLINK("http://www.eum.go.kr/web/ar/lu/luLandDet.jsp?pnu=3611011300108790000&amp;isNoScr=script&amp;mode=search", "토지이음")</f>
        <v/>
      </c>
      <c r="L3255" s="3" t="inlineStr">
        <is>
          <t>고운맘</t>
        </is>
      </c>
      <c r="M3255" s="3" t="n">
        <v>1</v>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3" t="inlineStr">
        <is>
          <t>급매 뒤로 넓은 공원낀위치 우측 연결녹지 넓어 쾌적한곳</t>
        </is>
      </c>
      <c r="I3256" s="5">
        <f>HYPERLINK("https://fin.land.naver.com/articles/2645487478", "매물Link")</f>
        <v/>
      </c>
      <c r="J3256" s="5">
        <f>HYPERLINK("https://map.naver.com/p/search/아름동 879", "지도Link")</f>
        <v/>
      </c>
      <c r="K3256" s="5">
        <f>HYPERLINK("http://www.eum.go.kr/web/ar/lu/luLandDet.jsp?pnu=3611011300108790000&amp;isNoScr=script&amp;mode=search", "토지이음")</f>
        <v/>
      </c>
      <c r="L3256" s="3" t="inlineStr">
        <is>
          <t>세종스타</t>
        </is>
      </c>
      <c r="M3256" s="3" t="n">
        <v>2</v>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3" t="inlineStr">
        <is>
          <t>입출입이 편리한 단독주택지입니다.</t>
        </is>
      </c>
      <c r="I3257" s="5">
        <f>HYPERLINK("https://fin.land.naver.com/articles/2646607893", "매물Link")</f>
        <v/>
      </c>
      <c r="J3257" s="5">
        <f>HYPERLINK("https://map.naver.com/p/search/아름동 881", "지도Link")</f>
        <v/>
      </c>
      <c r="K3257" s="5">
        <f>HYPERLINK("http://www.eum.go.kr/web/ar/lu/luLandDet.jsp?pnu=3611011300108810000&amp;isNoScr=script&amp;mode=search", "토지이음")</f>
        <v/>
      </c>
      <c r="L3257" s="3" t="inlineStr">
        <is>
          <t>아름</t>
        </is>
      </c>
      <c r="M3257" s="3" t="n">
        <v>1</v>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3" t="inlineStr">
        <is>
          <t>네모 반듯한 예쁜 토지.국제고,영재고 인근.햇볕 잘 드는 최고의 토지.</t>
        </is>
      </c>
      <c r="I3258" s="5">
        <f>HYPERLINK("https://fin.land.naver.com/articles/2644954236", "매물Link")</f>
        <v/>
      </c>
      <c r="J3258" s="5">
        <f>HYPERLINK("https://map.naver.com/p/search/아름동 914", "지도Link")</f>
        <v/>
      </c>
      <c r="K3258" s="5">
        <f>HYPERLINK("http://www.eum.go.kr/web/ar/lu/luLandDet.jsp?pnu=3611011300109140000&amp;isNoScr=script&amp;mode=search", "토지이음")</f>
        <v/>
      </c>
      <c r="L3258" s="3" t="inlineStr">
        <is>
          <t>수자인</t>
        </is>
      </c>
      <c r="M3258" s="3" t="n">
        <v>1</v>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3" t="inlineStr">
        <is>
          <t>90.6p, 아름동 국제고 인근 위치 좋은 토지 매매</t>
        </is>
      </c>
      <c r="I3259" s="5">
        <f>HYPERLINK("https://fin.land.naver.com/articles/2645495174", "매물Link")</f>
        <v/>
      </c>
      <c r="J3259" s="5">
        <f>HYPERLINK("https://map.naver.com/p/search/아름동 925", "지도Link")</f>
        <v/>
      </c>
      <c r="K3259" s="5">
        <f>HYPERLINK("http://www.eum.go.kr/web/ar/lu/luLandDet.jsp?pnu=3611011300109250000&amp;isNoScr=script&amp;mode=search", "토지이음")</f>
        <v/>
      </c>
      <c r="L3259" s="3" t="inlineStr">
        <is>
          <t>명진</t>
        </is>
      </c>
      <c r="M3259" s="3" t="n">
        <v>1</v>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3" t="inlineStr">
        <is>
          <t>국제고인근 위치좋은 코너각지, 공원인접,보행로연결</t>
        </is>
      </c>
      <c r="I3260" s="5">
        <f>HYPERLINK("https://fin.land.naver.com/articles/2644476344", "매물Link")</f>
        <v/>
      </c>
      <c r="J3260" s="5">
        <f>HYPERLINK("https://map.naver.com/p/search/아름동 925", "지도Link")</f>
        <v/>
      </c>
      <c r="K3260" s="5">
        <f>HYPERLINK("http://www.eum.go.kr/web/ar/lu/luLandDet.jsp?pnu=3611011300109250000&amp;isNoScr=script&amp;mode=search", "토지이음")</f>
        <v/>
      </c>
      <c r="L3260" s="3" t="inlineStr">
        <is>
          <t>똑똑</t>
        </is>
      </c>
      <c r="M3260" s="3" t="n">
        <v>1</v>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3" t="inlineStr">
        <is>
          <t>90.6p, 국제고 인근, 공원인접, 조율가능</t>
        </is>
      </c>
      <c r="I3261" s="5">
        <f>HYPERLINK("https://fin.land.naver.com/articles/2644185217", "매물Link")</f>
        <v/>
      </c>
      <c r="J3261" s="5">
        <f>HYPERLINK("https://map.naver.com/p/search/아름동 925", "지도Link")</f>
        <v/>
      </c>
      <c r="K3261" s="5">
        <f>HYPERLINK("http://www.eum.go.kr/web/ar/lu/luLandDet.jsp?pnu=3611011300109250000&amp;isNoScr=script&amp;mode=search", "토지이음")</f>
        <v/>
      </c>
      <c r="L3261" s="3" t="inlineStr">
        <is>
          <t>세종무지개</t>
        </is>
      </c>
      <c r="M3261" s="3" t="n">
        <v>1</v>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3" t="inlineStr">
        <is>
          <t>총 90.6p, 국제고인근 단독주택 토지매매</t>
        </is>
      </c>
      <c r="I3262" s="5">
        <f>HYPERLINK("https://fin.land.naver.com/articles/2646693683", "매물Link")</f>
        <v/>
      </c>
      <c r="J3262" s="5">
        <f>HYPERLINK("https://map.naver.com/p/search/아름동 929", "지도Link")</f>
        <v/>
      </c>
      <c r="K3262" s="5">
        <f>HYPERLINK("http://www.eum.go.kr/web/ar/lu/luLandDet.jsp?pnu=3611011300109290000&amp;isNoScr=script&amp;mode=search", "토지이음")</f>
        <v/>
      </c>
      <c r="L3262" s="3" t="inlineStr">
        <is>
          <t>세종무지개</t>
        </is>
      </c>
      <c r="M3262" s="3" t="n">
        <v>1</v>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3" t="inlineStr">
        <is>
          <t>급매매,앞,뒤 양면도로 접한  토지</t>
        </is>
      </c>
      <c r="I3263" s="5">
        <f>HYPERLINK("https://fin.land.naver.com/articles/2649757754", "매물Link")</f>
        <v/>
      </c>
      <c r="J3263" s="5">
        <f>HYPERLINK("https://map.naver.com/p/search/아름동 929", "지도Link")</f>
        <v/>
      </c>
      <c r="K3263" s="5">
        <f>HYPERLINK("http://www.eum.go.kr/web/ar/lu/luLandDet.jsp?pnu=3611011300109290000&amp;isNoScr=script&amp;mode=search", "토지이음")</f>
        <v/>
      </c>
      <c r="L3263" s="3" t="inlineStr">
        <is>
          <t>킹세종</t>
        </is>
      </c>
      <c r="M3263" s="3" t="n">
        <v>1</v>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3" t="inlineStr">
        <is>
          <t>90.6p, 국제고, 충남대병원 인근 아름동 단독주택지</t>
        </is>
      </c>
      <c r="I3264" s="5">
        <f>HYPERLINK("https://fin.land.naver.com/articles/2648905732", "매물Link")</f>
        <v/>
      </c>
      <c r="J3264" s="5">
        <f>HYPERLINK("https://map.naver.com/p/search/아름동 929", "지도Link")</f>
        <v/>
      </c>
      <c r="K3264" s="5">
        <f>HYPERLINK("http://www.eum.go.kr/web/ar/lu/luLandDet.jsp?pnu=3611011300109290000&amp;isNoScr=script&amp;mode=search", "토지이음")</f>
        <v/>
      </c>
      <c r="L3264" s="3" t="inlineStr">
        <is>
          <t>명진</t>
        </is>
      </c>
      <c r="M3264" s="3" t="n">
        <v>1</v>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3" t="inlineStr">
        <is>
          <t>삼거리 코너, 아름동 입지 좋은 단독주택지</t>
        </is>
      </c>
      <c r="I3265" s="5">
        <f>HYPERLINK("https://fin.land.naver.com/articles/2647424901", "매물Link")</f>
        <v/>
      </c>
      <c r="J3265" s="5">
        <f>HYPERLINK("https://map.naver.com/p/search/아름동 961", "지도Link")</f>
        <v/>
      </c>
      <c r="K3265" s="5">
        <f>HYPERLINK("http://www.eum.go.kr/web/ar/lu/luLandDet.jsp?pnu=3611011300109610000&amp;isNoScr=script&amp;mode=search", "토지이음")</f>
        <v/>
      </c>
      <c r="L3265" s="3" t="inlineStr">
        <is>
          <t>명진</t>
        </is>
      </c>
      <c r="M3265" s="3" t="n">
        <v>1</v>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3" t="inlineStr">
        <is>
          <t>좋은매물 단독주택등추천 협의</t>
        </is>
      </c>
      <c r="I3266" s="5">
        <f>HYPERLINK("https://fin.land.naver.com/articles/2645254792", "매물Link")</f>
        <v/>
      </c>
      <c r="J3266" s="5">
        <f>HYPERLINK("https://map.naver.com/p/search/아름동 961", "지도Link")</f>
        <v/>
      </c>
      <c r="K3266" s="5">
        <f>HYPERLINK("http://www.eum.go.kr/web/ar/lu/luLandDet.jsp?pnu=3611011300109610000&amp;isNoScr=script&amp;mode=search", "토지이음")</f>
        <v/>
      </c>
      <c r="L3266" s="3" t="inlineStr">
        <is>
          <t>세석</t>
        </is>
      </c>
      <c r="M3266" s="3" t="n">
        <v>1</v>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3" t="inlineStr">
        <is>
          <t>급매토지입니다. 도심속 전원주택지</t>
        </is>
      </c>
      <c r="I3267" s="5">
        <f>HYPERLINK("https://fin.land.naver.com/articles/2646906071", "매물Link")</f>
        <v/>
      </c>
      <c r="J3267" s="5">
        <f>HYPERLINK("https://map.naver.com/p/search/아름동 962", "지도Link")</f>
        <v/>
      </c>
      <c r="K3267" s="5">
        <f>HYPERLINK("http://www.eum.go.kr/web/ar/lu/luLandDet.jsp?pnu=3611011300109620000&amp;isNoScr=script&amp;mode=search", "토지이음")</f>
        <v/>
      </c>
      <c r="L3267" s="3" t="inlineStr">
        <is>
          <t>장원</t>
        </is>
      </c>
      <c r="M3267" s="3" t="n">
        <v>1</v>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3" t="inlineStr">
        <is>
          <t>급매,전원주택지로 충대병원 인접, 교통 및 학군 편리한 생활권</t>
        </is>
      </c>
      <c r="I3268" s="5">
        <f>HYPERLINK("https://fin.land.naver.com/articles/2644766386", "매물Link")</f>
        <v/>
      </c>
      <c r="J3268" s="5">
        <f>HYPERLINK("https://map.naver.com/p/search/아름동 963", "지도Link")</f>
        <v/>
      </c>
      <c r="K3268" s="5">
        <f>HYPERLINK("http://www.eum.go.kr/web/ar/lu/luLandDet.jsp?pnu=3611011300109630000&amp;isNoScr=script&amp;mode=search", "토지이음")</f>
        <v/>
      </c>
      <c r="L3268" s="3" t="inlineStr">
        <is>
          <t>고운맘</t>
        </is>
      </c>
      <c r="M3268" s="3" t="n">
        <v>1</v>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3" t="inlineStr">
        <is>
          <t>조율가능, 급매, 아름동 위치좋은 단독주택지</t>
        </is>
      </c>
      <c r="I3269" s="5">
        <f>HYPERLINK("https://fin.land.naver.com/articles/2649873097", "매물Link")</f>
        <v/>
      </c>
      <c r="J3269" s="5">
        <f>HYPERLINK("https://map.naver.com/p/search/아름동 963", "지도Link")</f>
        <v/>
      </c>
      <c r="K3269" s="5">
        <f>HYPERLINK("http://www.eum.go.kr/web/ar/lu/luLandDet.jsp?pnu=3611011300109630000&amp;isNoScr=script&amp;mode=search", "토지이음")</f>
        <v/>
      </c>
      <c r="L3269" s="3" t="inlineStr">
        <is>
          <t>명진</t>
        </is>
      </c>
      <c r="M3269" s="3" t="n">
        <v>1</v>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3" t="inlineStr">
        <is>
          <t>언덕형 지대높음 채광 개방감 좋음 조율가능</t>
        </is>
      </c>
      <c r="I3270" s="5">
        <f>HYPERLINK("https://fin.land.naver.com/articles/2644909025", "매물Link")</f>
        <v/>
      </c>
      <c r="J3270" s="5">
        <f>HYPERLINK("https://map.naver.com/p/search/아름동 963", "지도Link")</f>
        <v/>
      </c>
      <c r="K3270" s="5">
        <f>HYPERLINK("http://www.eum.go.kr/web/ar/lu/luLandDet.jsp?pnu=3611011300109630000&amp;isNoScr=script&amp;mode=search", "토지이음")</f>
        <v/>
      </c>
      <c r="L3270" s="3" t="inlineStr">
        <is>
          <t>세종스타</t>
        </is>
      </c>
      <c r="M3270" s="3" t="n">
        <v>1</v>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3" t="inlineStr">
        <is>
          <t>총 90.6p, 사거리 코너 입지, 가격 최대 조율가능</t>
        </is>
      </c>
      <c r="I3271" s="5">
        <f>HYPERLINK("https://fin.land.naver.com/articles/2647421860", "매물Link")</f>
        <v/>
      </c>
      <c r="J3271" s="5">
        <f>HYPERLINK("https://map.naver.com/p/search/아름동 964", "지도Link")</f>
        <v/>
      </c>
      <c r="K3271" s="5">
        <f>HYPERLINK("http://www.eum.go.kr/web/ar/lu/luLandDet.jsp?pnu=3611011300109640000&amp;isNoScr=script&amp;mode=search", "토지이음")</f>
        <v/>
      </c>
      <c r="L3271" s="3" t="inlineStr">
        <is>
          <t>명진</t>
        </is>
      </c>
      <c r="M3271" s="3" t="n">
        <v>1</v>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3" t="inlineStr">
        <is>
          <t>국제고인근.코너각지. 충대병원인접. 위치,교통 편리한 지역.조정가능</t>
        </is>
      </c>
      <c r="I3272" s="5">
        <f>HYPERLINK("https://fin.land.naver.com/articles/2646141675", "매물Link")</f>
        <v/>
      </c>
      <c r="J3272" s="5">
        <f>HYPERLINK("https://map.naver.com/p/search/아름동 964", "지도Link")</f>
        <v/>
      </c>
      <c r="K3272" s="5">
        <f>HYPERLINK("http://www.eum.go.kr/web/ar/lu/luLandDet.jsp?pnu=3611011300109640000&amp;isNoScr=script&amp;mode=search", "토지이음")</f>
        <v/>
      </c>
      <c r="L3272" s="3" t="inlineStr">
        <is>
          <t>새롬삼둥이</t>
        </is>
      </c>
      <c r="M3272" s="3" t="n">
        <v>1</v>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3" t="inlineStr">
        <is>
          <t>총 90.6p, 조율가능, 아름동 단독주택지, 국제고 인근</t>
        </is>
      </c>
      <c r="I3273" s="5">
        <f>HYPERLINK("https://fin.land.naver.com/articles/2646692307", "매물Link")</f>
        <v/>
      </c>
      <c r="J3273" s="5">
        <f>HYPERLINK("https://map.naver.com/p/search/아름동 964", "지도Link")</f>
        <v/>
      </c>
      <c r="K3273" s="5">
        <f>HYPERLINK("http://www.eum.go.kr/web/ar/lu/luLandDet.jsp?pnu=3611011300109640000&amp;isNoScr=script&amp;mode=search", "토지이음")</f>
        <v/>
      </c>
      <c r="L3273" s="3" t="inlineStr">
        <is>
          <t>세종무지개</t>
        </is>
      </c>
      <c r="M3273" s="3" t="n">
        <v>1</v>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3" t="inlineStr">
        <is>
          <t>국제고, 영재고, 충대병원인근, IC인접 107.2p</t>
        </is>
      </c>
      <c r="I3274" s="5">
        <f>HYPERLINK("https://fin.land.naver.com/articles/2646690781", "매물Link")</f>
        <v/>
      </c>
      <c r="J3274" s="5">
        <f>HYPERLINK("https://map.naver.com/p/search/아름동 966", "지도Link")</f>
        <v/>
      </c>
      <c r="K3274" s="5">
        <f>HYPERLINK("http://www.eum.go.kr/web/ar/lu/luLandDet.jsp?pnu=3611011300109660000&amp;isNoScr=script&amp;mode=search", "토지이음")</f>
        <v/>
      </c>
      <c r="L3274" s="3" t="inlineStr">
        <is>
          <t>세종무지개</t>
        </is>
      </c>
      <c r="M3274" s="3" t="n">
        <v>1</v>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3" t="inlineStr">
        <is>
          <t>총 107.2p, 국제고, 충남대병원인근</t>
        </is>
      </c>
      <c r="I3275" s="5">
        <f>HYPERLINK("https://fin.land.naver.com/articles/2648127229", "매물Link")</f>
        <v/>
      </c>
      <c r="J3275" s="5">
        <f>HYPERLINK("https://map.naver.com/p/search/아름동 966", "지도Link")</f>
        <v/>
      </c>
      <c r="K3275" s="5">
        <f>HYPERLINK("http://www.eum.go.kr/web/ar/lu/luLandDet.jsp?pnu=3611011300109660000&amp;isNoScr=script&amp;mode=search", "토지이음")</f>
        <v/>
      </c>
      <c r="L3275" s="3" t="inlineStr">
        <is>
          <t>명진</t>
        </is>
      </c>
      <c r="M3275" s="3" t="n">
        <v>1</v>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3" t="inlineStr">
        <is>
          <t>공원앞, 충대병원, 국제고 인근, 아름동 단독주택지</t>
        </is>
      </c>
      <c r="I3276" s="5">
        <f>HYPERLINK("https://fin.land.naver.com/articles/2644187008", "매물Link")</f>
        <v/>
      </c>
      <c r="J3276" s="5">
        <f>HYPERLINK("https://map.naver.com/p/search/아름동 971", "지도Link")</f>
        <v/>
      </c>
      <c r="K3276" s="5">
        <f>HYPERLINK("http://www.eum.go.kr/web/ar/lu/luLandDet.jsp?pnu=3611011300109710000&amp;isNoScr=script&amp;mode=search", "토지이음")</f>
        <v/>
      </c>
      <c r="L3276" s="3" t="inlineStr">
        <is>
          <t>세종무지개</t>
        </is>
      </c>
      <c r="M3276" s="3" t="n">
        <v>1</v>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3" t="inlineStr">
        <is>
          <t>급매 최상단 뻥조망 위치최상 벙커주차장가능</t>
        </is>
      </c>
      <c r="I3277" s="5">
        <f>HYPERLINK("https://fin.land.naver.com/articles/2644917613", "매물Link")</f>
        <v/>
      </c>
      <c r="J3277" s="5">
        <f>HYPERLINK("https://map.naver.com/p/search/아름동 994", "지도Link")</f>
        <v/>
      </c>
      <c r="K3277" s="5">
        <f>HYPERLINK("http://www.eum.go.kr/web/ar/lu/luLandDet.jsp?pnu=3611011300109940000&amp;isNoScr=script&amp;mode=search", "토지이음")</f>
        <v/>
      </c>
      <c r="L3277" s="3" t="inlineStr">
        <is>
          <t>세종스타</t>
        </is>
      </c>
      <c r="M3277" s="3" t="n">
        <v>1</v>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3" t="inlineStr">
        <is>
          <t>더빌리지 급매, BRT, 학교인근, 블럭형 단독주택지</t>
        </is>
      </c>
      <c r="I3278" s="5">
        <f>HYPERLINK("https://fin.land.naver.com/articles/2645253068", "매물Link")</f>
        <v/>
      </c>
      <c r="J3278" s="5">
        <f>HYPERLINK("https://map.naver.com/p/search/어진동 499-40", "지도Link")</f>
        <v/>
      </c>
      <c r="K3278" s="5">
        <f>HYPERLINK("http://www.eum.go.kr/web/ar/lu/luLandDet.jsp?pnu=3611011000104990040&amp;isNoScr=script&amp;mode=search", "토지이음")</f>
        <v/>
      </c>
      <c r="L3278" s="3" t="inlineStr">
        <is>
          <t>세종무지개</t>
        </is>
      </c>
      <c r="M3278" s="3" t="n">
        <v>1</v>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3" t="inlineStr">
        <is>
          <t>고급 타운하우스 전원주택지 매매, 가격 좋고 입지 좋은 곳</t>
        </is>
      </c>
      <c r="I3279" s="5">
        <f>HYPERLINK("https://fin.land.naver.com/articles/2645493601", "매물Link")</f>
        <v/>
      </c>
      <c r="J3279" s="5">
        <f>HYPERLINK("https://map.naver.com/p/search/어진동 499-40", "지도Link")</f>
        <v/>
      </c>
      <c r="K3279" s="5">
        <f>HYPERLINK("http://www.eum.go.kr/web/ar/lu/luLandDet.jsp?pnu=3611011000104990040&amp;isNoScr=script&amp;mode=search", "토지이음")</f>
        <v/>
      </c>
      <c r="L3279" s="3" t="inlineStr">
        <is>
          <t>명진</t>
        </is>
      </c>
      <c r="M3279" s="3" t="n">
        <v>1</v>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3" t="inlineStr">
        <is>
          <t>급매 세종시 최고택지 더빌리지 조율가능</t>
        </is>
      </c>
      <c r="I3280" s="5">
        <f>HYPERLINK("https://fin.land.naver.com/articles/2647125993", "매물Link")</f>
        <v/>
      </c>
      <c r="J3280" s="5">
        <f>HYPERLINK("https://map.naver.com/p/search/어진동 499-40", "지도Link")</f>
        <v/>
      </c>
      <c r="K3280" s="5">
        <f>HYPERLINK("http://www.eum.go.kr/web/ar/lu/luLandDet.jsp?pnu=3611011000104990040&amp;isNoScr=script&amp;mode=search", "토지이음")</f>
        <v/>
      </c>
      <c r="L3280" s="3" t="inlineStr">
        <is>
          <t>세종스타</t>
        </is>
      </c>
      <c r="M3280" s="3" t="n">
        <v>1</v>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3" t="inlineStr">
        <is>
          <t>투자최고물건 진입도로 인근아파트단지개발</t>
        </is>
      </c>
      <c r="I3281" s="5">
        <f>HYPERLINK("https://fin.land.naver.com/articles/2647657465", "매물Link")</f>
        <v/>
      </c>
      <c r="J3281" s="5">
        <f>HYPERLINK("https://map.naver.com/p/search/연기면 눌왕리 103", "지도Link")</f>
        <v/>
      </c>
      <c r="K3281" s="5">
        <f>HYPERLINK("http://www.eum.go.kr/web/ar/lu/luLandDet.jsp?pnu=3611031023101030000&amp;isNoScr=script&amp;mode=search", "토지이음")</f>
        <v/>
      </c>
      <c r="L3281" s="3" t="inlineStr">
        <is>
          <t>세종대왕</t>
        </is>
      </c>
      <c r="M3281" s="3" t="n">
        <v>1</v>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3" t="inlineStr">
        <is>
          <t>2차선 도로변,주변 호재로 투자가치 상승 예상지역</t>
        </is>
      </c>
      <c r="I3282" s="5">
        <f>HYPERLINK("https://fin.land.naver.com/articles/2649636393", "매물Link")</f>
        <v/>
      </c>
      <c r="J3282" s="5">
        <f>HYPERLINK("https://map.naver.com/p/search/연기면 눌왕리 121-1", "지도Link")</f>
        <v/>
      </c>
      <c r="K3282" s="5">
        <f>HYPERLINK("http://www.eum.go.kr/web/ar/lu/luLandDet.jsp?pnu=3611031023101210001&amp;isNoScr=script&amp;mode=search", "토지이음")</f>
        <v/>
      </c>
      <c r="L3282" s="3" t="inlineStr">
        <is>
          <t>가치잇는</t>
        </is>
      </c>
      <c r="M3282" s="3" t="n">
        <v>1</v>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3" t="inlineStr">
        <is>
          <t>도로접,주변 개발 기대감으로 가치상승 유망</t>
        </is>
      </c>
      <c r="I3283" s="5">
        <f>HYPERLINK("https://fin.land.naver.com/articles/2646798916", "매물Link")</f>
        <v/>
      </c>
      <c r="J3283" s="5">
        <f>HYPERLINK("https://map.naver.com/p/search/연기면 눌왕리 149-1", "지도Link")</f>
        <v/>
      </c>
      <c r="K3283" s="5">
        <f>HYPERLINK("http://www.eum.go.kr/web/ar/lu/luLandDet.jsp?pnu=3611031023101490001&amp;isNoScr=script&amp;mode=search", "토지이음")</f>
        <v/>
      </c>
      <c r="L3283" s="3" t="inlineStr">
        <is>
          <t>가치잇는</t>
        </is>
      </c>
      <c r="M3283" s="3" t="n">
        <v>1</v>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3" t="inlineStr">
        <is>
          <t>지주작업 진행중 아파트 개발 기대감 최고 눌왕리 도로접 알짜 과수원</t>
        </is>
      </c>
      <c r="I3284" s="5">
        <f>HYPERLINK("https://fin.land.naver.com/articles/2645022610", "매물Link")</f>
        <v/>
      </c>
      <c r="J3284" s="5">
        <f>HYPERLINK("https://map.naver.com/p/search/연기면 눌왕리 151-1", "지도Link")</f>
        <v/>
      </c>
      <c r="K3284" s="5">
        <f>HYPERLINK("http://www.eum.go.kr/web/ar/lu/luLandDet.jsp?pnu=3611031023101510001&amp;isNoScr=script&amp;mode=search", "토지이음")</f>
        <v/>
      </c>
      <c r="L3284" s="3" t="inlineStr">
        <is>
          <t>한아름</t>
        </is>
      </c>
      <c r="M3284" s="3" t="n">
        <v>1</v>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3" t="inlineStr">
        <is>
          <t>세종 신도시조치원 핵심축 개발권 초인접 눌왕리 귀한 필지</t>
        </is>
      </c>
      <c r="I3285" s="5">
        <f>HYPERLINK("https://fin.land.naver.com/articles/2645021344", "매물Link")</f>
        <v/>
      </c>
      <c r="J3285" s="5">
        <f>HYPERLINK("https://map.naver.com/p/search/연기면 눌왕리 152-1", "지도Link")</f>
        <v/>
      </c>
      <c r="K3285" s="5">
        <f>HYPERLINK("http://www.eum.go.kr/web/ar/lu/luLandDet.jsp?pnu=3611031023101520001&amp;isNoScr=script&amp;mode=search", "토지이음")</f>
        <v/>
      </c>
      <c r="L3285" s="3" t="inlineStr">
        <is>
          <t>한아름</t>
        </is>
      </c>
      <c r="M3285" s="3" t="n">
        <v>1</v>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3" t="inlineStr">
        <is>
          <t>융자무.장기투자가치.한국GM물류센터인접.세종농협농축산유통센터건너편</t>
        </is>
      </c>
      <c r="I3286" s="5">
        <f>HYPERLINK("https://fin.land.naver.com/articles/2645928209", "매물Link")</f>
        <v/>
      </c>
      <c r="J3286" s="5">
        <f>HYPERLINK("https://map.naver.com/p/search/연기면 눌왕리 152-5", "지도Link")</f>
        <v/>
      </c>
      <c r="K3286" s="5">
        <f>HYPERLINK("http://www.eum.go.kr/web/ar/lu/luLandDet.jsp?pnu=3611031023101520005&amp;isNoScr=script&amp;mode=search", "토지이음")</f>
        <v/>
      </c>
      <c r="L3286" s="3" t="inlineStr">
        <is>
          <t>돈방석</t>
        </is>
      </c>
      <c r="M3286" s="3" t="n">
        <v>1</v>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3" t="inlineStr">
        <is>
          <t>도로에 접한 계획관리 토지</t>
        </is>
      </c>
      <c r="I3287" s="5">
        <f>HYPERLINK("https://fin.land.naver.com/articles/2646007803", "매물Link")</f>
        <v/>
      </c>
      <c r="J3287" s="5">
        <f>HYPERLINK("https://map.naver.com/p/search/연기면 눌왕리 157-21", "지도Link")</f>
        <v/>
      </c>
      <c r="K3287" s="5">
        <f>HYPERLINK("http://www.eum.go.kr/web/ar/lu/luLandDet.jsp?pnu=3611031023101570021&amp;isNoScr=script&amp;mode=search", "토지이음")</f>
        <v/>
      </c>
      <c r="L3287" s="3" t="inlineStr">
        <is>
          <t>세종대박</t>
        </is>
      </c>
      <c r="M3287" s="3" t="n">
        <v>1</v>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3" t="inlineStr">
        <is>
          <t>현재 과수원으로 이용되고 있는 토지</t>
        </is>
      </c>
      <c r="I3288" s="5">
        <f>HYPERLINK("https://fin.land.naver.com/articles/2646007783", "매물Link")</f>
        <v/>
      </c>
      <c r="J3288" s="5">
        <f>HYPERLINK("https://map.naver.com/p/search/연기면 눌왕리 157-8", "지도Link")</f>
        <v/>
      </c>
      <c r="K3288" s="5">
        <f>HYPERLINK("http://www.eum.go.kr/web/ar/lu/luLandDet.jsp?pnu=3611031023101570008&amp;isNoScr=script&amp;mode=search", "토지이음")</f>
        <v/>
      </c>
      <c r="L3288" s="3" t="inlineStr">
        <is>
          <t>세종대박</t>
        </is>
      </c>
      <c r="M3288" s="3" t="n">
        <v>1</v>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3" t="inlineStr">
        <is>
          <t>연기면 눌왕리 도로접한 계획관리지역</t>
        </is>
      </c>
      <c r="I3289" s="5">
        <f>HYPERLINK("https://fin.land.naver.com/articles/2644461036", "매물Link")</f>
        <v/>
      </c>
      <c r="J3289" s="5">
        <f>HYPERLINK("https://map.naver.com/p/search/연기면 눌왕리 159-1", "지도Link")</f>
        <v/>
      </c>
      <c r="K3289" s="5">
        <f>HYPERLINK("http://www.eum.go.kr/web/ar/lu/luLandDet.jsp?pnu=3611031023101590001&amp;isNoScr=script&amp;mode=search", "토지이음")</f>
        <v/>
      </c>
      <c r="L3289" s="3" t="inlineStr">
        <is>
          <t>세종천지</t>
        </is>
      </c>
      <c r="M3289" s="3" t="n">
        <v>1</v>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3" t="inlineStr">
        <is>
          <t>세종시 연기면 눌왕리 조치원일반산업단지 인근 계획관리지역 전과 임야</t>
        </is>
      </c>
      <c r="I3290" s="5">
        <f>HYPERLINK("https://fin.land.naver.com/articles/2650048327", "매물Link")</f>
        <v/>
      </c>
      <c r="J3290" s="5">
        <f>HYPERLINK("https://map.naver.com/p/search/연기면 눌왕리 213-3", "지도Link")</f>
        <v/>
      </c>
      <c r="K3290" s="5">
        <f>HYPERLINK("http://www.eum.go.kr/web/ar/lu/luLandDet.jsp?pnu=3611031023102130003&amp;isNoScr=script&amp;mode=search", "토지이음")</f>
        <v/>
      </c>
      <c r="L3290" s="3" t="inlineStr">
        <is>
          <t>하이엔드</t>
        </is>
      </c>
      <c r="M3290" s="3" t="n">
        <v>1</v>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3" t="inlineStr">
        <is>
          <t>국가산업단지 인접한 대지 매매</t>
        </is>
      </c>
      <c r="I3291" s="5">
        <f>HYPERLINK("https://fin.land.naver.com/articles/2646008025", "매물Link")</f>
        <v/>
      </c>
      <c r="J3291" s="5">
        <f>HYPERLINK("https://map.naver.com/p/search/연기면 눌왕리 217-3", "지도Link")</f>
        <v/>
      </c>
      <c r="K3291" s="5">
        <f>HYPERLINK("http://www.eum.go.kr/web/ar/lu/luLandDet.jsp?pnu=3611031023102170003&amp;isNoScr=script&amp;mode=search", "토지이음")</f>
        <v/>
      </c>
      <c r="L3291" s="3" t="inlineStr">
        <is>
          <t>세종대박</t>
        </is>
      </c>
      <c r="M3291" s="3" t="n">
        <v>1</v>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3" t="inlineStr">
        <is>
          <t>2차선 도로변으로 접근성 양호</t>
        </is>
      </c>
      <c r="I3292" s="5">
        <f>HYPERLINK("https://fin.land.naver.com/articles/2649636056", "매물Link")</f>
        <v/>
      </c>
      <c r="J3292" s="5">
        <f>HYPERLINK("https://map.naver.com/p/search/연기면 눌왕리 280", "지도Link")</f>
        <v/>
      </c>
      <c r="K3292" s="5">
        <f>HYPERLINK("http://www.eum.go.kr/web/ar/lu/luLandDet.jsp?pnu=3611031023102800000&amp;isNoScr=script&amp;mode=search", "토지이음")</f>
        <v/>
      </c>
      <c r="L3292" s="3" t="inlineStr">
        <is>
          <t>가치잇는</t>
        </is>
      </c>
      <c r="M3292" s="3" t="n">
        <v>1</v>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3" t="inlineStr">
        <is>
          <t>2차선 도로변으로 접근성 양호</t>
        </is>
      </c>
      <c r="I3293" s="5">
        <f>HYPERLINK("https://fin.land.naver.com/articles/2649634274", "매물Link")</f>
        <v/>
      </c>
      <c r="J3293" s="5">
        <f>HYPERLINK("https://map.naver.com/p/search/연기면 눌왕리 282", "지도Link")</f>
        <v/>
      </c>
      <c r="K3293" s="5">
        <f>HYPERLINK("http://www.eum.go.kr/web/ar/lu/luLandDet.jsp?pnu=3611031023102820000&amp;isNoScr=script&amp;mode=search", "토지이음")</f>
        <v/>
      </c>
      <c r="L3293" s="3" t="inlineStr">
        <is>
          <t>가치잇는</t>
        </is>
      </c>
      <c r="M3293" s="3" t="n">
        <v>1</v>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3" t="inlineStr">
        <is>
          <t>국가산단 인근,가치상승 개발기대감 높은 토지</t>
        </is>
      </c>
      <c r="I3294" s="5">
        <f>HYPERLINK("https://fin.land.naver.com/articles/2646800110", "매물Link")</f>
        <v/>
      </c>
      <c r="J3294" s="5">
        <f>HYPERLINK("https://map.naver.com/p/search/연기면 눌왕리 307-1", "지도Link")</f>
        <v/>
      </c>
      <c r="K3294" s="5">
        <f>HYPERLINK("http://www.eum.go.kr/web/ar/lu/luLandDet.jsp?pnu=3611031023103070001&amp;isNoScr=script&amp;mode=search", "토지이음")</f>
        <v/>
      </c>
      <c r="L3294" s="3" t="inlineStr">
        <is>
          <t>가치잇는</t>
        </is>
      </c>
      <c r="M3294" s="3" t="n">
        <v>1</v>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3" t="inlineStr">
        <is>
          <t>자연취락지구, 계획관리지역, 성장관리계획구역 내 토지</t>
        </is>
      </c>
      <c r="I3295" s="5">
        <f>HYPERLINK("https://fin.land.naver.com/articles/2649148435", "매물Link")</f>
        <v/>
      </c>
      <c r="J3295" s="5">
        <f>HYPERLINK("https://map.naver.com/p/search/연기면 눌왕리 388", "지도Link")</f>
        <v/>
      </c>
      <c r="K3295" s="5">
        <f>HYPERLINK("http://www.eum.go.kr/web/ar/lu/luLandDet.jsp?pnu=3611031023103880000&amp;isNoScr=script&amp;mode=search", "토지이음")</f>
        <v/>
      </c>
      <c r="L3295" s="3" t="inlineStr">
        <is>
          <t>네거리</t>
        </is>
      </c>
      <c r="M3295" s="3" t="n">
        <v>1</v>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3" t="inlineStr">
        <is>
          <t>장기보유권장</t>
        </is>
      </c>
      <c r="I3296" s="5">
        <f>HYPERLINK("https://fin.land.naver.com/articles/2647046478", "매물Link")</f>
        <v/>
      </c>
      <c r="J3296" s="5">
        <f>HYPERLINK("https://map.naver.com/p/search/연기면 눌왕리 414", "지도Link")</f>
        <v/>
      </c>
      <c r="K3296" s="5">
        <f>HYPERLINK("http://www.eum.go.kr/web/ar/lu/luLandDet.jsp?pnu=3611031023104140000&amp;isNoScr=script&amp;mode=search", "토지이음")</f>
        <v/>
      </c>
      <c r="L3296" s="3" t="inlineStr">
        <is>
          <t>지원</t>
        </is>
      </c>
      <c r="M3296" s="3" t="n">
        <v>1</v>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3" t="inlineStr">
        <is>
          <t>위치좋은 토지로 투자용으로 적극추천함.</t>
        </is>
      </c>
      <c r="I3297" s="5">
        <f>HYPERLINK("https://fin.land.naver.com/articles/2648553910", "매물Link")</f>
        <v/>
      </c>
      <c r="J3297" s="5">
        <f>HYPERLINK("https://map.naver.com/p/search/연기면 눌왕리 425", "지도Link")</f>
        <v/>
      </c>
      <c r="K3297" s="5">
        <f>HYPERLINK("http://www.eum.go.kr/web/ar/lu/luLandDet.jsp?pnu=3611031023104250000&amp;isNoScr=script&amp;mode=search", "토지이음")</f>
        <v/>
      </c>
      <c r="L3297" s="3" t="inlineStr">
        <is>
          <t>세종리츠</t>
        </is>
      </c>
      <c r="M3297" s="3" t="n">
        <v>1</v>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3" t="inlineStr">
        <is>
          <t>연기면 눌왕리 토지(전)매매</t>
        </is>
      </c>
      <c r="I3298" s="5">
        <f>HYPERLINK("https://fin.land.naver.com/articles/2647920507", "매물Link")</f>
        <v/>
      </c>
      <c r="J3298" s="5">
        <f>HYPERLINK("https://map.naver.com/p/search/연기면 눌왕리 484-1", "지도Link")</f>
        <v/>
      </c>
      <c r="K3298" s="5">
        <f>HYPERLINK("http://www.eum.go.kr/web/ar/lu/luLandDet.jsp?pnu=3611031023104840001&amp;isNoScr=script&amp;mode=search", "토지이음")</f>
        <v/>
      </c>
      <c r="L3298" s="3" t="inlineStr">
        <is>
          <t>비전</t>
        </is>
      </c>
      <c r="M3298" s="3" t="n">
        <v>1</v>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3" t="inlineStr">
        <is>
          <t>미래가치를 품은 세종시 최적의 투자처 연기면 눌왕리 토지 매매</t>
        </is>
      </c>
      <c r="I3299" s="5">
        <f>HYPERLINK("https://fin.land.naver.com/articles/2645213151", "매물Link")</f>
        <v/>
      </c>
      <c r="J3299" s="5">
        <f>HYPERLINK("https://map.naver.com/p/search/연기면 눌왕리 557-1", "지도Link")</f>
        <v/>
      </c>
      <c r="K3299" s="5">
        <f>HYPERLINK("http://www.eum.go.kr/web/ar/lu/luLandDet.jsp?pnu=3611031023105570001&amp;isNoScr=script&amp;mode=search", "토지이음")</f>
        <v/>
      </c>
      <c r="L3299" s="3" t="inlineStr">
        <is>
          <t>지성</t>
        </is>
      </c>
      <c r="M3299" s="3" t="n">
        <v>1</v>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3" t="inlineStr">
        <is>
          <t>연기면 눌왕리 마을 포장도로에 접한 계획관리지역 성장관리계획구역 농지</t>
        </is>
      </c>
      <c r="I3300" s="5">
        <f>HYPERLINK("https://fin.land.naver.com/articles/2647888456", "매물Link")</f>
        <v/>
      </c>
      <c r="J3300" s="5">
        <f>HYPERLINK("https://map.naver.com/p/search/연기면 눌왕리 569-3", "지도Link")</f>
        <v/>
      </c>
      <c r="K3300" s="5">
        <f>HYPERLINK("http://www.eum.go.kr/web/ar/lu/luLandDet.jsp?pnu=3611031023105690003&amp;isNoScr=script&amp;mode=search", "토지이음")</f>
        <v/>
      </c>
      <c r="L3300" s="3" t="inlineStr">
        <is>
          <t>스마일세종</t>
        </is>
      </c>
      <c r="M3300" s="3" t="n">
        <v>1</v>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3" t="inlineStr">
        <is>
          <t>저렴한농지,세종시근접,생산관리</t>
        </is>
      </c>
      <c r="I3301" s="5">
        <f>HYPERLINK("https://fin.land.naver.com/articles/2645220806", "매물Link")</f>
        <v/>
      </c>
      <c r="J3301" s="5">
        <f>HYPERLINK("https://map.naver.com/p/search/연기면 눌왕리 622", "지도Link")</f>
        <v/>
      </c>
      <c r="K3301" s="5">
        <f>HYPERLINK("http://www.eum.go.kr/web/ar/lu/luLandDet.jsp?pnu=3611031023106220000&amp;isNoScr=script&amp;mode=search", "토지이음")</f>
        <v/>
      </c>
      <c r="L3301" s="3" t="inlineStr">
        <is>
          <t>담뜰</t>
        </is>
      </c>
      <c r="M3301" s="3" t="n">
        <v>1</v>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3" t="inlineStr">
        <is>
          <t>위치좋은 토지로 현재 시세보다 저렴합니다.</t>
        </is>
      </c>
      <c r="I3302" s="5">
        <f>HYPERLINK("https://fin.land.naver.com/articles/2648551129", "매물Link")</f>
        <v/>
      </c>
      <c r="J3302" s="5">
        <f>HYPERLINK("https://map.naver.com/p/search/연기면 눌왕리 633-1", "지도Link")</f>
        <v/>
      </c>
      <c r="K3302" s="5">
        <f>HYPERLINK("http://www.eum.go.kr/web/ar/lu/luLandDet.jsp?pnu=3611031023106330001&amp;isNoScr=script&amp;mode=search", "토지이음")</f>
        <v/>
      </c>
      <c r="L3302" s="3" t="inlineStr">
        <is>
          <t>세종리츠</t>
        </is>
      </c>
      <c r="M3302" s="3" t="n">
        <v>1</v>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3" t="inlineStr">
        <is>
          <t>절충가능한 연기면 눌왕리 마을 포장도로에 접한 계획관리지역 전입니다</t>
        </is>
      </c>
      <c r="I3303" s="5">
        <f>HYPERLINK("https://fin.land.naver.com/articles/2645191898", "매물Link")</f>
        <v/>
      </c>
      <c r="J3303" s="5">
        <f>HYPERLINK("https://map.naver.com/p/search/연기면 눌왕리 635-2", "지도Link")</f>
        <v/>
      </c>
      <c r="K3303" s="5">
        <f>HYPERLINK("http://www.eum.go.kr/web/ar/lu/luLandDet.jsp?pnu=3611031023106350002&amp;isNoScr=script&amp;mode=search", "토지이음")</f>
        <v/>
      </c>
      <c r="L3303" s="3" t="inlineStr">
        <is>
          <t>스마일세종</t>
        </is>
      </c>
      <c r="M3303" s="3" t="n">
        <v>1</v>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3" t="inlineStr">
        <is>
          <t>위치 좋은 곳 저렴한 토지</t>
        </is>
      </c>
      <c r="I3304" s="5">
        <f>HYPERLINK("https://fin.land.naver.com/articles/2647576692", "매물Link")</f>
        <v/>
      </c>
      <c r="J3304" s="5">
        <f>HYPERLINK("https://map.naver.com/p/search/연기면 눌왕리 639", "지도Link")</f>
        <v/>
      </c>
      <c r="K3304" s="5">
        <f>HYPERLINK("http://www.eum.go.kr/web/ar/lu/luLandDet.jsp?pnu=3611031023106390000&amp;isNoScr=script&amp;mode=search", "토지이음")</f>
        <v/>
      </c>
      <c r="L3304" s="3" t="inlineStr">
        <is>
          <t>KB세종</t>
        </is>
      </c>
      <c r="M3304" s="3" t="n">
        <v>1</v>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3" t="inlineStr">
        <is>
          <t>구옥 2채있고 도로접해있고 버스승강장 가깝고 투자가치 좋아요</t>
        </is>
      </c>
      <c r="I3305" s="5">
        <f>HYPERLINK("https://fin.land.naver.com/articles/2646950846", "매물Link")</f>
        <v/>
      </c>
      <c r="J3305" s="5">
        <f>HYPERLINK("https://map.naver.com/p/search/연기면 눌왕리 679", "지도Link")</f>
        <v/>
      </c>
      <c r="K3305" s="5">
        <f>HYPERLINK("http://www.eum.go.kr/web/ar/lu/luLandDet.jsp?pnu=3611031023106790000&amp;isNoScr=script&amp;mode=search", "토지이음")</f>
        <v/>
      </c>
      <c r="L3305" s="3" t="inlineStr">
        <is>
          <t>도안우미린올레</t>
        </is>
      </c>
      <c r="M3305" s="3" t="n">
        <v>1</v>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3" t="inlineStr">
        <is>
          <t>자연 속에서 미래 가치를 담아낼 수 있는 특별한 토지 매물</t>
        </is>
      </c>
      <c r="I3306" s="5">
        <f>HYPERLINK("https://fin.land.naver.com/articles/2647438118", "매물Link")</f>
        <v/>
      </c>
      <c r="J3306" s="5">
        <f>HYPERLINK("https://map.naver.com/p/search/연기면 눌왕리 680-7", "지도Link")</f>
        <v/>
      </c>
      <c r="K3306" s="5">
        <f>HYPERLINK("http://www.eum.go.kr/web/ar/lu/luLandDet.jsp?pnu=3611031023106800007&amp;isNoScr=script&amp;mode=search", "토지이음")</f>
        <v/>
      </c>
      <c r="L3306" s="3" t="inlineStr">
        <is>
          <t>번암주공</t>
        </is>
      </c>
      <c r="M3306" s="3" t="n">
        <v>1</v>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3" t="inlineStr">
        <is>
          <t>nan</t>
        </is>
      </c>
      <c r="I3307" s="5">
        <f>HYPERLINK("https://fin.land.naver.com/articles/2649719803", "매물Link")</f>
        <v/>
      </c>
      <c r="J3307" s="5">
        <f>HYPERLINK("https://map.naver.com/p/search/연기면 눌왕리 699-1", "지도Link")</f>
        <v/>
      </c>
      <c r="K3307" s="5">
        <f>HYPERLINK("http://www.eum.go.kr/web/ar/lu/luLandDet.jsp?pnu=3611031023106990001&amp;isNoScr=script&amp;mode=search", "토지이음")</f>
        <v/>
      </c>
      <c r="L3307" s="3" t="inlineStr">
        <is>
          <t>KB세종</t>
        </is>
      </c>
      <c r="M3307" s="3" t="n">
        <v>1</v>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3" t="inlineStr">
        <is>
          <t>세종시 계획관리지역, 산단 주변 개발호재 가능성</t>
        </is>
      </c>
      <c r="I3308" s="5">
        <f>HYPERLINK("https://fin.land.naver.com/articles/2645587184", "매물Link")</f>
        <v/>
      </c>
      <c r="J3308" s="5">
        <f>HYPERLINK("https://map.naver.com/p/search/연기면 눌왕리 산18-1", "지도Link")</f>
        <v/>
      </c>
      <c r="K3308" s="5">
        <f>HYPERLINK("http://www.eum.go.kr/web/ar/lu/luLandDet.jsp?pnu=3611031023200180001&amp;isNoScr=script&amp;mode=search", "토지이음")</f>
        <v/>
      </c>
      <c r="L3308" s="3" t="inlineStr">
        <is>
          <t>미래</t>
        </is>
      </c>
      <c r="M3308" s="3" t="n">
        <v>1</v>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3" t="inlineStr">
        <is>
          <t>투자목적,
국가 산업단지 인근
가격조정 최대한 해 보겠습니다.</t>
        </is>
      </c>
      <c r="I3309" s="5">
        <f>HYPERLINK("https://fin.land.naver.com/articles/2646204092", "매물Link")</f>
        <v/>
      </c>
      <c r="J3309" s="5">
        <f>HYPERLINK("https://map.naver.com/p/search/연기면 눌왕리 산20-1", "지도Link")</f>
        <v/>
      </c>
      <c r="K3309" s="5">
        <f>HYPERLINK("http://www.eum.go.kr/web/ar/lu/luLandDet.jsp?pnu=3611031023200200001&amp;isNoScr=script&amp;mode=search", "토지이음")</f>
        <v/>
      </c>
      <c r="L3309" s="3" t="inlineStr">
        <is>
          <t>해들일번지</t>
        </is>
      </c>
      <c r="M3309" s="3" t="n">
        <v>1</v>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3" t="inlineStr">
        <is>
          <t>관리지역 토지매매주택건축,투자 등</t>
        </is>
      </c>
      <c r="I3310" s="5">
        <f>HYPERLINK("https://fin.land.naver.com/articles/2648813405", "매물Link")</f>
        <v/>
      </c>
      <c r="J3310" s="5">
        <f>HYPERLINK("https://map.naver.com/p/search/연기면 눌왕리 산71-1", "지도Link")</f>
        <v/>
      </c>
      <c r="K3310" s="5">
        <f>HYPERLINK("http://www.eum.go.kr/web/ar/lu/luLandDet.jsp?pnu=3611031023200710001&amp;isNoScr=script&amp;mode=search", "토지이음")</f>
        <v/>
      </c>
      <c r="L3310" s="3" t="inlineStr">
        <is>
          <t>세종대박</t>
        </is>
      </c>
      <c r="M3310" s="3" t="n">
        <v>1</v>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3" t="inlineStr">
        <is>
          <t>도로접 보전관리지역 성장관리계획구역 분할매매가능</t>
        </is>
      </c>
      <c r="I3311" s="5">
        <f>HYPERLINK("https://fin.land.naver.com/articles/2646529009", "매물Link")</f>
        <v/>
      </c>
      <c r="J3311" s="5">
        <f>HYPERLINK("https://map.naver.com/p/search/연기면 눌왕리 산78-20", "지도Link")</f>
        <v/>
      </c>
      <c r="K3311" s="5">
        <f>HYPERLINK("http://www.eum.go.kr/web/ar/lu/luLandDet.jsp?pnu=3611031023200780020&amp;isNoScr=script&amp;mode=search", "토지이음")</f>
        <v/>
      </c>
      <c r="L3311" s="3" t="inlineStr">
        <is>
          <t>사계절(합동)</t>
        </is>
      </c>
      <c r="M3311" s="3" t="n">
        <v>1</v>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3" t="inlineStr">
        <is>
          <t>행복도시 10분거리로 도로에 접한 청정 야산 급매</t>
        </is>
      </c>
      <c r="I3312" s="5">
        <f>HYPERLINK("https://fin.land.naver.com/articles/2649508216", "매물Link")</f>
        <v/>
      </c>
      <c r="J3312" s="5">
        <f>HYPERLINK("https://map.naver.com/p/search/연기면 눌왕리 산78-20", "지도Link")</f>
        <v/>
      </c>
      <c r="K3312" s="5">
        <f>HYPERLINK("http://www.eum.go.kr/web/ar/lu/luLandDet.jsp?pnu=3611031023200780020&amp;isNoScr=script&amp;mode=search", "토지이음")</f>
        <v/>
      </c>
      <c r="L3312" s="3" t="inlineStr">
        <is>
          <t>강문구</t>
        </is>
      </c>
      <c r="M3312" s="3" t="n">
        <v>2</v>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3" t="inlineStr">
        <is>
          <t>도로접한 계획관리 토지 매매</t>
        </is>
      </c>
      <c r="I3313" s="5">
        <f>HYPERLINK("https://fin.land.naver.com/articles/2646007473", "매물Link")</f>
        <v/>
      </c>
      <c r="J3313" s="5">
        <f>HYPERLINK("https://map.naver.com/p/search/연기면 보통리 12-3", "지도Link")</f>
        <v/>
      </c>
      <c r="K3313" s="5">
        <f>HYPERLINK("http://www.eum.go.kr/web/ar/lu/luLandDet.jsp?pnu=3611031022100120003&amp;isNoScr=script&amp;mode=search", "토지이음")</f>
        <v/>
      </c>
      <c r="L3313" s="3" t="inlineStr">
        <is>
          <t>세종대박</t>
        </is>
      </c>
      <c r="M3313" s="3" t="n">
        <v>1</v>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3" t="inlineStr">
        <is>
          <t>국가산업단지 인근 계획관리토지현주차장</t>
        </is>
      </c>
      <c r="I3314" s="5">
        <f>HYPERLINK("https://fin.land.naver.com/articles/2644444566", "매물Link")</f>
        <v/>
      </c>
      <c r="J3314" s="5">
        <f>HYPERLINK("https://map.naver.com/p/search/연기면 보통리 388-26", "지도Link")</f>
        <v/>
      </c>
      <c r="K3314" s="5">
        <f>HYPERLINK("http://www.eum.go.kr/web/ar/lu/luLandDet.jsp?pnu=3611031022103880026&amp;isNoScr=script&amp;mode=search", "토지이음")</f>
        <v/>
      </c>
      <c r="L3314" s="3" t="inlineStr">
        <is>
          <t>세종대박</t>
        </is>
      </c>
      <c r="M3314" s="3" t="n">
        <v>1</v>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3" t="inlineStr">
        <is>
          <t>도로접한 농지 매매</t>
        </is>
      </c>
      <c r="I3315" s="5">
        <f>HYPERLINK("https://fin.land.naver.com/articles/2644915781", "매물Link")</f>
        <v/>
      </c>
      <c r="J3315" s="5">
        <f>HYPERLINK("https://map.naver.com/p/search/연기면 보통리 406", "지도Link")</f>
        <v/>
      </c>
      <c r="K3315" s="5">
        <f>HYPERLINK("http://www.eum.go.kr/web/ar/lu/luLandDet.jsp?pnu=3611031022104060000&amp;isNoScr=script&amp;mode=search", "토지이음")</f>
        <v/>
      </c>
      <c r="L3315" s="3" t="inlineStr">
        <is>
          <t>세종대박</t>
        </is>
      </c>
      <c r="M3315" s="3" t="n">
        <v>1</v>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3" t="inlineStr">
        <is>
          <t>추천. 세종인근 대형식당자리</t>
        </is>
      </c>
      <c r="I3316" s="5">
        <f>HYPERLINK("https://fin.land.naver.com/articles/2645464393", "매물Link")</f>
        <v/>
      </c>
      <c r="J3316" s="5">
        <f>HYPERLINK("https://map.naver.com/p/search/연기면 수산리 103-3", "지도Link")</f>
        <v/>
      </c>
      <c r="K3316" s="5">
        <f>HYPERLINK("http://www.eum.go.kr/web/ar/lu/luLandDet.jsp?pnu=3611031024101030003&amp;isNoScr=script&amp;mode=search", "토지이음")</f>
        <v/>
      </c>
      <c r="L3316" s="3" t="inlineStr">
        <is>
          <t>강아지풀</t>
        </is>
      </c>
      <c r="M3316" s="3" t="n">
        <v>2</v>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3" t="inlineStr">
        <is>
          <t>행복도시에서 가까운 토지 대토 투자적합 연서산단에서도 가까움</t>
        </is>
      </c>
      <c r="I3317" s="5">
        <f>HYPERLINK("https://fin.land.naver.com/articles/2646912503", "매물Link")</f>
        <v/>
      </c>
      <c r="J3317" s="5">
        <f>HYPERLINK("https://map.naver.com/p/search/연기면 수산리 11", "지도Link")</f>
        <v/>
      </c>
      <c r="K3317" s="5">
        <f>HYPERLINK("http://www.eum.go.kr/web/ar/lu/luLandDet.jsp?pnu=3611031024100110000&amp;isNoScr=script&amp;mode=search", "토지이음")</f>
        <v/>
      </c>
      <c r="L3317" s="3" t="inlineStr">
        <is>
          <t>고운동리치세종</t>
        </is>
      </c>
      <c r="M3317" s="3" t="n">
        <v>4</v>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3" t="inlineStr">
        <is>
          <t>산밑 남향의 농촌체류형쉼터 적지</t>
        </is>
      </c>
      <c r="I3318" s="5">
        <f>HYPERLINK("https://fin.land.naver.com/articles/2644525233", "매물Link")</f>
        <v/>
      </c>
      <c r="J3318" s="5">
        <f>HYPERLINK("https://map.naver.com/p/search/연기면 수산리 11", "지도Link")</f>
        <v/>
      </c>
      <c r="K3318" s="5">
        <f>HYPERLINK("http://www.eum.go.kr/web/ar/lu/luLandDet.jsp?pnu=3611031024100110000&amp;isNoScr=script&amp;mode=search", "토지이음")</f>
        <v/>
      </c>
      <c r="L3318" s="3" t="inlineStr">
        <is>
          <t>용궁</t>
        </is>
      </c>
      <c r="M3318" s="3" t="n">
        <v>1</v>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3" t="inlineStr">
        <is>
          <t>수산3거리,2차선변 입지좋은 토지 매매.</t>
        </is>
      </c>
      <c r="I3319" s="5">
        <f>HYPERLINK("https://fin.land.naver.com/articles/2644148468", "매물Link")</f>
        <v/>
      </c>
      <c r="J3319" s="5">
        <f>HYPERLINK("https://map.naver.com/p/search/연기면 수산리 119", "지도Link")</f>
        <v/>
      </c>
      <c r="K3319" s="5">
        <f>HYPERLINK("http://www.eum.go.kr/web/ar/lu/luLandDet.jsp?pnu=3611031024101190000&amp;isNoScr=script&amp;mode=search", "토지이음")</f>
        <v/>
      </c>
      <c r="L3319" s="3" t="inlineStr">
        <is>
          <t>세종강산</t>
        </is>
      </c>
      <c r="M3319" s="3" t="n">
        <v>1</v>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3" t="inlineStr">
        <is>
          <t>수산 IC 근접 계획관리 지역 매매</t>
        </is>
      </c>
      <c r="I3320" s="5">
        <f>HYPERLINK("https://fin.land.naver.com/articles/2646666738", "매물Link")</f>
        <v/>
      </c>
      <c r="J3320" s="5">
        <f>HYPERLINK("https://map.naver.com/p/search/연기면 수산리 123", "지도Link")</f>
        <v/>
      </c>
      <c r="K3320" s="5">
        <f>HYPERLINK("http://www.eum.go.kr/web/ar/lu/luLandDet.jsp?pnu=3611031024101230000&amp;isNoScr=script&amp;mode=search", "토지이음")</f>
        <v/>
      </c>
      <c r="L3320" s="3" t="inlineStr">
        <is>
          <t>강나루</t>
        </is>
      </c>
      <c r="M3320" s="3" t="n">
        <v>1</v>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3" t="inlineStr">
        <is>
          <t>수산교차로 지가상승 기대되는 토지</t>
        </is>
      </c>
      <c r="I3321" s="5">
        <f>HYPERLINK("https://fin.land.naver.com/articles/2648813389", "매물Link")</f>
        <v/>
      </c>
      <c r="J3321" s="5">
        <f>HYPERLINK("https://map.naver.com/p/search/연기면 수산리 130", "지도Link")</f>
        <v/>
      </c>
      <c r="K3321" s="5">
        <f>HYPERLINK("http://www.eum.go.kr/web/ar/lu/luLandDet.jsp?pnu=3611031024101300000&amp;isNoScr=script&amp;mode=search", "토지이음")</f>
        <v/>
      </c>
      <c r="L3321" s="3" t="inlineStr">
        <is>
          <t>세종대박</t>
        </is>
      </c>
      <c r="M3321" s="3" t="n">
        <v>1</v>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3" t="inlineStr">
        <is>
          <t>세종 행복도시 인접 연기면 수산리 계획관리 토지 매매 수산교차로</t>
        </is>
      </c>
      <c r="I3322" s="5">
        <f>HYPERLINK("https://fin.land.naver.com/articles/2647172394", "매물Link")</f>
        <v/>
      </c>
      <c r="J3322" s="5">
        <f>HYPERLINK("https://map.naver.com/p/search/연기면 수산리 137-2", "지도Link")</f>
        <v/>
      </c>
      <c r="K3322" s="5">
        <f>HYPERLINK("http://www.eum.go.kr/web/ar/lu/luLandDet.jsp?pnu=3611031024101370002&amp;isNoScr=script&amp;mode=search", "토지이음")</f>
        <v/>
      </c>
      <c r="L3322" s="3" t="inlineStr">
        <is>
          <t>엄지척</t>
        </is>
      </c>
      <c r="M3322" s="3" t="n">
        <v>1</v>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3" t="inlineStr">
        <is>
          <t>세종신도시 인근 소액 투자용 토지</t>
        </is>
      </c>
      <c r="I3323" s="5">
        <f>HYPERLINK("https://fin.land.naver.com/articles/2647250999", "매물Link")</f>
        <v/>
      </c>
      <c r="J3323" s="5">
        <f>HYPERLINK("https://map.naver.com/p/search/연기면 수산리 193-4", "지도Link")</f>
        <v/>
      </c>
      <c r="K3323" s="5">
        <f>HYPERLINK("http://www.eum.go.kr/web/ar/lu/luLandDet.jsp?pnu=3611031024101930004&amp;isNoScr=script&amp;mode=search", "토지이음")</f>
        <v/>
      </c>
      <c r="L3323" s="3" t="inlineStr">
        <is>
          <t>세종공감</t>
        </is>
      </c>
      <c r="M3323" s="3" t="n">
        <v>1</v>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3" t="inlineStr">
        <is>
          <t>농림지역의 답으로 지목이 되어있지만 한달간의 복토작업으로 현재 전으로사용</t>
        </is>
      </c>
      <c r="I3324" s="5">
        <f>HYPERLINK("https://fin.land.naver.com/articles/2645422470", "매물Link")</f>
        <v/>
      </c>
      <c r="J3324" s="5">
        <f>HYPERLINK("https://map.naver.com/p/search/연기면 수산리 194-1", "지도Link")</f>
        <v/>
      </c>
      <c r="K3324" s="5">
        <f>HYPERLINK("http://www.eum.go.kr/web/ar/lu/luLandDet.jsp?pnu=3611031024101940001&amp;isNoScr=script&amp;mode=search", "토지이음")</f>
        <v/>
      </c>
      <c r="L3324" s="3" t="inlineStr">
        <is>
          <t>둔곡타워</t>
        </is>
      </c>
      <c r="M3324" s="3" t="n">
        <v>1</v>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3" t="inlineStr">
        <is>
          <t>원주민 장기보유. 도로 잘 접한 투자 유망. 청사5K,국가산단2.5K</t>
        </is>
      </c>
      <c r="I3325" s="5">
        <f>HYPERLINK("https://fin.land.naver.com/articles/2645384808", "매물Link")</f>
        <v/>
      </c>
      <c r="J3325" s="5">
        <f>HYPERLINK("https://map.naver.com/p/search/연기면 수산리 203", "지도Link")</f>
        <v/>
      </c>
      <c r="K3325" s="5">
        <f>HYPERLINK("http://www.eum.go.kr/web/ar/lu/luLandDet.jsp?pnu=3611031024102030000&amp;isNoScr=script&amp;mode=search", "토지이음")</f>
        <v/>
      </c>
      <c r="L3325" s="3" t="inlineStr">
        <is>
          <t>세종소담114</t>
        </is>
      </c>
      <c r="M3325" s="3" t="n">
        <v>1</v>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3" t="inlineStr">
        <is>
          <t>nan</t>
        </is>
      </c>
      <c r="I3326" s="5">
        <f>HYPERLINK("https://fin.land.naver.com/articles/2647122549", "매물Link")</f>
        <v/>
      </c>
      <c r="J3326" s="5">
        <f>HYPERLINK("https://map.naver.com/p/search/연기면 수산리 203", "지도Link")</f>
        <v/>
      </c>
      <c r="K3326" s="5">
        <f>HYPERLINK("http://www.eum.go.kr/web/ar/lu/luLandDet.jsp?pnu=3611031024102030000&amp;isNoScr=script&amp;mode=search", "토지이음")</f>
        <v/>
      </c>
      <c r="L3326" s="3" t="inlineStr">
        <is>
          <t>세종나성동ST</t>
        </is>
      </c>
      <c r="M3326" s="3" t="n">
        <v>1</v>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3" t="inlineStr">
        <is>
          <t>수산리 마을 포장도로에 접해 있는 평탄하고 면적이 큰 원형지형태 전입니다</t>
        </is>
      </c>
      <c r="I3327" s="5">
        <f>HYPERLINK("https://fin.land.naver.com/articles/2647888290", "매물Link")</f>
        <v/>
      </c>
      <c r="J3327" s="5">
        <f>HYPERLINK("https://map.naver.com/p/search/연기면 수산리 203", "지도Link")</f>
        <v/>
      </c>
      <c r="K3327" s="5">
        <f>HYPERLINK("http://www.eum.go.kr/web/ar/lu/luLandDet.jsp?pnu=3611031024102030000&amp;isNoScr=script&amp;mode=search", "토지이음")</f>
        <v/>
      </c>
      <c r="L3327" s="3" t="inlineStr">
        <is>
          <t>스마일세종</t>
        </is>
      </c>
      <c r="M3327" s="3" t="n">
        <v>3</v>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3" t="inlineStr">
        <is>
          <t>O급매O단독주택매매   정안IC O전원주택조성완료 보전관리</t>
        </is>
      </c>
      <c r="I3328" s="5">
        <f>HYPERLINK("https://fin.land.naver.com/articles/2649670353", "매물Link")</f>
        <v/>
      </c>
      <c r="J3328" s="5">
        <f>HYPERLINK("https://map.naver.com/p/search/연기면 수산리 230-1", "지도Link")</f>
        <v/>
      </c>
      <c r="K3328" s="5">
        <f>HYPERLINK("http://www.eum.go.kr/web/ar/lu/luLandDet.jsp?pnu=3611031024102300001&amp;isNoScr=script&amp;mode=search", "토지이음")</f>
        <v/>
      </c>
      <c r="L3328" s="3" t="inlineStr">
        <is>
          <t>공간</t>
        </is>
      </c>
      <c r="M3328" s="3" t="n">
        <v>1</v>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3" t="inlineStr">
        <is>
          <t>O급매O분할 평당300만원행복도시경계 정안ICO전원주택조성완료 보전관리</t>
        </is>
      </c>
      <c r="I3329" s="5">
        <f>HYPERLINK("https://fin.land.naver.com/articles/2649670043", "매물Link")</f>
        <v/>
      </c>
      <c r="J3329" s="5">
        <f>HYPERLINK("https://map.naver.com/p/search/연기면 수산리 233-8", "지도Link")</f>
        <v/>
      </c>
      <c r="K3329" s="5">
        <f>HYPERLINK("http://www.eum.go.kr/web/ar/lu/luLandDet.jsp?pnu=3611031024102330008&amp;isNoScr=script&amp;mode=search", "토지이음")</f>
        <v/>
      </c>
      <c r="L3329" s="3" t="inlineStr">
        <is>
          <t>공간</t>
        </is>
      </c>
      <c r="M3329" s="3" t="n">
        <v>1</v>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3" t="inlineStr">
        <is>
          <t>연기면 수산리에 있는 전원주택을 지을수 있는 택지개발한 임야입니다</t>
        </is>
      </c>
      <c r="I3330" s="5">
        <f>HYPERLINK("https://fin.land.naver.com/articles/2650021993", "매물Link")</f>
        <v/>
      </c>
      <c r="J3330" s="5">
        <f>HYPERLINK("https://map.naver.com/p/search/연기면 수산리 241-10", "지도Link")</f>
        <v/>
      </c>
      <c r="K3330" s="5">
        <f>HYPERLINK("http://www.eum.go.kr/web/ar/lu/luLandDet.jsp?pnu=3611031024102410010&amp;isNoScr=script&amp;mode=search", "토지이음")</f>
        <v/>
      </c>
      <c r="L3330" s="3" t="inlineStr">
        <is>
          <t>스마일세종</t>
        </is>
      </c>
      <c r="M3330" s="3" t="n">
        <v>1</v>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3" t="inlineStr">
        <is>
          <t>연기면 수산리 급매, 차량진입도로 유</t>
        </is>
      </c>
      <c r="I3331" s="5">
        <f>HYPERLINK("https://fin.land.naver.com/articles/2647514072", "매물Link")</f>
        <v/>
      </c>
      <c r="J3331" s="5">
        <f>HYPERLINK("https://map.naver.com/p/search/연기면 수산리 293-2", "지도Link")</f>
        <v/>
      </c>
      <c r="K3331" s="5">
        <f>HYPERLINK("http://www.eum.go.kr/web/ar/lu/luLandDet.jsp?pnu=3611031024102930002&amp;isNoScr=script&amp;mode=search", "토지이음")</f>
        <v/>
      </c>
      <c r="L3331" s="3" t="inlineStr">
        <is>
          <t>올바른</t>
        </is>
      </c>
      <c r="M3331" s="3" t="n">
        <v>1</v>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3" t="inlineStr">
        <is>
          <t>계획관리지역</t>
        </is>
      </c>
      <c r="I3332" s="5">
        <f>HYPERLINK("https://fin.land.naver.com/articles/2647406746", "매물Link")</f>
        <v/>
      </c>
      <c r="J3332" s="5">
        <f>HYPERLINK("https://map.naver.com/p/search/연기면 수산리 30-1", "지도Link")</f>
        <v/>
      </c>
      <c r="K3332" s="5">
        <f>HYPERLINK("http://www.eum.go.kr/web/ar/lu/luLandDet.jsp?pnu=3611031024100300001&amp;isNoScr=script&amp;mode=search", "토지이음")</f>
        <v/>
      </c>
      <c r="L3332" s="3" t="inlineStr">
        <is>
          <t>로데오상가</t>
        </is>
      </c>
      <c r="M3332" s="3" t="n">
        <v>1</v>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3" t="inlineStr">
        <is>
          <t>밭으로 잘 사용 가능한 땅</t>
        </is>
      </c>
      <c r="I3333" s="5">
        <f>HYPERLINK("https://fin.land.naver.com/articles/2649973570", "매물Link")</f>
        <v/>
      </c>
      <c r="J3333" s="5">
        <f>HYPERLINK("https://map.naver.com/p/search/연기면 수산리 442-1", "지도Link")</f>
        <v/>
      </c>
      <c r="K3333" s="5">
        <f>HYPERLINK("http://www.eum.go.kr/web/ar/lu/luLandDet.jsp?pnu=3611031024104420001&amp;isNoScr=script&amp;mode=search", "토지이음")</f>
        <v/>
      </c>
      <c r="L3333" s="3" t="inlineStr">
        <is>
          <t>푸르지오시티1차</t>
        </is>
      </c>
      <c r="M3333" s="3" t="n">
        <v>1</v>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3" t="inlineStr">
        <is>
          <t>수산리 도로접한 계획관리 토지 급매</t>
        </is>
      </c>
      <c r="I3334" s="5">
        <f>HYPERLINK("https://fin.land.naver.com/articles/2647465103", "매물Link")</f>
        <v/>
      </c>
      <c r="J3334" s="5">
        <f>HYPERLINK("https://map.naver.com/p/search/연기면 수산리 503-1", "지도Link")</f>
        <v/>
      </c>
      <c r="K3334" s="5">
        <f>HYPERLINK("http://www.eum.go.kr/web/ar/lu/luLandDet.jsp?pnu=3611031024105030001&amp;isNoScr=script&amp;mode=search", "토지이음")</f>
        <v/>
      </c>
      <c r="L3334" s="3" t="inlineStr">
        <is>
          <t>한화타운</t>
        </is>
      </c>
      <c r="M3334" s="3" t="n">
        <v>1</v>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3" t="inlineStr">
        <is>
          <t>계획관리지역, 세종 해밀동에서 5분거리, 서울 세종 고속도로 최대수혜지</t>
        </is>
      </c>
      <c r="I3335" s="5">
        <f>HYPERLINK("https://fin.land.naver.com/articles/2646613424", "매물Link")</f>
        <v/>
      </c>
      <c r="J3335" s="5">
        <f>HYPERLINK("https://map.naver.com/p/search/연기면 수산리 503-1", "지도Link")</f>
        <v/>
      </c>
      <c r="K3335" s="5">
        <f>HYPERLINK("http://www.eum.go.kr/web/ar/lu/luLandDet.jsp?pnu=3611031024105030001&amp;isNoScr=script&amp;mode=search", "토지이음")</f>
        <v/>
      </c>
      <c r="L3335" s="3" t="inlineStr">
        <is>
          <t>다정센텀</t>
        </is>
      </c>
      <c r="M3335" s="3" t="n">
        <v>1</v>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3" t="inlineStr">
        <is>
          <t>Click 수산교차로 인근 계획관리지역 Click</t>
        </is>
      </c>
      <c r="I3336" s="5">
        <f>HYPERLINK("https://fin.land.naver.com/articles/2646090437", "매물Link")</f>
        <v/>
      </c>
      <c r="J3336" s="5">
        <f>HYPERLINK("https://map.naver.com/p/search/연기면 수산리 503-2", "지도Link")</f>
        <v/>
      </c>
      <c r="K3336" s="5">
        <f>HYPERLINK("http://www.eum.go.kr/web/ar/lu/luLandDet.jsp?pnu=3611031024105030002&amp;isNoScr=script&amp;mode=search", "토지이음")</f>
        <v/>
      </c>
      <c r="L3336" s="3" t="inlineStr">
        <is>
          <t>해뜰</t>
        </is>
      </c>
      <c r="M3336" s="3" t="n">
        <v>1</v>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3" t="inlineStr">
        <is>
          <t>세종 해밀동과 5분거리, 계획관리지역, 서울세종 고속도로 최대수혜지</t>
        </is>
      </c>
      <c r="I3337" s="5">
        <f>HYPERLINK("https://fin.land.naver.com/articles/2646613647", "매물Link")</f>
        <v/>
      </c>
      <c r="J3337" s="5">
        <f>HYPERLINK("https://map.naver.com/p/search/연기면 수산리 503-2", "지도Link")</f>
        <v/>
      </c>
      <c r="K3337" s="5">
        <f>HYPERLINK("http://www.eum.go.kr/web/ar/lu/luLandDet.jsp?pnu=3611031024105030002&amp;isNoScr=script&amp;mode=search", "토지이음")</f>
        <v/>
      </c>
      <c r="L3337" s="3" t="inlineStr">
        <is>
          <t>다정센텀</t>
        </is>
      </c>
      <c r="M3337" s="3" t="n">
        <v>1</v>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3" t="inlineStr">
        <is>
          <t>Click 수산교차로 인근 계획관리지역 2필지 도로접 Click</t>
        </is>
      </c>
      <c r="I3338" s="5">
        <f>HYPERLINK("https://fin.land.naver.com/articles/2646090653", "매물Link")</f>
        <v/>
      </c>
      <c r="J3338" s="5">
        <f>HYPERLINK("https://map.naver.com/p/search/연기면 수산리 503-2", "지도Link")</f>
        <v/>
      </c>
      <c r="K3338" s="5">
        <f>HYPERLINK("http://www.eum.go.kr/web/ar/lu/luLandDet.jsp?pnu=3611031024105030002&amp;isNoScr=script&amp;mode=search", "토지이음")</f>
        <v/>
      </c>
      <c r="L3338" s="3" t="inlineStr">
        <is>
          <t>해뜰</t>
        </is>
      </c>
      <c r="M3338" s="3" t="n">
        <v>1</v>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3" t="inlineStr">
        <is>
          <t>2필지일괄매매,조율가능</t>
        </is>
      </c>
      <c r="I3339" s="5">
        <f>HYPERLINK("https://fin.land.naver.com/articles/2649745707", "매물Link")</f>
        <v/>
      </c>
      <c r="J3339" s="5">
        <f>HYPERLINK("https://map.naver.com/p/search/연기면 수산리 505", "지도Link")</f>
        <v/>
      </c>
      <c r="K3339" s="5">
        <f>HYPERLINK("http://www.eum.go.kr/web/ar/lu/luLandDet.jsp?pnu=3611031024105050000&amp;isNoScr=script&amp;mode=search", "토지이음")</f>
        <v/>
      </c>
      <c r="L3339" s="3" t="inlineStr">
        <is>
          <t>인서</t>
        </is>
      </c>
      <c r="M3339" s="3" t="n">
        <v>1</v>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3" t="inlineStr">
        <is>
          <t>e루다 ic부근 투자용 890p , 적극조율,세종시행정수도 저렴매매</t>
        </is>
      </c>
      <c r="I3340" s="5">
        <f>HYPERLINK("https://fin.land.naver.com/articles/2649834329", "매물Link")</f>
        <v/>
      </c>
      <c r="J3340" s="5">
        <f>HYPERLINK("https://map.naver.com/p/search/연기면 수산리 511-2", "지도Link")</f>
        <v/>
      </c>
      <c r="K3340" s="5">
        <f>HYPERLINK("http://www.eum.go.kr/web/ar/lu/luLandDet.jsp?pnu=3611031024105110002&amp;isNoScr=script&amp;mode=search", "토지이음")</f>
        <v/>
      </c>
      <c r="L3340" s="3" t="inlineStr">
        <is>
          <t>이루다</t>
        </is>
      </c>
      <c r="M3340" s="3" t="n">
        <v>1</v>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3" t="inlineStr">
        <is>
          <t>건축 가능한 정비된 택지, 급매 협의가능</t>
        </is>
      </c>
      <c r="I3341" s="5">
        <f>HYPERLINK("https://fin.land.naver.com/articles/2649398253", "매물Link")</f>
        <v/>
      </c>
      <c r="J3341" s="5">
        <f>HYPERLINK("https://map.naver.com/p/search/연기면 수산리 534-17", "지도Link")</f>
        <v/>
      </c>
      <c r="K3341" s="5">
        <f>HYPERLINK("http://www.eum.go.kr/web/ar/lu/luLandDet.jsp?pnu=3611031024105340017&amp;isNoScr=script&amp;mode=search", "토지이음")</f>
        <v/>
      </c>
      <c r="L3341" s="3" t="inlineStr">
        <is>
          <t>세종나라</t>
        </is>
      </c>
      <c r="M3341" s="3" t="n">
        <v>3</v>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3" t="inlineStr">
        <is>
          <t>nan</t>
        </is>
      </c>
      <c r="I3342" s="5">
        <f>HYPERLINK("https://fin.land.naver.com/articles/2644183646", "매물Link")</f>
        <v/>
      </c>
      <c r="J3342" s="5">
        <f>HYPERLINK("https://map.naver.com/p/search/연기면 수산리 534-17", "지도Link")</f>
        <v/>
      </c>
      <c r="K3342" s="5">
        <f>HYPERLINK("http://www.eum.go.kr/web/ar/lu/luLandDet.jsp?pnu=3611031024105340017&amp;isNoScr=script&amp;mode=search", "토지이음")</f>
        <v/>
      </c>
      <c r="L3342" s="3" t="inlineStr">
        <is>
          <t>세종소담114</t>
        </is>
      </c>
      <c r="M3342" s="3" t="n">
        <v>1</v>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3" t="inlineStr">
        <is>
          <t>토목공사 완료된 독일마을 전원주택부지</t>
        </is>
      </c>
      <c r="I3343" s="5">
        <f>HYPERLINK("https://fin.land.naver.com/articles/2644444569", "매물Link")</f>
        <v/>
      </c>
      <c r="J3343" s="5">
        <f>HYPERLINK("https://map.naver.com/p/search/연기면 수산리 534-7", "지도Link")</f>
        <v/>
      </c>
      <c r="K3343" s="5">
        <f>HYPERLINK("http://www.eum.go.kr/web/ar/lu/luLandDet.jsp?pnu=3611031024105340007&amp;isNoScr=script&amp;mode=search", "토지이음")</f>
        <v/>
      </c>
      <c r="L3343" s="3" t="inlineStr">
        <is>
          <t>세종대박</t>
        </is>
      </c>
      <c r="M3343" s="3" t="n">
        <v>1</v>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3" t="inlineStr">
        <is>
          <t>서울세종간고속도로 진입램프와 가까운 수산리지역 토지</t>
        </is>
      </c>
      <c r="I3344" s="5">
        <f>HYPERLINK("https://fin.land.naver.com/articles/2645551337", "매물Link")</f>
        <v/>
      </c>
      <c r="J3344" s="5">
        <f>HYPERLINK("https://map.naver.com/p/search/연기면 수산리 536-2", "지도Link")</f>
        <v/>
      </c>
      <c r="K3344" s="5">
        <f>HYPERLINK("http://www.eum.go.kr/web/ar/lu/luLandDet.jsp?pnu=3611031024105360002&amp;isNoScr=script&amp;mode=search", "토지이음")</f>
        <v/>
      </c>
      <c r="L3344" s="3" t="inlineStr">
        <is>
          <t>미스터홈즈강남지사</t>
        </is>
      </c>
      <c r="M3344" s="3" t="n">
        <v>1</v>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3" t="inlineStr">
        <is>
          <t>세종시 초인접 계획관리 답</t>
        </is>
      </c>
      <c r="I3345" s="5">
        <f>HYPERLINK("https://fin.land.naver.com/articles/2646666701", "매물Link")</f>
        <v/>
      </c>
      <c r="J3345" s="5">
        <f>HYPERLINK("https://map.naver.com/p/search/연기면 수산리 536-2", "지도Link")</f>
        <v/>
      </c>
      <c r="K3345" s="5">
        <f>HYPERLINK("http://www.eum.go.kr/web/ar/lu/luLandDet.jsp?pnu=3611031024105360002&amp;isNoScr=script&amp;mode=search", "토지이음")</f>
        <v/>
      </c>
      <c r="L3345" s="3" t="inlineStr">
        <is>
          <t>강나루</t>
        </is>
      </c>
      <c r="M3345" s="3" t="n">
        <v>1</v>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3" t="inlineStr">
        <is>
          <t>nan</t>
        </is>
      </c>
      <c r="I3346" s="5">
        <f>HYPERLINK("https://fin.land.naver.com/articles/2646616005", "매물Link")</f>
        <v/>
      </c>
      <c r="J3346" s="5">
        <f>HYPERLINK("https://map.naver.com/p/search/연기면 수산리 539-1", "지도Link")</f>
        <v/>
      </c>
      <c r="K3346" s="5">
        <f>HYPERLINK("http://www.eum.go.kr/web/ar/lu/luLandDet.jsp?pnu=3611031024105390001&amp;isNoScr=script&amp;mode=search", "토지이음")</f>
        <v/>
      </c>
      <c r="L3346" s="3" t="inlineStr">
        <is>
          <t>에바다</t>
        </is>
      </c>
      <c r="M3346" s="3" t="n">
        <v>1</v>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3" t="inlineStr">
        <is>
          <t>nan</t>
        </is>
      </c>
      <c r="I3347" s="5">
        <f>HYPERLINK("https://fin.land.naver.com/articles/2644400865", "매물Link")</f>
        <v/>
      </c>
      <c r="J3347" s="5">
        <f>HYPERLINK("https://map.naver.com/p/search/연기면 수산리 542-2", "지도Link")</f>
        <v/>
      </c>
      <c r="K3347" s="5">
        <f>HYPERLINK("http://www.eum.go.kr/web/ar/lu/luLandDet.jsp?pnu=3611031024105420002&amp;isNoScr=script&amp;mode=search", "토지이음")</f>
        <v/>
      </c>
      <c r="L3347" s="3" t="inlineStr">
        <is>
          <t>세종몽땅</t>
        </is>
      </c>
      <c r="M3347" s="3" t="n">
        <v>1</v>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3" t="inlineStr">
        <is>
          <t>가격조정가능, 세종시.정안IC 15분이내, 전망 좋은 전원주택지</t>
        </is>
      </c>
      <c r="I3348" s="5">
        <f>HYPERLINK("https://fin.land.naver.com/articles/2646674769", "매물Link")</f>
        <v/>
      </c>
      <c r="J3348" s="5">
        <f>HYPERLINK("https://map.naver.com/p/search/연기면 수산리 542-7", "지도Link")</f>
        <v/>
      </c>
      <c r="K3348" s="5">
        <f>HYPERLINK("http://www.eum.go.kr/web/ar/lu/luLandDet.jsp?pnu=3611031024105420007&amp;isNoScr=script&amp;mode=search", "토지이음")</f>
        <v/>
      </c>
      <c r="L3348" s="3" t="inlineStr">
        <is>
          <t>한빛</t>
        </is>
      </c>
      <c r="M3348" s="3" t="n">
        <v>1</v>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3" t="inlineStr">
        <is>
          <t>세종시내와 가까운 저렴한 계획관리</t>
        </is>
      </c>
      <c r="I3349" s="5">
        <f>HYPERLINK("https://fin.land.naver.com/articles/2647424348", "매물Link")</f>
        <v/>
      </c>
      <c r="J3349" s="5">
        <f>HYPERLINK("https://map.naver.com/p/search/연기면 수산리 553", "지도Link")</f>
        <v/>
      </c>
      <c r="K3349" s="5">
        <f>HYPERLINK("http://www.eum.go.kr/web/ar/lu/luLandDet.jsp?pnu=3611031024105530000&amp;isNoScr=script&amp;mode=search", "토지이음")</f>
        <v/>
      </c>
      <c r="L3349" s="3" t="inlineStr">
        <is>
          <t>황제</t>
        </is>
      </c>
      <c r="M3349" s="3" t="n">
        <v>2</v>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3" t="inlineStr">
        <is>
          <t>nan</t>
        </is>
      </c>
      <c r="I3350" s="5">
        <f>HYPERLINK("https://fin.land.naver.com/articles/2644332907", "매물Link")</f>
        <v/>
      </c>
      <c r="J3350" s="5">
        <f>HYPERLINK("https://map.naver.com/p/search/연기면 수산리 564-5", "지도Link")</f>
        <v/>
      </c>
      <c r="K3350" s="5">
        <f>HYPERLINK("http://www.eum.go.kr/web/ar/lu/luLandDet.jsp?pnu=3611031024105640005&amp;isNoScr=script&amp;mode=search", "토지이음")</f>
        <v/>
      </c>
      <c r="L3350" s="3" t="inlineStr">
        <is>
          <t>신와촌</t>
        </is>
      </c>
      <c r="M3350" s="3" t="n">
        <v>1</v>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3" t="inlineStr">
        <is>
          <t>계획관리구역내 전원주택 부지, 토목공사완료</t>
        </is>
      </c>
      <c r="I3351" s="5">
        <f>HYPERLINK("https://fin.land.naver.com/articles/2645251793", "매물Link")</f>
        <v/>
      </c>
      <c r="J3351" s="5">
        <f>HYPERLINK("https://map.naver.com/p/search/연기면 수산리 566-1", "지도Link")</f>
        <v/>
      </c>
      <c r="K3351" s="5">
        <f>HYPERLINK("http://www.eum.go.kr/web/ar/lu/luLandDet.jsp?pnu=3611031024105660001&amp;isNoScr=script&amp;mode=search", "토지이음")</f>
        <v/>
      </c>
      <c r="L3351" s="3" t="inlineStr">
        <is>
          <t>한화최고</t>
        </is>
      </c>
      <c r="M3351" s="3" t="n">
        <v>1</v>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3" t="inlineStr">
        <is>
          <t>세종 연기면  대형 임야｜보전관리지역준보전산지 매매</t>
        </is>
      </c>
      <c r="I3352" s="5">
        <f>HYPERLINK("https://fin.land.naver.com/articles/2648304173", "매물Link")</f>
        <v/>
      </c>
      <c r="J3352" s="5">
        <f>HYPERLINK("https://map.naver.com/p/search/연기면 수산리 575-2", "지도Link")</f>
        <v/>
      </c>
      <c r="K3352" s="5">
        <f>HYPERLINK("http://www.eum.go.kr/web/ar/lu/luLandDet.jsp?pnu=3611031024105750002&amp;isNoScr=script&amp;mode=search", "토지이음")</f>
        <v/>
      </c>
      <c r="L3352" s="3" t="inlineStr">
        <is>
          <t>세종몽땅</t>
        </is>
      </c>
      <c r="M3352" s="3" t="n">
        <v>1</v>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3" t="inlineStr">
        <is>
          <t>세종시 인접지역, 임야</t>
        </is>
      </c>
      <c r="I3353" s="5">
        <f>HYPERLINK("https://fin.land.naver.com/articles/2647264404", "매물Link")</f>
        <v/>
      </c>
      <c r="J3353" s="5">
        <f>HYPERLINK("https://map.naver.com/p/search/연기면 수산리 575-2", "지도Link")</f>
        <v/>
      </c>
      <c r="K3353" s="5">
        <f>HYPERLINK("http://www.eum.go.kr/web/ar/lu/luLandDet.jsp?pnu=3611031024105750002&amp;isNoScr=script&amp;mode=search", "토지이음")</f>
        <v/>
      </c>
      <c r="L3353" s="3" t="inlineStr">
        <is>
          <t>금손</t>
        </is>
      </c>
      <c r="M3353" s="3" t="n">
        <v>1</v>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3" t="inlineStr">
        <is>
          <t>계획관리,도로접함</t>
        </is>
      </c>
      <c r="I3354" s="5">
        <f>HYPERLINK("https://fin.land.naver.com/articles/2646007811", "매물Link")</f>
        <v/>
      </c>
      <c r="J3354" s="5">
        <f>HYPERLINK("https://map.naver.com/p/search/연기면 수산리 58-1", "지도Link")</f>
        <v/>
      </c>
      <c r="K3354" s="5">
        <f>HYPERLINK("http://www.eum.go.kr/web/ar/lu/luLandDet.jsp?pnu=3611031024100580001&amp;isNoScr=script&amp;mode=search", "토지이음")</f>
        <v/>
      </c>
      <c r="L3354" s="3" t="inlineStr">
        <is>
          <t>세종대박</t>
        </is>
      </c>
      <c r="M3354" s="3" t="n">
        <v>1</v>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3" t="inlineStr">
        <is>
          <t>가시성 좋은 위치의 계획관리토지</t>
        </is>
      </c>
      <c r="I3355" s="5">
        <f>HYPERLINK("https://fin.land.naver.com/articles/2645605192", "매물Link")</f>
        <v/>
      </c>
      <c r="J3355" s="5">
        <f>HYPERLINK("https://map.naver.com/p/search/연기면 수산리 68-4", "지도Link")</f>
        <v/>
      </c>
      <c r="K3355" s="5">
        <f>HYPERLINK("http://www.eum.go.kr/web/ar/lu/luLandDet.jsp?pnu=3611031024100680004&amp;isNoScr=script&amp;mode=search", "토지이음")</f>
        <v/>
      </c>
      <c r="L3355" s="3" t="inlineStr">
        <is>
          <t>미스터홈즈강남지사</t>
        </is>
      </c>
      <c r="M3355" s="3" t="n">
        <v>1</v>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3" t="inlineStr">
        <is>
          <t>수산리 음식점 까페적지 계획관리지역</t>
        </is>
      </c>
      <c r="I3356" s="5">
        <f>HYPERLINK("https://fin.land.naver.com/articles/2648416166", "매물Link")</f>
        <v/>
      </c>
      <c r="J3356" s="5">
        <f>HYPERLINK("https://map.naver.com/p/search/연기면 수산리 72", "지도Link")</f>
        <v/>
      </c>
      <c r="K3356" s="5">
        <f>HYPERLINK("http://www.eum.go.kr/web/ar/lu/luLandDet.jsp?pnu=3611031024100720000&amp;isNoScr=script&amp;mode=search", "토지이음")</f>
        <v/>
      </c>
      <c r="L3356" s="3" t="inlineStr">
        <is>
          <t>세종천지</t>
        </is>
      </c>
      <c r="M3356" s="3" t="n">
        <v>1</v>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3" t="inlineStr">
        <is>
          <t>nan</t>
        </is>
      </c>
      <c r="I3357" s="5">
        <f>HYPERLINK("https://fin.land.naver.com/articles/2645373759", "매물Link")</f>
        <v/>
      </c>
      <c r="J3357" s="5">
        <f>HYPERLINK("https://map.naver.com/p/search/연기면 수산리 75", "지도Link")</f>
        <v/>
      </c>
      <c r="K3357" s="5">
        <f>HYPERLINK("http://www.eum.go.kr/web/ar/lu/luLandDet.jsp?pnu=3611031024100750000&amp;isNoScr=script&amp;mode=search", "토지이음")</f>
        <v/>
      </c>
      <c r="L3357" s="3" t="inlineStr">
        <is>
          <t>현대엠코</t>
        </is>
      </c>
      <c r="M3357" s="3" t="n">
        <v>1</v>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3" t="inlineStr">
        <is>
          <t>저렴한 물류야적장, 식당, 사우나 건축 가능한 계획관리 급매</t>
        </is>
      </c>
      <c r="I3358" s="5">
        <f>HYPERLINK("https://fin.land.naver.com/articles/2645427585", "매물Link")</f>
        <v/>
      </c>
      <c r="J3358" s="5">
        <f>HYPERLINK("https://map.naver.com/p/search/연기면 수산리 90-3", "지도Link")</f>
        <v/>
      </c>
      <c r="K3358" s="5">
        <f>HYPERLINK("http://www.eum.go.kr/web/ar/lu/luLandDet.jsp?pnu=3611031024100900003&amp;isNoScr=script&amp;mode=search", "토지이음")</f>
        <v/>
      </c>
      <c r="L3358" s="3" t="inlineStr">
        <is>
          <t>둔곡타워</t>
        </is>
      </c>
      <c r="M3358" s="3" t="n">
        <v>1</v>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3" t="inlineStr">
        <is>
          <t>수산리 위치 조망 좋은 토지매매</t>
        </is>
      </c>
      <c r="I3359" s="5">
        <f>HYPERLINK("https://fin.land.naver.com/articles/2645514060", "매물Link")</f>
        <v/>
      </c>
      <c r="J3359" s="5">
        <f>HYPERLINK("https://map.naver.com/p/search/연기면 수산리 산121", "지도Link")</f>
        <v/>
      </c>
      <c r="K3359" s="5">
        <f>HYPERLINK("http://www.eum.go.kr/web/ar/lu/luLandDet.jsp?pnu=3611031024201210000&amp;isNoScr=script&amp;mode=search", "토지이음")</f>
        <v/>
      </c>
      <c r="L3359" s="3" t="inlineStr">
        <is>
          <t>에이스</t>
        </is>
      </c>
      <c r="M3359" s="3" t="n">
        <v>1</v>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3" t="inlineStr">
        <is>
          <t>수산리 전원주택지 안에 있는 개발하지 않은 원형지 형태의 야산입니다</t>
        </is>
      </c>
      <c r="I3360" s="5">
        <f>HYPERLINK("https://fin.land.naver.com/articles/2645811514", "매물Link")</f>
        <v/>
      </c>
      <c r="J3360" s="5">
        <f>HYPERLINK("https://map.naver.com/p/search/연기면 수산리 산25", "지도Link")</f>
        <v/>
      </c>
      <c r="K3360" s="5">
        <f>HYPERLINK("http://www.eum.go.kr/web/ar/lu/luLandDet.jsp?pnu=3611031024200250000&amp;isNoScr=script&amp;mode=search", "토지이음")</f>
        <v/>
      </c>
      <c r="L3360" s="3" t="inlineStr">
        <is>
          <t>스마일세종</t>
        </is>
      </c>
      <c r="M3360" s="3" t="n">
        <v>1</v>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3" t="inlineStr">
        <is>
          <t>명성공인, 전용91.35, 연기리 계획관리 추천 매물</t>
        </is>
      </c>
      <c r="I3361" s="5">
        <f>HYPERLINK("https://fin.land.naver.com/articles/2644147192", "매물Link")</f>
        <v/>
      </c>
      <c r="J3361" s="5">
        <f>HYPERLINK("https://map.naver.com/p/search/연기면 연기리 1-19", "지도Link")</f>
        <v/>
      </c>
      <c r="K3361" s="5">
        <f>HYPERLINK("http://www.eum.go.kr/web/ar/lu/luLandDet.jsp?pnu=3611031021100010019&amp;isNoScr=script&amp;mode=search", "토지이음")</f>
        <v/>
      </c>
      <c r="L3361" s="3" t="inlineStr">
        <is>
          <t>명성</t>
        </is>
      </c>
      <c r="M3361" s="3" t="n">
        <v>2</v>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3" t="inlineStr">
        <is>
          <t>전원주택,다가구 위치로 좋은 토지</t>
        </is>
      </c>
      <c r="I3362" s="5">
        <f>HYPERLINK("https://fin.land.naver.com/articles/2646007808", "매물Link")</f>
        <v/>
      </c>
      <c r="J3362" s="5">
        <f>HYPERLINK("https://map.naver.com/p/search/연기면 연기리 1-20", "지도Link")</f>
        <v/>
      </c>
      <c r="K3362" s="5">
        <f>HYPERLINK("http://www.eum.go.kr/web/ar/lu/luLandDet.jsp?pnu=3611031021100010020&amp;isNoScr=script&amp;mode=search", "토지이음")</f>
        <v/>
      </c>
      <c r="L3362" s="3" t="inlineStr">
        <is>
          <t>세종대박</t>
        </is>
      </c>
      <c r="M3362" s="3" t="n">
        <v>1</v>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3" t="inlineStr">
        <is>
          <t>개발가능한 토지,다가구 등</t>
        </is>
      </c>
      <c r="I3363" s="5">
        <f>HYPERLINK("https://fin.land.naver.com/articles/2644444821", "매물Link")</f>
        <v/>
      </c>
      <c r="J3363" s="5">
        <f>HYPERLINK("https://map.naver.com/p/search/연기면 연기리 1-51", "지도Link")</f>
        <v/>
      </c>
      <c r="K3363" s="5">
        <f>HYPERLINK("http://www.eum.go.kr/web/ar/lu/luLandDet.jsp?pnu=3611031021100010051&amp;isNoScr=script&amp;mode=search", "토지이음")</f>
        <v/>
      </c>
      <c r="L3363" s="3" t="inlineStr">
        <is>
          <t>세종대박</t>
        </is>
      </c>
      <c r="M3363" s="3" t="n">
        <v>2</v>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3" t="inlineStr">
        <is>
          <t>주거개발진흥지구이며 지구단위계획구역임</t>
        </is>
      </c>
      <c r="I3364" s="5">
        <f>HYPERLINK("https://fin.land.naver.com/articles/2648547626", "매물Link")</f>
        <v/>
      </c>
      <c r="J3364" s="5">
        <f>HYPERLINK("https://map.naver.com/p/search/연기면 연기리 1-56", "지도Link")</f>
        <v/>
      </c>
      <c r="K3364" s="5">
        <f>HYPERLINK("http://www.eum.go.kr/web/ar/lu/luLandDet.jsp?pnu=3611031021100010056&amp;isNoScr=script&amp;mode=search", "토지이음")</f>
        <v/>
      </c>
      <c r="L3364" s="3" t="inlineStr">
        <is>
          <t>세종리츠</t>
        </is>
      </c>
      <c r="M3364" s="3" t="n">
        <v>3</v>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3" t="inlineStr">
        <is>
          <t>계획관리지역 내 네모반듯한 토지</t>
        </is>
      </c>
      <c r="I3365" s="5">
        <f>HYPERLINK("https://fin.land.naver.com/articles/2647298607", "매물Link")</f>
        <v/>
      </c>
      <c r="J3365" s="5">
        <f>HYPERLINK("https://map.naver.com/p/search/연기면 연기리 1-8", "지도Link")</f>
        <v/>
      </c>
      <c r="K3365" s="5">
        <f>HYPERLINK("http://www.eum.go.kr/web/ar/lu/luLandDet.jsp?pnu=3611031021100010008&amp;isNoScr=script&amp;mode=search", "토지이음")</f>
        <v/>
      </c>
      <c r="L3365" s="3" t="inlineStr">
        <is>
          <t>KS</t>
        </is>
      </c>
      <c r="M3365" s="3" t="n">
        <v>1</v>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3" t="inlineStr">
        <is>
          <t>계획관리 토지건축,투자</t>
        </is>
      </c>
      <c r="I3366" s="5">
        <f>HYPERLINK("https://fin.land.naver.com/articles/2644444818", "매물Link")</f>
        <v/>
      </c>
      <c r="J3366" s="5">
        <f>HYPERLINK("https://map.naver.com/p/search/연기면 연기리 1-8", "지도Link")</f>
        <v/>
      </c>
      <c r="K3366" s="5">
        <f>HYPERLINK("http://www.eum.go.kr/web/ar/lu/luLandDet.jsp?pnu=3611031021100010008&amp;isNoScr=script&amp;mode=search", "토지이음")</f>
        <v/>
      </c>
      <c r="L3366" s="3" t="inlineStr">
        <is>
          <t>세종대박</t>
        </is>
      </c>
      <c r="M3366" s="3" t="n">
        <v>1</v>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3" t="inlineStr">
        <is>
          <t>급매 연기리 개발,투자,보유 반듯한 알짜 토지</t>
        </is>
      </c>
      <c r="I3367" s="5">
        <f>HYPERLINK("https://fin.land.naver.com/articles/2649057830", "매물Link")</f>
        <v/>
      </c>
      <c r="J3367" s="5">
        <f>HYPERLINK("https://map.naver.com/p/search/연기면 연기리 1-94", "지도Link")</f>
        <v/>
      </c>
      <c r="K3367" s="5">
        <f>HYPERLINK("http://www.eum.go.kr/web/ar/lu/luLandDet.jsp?pnu=3611031021100010094&amp;isNoScr=script&amp;mode=search", "토지이음")</f>
        <v/>
      </c>
      <c r="L3367" s="3" t="inlineStr">
        <is>
          <t>다옴</t>
        </is>
      </c>
      <c r="M3367" s="3" t="n">
        <v>1</v>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3" t="inlineStr">
        <is>
          <t>연기리 토지 매매</t>
        </is>
      </c>
      <c r="I3368" s="5">
        <f>HYPERLINK("https://fin.land.naver.com/articles/2648993312", "매물Link")</f>
        <v/>
      </c>
      <c r="J3368" s="5">
        <f>HYPERLINK("https://map.naver.com/p/search/연기면 연기리 1-95", "지도Link")</f>
        <v/>
      </c>
      <c r="K3368" s="5">
        <f>HYPERLINK("http://www.eum.go.kr/web/ar/lu/luLandDet.jsp?pnu=3611031021100010095&amp;isNoScr=script&amp;mode=search", "토지이음")</f>
        <v/>
      </c>
      <c r="L3368" s="3" t="inlineStr">
        <is>
          <t>김준희</t>
        </is>
      </c>
      <c r="M3368" s="3" t="n">
        <v>1</v>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3" t="inlineStr">
        <is>
          <t>다가구주택, 상가주택, 단독주택으로 추천합니다.</t>
        </is>
      </c>
      <c r="I3369" s="5">
        <f>HYPERLINK("https://fin.land.naver.com/articles/2645899602", "매물Link")</f>
        <v/>
      </c>
      <c r="J3369" s="5">
        <f>HYPERLINK("https://map.naver.com/p/search/연기면 연기리 1-95", "지도Link")</f>
        <v/>
      </c>
      <c r="K3369" s="5">
        <f>HYPERLINK("http://www.eum.go.kr/web/ar/lu/luLandDet.jsp?pnu=3611031021100010095&amp;isNoScr=script&amp;mode=search", "토지이음")</f>
        <v/>
      </c>
      <c r="L3369" s="3" t="inlineStr">
        <is>
          <t>효자</t>
        </is>
      </c>
      <c r="M3369" s="3" t="n">
        <v>1</v>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3" t="inlineStr">
        <is>
          <t>세종시 연기리 수용되는 지구단위계획과 인접한 토지로 투자가치가 높습니다.</t>
        </is>
      </c>
      <c r="I3370" s="5">
        <f>HYPERLINK("https://fin.land.naver.com/articles/2644789685", "매물Link")</f>
        <v/>
      </c>
      <c r="J3370" s="5">
        <f>HYPERLINK("https://map.naver.com/p/search/연기면 연기리 10", "지도Link")</f>
        <v/>
      </c>
      <c r="K3370" s="5">
        <f>HYPERLINK("http://www.eum.go.kr/web/ar/lu/luLandDet.jsp?pnu=3611031021100100000&amp;isNoScr=script&amp;mode=search", "토지이음")</f>
        <v/>
      </c>
      <c r="L3370" s="3" t="inlineStr">
        <is>
          <t>리더스</t>
        </is>
      </c>
      <c r="M3370" s="3" t="n">
        <v>1</v>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3" t="inlineStr">
        <is>
          <t>계획관리지역, 추천매매</t>
        </is>
      </c>
      <c r="I3371" s="5">
        <f>HYPERLINK("https://fin.land.naver.com/articles/2646231808", "매물Link")</f>
        <v/>
      </c>
      <c r="J3371" s="5">
        <f>HYPERLINK("https://map.naver.com/p/search/연기면 연기리 11-3", "지도Link")</f>
        <v/>
      </c>
      <c r="K3371" s="5">
        <f>HYPERLINK("http://www.eum.go.kr/web/ar/lu/luLandDet.jsp?pnu=3611031021100110003&amp;isNoScr=script&amp;mode=search", "토지이음")</f>
        <v/>
      </c>
      <c r="L3371" s="3" t="inlineStr">
        <is>
          <t>Home</t>
        </is>
      </c>
      <c r="M3371" s="3" t="n">
        <v>2</v>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3" t="inlineStr">
        <is>
          <t>도로접한 토지</t>
        </is>
      </c>
      <c r="I3372" s="5">
        <f>HYPERLINK("https://fin.land.naver.com/articles/2648813364", "매물Link")</f>
        <v/>
      </c>
      <c r="J3372" s="5">
        <f>HYPERLINK("https://map.naver.com/p/search/연기면 연기리 148-4", "지도Link")</f>
        <v/>
      </c>
      <c r="K3372" s="5">
        <f>HYPERLINK("http://www.eum.go.kr/web/ar/lu/luLandDet.jsp?pnu=3611031021101480004&amp;isNoScr=script&amp;mode=search", "토지이음")</f>
        <v/>
      </c>
      <c r="L3372" s="3" t="inlineStr">
        <is>
          <t>세종대박</t>
        </is>
      </c>
      <c r="M3372" s="3" t="n">
        <v>1</v>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3" t="inlineStr">
        <is>
          <t>계획관리지역 토지 매매</t>
        </is>
      </c>
      <c r="I3373" s="5">
        <f>HYPERLINK("https://fin.land.naver.com/articles/2646993844", "매물Link")</f>
        <v/>
      </c>
      <c r="J3373" s="5">
        <f>HYPERLINK("https://map.naver.com/p/search/연기면 연기리 21-1", "지도Link")</f>
        <v/>
      </c>
      <c r="K3373" s="5">
        <f>HYPERLINK("http://www.eum.go.kr/web/ar/lu/luLandDet.jsp?pnu=3611031021100210001&amp;isNoScr=script&amp;mode=search", "토지이음")</f>
        <v/>
      </c>
      <c r="L3373" s="3" t="inlineStr">
        <is>
          <t>둔곡대표</t>
        </is>
      </c>
      <c r="M3373" s="3" t="n">
        <v>1</v>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3" t="inlineStr">
        <is>
          <t>저렴한 가격의 계획관리 토지 매매</t>
        </is>
      </c>
      <c r="I3374" s="5">
        <f>HYPERLINK("https://fin.land.naver.com/articles/2646007778", "매물Link")</f>
        <v/>
      </c>
      <c r="J3374" s="5">
        <f>HYPERLINK("https://map.naver.com/p/search/연기면 연기리 21-1", "지도Link")</f>
        <v/>
      </c>
      <c r="K3374" s="5">
        <f>HYPERLINK("http://www.eum.go.kr/web/ar/lu/luLandDet.jsp?pnu=3611031021100210001&amp;isNoScr=script&amp;mode=search", "토지이음")</f>
        <v/>
      </c>
      <c r="L3374" s="3" t="inlineStr">
        <is>
          <t>세종대박</t>
        </is>
      </c>
      <c r="M3374" s="3" t="n">
        <v>1</v>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3" t="inlineStr">
        <is>
          <t>2개필지 대지와 전이 포함됨</t>
        </is>
      </c>
      <c r="I3375" s="5">
        <f>HYPERLINK("https://fin.land.naver.com/articles/2647821067", "매물Link")</f>
        <v/>
      </c>
      <c r="J3375" s="5">
        <f>HYPERLINK("https://map.naver.com/p/search/연기면 연기리 333", "지도Link")</f>
        <v/>
      </c>
      <c r="K3375" s="5">
        <f>HYPERLINK("http://www.eum.go.kr/web/ar/lu/luLandDet.jsp?pnu=3611031021103330000&amp;isNoScr=script&amp;mode=search", "토지이음")</f>
        <v/>
      </c>
      <c r="L3375" s="3" t="inlineStr">
        <is>
          <t>초가집</t>
        </is>
      </c>
      <c r="M3375" s="3" t="n">
        <v>1</v>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3" t="inlineStr">
        <is>
          <t>단독주택있는 대지,전 토지계획관리지역</t>
        </is>
      </c>
      <c r="I3376" s="5">
        <f>HYPERLINK("https://fin.land.naver.com/articles/2646007786", "매물Link")</f>
        <v/>
      </c>
      <c r="J3376" s="5">
        <f>HYPERLINK("https://map.naver.com/p/search/연기면 연기리 333", "지도Link")</f>
        <v/>
      </c>
      <c r="K3376" s="5">
        <f>HYPERLINK("http://www.eum.go.kr/web/ar/lu/luLandDet.jsp?pnu=3611031021103330000&amp;isNoScr=script&amp;mode=search", "토지이음")</f>
        <v/>
      </c>
      <c r="L3376" s="3" t="inlineStr">
        <is>
          <t>세종대박</t>
        </is>
      </c>
      <c r="M3376" s="3" t="n">
        <v>1</v>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3" t="inlineStr">
        <is>
          <t>대형마트.세종시 생활권 연계.계획관리지역.근린시설검토가능.차량접근용이</t>
        </is>
      </c>
      <c r="I3377" s="5">
        <f>HYPERLINK("https://fin.land.naver.com/articles/2646235681", "매물Link")</f>
        <v/>
      </c>
      <c r="J3377" s="5">
        <f>HYPERLINK("https://map.naver.com/p/search/연기면 연기리 38", "지도Link")</f>
        <v/>
      </c>
      <c r="K3377" s="5">
        <f>HYPERLINK("http://www.eum.go.kr/web/ar/lu/luLandDet.jsp?pnu=3611031021100380000&amp;isNoScr=script&amp;mode=search", "토지이음")</f>
        <v/>
      </c>
      <c r="L3377" s="3" t="inlineStr">
        <is>
          <t>씨티</t>
        </is>
      </c>
      <c r="M3377" s="3" t="n">
        <v>1</v>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3" t="inlineStr">
        <is>
          <t>계획관리  주택1동 있는 나대지</t>
        </is>
      </c>
      <c r="I3378" s="5">
        <f>HYPERLINK("https://fin.land.naver.com/articles/2648813373", "매물Link")</f>
        <v/>
      </c>
      <c r="J3378" s="5">
        <f>HYPERLINK("https://map.naver.com/p/search/연기면 연기리 392", "지도Link")</f>
        <v/>
      </c>
      <c r="K3378" s="5">
        <f>HYPERLINK("http://www.eum.go.kr/web/ar/lu/luLandDet.jsp?pnu=3611031021103920000&amp;isNoScr=script&amp;mode=search", "토지이음")</f>
        <v/>
      </c>
      <c r="L3378" s="3" t="inlineStr">
        <is>
          <t>세종대박</t>
        </is>
      </c>
      <c r="M3378" s="3" t="n">
        <v>1</v>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3" t="inlineStr">
        <is>
          <t>계획관리지역 토지매매</t>
        </is>
      </c>
      <c r="I3379" s="5">
        <f>HYPERLINK("https://fin.land.naver.com/articles/2644915650", "매물Link")</f>
        <v/>
      </c>
      <c r="J3379" s="5">
        <f>HYPERLINK("https://map.naver.com/p/search/연기면 연기리 412-4", "지도Link")</f>
        <v/>
      </c>
      <c r="K3379" s="5">
        <f>HYPERLINK("http://www.eum.go.kr/web/ar/lu/luLandDet.jsp?pnu=3611031021104120004&amp;isNoScr=script&amp;mode=search", "토지이음")</f>
        <v/>
      </c>
      <c r="L3379" s="3" t="inlineStr">
        <is>
          <t>세종대박</t>
        </is>
      </c>
      <c r="M3379" s="3" t="n">
        <v>1</v>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3" t="inlineStr">
        <is>
          <t>도로에 접한 계획관리토지</t>
        </is>
      </c>
      <c r="I3380" s="5">
        <f>HYPERLINK("https://fin.land.naver.com/articles/2648813368", "매물Link")</f>
        <v/>
      </c>
      <c r="J3380" s="5">
        <f>HYPERLINK("https://map.naver.com/p/search/연기면 연기리 420-16", "지도Link")</f>
        <v/>
      </c>
      <c r="K3380" s="5">
        <f>HYPERLINK("http://www.eum.go.kr/web/ar/lu/luLandDet.jsp?pnu=3611031021104200016&amp;isNoScr=script&amp;mode=search", "토지이음")</f>
        <v/>
      </c>
      <c r="L3380" s="3" t="inlineStr">
        <is>
          <t>세종대박</t>
        </is>
      </c>
      <c r="M3380" s="3" t="n">
        <v>1</v>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3" t="inlineStr">
        <is>
          <t>현재  도로가 있고 마을 뒤편에 있어 주택용으로 적극 추천함.</t>
        </is>
      </c>
      <c r="I3381" s="5">
        <f>HYPERLINK("https://fin.land.naver.com/articles/2648548585", "매물Link")</f>
        <v/>
      </c>
      <c r="J3381" s="5">
        <f>HYPERLINK("https://map.naver.com/p/search/연기면 연기리 425-1", "지도Link")</f>
        <v/>
      </c>
      <c r="K3381" s="5">
        <f>HYPERLINK("http://www.eum.go.kr/web/ar/lu/luLandDet.jsp?pnu=3611031021104250001&amp;isNoScr=script&amp;mode=search", "토지이음")</f>
        <v/>
      </c>
      <c r="L3381" s="3" t="inlineStr">
        <is>
          <t>세종리츠</t>
        </is>
      </c>
      <c r="M3381" s="3" t="n">
        <v>1</v>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3" t="inlineStr">
        <is>
          <t>투자하기 좋은 계획관리 대지</t>
        </is>
      </c>
      <c r="I3382" s="5">
        <f>HYPERLINK("https://fin.land.naver.com/articles/2646007798", "매물Link")</f>
        <v/>
      </c>
      <c r="J3382" s="5">
        <f>HYPERLINK("https://map.naver.com/p/search/연기면 연기리 426-1", "지도Link")</f>
        <v/>
      </c>
      <c r="K3382" s="5">
        <f>HYPERLINK("http://www.eum.go.kr/web/ar/lu/luLandDet.jsp?pnu=3611031021104260001&amp;isNoScr=script&amp;mode=search", "토지이음")</f>
        <v/>
      </c>
      <c r="L3382" s="3" t="inlineStr">
        <is>
          <t>세종대박</t>
        </is>
      </c>
      <c r="M3382" s="3" t="n">
        <v>2</v>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3" t="inlineStr">
        <is>
          <t>2차선도로변 토지매매</t>
        </is>
      </c>
      <c r="I3383" s="5">
        <f>HYPERLINK("https://fin.land.naver.com/articles/2644444819", "매물Link")</f>
        <v/>
      </c>
      <c r="J3383" s="5">
        <f>HYPERLINK("https://map.naver.com/p/search/연기면 연기리 431-1", "지도Link")</f>
        <v/>
      </c>
      <c r="K3383" s="5">
        <f>HYPERLINK("http://www.eum.go.kr/web/ar/lu/luLandDet.jsp?pnu=3611031021104310001&amp;isNoScr=script&amp;mode=search", "토지이음")</f>
        <v/>
      </c>
      <c r="L3383" s="3" t="inlineStr">
        <is>
          <t>세종대박</t>
        </is>
      </c>
      <c r="M3383" s="3" t="n">
        <v>1</v>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3" t="inlineStr">
        <is>
          <t>계획관리지역,세종도심5분거리 도로예정지역으로개통시지가상승 투자용추천</t>
        </is>
      </c>
      <c r="I3384" s="5">
        <f>HYPERLINK("https://fin.land.naver.com/articles/2646929834", "매물Link")</f>
        <v/>
      </c>
      <c r="J3384" s="5">
        <f>HYPERLINK("https://map.naver.com/p/search/연기면 연기리 466-2", "지도Link")</f>
        <v/>
      </c>
      <c r="K3384" s="5">
        <f>HYPERLINK("http://www.eum.go.kr/web/ar/lu/luLandDet.jsp?pnu=3611031021104660002&amp;isNoScr=script&amp;mode=search", "토지이음")</f>
        <v/>
      </c>
      <c r="L3384" s="3" t="inlineStr">
        <is>
          <t>하트리움</t>
        </is>
      </c>
      <c r="M3384" s="3" t="n">
        <v>1</v>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3" t="inlineStr">
        <is>
          <t>계획관리지역 토지소방도로 계획됨</t>
        </is>
      </c>
      <c r="I3385" s="5">
        <f>HYPERLINK("https://fin.land.naver.com/articles/2644444815", "매물Link")</f>
        <v/>
      </c>
      <c r="J3385" s="5">
        <f>HYPERLINK("https://map.naver.com/p/search/연기면 연기리 466-2", "지도Link")</f>
        <v/>
      </c>
      <c r="K3385" s="5">
        <f>HYPERLINK("http://www.eum.go.kr/web/ar/lu/luLandDet.jsp?pnu=3611031021104660002&amp;isNoScr=script&amp;mode=search", "토지이음")</f>
        <v/>
      </c>
      <c r="L3385" s="3" t="inlineStr">
        <is>
          <t>세종대박</t>
        </is>
      </c>
      <c r="M3385" s="3" t="n">
        <v>1</v>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3" t="inlineStr">
        <is>
          <t>대도로변 땅  전문유통매장</t>
        </is>
      </c>
      <c r="I3386" s="5">
        <f>HYPERLINK("https://fin.land.naver.com/articles/2647437689", "매물Link")</f>
        <v/>
      </c>
      <c r="J3386" s="5">
        <f>HYPERLINK("https://map.naver.com/p/search/연기면 연기리 483", "지도Link")</f>
        <v/>
      </c>
      <c r="K3386" s="5">
        <f>HYPERLINK("http://www.eum.go.kr/web/ar/lu/luLandDet.jsp?pnu=3611031021104830000&amp;isNoScr=script&amp;mode=search", "토지이음")</f>
        <v/>
      </c>
      <c r="L3386" s="3" t="inlineStr">
        <is>
          <t>세종천지</t>
        </is>
      </c>
      <c r="M3386" s="3" t="n">
        <v>1</v>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3" t="inlineStr">
        <is>
          <t>명성공인, 1번국도 대로변 광고효과 좋은 추천 매물</t>
        </is>
      </c>
      <c r="I3387" s="5">
        <f>HYPERLINK("https://fin.land.naver.com/articles/2646316239", "매물Link")</f>
        <v/>
      </c>
      <c r="J3387" s="5">
        <f>HYPERLINK("https://map.naver.com/p/search/연기면 연기리 484-2", "지도Link")</f>
        <v/>
      </c>
      <c r="K3387" s="5">
        <f>HYPERLINK("http://www.eum.go.kr/web/ar/lu/luLandDet.jsp?pnu=3611031021104840002&amp;isNoScr=script&amp;mode=search", "토지이음")</f>
        <v/>
      </c>
      <c r="L3387" s="3" t="inlineStr">
        <is>
          <t>명성</t>
        </is>
      </c>
      <c r="M3387" s="3" t="n">
        <v>1</v>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3" t="inlineStr">
        <is>
          <t>1번국도에 접함.</t>
        </is>
      </c>
      <c r="I3388" s="5">
        <f>HYPERLINK("https://fin.land.naver.com/articles/2648553420", "매물Link")</f>
        <v/>
      </c>
      <c r="J3388" s="5">
        <f>HYPERLINK("https://map.naver.com/p/search/연기면 연기리 485", "지도Link")</f>
        <v/>
      </c>
      <c r="K3388" s="5">
        <f>HYPERLINK("http://www.eum.go.kr/web/ar/lu/luLandDet.jsp?pnu=3611031021104850000&amp;isNoScr=script&amp;mode=search", "토지이음")</f>
        <v/>
      </c>
      <c r="L3388" s="3" t="inlineStr">
        <is>
          <t>세종리츠</t>
        </is>
      </c>
      <c r="M3388" s="3" t="n">
        <v>1</v>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3" t="inlineStr">
        <is>
          <t>연기리 계획관리구역 접근성좋은  2차선도로접한 토지매매</t>
        </is>
      </c>
      <c r="I3389" s="5">
        <f>HYPERLINK("https://fin.land.naver.com/articles/2644528158", "매물Link")</f>
        <v/>
      </c>
      <c r="J3389" s="5">
        <f>HYPERLINK("https://map.naver.com/p/search/연기면 연기리 495", "지도Link")</f>
        <v/>
      </c>
      <c r="K3389" s="5">
        <f>HYPERLINK("http://www.eum.go.kr/web/ar/lu/luLandDet.jsp?pnu=3611031021104950000&amp;isNoScr=script&amp;mode=search", "토지이음")</f>
        <v/>
      </c>
      <c r="L3389" s="3" t="inlineStr">
        <is>
          <t>새롬삼둥이</t>
        </is>
      </c>
      <c r="M3389" s="3" t="n">
        <v>1</v>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3" t="inlineStr">
        <is>
          <t>2차선도로접 평당가 저렴, 분필하여 매도 가능합니다.</t>
        </is>
      </c>
      <c r="I3390" s="5">
        <f>HYPERLINK("https://fin.land.naver.com/articles/2646092357", "매물Link")</f>
        <v/>
      </c>
      <c r="J3390" s="5">
        <f>HYPERLINK("https://map.naver.com/p/search/연기면 연기리 495", "지도Link")</f>
        <v/>
      </c>
      <c r="K3390" s="5">
        <f>HYPERLINK("http://www.eum.go.kr/web/ar/lu/luLandDet.jsp?pnu=3611031021104950000&amp;isNoScr=script&amp;mode=search", "토지이음")</f>
        <v/>
      </c>
      <c r="L3390" s="3" t="inlineStr">
        <is>
          <t>대실반석</t>
        </is>
      </c>
      <c r="M3390" s="3" t="n">
        <v>1</v>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3" t="inlineStr">
        <is>
          <t>2차선 도로변에 있는 계획관리 토지</t>
        </is>
      </c>
      <c r="I3391" s="5">
        <f>HYPERLINK("https://fin.land.naver.com/articles/2648813369", "매물Link")</f>
        <v/>
      </c>
      <c r="J3391" s="5">
        <f>HYPERLINK("https://map.naver.com/p/search/연기면 연기리 498-6", "지도Link")</f>
        <v/>
      </c>
      <c r="K3391" s="5">
        <f>HYPERLINK("http://www.eum.go.kr/web/ar/lu/luLandDet.jsp?pnu=3611031021104980006&amp;isNoScr=script&amp;mode=search", "토지이음")</f>
        <v/>
      </c>
      <c r="L3391" s="3" t="inlineStr">
        <is>
          <t>세종대박</t>
        </is>
      </c>
      <c r="M3391" s="3" t="n">
        <v>1</v>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3" t="inlineStr">
        <is>
          <t>6생 접한 가치상승중인 연기리 토지. 6생활권 트인뷰</t>
        </is>
      </c>
      <c r="I3392" s="5">
        <f>HYPERLINK("https://fin.land.naver.com/articles/2646150492", "매물Link")</f>
        <v/>
      </c>
      <c r="J3392" s="5">
        <f>HYPERLINK("https://map.naver.com/p/search/연기면 연기리 5", "지도Link")</f>
        <v/>
      </c>
      <c r="K3392" s="5">
        <f>HYPERLINK("http://www.eum.go.kr/web/ar/lu/luLandDet.jsp?pnu=3611031021100050000&amp;isNoScr=script&amp;mode=search", "토지이음")</f>
        <v/>
      </c>
      <c r="L3392" s="3" t="inlineStr">
        <is>
          <t>새롬삼둥이</t>
        </is>
      </c>
      <c r="M3392" s="3" t="n">
        <v>1</v>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3" t="inlineStr">
        <is>
          <t>도로 옆,평당 800만원,형질 변경 가능</t>
        </is>
      </c>
      <c r="I3393" s="5">
        <f>HYPERLINK("https://fin.land.naver.com/articles/2645741232", "매물Link")</f>
        <v/>
      </c>
      <c r="J3393" s="5">
        <f>HYPERLINK("https://map.naver.com/p/search/연기면 연기리 500-11", "지도Link")</f>
        <v/>
      </c>
      <c r="K3393" s="5">
        <f>HYPERLINK("http://www.eum.go.kr/web/ar/lu/luLandDet.jsp?pnu=3611031021105000011&amp;isNoScr=script&amp;mode=search", "토지이음")</f>
        <v/>
      </c>
      <c r="L3393" s="3" t="inlineStr">
        <is>
          <t>다산</t>
        </is>
      </c>
      <c r="M3393" s="3" t="n">
        <v>1</v>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3" t="inlineStr">
        <is>
          <t>1번국도변 상가건물</t>
        </is>
      </c>
      <c r="I3394" s="5">
        <f>HYPERLINK("https://fin.land.naver.com/articles/2648813397", "매물Link")</f>
        <v/>
      </c>
      <c r="J3394" s="5">
        <f>HYPERLINK("https://map.naver.com/p/search/연기면 연기리 506", "지도Link")</f>
        <v/>
      </c>
      <c r="K3394" s="5">
        <f>HYPERLINK("http://www.eum.go.kr/web/ar/lu/luLandDet.jsp?pnu=3611031021105060000&amp;isNoScr=script&amp;mode=search", "토지이음")</f>
        <v/>
      </c>
      <c r="L3394" s="3" t="inlineStr">
        <is>
          <t>세종대박</t>
        </is>
      </c>
      <c r="M3394" s="3" t="n">
        <v>1</v>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3" t="inlineStr">
        <is>
          <t>국도 진입 가능한 대로변에 위치한 광고효과 좋은 곳</t>
        </is>
      </c>
      <c r="I3395" s="5">
        <f>HYPERLINK("https://fin.land.naver.com/articles/2647299471", "매물Link")</f>
        <v/>
      </c>
      <c r="J3395" s="5">
        <f>HYPERLINK("https://map.naver.com/p/search/연기면 연기리 506-3", "지도Link")</f>
        <v/>
      </c>
      <c r="K3395" s="5">
        <f>HYPERLINK("http://www.eum.go.kr/web/ar/lu/luLandDet.jsp?pnu=3611031021105060003&amp;isNoScr=script&amp;mode=search", "토지이음")</f>
        <v/>
      </c>
      <c r="L3395" s="3" t="inlineStr">
        <is>
          <t>KS</t>
        </is>
      </c>
      <c r="M3395" s="3" t="n">
        <v>1</v>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3" t="inlineStr">
        <is>
          <t>대 도로접 투자 적정지</t>
        </is>
      </c>
      <c r="I3396" s="5">
        <f>HYPERLINK("https://fin.land.naver.com/articles/2645394607", "매물Link")</f>
        <v/>
      </c>
      <c r="J3396" s="5">
        <f>HYPERLINK("https://map.naver.com/p/search/연기면 연기리 507-4", "지도Link")</f>
        <v/>
      </c>
      <c r="K3396" s="5">
        <f>HYPERLINK("http://www.eum.go.kr/web/ar/lu/luLandDet.jsp?pnu=3611031021105070004&amp;isNoScr=script&amp;mode=search", "토지이음")</f>
        <v/>
      </c>
      <c r="L3396" s="3" t="inlineStr">
        <is>
          <t>광장(프라자)</t>
        </is>
      </c>
      <c r="M3396" s="3" t="n">
        <v>1</v>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3" t="inlineStr">
        <is>
          <t>8차선 국도접 가시성접근성 최상 계획관리지역 토지</t>
        </is>
      </c>
      <c r="I3397" s="5">
        <f>HYPERLINK("https://fin.land.naver.com/articles/2649505184", "매물Link")</f>
        <v/>
      </c>
      <c r="J3397" s="5">
        <f>HYPERLINK("https://map.naver.com/p/search/연기면 연기리 507-4", "지도Link")</f>
        <v/>
      </c>
      <c r="K3397" s="5">
        <f>HYPERLINK("http://www.eum.go.kr/web/ar/lu/luLandDet.jsp?pnu=3611031021105070004&amp;isNoScr=script&amp;mode=search", "토지이음")</f>
        <v/>
      </c>
      <c r="L3397" s="3" t="inlineStr">
        <is>
          <t>스마트옥션</t>
        </is>
      </c>
      <c r="M3397" s="3" t="n">
        <v>1</v>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3" t="inlineStr">
        <is>
          <t>nan</t>
        </is>
      </c>
      <c r="I3398" s="5">
        <f>HYPERLINK("https://fin.land.naver.com/articles/2648047442", "매물Link")</f>
        <v/>
      </c>
      <c r="J3398" s="5">
        <f>HYPERLINK("https://map.naver.com/p/search/연기면 연기리 62-2", "지도Link")</f>
        <v/>
      </c>
      <c r="K3398" s="5">
        <f>HYPERLINK("http://www.eum.go.kr/web/ar/lu/luLandDet.jsp?pnu=3611031021100620002&amp;isNoScr=script&amp;mode=search", "토지이음")</f>
        <v/>
      </c>
      <c r="L3398" s="3" t="inlineStr">
        <is>
          <t>마마</t>
        </is>
      </c>
      <c r="M3398" s="3" t="n">
        <v>1</v>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3" t="inlineStr">
        <is>
          <t>nan</t>
        </is>
      </c>
      <c r="I3399" s="5">
        <f>HYPERLINK("https://fin.land.naver.com/articles/2649512630", "매물Link")</f>
        <v/>
      </c>
      <c r="J3399" s="5">
        <f>HYPERLINK("https://map.naver.com/p/search/연동면 내판리 10-1", "지도Link")</f>
        <v/>
      </c>
      <c r="K3399" s="5">
        <f>HYPERLINK("http://www.eum.go.kr/web/ar/lu/luLandDet.jsp?pnu=3611032021100100001&amp;isNoScr=script&amp;mode=search", "토지이음")</f>
        <v/>
      </c>
      <c r="L3399" s="3" t="inlineStr">
        <is>
          <t>세종지평</t>
        </is>
      </c>
      <c r="M3399" s="3" t="n">
        <v>1</v>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3" t="inlineStr">
        <is>
          <t>세종 내판리 토지 매매.지목 대지구단위계획구역</t>
        </is>
      </c>
      <c r="I3400" s="5">
        <f>HYPERLINK("https://fin.land.naver.com/articles/2648747196", "매물Link")</f>
        <v/>
      </c>
      <c r="J3400" s="5">
        <f>HYPERLINK("https://map.naver.com/p/search/연동면 내판리 10-1", "지도Link")</f>
        <v/>
      </c>
      <c r="K3400" s="5">
        <f>HYPERLINK("http://www.eum.go.kr/web/ar/lu/luLandDet.jsp?pnu=3611032021100100001&amp;isNoScr=script&amp;mode=search", "토지이음")</f>
        <v/>
      </c>
      <c r="L3400" s="3" t="inlineStr">
        <is>
          <t>세종몽땅</t>
        </is>
      </c>
      <c r="M3400" s="3" t="n">
        <v>1</v>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3" t="inlineStr">
        <is>
          <t>계획관리지역,대지</t>
        </is>
      </c>
      <c r="I3401" s="5">
        <f>HYPERLINK("https://fin.land.naver.com/articles/2646007806", "매물Link")</f>
        <v/>
      </c>
      <c r="J3401" s="5">
        <f>HYPERLINK("https://map.naver.com/p/search/연동면 내판리 10-8", "지도Link")</f>
        <v/>
      </c>
      <c r="K3401" s="5">
        <f>HYPERLINK("http://www.eum.go.kr/web/ar/lu/luLandDet.jsp?pnu=3611032021100100008&amp;isNoScr=script&amp;mode=search", "토지이음")</f>
        <v/>
      </c>
      <c r="L3401" s="3" t="inlineStr">
        <is>
          <t>세종대박</t>
        </is>
      </c>
      <c r="M3401" s="3" t="n">
        <v>1</v>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3" t="inlineStr">
        <is>
          <t>계확관리 아파트건설 호재가 있는  토지 중학교 옆위치 조율가능</t>
        </is>
      </c>
      <c r="I3402" s="5">
        <f>HYPERLINK("https://fin.land.naver.com/articles/2647958085", "매물Link")</f>
        <v/>
      </c>
      <c r="J3402" s="5">
        <f>HYPERLINK("https://map.naver.com/p/search/연동면 내판리 104", "지도Link")</f>
        <v/>
      </c>
      <c r="K3402" s="5">
        <f>HYPERLINK("http://www.eum.go.kr/web/ar/lu/luLandDet.jsp?pnu=3611032021101040000&amp;isNoScr=script&amp;mode=search", "토지이음")</f>
        <v/>
      </c>
      <c r="L3402" s="3" t="inlineStr">
        <is>
          <t>도안부자</t>
        </is>
      </c>
      <c r="M3402" s="3" t="n">
        <v>1</v>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3" t="inlineStr">
        <is>
          <t>세종시 연동면내판리 2차선 토지매매</t>
        </is>
      </c>
      <c r="I3403" s="5">
        <f>HYPERLINK("https://fin.land.naver.com/articles/2645258069", "매물Link")</f>
        <v/>
      </c>
      <c r="J3403" s="5">
        <f>HYPERLINK("https://map.naver.com/p/search/연동면 내판리 175-1", "지도Link")</f>
        <v/>
      </c>
      <c r="K3403" s="5">
        <f>HYPERLINK("http://www.eum.go.kr/web/ar/lu/luLandDet.jsp?pnu=3611032021101750001&amp;isNoScr=script&amp;mode=search", "토지이음")</f>
        <v/>
      </c>
      <c r="L3403" s="3" t="inlineStr">
        <is>
          <t>동원</t>
        </is>
      </c>
      <c r="M3403" s="3" t="n">
        <v>1</v>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3" t="inlineStr">
        <is>
          <t>연동면 내판리 도로변 토지매매</t>
        </is>
      </c>
      <c r="I3404" s="5">
        <f>HYPERLINK("https://fin.land.naver.com/articles/2644909055", "매물Link")</f>
        <v/>
      </c>
      <c r="J3404" s="5">
        <f>HYPERLINK("https://map.naver.com/p/search/연동면 내판리 182-1", "지도Link")</f>
        <v/>
      </c>
      <c r="K3404" s="5">
        <f>HYPERLINK("http://www.eum.go.kr/web/ar/lu/luLandDet.jsp?pnu=3611032021101820001&amp;isNoScr=script&amp;mode=search", "토지이음")</f>
        <v/>
      </c>
      <c r="L3404" s="3" t="inlineStr">
        <is>
          <t>성진</t>
        </is>
      </c>
      <c r="M3404" s="3" t="n">
        <v>1</v>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3" t="inlineStr">
        <is>
          <t>실 570. 행정중심복합도시 수혜지역 매매. 대통령집무실이전유력지 호재</t>
        </is>
      </c>
      <c r="I3405" s="5">
        <f>HYPERLINK("https://fin.land.naver.com/articles/2646173827", "매물Link")</f>
        <v/>
      </c>
      <c r="J3405" s="5">
        <f>HYPERLINK("https://map.naver.com/p/search/연동면 내판리 254", "지도Link")</f>
        <v/>
      </c>
      <c r="K3405" s="5">
        <f>HYPERLINK("http://www.eum.go.kr/web/ar/lu/luLandDet.jsp?pnu=3611032021102540000&amp;isNoScr=script&amp;mode=search", "토지이음")</f>
        <v/>
      </c>
      <c r="L3405" s="3" t="inlineStr">
        <is>
          <t>길</t>
        </is>
      </c>
      <c r="M3405" s="3" t="n">
        <v>1</v>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3" t="inlineStr">
        <is>
          <t>계획관리지역,인근토지 농협이 매수 ,투자가치 좋은 매물, 나대지</t>
        </is>
      </c>
      <c r="I3406" s="5">
        <f>HYPERLINK("https://fin.land.naver.com/articles/2645010062", "매물Link")</f>
        <v/>
      </c>
      <c r="J3406" s="5">
        <f>HYPERLINK("https://map.naver.com/p/search/연동면 내판리 267-3", "지도Link")</f>
        <v/>
      </c>
      <c r="K3406" s="5">
        <f>HYPERLINK("http://www.eum.go.kr/web/ar/lu/luLandDet.jsp?pnu=3611032021102670003&amp;isNoScr=script&amp;mode=search", "토지이음")</f>
        <v/>
      </c>
      <c r="L3406" s="3" t="inlineStr">
        <is>
          <t>신강남</t>
        </is>
      </c>
      <c r="M3406" s="3" t="n">
        <v>1</v>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3" t="inlineStr">
        <is>
          <t>명학산업단지 근처 6미터 도로접 투자용</t>
        </is>
      </c>
      <c r="I3407" s="5">
        <f>HYPERLINK("https://fin.land.naver.com/articles/2648009779", "매물Link")</f>
        <v/>
      </c>
      <c r="J3407" s="5">
        <f>HYPERLINK("https://map.naver.com/p/search/연동면 내판리 337-1", "지도Link")</f>
        <v/>
      </c>
      <c r="K3407" s="5">
        <f>HYPERLINK("http://www.eum.go.kr/web/ar/lu/luLandDet.jsp?pnu=3611032021103370001&amp;isNoScr=script&amp;mode=search", "토지이음")</f>
        <v/>
      </c>
      <c r="L3407" s="3" t="inlineStr">
        <is>
          <t>도안재벌</t>
        </is>
      </c>
      <c r="M3407" s="3" t="n">
        <v>1</v>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3" t="inlineStr">
        <is>
          <t>5생활권, 삼성전기투자지 근접,기반시설완비,모듈러주택홍보관협업가능</t>
        </is>
      </c>
      <c r="I3408" s="5">
        <f>HYPERLINK("https://fin.land.naver.com/articles/2647328962", "매물Link")</f>
        <v/>
      </c>
      <c r="J3408" s="5">
        <f>HYPERLINK("https://map.naver.com/p/search/연동면 내판리 337-42", "지도Link")</f>
        <v/>
      </c>
      <c r="K3408" s="5">
        <f>HYPERLINK("http://www.eum.go.kr/web/ar/lu/luLandDet.jsp?pnu=3611032021103370042&amp;isNoScr=script&amp;mode=search", "토지이음")</f>
        <v/>
      </c>
      <c r="L3408" s="3" t="inlineStr">
        <is>
          <t>수</t>
        </is>
      </c>
      <c r="M3408" s="3" t="n">
        <v>1</v>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3" t="inlineStr">
        <is>
          <t>명학산업단지 근처 6미터 도로접 투자용</t>
        </is>
      </c>
      <c r="I3409" s="5">
        <f>HYPERLINK("https://fin.land.naver.com/articles/2648008487", "매물Link")</f>
        <v/>
      </c>
      <c r="J3409" s="5">
        <f>HYPERLINK("https://map.naver.com/p/search/연동면 내판리 337-8", "지도Link")</f>
        <v/>
      </c>
      <c r="K3409" s="5">
        <f>HYPERLINK("http://www.eum.go.kr/web/ar/lu/luLandDet.jsp?pnu=3611032021103370008&amp;isNoScr=script&amp;mode=search", "토지이음")</f>
        <v/>
      </c>
      <c r="L3409" s="3" t="inlineStr">
        <is>
          <t>도안재벌</t>
        </is>
      </c>
      <c r="M3409" s="3" t="n">
        <v>1</v>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3" t="inlineStr">
        <is>
          <t>nan</t>
        </is>
      </c>
      <c r="I3410" s="5">
        <f>HYPERLINK("https://fin.land.naver.com/articles/2645606299", "매물Link")</f>
        <v/>
      </c>
      <c r="J3410" s="5">
        <f>HYPERLINK("https://map.naver.com/p/search/연동면 내판리 337-9", "지도Link")</f>
        <v/>
      </c>
      <c r="K3410" s="5">
        <f>HYPERLINK("http://www.eum.go.kr/web/ar/lu/luLandDet.jsp?pnu=3611032021103370009&amp;isNoScr=script&amp;mode=search", "토지이음")</f>
        <v/>
      </c>
      <c r="L3410" s="3" t="inlineStr">
        <is>
          <t>미스터홈즈강남지사</t>
        </is>
      </c>
      <c r="M3410" s="3" t="n">
        <v>1</v>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3" t="inlineStr">
        <is>
          <t>계획관리지역 건축부지 시세이하가격</t>
        </is>
      </c>
      <c r="I3411" s="5">
        <f>HYPERLINK("https://fin.land.naver.com/articles/2644684717", "매물Link")</f>
        <v/>
      </c>
      <c r="J3411" s="5">
        <f>HYPERLINK("https://map.naver.com/p/search/연동면 내판리 35-5", "지도Link")</f>
        <v/>
      </c>
      <c r="K3411" s="5">
        <f>HYPERLINK("http://www.eum.go.kr/web/ar/lu/luLandDet.jsp?pnu=3611032021100350005&amp;isNoScr=script&amp;mode=search", "토지이음")</f>
        <v/>
      </c>
      <c r="L3411" s="3" t="inlineStr">
        <is>
          <t>(주)경진컨설팅</t>
        </is>
      </c>
      <c r="M3411" s="3" t="n">
        <v>1</v>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3" t="inlineStr">
        <is>
          <t>급매 시세보다 저렴한 토지 추천매물입니다</t>
        </is>
      </c>
      <c r="I3412" s="5">
        <f>HYPERLINK("https://fin.land.naver.com/articles/2649005969", "매물Link")</f>
        <v/>
      </c>
      <c r="J3412" s="5">
        <f>HYPERLINK("https://map.naver.com/p/search/연동면 내판리 35-5", "지도Link")</f>
        <v/>
      </c>
      <c r="K3412" s="5">
        <f>HYPERLINK("http://www.eum.go.kr/web/ar/lu/luLandDet.jsp?pnu=3611032021100350005&amp;isNoScr=script&amp;mode=search", "토지이음")</f>
        <v/>
      </c>
      <c r="L3412" s="3" t="inlineStr">
        <is>
          <t>세종푸르지오</t>
        </is>
      </c>
      <c r="M3412" s="3" t="n">
        <v>1</v>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3" t="inlineStr">
        <is>
          <t>시세보다 저렴한  최상의 위치로  계획관리 토지로 용도다양</t>
        </is>
      </c>
      <c r="I3413" s="5">
        <f>HYPERLINK("https://fin.land.naver.com/articles/2644914099", "매물Link")</f>
        <v/>
      </c>
      <c r="J3413" s="5">
        <f>HYPERLINK("https://map.naver.com/p/search/연동면 내판리 35-5", "지도Link")</f>
        <v/>
      </c>
      <c r="K3413" s="5">
        <f>HYPERLINK("http://www.eum.go.kr/web/ar/lu/luLandDet.jsp?pnu=3611032021100350005&amp;isNoScr=script&amp;mode=search", "토지이음")</f>
        <v/>
      </c>
      <c r="L3413" s="3" t="inlineStr">
        <is>
          <t>연동스카이</t>
        </is>
      </c>
      <c r="M3413" s="3" t="n">
        <v>1</v>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3" t="inlineStr">
        <is>
          <t>계획관리포장도로전기 인접, 오송산단 접근 좋은 전원형 토지</t>
        </is>
      </c>
      <c r="I3414" s="5">
        <f>HYPERLINK("https://fin.land.naver.com/articles/2645400125", "매물Link")</f>
        <v/>
      </c>
      <c r="J3414" s="5">
        <f>HYPERLINK("https://map.naver.com/p/search/연동면 내판리 363-6", "지도Link")</f>
        <v/>
      </c>
      <c r="K3414" s="5">
        <f>HYPERLINK("http://www.eum.go.kr/web/ar/lu/luLandDet.jsp?pnu=3611032021103630006&amp;isNoScr=script&amp;mode=search", "토지이음")</f>
        <v/>
      </c>
      <c r="L3414" s="3" t="inlineStr">
        <is>
          <t>세종소담황금</t>
        </is>
      </c>
      <c r="M3414" s="3" t="n">
        <v>1</v>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3" t="inlineStr">
        <is>
          <t>세종시 5생활권 스마트시티 300m 7,500세대 아파트 호재 중심</t>
        </is>
      </c>
      <c r="I3415" s="5">
        <f>HYPERLINK("https://fin.land.naver.com/articles/2648068490", "매물Link")</f>
        <v/>
      </c>
      <c r="J3415" s="5">
        <f>HYPERLINK("https://map.naver.com/p/search/연동면 내판리 365-5", "지도Link")</f>
        <v/>
      </c>
      <c r="K3415" s="5">
        <f>HYPERLINK("http://www.eum.go.kr/web/ar/lu/luLandDet.jsp?pnu=3611032021103650005&amp;isNoScr=script&amp;mode=search", "토지이음")</f>
        <v/>
      </c>
      <c r="L3415" s="3" t="inlineStr">
        <is>
          <t>찬스</t>
        </is>
      </c>
      <c r="M3415" s="3" t="n">
        <v>1</v>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3" t="inlineStr">
        <is>
          <t>nan</t>
        </is>
      </c>
      <c r="I3416" s="5">
        <f>HYPERLINK("https://fin.land.naver.com/articles/2649336628", "매물Link")</f>
        <v/>
      </c>
      <c r="J3416" s="5">
        <f>HYPERLINK("https://map.naver.com/p/search/연동면 내판리 415", "지도Link")</f>
        <v/>
      </c>
      <c r="K3416" s="5">
        <f>HYPERLINK("http://www.eum.go.kr/web/ar/lu/luLandDet.jsp?pnu=3611032021104150000&amp;isNoScr=script&amp;mode=search", "토지이음")</f>
        <v/>
      </c>
      <c r="L3416" s="3" t="inlineStr">
        <is>
          <t>둔산가온</t>
        </is>
      </c>
      <c r="M3416" s="3" t="n">
        <v>1</v>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3" t="inlineStr">
        <is>
          <t>투자와 실사용 모두 적합,인프라 근접</t>
        </is>
      </c>
      <c r="I3417" s="5">
        <f>HYPERLINK("https://fin.land.naver.com/articles/2644195985", "매물Link")</f>
        <v/>
      </c>
      <c r="J3417" s="5">
        <f>HYPERLINK("https://map.naver.com/p/search/연동면 내판리 418", "지도Link")</f>
        <v/>
      </c>
      <c r="K3417" s="5">
        <f>HYPERLINK("http://www.eum.go.kr/web/ar/lu/luLandDet.jsp?pnu=3611032021104180000&amp;isNoScr=script&amp;mode=search", "토지이음")</f>
        <v/>
      </c>
      <c r="L3417" s="3" t="inlineStr">
        <is>
          <t>가치잇는</t>
        </is>
      </c>
      <c r="M3417" s="3" t="n">
        <v>1</v>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3" t="inlineStr">
        <is>
          <t>세종 생활권 가까워 투자가치와 활용도 높은 토지</t>
        </is>
      </c>
      <c r="I3418" s="5">
        <f>HYPERLINK("https://fin.land.naver.com/articles/2644196484", "매물Link")</f>
        <v/>
      </c>
      <c r="J3418" s="5">
        <f>HYPERLINK("https://map.naver.com/p/search/연동면 내판리 419", "지도Link")</f>
        <v/>
      </c>
      <c r="K3418" s="5">
        <f>HYPERLINK("http://www.eum.go.kr/web/ar/lu/luLandDet.jsp?pnu=3611032021104190000&amp;isNoScr=script&amp;mode=search", "토지이음")</f>
        <v/>
      </c>
      <c r="L3418" s="3" t="inlineStr">
        <is>
          <t>가치잇는</t>
        </is>
      </c>
      <c r="M3418" s="3" t="n">
        <v>1</v>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3" t="inlineStr">
        <is>
          <t>계획관리지역으로 가치상승 기대,안정적인 투자처</t>
        </is>
      </c>
      <c r="I3419" s="5">
        <f>HYPERLINK("https://fin.land.naver.com/articles/2644795251", "매물Link")</f>
        <v/>
      </c>
      <c r="J3419" s="5">
        <f>HYPERLINK("https://map.naver.com/p/search/연동면 내판리 420", "지도Link")</f>
        <v/>
      </c>
      <c r="K3419" s="5">
        <f>HYPERLINK("http://www.eum.go.kr/web/ar/lu/luLandDet.jsp?pnu=3611032021104200000&amp;isNoScr=script&amp;mode=search", "토지이음")</f>
        <v/>
      </c>
      <c r="L3419" s="3" t="inlineStr">
        <is>
          <t>가치잇는</t>
        </is>
      </c>
      <c r="M3419" s="3" t="n">
        <v>1</v>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3" t="inlineStr">
        <is>
          <t>내판리 도로변 계획관리지역 답</t>
        </is>
      </c>
      <c r="I3420" s="5">
        <f>HYPERLINK("https://fin.land.naver.com/articles/2644966966", "매물Link")</f>
        <v/>
      </c>
      <c r="J3420" s="5">
        <f>HYPERLINK("https://map.naver.com/p/search/연동면 내판리 422", "지도Link")</f>
        <v/>
      </c>
      <c r="K3420" s="5">
        <f>HYPERLINK("http://www.eum.go.kr/web/ar/lu/luLandDet.jsp?pnu=3611032021104220000&amp;isNoScr=script&amp;mode=search", "토지이음")</f>
        <v/>
      </c>
      <c r="L3420" s="3" t="inlineStr">
        <is>
          <t>세종천지</t>
        </is>
      </c>
      <c r="M3420" s="3" t="n">
        <v>1</v>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3" t="inlineStr">
        <is>
          <t>2차선 도로에 접해있는 계획관리 농지</t>
        </is>
      </c>
      <c r="I3421" s="5">
        <f>HYPERLINK("https://fin.land.naver.com/articles/2648780268", "매물Link")</f>
        <v/>
      </c>
      <c r="J3421" s="5">
        <f>HYPERLINK("https://map.naver.com/p/search/연동면 내판리 50-3", "지도Link")</f>
        <v/>
      </c>
      <c r="K3421" s="5">
        <f>HYPERLINK("http://www.eum.go.kr/web/ar/lu/luLandDet.jsp?pnu=3611032021100500003&amp;isNoScr=script&amp;mode=search", "토지이음")</f>
        <v/>
      </c>
      <c r="L3421" s="3" t="inlineStr">
        <is>
          <t>오송랜드</t>
        </is>
      </c>
      <c r="M3421" s="3" t="n">
        <v>1</v>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3" t="inlineStr">
        <is>
          <t>nan</t>
        </is>
      </c>
      <c r="I3422" s="5">
        <f>HYPERLINK("https://fin.land.naver.com/articles/2645360270", "매물Link")</f>
        <v/>
      </c>
      <c r="J3422" s="5">
        <f>HYPERLINK("https://map.naver.com/p/search/연동면 내판리 556", "지도Link")</f>
        <v/>
      </c>
      <c r="K3422" s="5">
        <f>HYPERLINK("http://www.eum.go.kr/web/ar/lu/luLandDet.jsp?pnu=3611032021105560000&amp;isNoScr=script&amp;mode=search", "토지이음")</f>
        <v/>
      </c>
      <c r="L3422" s="3" t="inlineStr">
        <is>
          <t>세종땅전문</t>
        </is>
      </c>
      <c r="M3422" s="3" t="n">
        <v>1</v>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3" t="inlineStr">
        <is>
          <t>세종시5생활권주변지역 위치좋은 매물</t>
        </is>
      </c>
      <c r="I3423" s="5">
        <f>HYPERLINK("https://fin.land.naver.com/articles/2647918059", "매물Link")</f>
        <v/>
      </c>
      <c r="J3423" s="5">
        <f>HYPERLINK("https://map.naver.com/p/search/연동면 내판리 572-1", "지도Link")</f>
        <v/>
      </c>
      <c r="K3423" s="5">
        <f>HYPERLINK("http://www.eum.go.kr/web/ar/lu/luLandDet.jsp?pnu=3611032021105720001&amp;isNoScr=script&amp;mode=search", "토지이음")</f>
        <v/>
      </c>
      <c r="L3423" s="3" t="inlineStr">
        <is>
          <t>대박</t>
        </is>
      </c>
      <c r="M3423" s="3" t="n">
        <v>1</v>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3" t="inlineStr">
        <is>
          <t>농업용창고있음.도로에 접해있는 땅으로 접근성 좋습니다.</t>
        </is>
      </c>
      <c r="I3424" s="5">
        <f>HYPERLINK("https://fin.land.naver.com/articles/2645026792", "매물Link")</f>
        <v/>
      </c>
      <c r="J3424" s="5">
        <f>HYPERLINK("https://map.naver.com/p/search/연동면 내판리 63-1", "지도Link")</f>
        <v/>
      </c>
      <c r="K3424" s="5">
        <f>HYPERLINK("http://www.eum.go.kr/web/ar/lu/luLandDet.jsp?pnu=3611032021100630001&amp;isNoScr=script&amp;mode=search", "토지이음")</f>
        <v/>
      </c>
      <c r="L3424" s="3" t="inlineStr">
        <is>
          <t>복수자이</t>
        </is>
      </c>
      <c r="M3424" s="3" t="n">
        <v>1</v>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3" t="inlineStr">
        <is>
          <t>급매, 계획관리지역,성장관리계획구역 도로접</t>
        </is>
      </c>
      <c r="I3425" s="5">
        <f>HYPERLINK("https://fin.land.naver.com/articles/2646558474", "매물Link")</f>
        <v/>
      </c>
      <c r="J3425" s="5">
        <f>HYPERLINK("https://map.naver.com/p/search/연동면 내판리 64-1", "지도Link")</f>
        <v/>
      </c>
      <c r="K3425" s="5">
        <f>HYPERLINK("http://www.eum.go.kr/web/ar/lu/luLandDet.jsp?pnu=3611032021100640001&amp;isNoScr=script&amp;mode=search", "토지이음")</f>
        <v/>
      </c>
      <c r="L3425" s="3" t="inlineStr">
        <is>
          <t>굿모닝한라</t>
        </is>
      </c>
      <c r="M3425" s="3" t="n">
        <v>1</v>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3" t="inlineStr">
        <is>
          <t>세종5생활권 2차도로 접도 계획관리 토지 매매</t>
        </is>
      </c>
      <c r="I3426" s="5">
        <f>HYPERLINK("https://fin.land.naver.com/articles/2649688971", "매물Link")</f>
        <v/>
      </c>
      <c r="J3426" s="5">
        <f>HYPERLINK("https://map.naver.com/p/search/연동면 내판리 65-1", "지도Link")</f>
        <v/>
      </c>
      <c r="K3426" s="5">
        <f>HYPERLINK("http://www.eum.go.kr/web/ar/lu/luLandDet.jsp?pnu=3611032021100650001&amp;isNoScr=script&amp;mode=search", "토지이음")</f>
        <v/>
      </c>
      <c r="L3426" s="3" t="inlineStr">
        <is>
          <t>행운</t>
        </is>
      </c>
      <c r="M3426" s="3" t="n">
        <v>1</v>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3" t="inlineStr">
        <is>
          <t>급매,계획관리구역,성장관리계획구역</t>
        </is>
      </c>
      <c r="I3427" s="5">
        <f>HYPERLINK("https://fin.land.naver.com/articles/2646558266", "매물Link")</f>
        <v/>
      </c>
      <c r="J3427" s="5">
        <f>HYPERLINK("https://map.naver.com/p/search/연동면 내판리 65-1", "지도Link")</f>
        <v/>
      </c>
      <c r="K3427" s="5">
        <f>HYPERLINK("http://www.eum.go.kr/web/ar/lu/luLandDet.jsp?pnu=3611032021100650001&amp;isNoScr=script&amp;mode=search", "토지이음")</f>
        <v/>
      </c>
      <c r="L3427" s="3" t="inlineStr">
        <is>
          <t>굿모닝한라</t>
        </is>
      </c>
      <c r="M3427" s="3" t="n">
        <v>1</v>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3" t="inlineStr">
        <is>
          <t>계획관리,도시계획도로접,지구단위계획구역,땅모양좋음,조정가</t>
        </is>
      </c>
      <c r="I3428" s="5">
        <f>HYPERLINK("https://fin.land.naver.com/articles/2644664827", "매물Link")</f>
        <v/>
      </c>
      <c r="J3428" s="5">
        <f>HYPERLINK("https://map.naver.com/p/search/연동면 내판리 산2", "지도Link")</f>
        <v/>
      </c>
      <c r="K3428" s="5">
        <f>HYPERLINK("http://www.eum.go.kr/web/ar/lu/luLandDet.jsp?pnu=3611032021200020000&amp;isNoScr=script&amp;mode=search", "토지이음")</f>
        <v/>
      </c>
      <c r="L3428" s="3" t="inlineStr">
        <is>
          <t>힐스테이트행복</t>
        </is>
      </c>
      <c r="M3428" s="3" t="n">
        <v>1</v>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3" t="inlineStr">
        <is>
          <t>한적한 곳에 위치한 전원주택부지용 토지</t>
        </is>
      </c>
      <c r="I3429" s="5">
        <f>HYPERLINK("https://fin.land.naver.com/articles/2645609459", "매물Link")</f>
        <v/>
      </c>
      <c r="J3429" s="5">
        <f>HYPERLINK("https://map.naver.com/p/search/연동면 노송리 12", "지도Link")</f>
        <v/>
      </c>
      <c r="K3429" s="5">
        <f>HYPERLINK("http://www.eum.go.kr/web/ar/lu/luLandDet.jsp?pnu=3611032025100120000&amp;isNoScr=script&amp;mode=search", "토지이음")</f>
        <v/>
      </c>
      <c r="L3429" s="3" t="inlineStr">
        <is>
          <t>청담</t>
        </is>
      </c>
      <c r="M3429" s="3" t="n">
        <v>1</v>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3" t="inlineStr">
        <is>
          <t>연동면 노송리 저렴한 계획관리 토지, 도로접, 투자 추천</t>
        </is>
      </c>
      <c r="I3430" s="5">
        <f>HYPERLINK("https://fin.land.naver.com/articles/2646421693", "매물Link")</f>
        <v/>
      </c>
      <c r="J3430" s="5">
        <f>HYPERLINK("https://map.naver.com/p/search/연동면 노송리 221", "지도Link")</f>
        <v/>
      </c>
      <c r="K3430" s="5">
        <f>HYPERLINK("http://www.eum.go.kr/web/ar/lu/luLandDet.jsp?pnu=3611032025102210000&amp;isNoScr=script&amp;mode=search", "토지이음")</f>
        <v/>
      </c>
      <c r="L3430" s="3" t="inlineStr">
        <is>
          <t>스카이</t>
        </is>
      </c>
      <c r="M3430" s="3" t="n">
        <v>1</v>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3" t="inlineStr">
        <is>
          <t>nan</t>
        </is>
      </c>
      <c r="I3431" s="5">
        <f>HYPERLINK("https://fin.land.naver.com/articles/2647747743", "매물Link")</f>
        <v/>
      </c>
      <c r="J3431" s="5">
        <f>HYPERLINK("https://map.naver.com/p/search/연동면 노송리 234-1", "지도Link")</f>
        <v/>
      </c>
      <c r="K3431" s="5">
        <f>HYPERLINK("http://www.eum.go.kr/web/ar/lu/luLandDet.jsp?pnu=3611032025102340001&amp;isNoScr=script&amp;mode=search", "토지이음")</f>
        <v/>
      </c>
      <c r="L3431" s="3" t="inlineStr">
        <is>
          <t>다산</t>
        </is>
      </c>
      <c r="M3431" s="3" t="n">
        <v>2</v>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3" t="inlineStr">
        <is>
          <t>지대가 높아 남향으로 집을 지으면 조망이 좋은 계획관리지역의 대지입니다</t>
        </is>
      </c>
      <c r="I3432" s="5">
        <f>HYPERLINK("https://fin.land.naver.com/articles/2646324086", "매물Link")</f>
        <v/>
      </c>
      <c r="J3432" s="5">
        <f>HYPERLINK("https://map.naver.com/p/search/연동면 노송리 24", "지도Link")</f>
        <v/>
      </c>
      <c r="K3432" s="5">
        <f>HYPERLINK("http://www.eum.go.kr/web/ar/lu/luLandDet.jsp?pnu=3611032025100240000&amp;isNoScr=script&amp;mode=search", "토지이음")</f>
        <v/>
      </c>
      <c r="L3432" s="3" t="inlineStr">
        <is>
          <t>스마일세종</t>
        </is>
      </c>
      <c r="M3432" s="3" t="n">
        <v>1</v>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3" t="inlineStr">
        <is>
          <t>매매가 조절가능,집 짓고 텃밭하기 좋은 땅</t>
        </is>
      </c>
      <c r="I3433" s="5">
        <f>HYPERLINK("https://fin.land.naver.com/articles/2646098156", "매물Link")</f>
        <v/>
      </c>
      <c r="J3433" s="5">
        <f>HYPERLINK("https://map.naver.com/p/search/연동면 노송리 275", "지도Link")</f>
        <v/>
      </c>
      <c r="K3433" s="5">
        <f>HYPERLINK("http://www.eum.go.kr/web/ar/lu/luLandDet.jsp?pnu=3611032025102750000&amp;isNoScr=script&amp;mode=search", "토지이음")</f>
        <v/>
      </c>
      <c r="L3433" s="3" t="inlineStr">
        <is>
          <t>엘리프단지내대표</t>
        </is>
      </c>
      <c r="M3433" s="3" t="n">
        <v>1</v>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3" t="inlineStr">
        <is>
          <t>계획관리 자연취락지구 3필지일괄매각 분할매각도가능 가격절충가능</t>
        </is>
      </c>
      <c r="I3434" s="5">
        <f>HYPERLINK("https://fin.land.naver.com/articles/2645721524", "매물Link")</f>
        <v/>
      </c>
      <c r="J3434" s="5">
        <f>HYPERLINK("https://map.naver.com/p/search/연동면 노송리 28", "지도Link")</f>
        <v/>
      </c>
      <c r="K3434" s="5">
        <f>HYPERLINK("http://www.eum.go.kr/web/ar/lu/luLandDet.jsp?pnu=3611032025100280000&amp;isNoScr=script&amp;mode=search", "토지이음")</f>
        <v/>
      </c>
      <c r="L3434" s="3" t="inlineStr">
        <is>
          <t>레몬</t>
        </is>
      </c>
      <c r="M3434" s="3" t="n">
        <v>1</v>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3" t="inlineStr">
        <is>
          <t>바로 건축할수 있는 나대지,3미터 포장도로 진입가능</t>
        </is>
      </c>
      <c r="I3435" s="5">
        <f>HYPERLINK("https://fin.land.naver.com/articles/2648645998", "매물Link")</f>
        <v/>
      </c>
      <c r="J3435" s="5">
        <f>HYPERLINK("https://map.naver.com/p/search/연동면 노송리 28-6", "지도Link")</f>
        <v/>
      </c>
      <c r="K3435" s="5">
        <f>HYPERLINK("http://www.eum.go.kr/web/ar/lu/luLandDet.jsp?pnu=3611032025100280006&amp;isNoScr=script&amp;mode=search", "토지이음")</f>
        <v/>
      </c>
      <c r="L3435" s="3" t="inlineStr">
        <is>
          <t>보람최고</t>
        </is>
      </c>
      <c r="M3435" s="3" t="n">
        <v>2</v>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3" t="inlineStr">
        <is>
          <t>지목 대 계획관리 자연취락지구 진입도로있음</t>
        </is>
      </c>
      <c r="I3436" s="5">
        <f>HYPERLINK("https://fin.land.naver.com/articles/2645721058", "매물Link")</f>
        <v/>
      </c>
      <c r="J3436" s="5">
        <f>HYPERLINK("https://map.naver.com/p/search/연동면 노송리 28-6", "지도Link")</f>
        <v/>
      </c>
      <c r="K3436" s="5">
        <f>HYPERLINK("http://www.eum.go.kr/web/ar/lu/luLandDet.jsp?pnu=3611032025100280006&amp;isNoScr=script&amp;mode=search", "토지이음")</f>
        <v/>
      </c>
      <c r="L3436" s="3" t="inlineStr">
        <is>
          <t>레몬</t>
        </is>
      </c>
      <c r="M3436" s="3" t="n">
        <v>1</v>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3" t="inlineStr">
        <is>
          <t>계획관리 투자용으로도 좋아요</t>
        </is>
      </c>
      <c r="I3437" s="5">
        <f>HYPERLINK("https://fin.land.naver.com/articles/2648188622", "매물Link")</f>
        <v/>
      </c>
      <c r="J3437" s="5">
        <f>HYPERLINK("https://map.naver.com/p/search/연동면 노송리 302-1", "지도Link")</f>
        <v/>
      </c>
      <c r="K3437" s="5">
        <f>HYPERLINK("http://www.eum.go.kr/web/ar/lu/luLandDet.jsp?pnu=3611032025103020001&amp;isNoScr=script&amp;mode=search", "토지이음")</f>
        <v/>
      </c>
      <c r="L3437" s="3" t="inlineStr">
        <is>
          <t>가치잇는</t>
        </is>
      </c>
      <c r="M3437" s="3" t="n">
        <v>1</v>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3" t="inlineStr">
        <is>
          <t>투자용으로 좋아요.</t>
        </is>
      </c>
      <c r="I3438" s="5">
        <f>HYPERLINK("https://fin.land.naver.com/articles/2644103108", "매물Link")</f>
        <v/>
      </c>
      <c r="J3438" s="5">
        <f>HYPERLINK("https://map.naver.com/p/search/연동면 노송리 310-10", "지도Link")</f>
        <v/>
      </c>
      <c r="K3438" s="5">
        <f>HYPERLINK("http://www.eum.go.kr/web/ar/lu/luLandDet.jsp?pnu=3611032025103100010&amp;isNoScr=script&amp;mode=search", "토지이음")</f>
        <v/>
      </c>
      <c r="L3438" s="3" t="inlineStr">
        <is>
          <t>고운동리치세종</t>
        </is>
      </c>
      <c r="M3438" s="3" t="n">
        <v>1</v>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3" t="inlineStr">
        <is>
          <t>추천. 연동면 도로낀 계획관리</t>
        </is>
      </c>
      <c r="I3439" s="5">
        <f>HYPERLINK("https://fin.land.naver.com/articles/2645465734", "매물Link")</f>
        <v/>
      </c>
      <c r="J3439" s="5">
        <f>HYPERLINK("https://map.naver.com/p/search/연동면 노송리 327-2", "지도Link")</f>
        <v/>
      </c>
      <c r="K3439" s="5">
        <f>HYPERLINK("http://www.eum.go.kr/web/ar/lu/luLandDet.jsp?pnu=3611032025103270002&amp;isNoScr=script&amp;mode=search", "토지이음")</f>
        <v/>
      </c>
      <c r="L3439" s="3" t="inlineStr">
        <is>
          <t>강아지풀</t>
        </is>
      </c>
      <c r="M3439" s="3" t="n">
        <v>1</v>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3" t="inlineStr">
        <is>
          <t>2차선 도로에 접함, 건축허가 득함</t>
        </is>
      </c>
      <c r="I3440" s="5">
        <f>HYPERLINK("https://fin.land.naver.com/articles/2649582469", "매물Link")</f>
        <v/>
      </c>
      <c r="J3440" s="5">
        <f>HYPERLINK("https://map.naver.com/p/search/연동면 노송리 329-5", "지도Link")</f>
        <v/>
      </c>
      <c r="K3440" s="5">
        <f>HYPERLINK("http://www.eum.go.kr/web/ar/lu/luLandDet.jsp?pnu=3611032025103290005&amp;isNoScr=script&amp;mode=search", "토지이음")</f>
        <v/>
      </c>
      <c r="L3440" s="3" t="inlineStr">
        <is>
          <t>제이</t>
        </is>
      </c>
      <c r="M3440" s="3" t="n">
        <v>1</v>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3" t="inlineStr">
        <is>
          <t>연동면 노송리 계획관리 토지, 연동면 소재지 인근</t>
        </is>
      </c>
      <c r="I3441" s="5">
        <f>HYPERLINK("https://fin.land.naver.com/articles/2646008416", "매물Link")</f>
        <v/>
      </c>
      <c r="J3441" s="5">
        <f>HYPERLINK("https://map.naver.com/p/search/연동면 노송리 384", "지도Link")</f>
        <v/>
      </c>
      <c r="K3441" s="5">
        <f>HYPERLINK("http://www.eum.go.kr/web/ar/lu/luLandDet.jsp?pnu=3611032025103840000&amp;isNoScr=script&amp;mode=search", "토지이음")</f>
        <v/>
      </c>
      <c r="L3441" s="3" t="inlineStr">
        <is>
          <t>스카이</t>
        </is>
      </c>
      <c r="M3441" s="3" t="n">
        <v>1</v>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3" t="inlineStr">
        <is>
          <t>세종시 연동면 노송리 나지막한 야산아래 위치한 계획관리지역 토지</t>
        </is>
      </c>
      <c r="I3442" s="5">
        <f>HYPERLINK("https://fin.land.naver.com/articles/2645656959", "매물Link")</f>
        <v/>
      </c>
      <c r="J3442" s="5">
        <f>HYPERLINK("https://map.naver.com/p/search/연동면 노송리 412", "지도Link")</f>
        <v/>
      </c>
      <c r="K3442" s="5">
        <f>HYPERLINK("http://www.eum.go.kr/web/ar/lu/luLandDet.jsp?pnu=3611032025104120000&amp;isNoScr=script&amp;mode=search", "토지이음")</f>
        <v/>
      </c>
      <c r="L3442" s="3" t="inlineStr">
        <is>
          <t>하이엔드</t>
        </is>
      </c>
      <c r="M3442" s="3" t="n">
        <v>1</v>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3" t="inlineStr">
        <is>
          <t>세종시 복합물류터미널 인근 2차선 국도변 계획관리 토지</t>
        </is>
      </c>
      <c r="I3443" s="5">
        <f>HYPERLINK("https://fin.land.naver.com/articles/2644629899", "매물Link")</f>
        <v/>
      </c>
      <c r="J3443" s="5">
        <f>HYPERLINK("https://map.naver.com/p/search/연동면 노송리 449-1", "지도Link")</f>
        <v/>
      </c>
      <c r="K3443" s="5">
        <f>HYPERLINK("http://www.eum.go.kr/web/ar/lu/luLandDet.jsp?pnu=3611032025104490001&amp;isNoScr=script&amp;mode=search", "토지이음")</f>
        <v/>
      </c>
      <c r="L3443" s="3" t="inlineStr">
        <is>
          <t>오송3산단  사무소</t>
        </is>
      </c>
      <c r="M3443" s="3" t="n">
        <v>1</v>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3" t="inlineStr">
        <is>
          <t>2차선도로접, 계획관리, 4거리변위치, 산단인근 매매가조절가능</t>
        </is>
      </c>
      <c r="I3444" s="5">
        <f>HYPERLINK("https://fin.land.naver.com/articles/2644486433", "매물Link")</f>
        <v/>
      </c>
      <c r="J3444" s="5">
        <f>HYPERLINK("https://map.naver.com/p/search/연동면 노송리 50", "지도Link")</f>
        <v/>
      </c>
      <c r="K3444" s="5">
        <f>HYPERLINK("http://www.eum.go.kr/web/ar/lu/luLandDet.jsp?pnu=3611032025100500000&amp;isNoScr=script&amp;mode=search", "토지이음")</f>
        <v/>
      </c>
      <c r="L3444" s="3" t="inlineStr">
        <is>
          <t>힐스테이트정문</t>
        </is>
      </c>
      <c r="M3444" s="3" t="n">
        <v>1</v>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3" t="inlineStr">
        <is>
          <t>nan</t>
        </is>
      </c>
      <c r="I3445" s="5">
        <f>HYPERLINK("https://fin.land.naver.com/articles/2645064190", "매물Link")</f>
        <v/>
      </c>
      <c r="J3445" s="5">
        <f>HYPERLINK("https://map.naver.com/p/search/연동면 노송리 50", "지도Link")</f>
        <v/>
      </c>
      <c r="K3445" s="5">
        <f>HYPERLINK("http://www.eum.go.kr/web/ar/lu/luLandDet.jsp?pnu=3611032025100500000&amp;isNoScr=script&amp;mode=search", "토지이음")</f>
        <v/>
      </c>
      <c r="L3445" s="3" t="inlineStr">
        <is>
          <t>노은역</t>
        </is>
      </c>
      <c r="M3445" s="3" t="n">
        <v>2</v>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3" t="inlineStr">
        <is>
          <t>세종시 연동면 노송리 토지 매매 (답 4,734㎡) 10억 2,100만원</t>
        </is>
      </c>
      <c r="I3446" s="5">
        <f>HYPERLINK("https://fin.land.naver.com/articles/2649343302", "매물Link")</f>
        <v/>
      </c>
      <c r="J3446" s="5">
        <f>HYPERLINK("https://map.naver.com/p/search/연동면 노송리 500-1", "지도Link")</f>
        <v/>
      </c>
      <c r="K3446" s="5">
        <f>HYPERLINK("http://www.eum.go.kr/web/ar/lu/luLandDet.jsp?pnu=3611032025105000001&amp;isNoScr=script&amp;mode=search", "토지이음")</f>
        <v/>
      </c>
      <c r="L3446" s="3" t="inlineStr">
        <is>
          <t>세종</t>
        </is>
      </c>
      <c r="M3446" s="3" t="n">
        <v>1</v>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3" t="inlineStr">
        <is>
          <t>일부 매매,전체 매매 가능,도로변에 위치</t>
        </is>
      </c>
      <c r="I3447" s="5">
        <f>HYPERLINK("https://fin.land.naver.com/articles/2649947423", "매물Link")</f>
        <v/>
      </c>
      <c r="J3447" s="5">
        <f>HYPERLINK("https://map.naver.com/p/search/연동면 명학리 101-7", "지도Link")</f>
        <v/>
      </c>
      <c r="K3447" s="5">
        <f>HYPERLINK("http://www.eum.go.kr/web/ar/lu/luLandDet.jsp?pnu=3611032023101010007&amp;isNoScr=script&amp;mode=search", "토지이음")</f>
        <v/>
      </c>
      <c r="L3447" s="3" t="inlineStr">
        <is>
          <t>다산</t>
        </is>
      </c>
      <c r="M3447" s="3" t="n">
        <v>1</v>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3" t="inlineStr">
        <is>
          <t>nan</t>
        </is>
      </c>
      <c r="I3448" s="5">
        <f>HYPERLINK("https://fin.land.naver.com/articles/2646190272", "매물Link")</f>
        <v/>
      </c>
      <c r="J3448" s="5">
        <f>HYPERLINK("https://map.naver.com/p/search/연동면 명학리 101-7", "지도Link")</f>
        <v/>
      </c>
      <c r="K3448" s="5">
        <f>HYPERLINK("http://www.eum.go.kr/web/ar/lu/luLandDet.jsp?pnu=3611032023101010007&amp;isNoScr=script&amp;mode=search", "토지이음")</f>
        <v/>
      </c>
      <c r="L3448" s="3" t="inlineStr">
        <is>
          <t>세종몽땅</t>
        </is>
      </c>
      <c r="M3448" s="3" t="n">
        <v>1</v>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3" t="inlineStr">
        <is>
          <t>2차선 도로접한 금강이 보이는 지대 높은 토지,분할매매 가능,</t>
        </is>
      </c>
      <c r="I3449" s="5">
        <f>HYPERLINK("https://fin.land.naver.com/articles/2648917205", "매물Link")</f>
        <v/>
      </c>
      <c r="J3449" s="5">
        <f>HYPERLINK("https://map.naver.com/p/search/연동면 명학리 101-7", "지도Link")</f>
        <v/>
      </c>
      <c r="K3449" s="5">
        <f>HYPERLINK("http://www.eum.go.kr/web/ar/lu/luLandDet.jsp?pnu=3611032023101010007&amp;isNoScr=script&amp;mode=search", "토지이음")</f>
        <v/>
      </c>
      <c r="L3449" s="3" t="inlineStr">
        <is>
          <t>담뜰</t>
        </is>
      </c>
      <c r="M3449" s="3" t="n">
        <v>5</v>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3" t="inlineStr">
        <is>
          <t>세종시 금강변 2차선 도로변 토지</t>
        </is>
      </c>
      <c r="I3450" s="5">
        <f>HYPERLINK("https://fin.land.naver.com/articles/2646902255", "매물Link")</f>
        <v/>
      </c>
      <c r="J3450" s="5">
        <f>HYPERLINK("https://map.naver.com/p/search/연동면 명학리 104-8", "지도Link")</f>
        <v/>
      </c>
      <c r="K3450" s="5">
        <f>HYPERLINK("http://www.eum.go.kr/web/ar/lu/luLandDet.jsp?pnu=3611032023101040008&amp;isNoScr=script&amp;mode=search", "토지이음")</f>
        <v/>
      </c>
      <c r="L3450" s="3" t="inlineStr">
        <is>
          <t>대유</t>
        </is>
      </c>
      <c r="M3450" s="3" t="n">
        <v>1</v>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3" t="inlineStr">
        <is>
          <t>세종시 연동면 명학리 소형 토지 매매</t>
        </is>
      </c>
      <c r="I3451" s="5">
        <f>HYPERLINK("https://fin.land.naver.com/articles/2648763478", "매물Link")</f>
        <v/>
      </c>
      <c r="J3451" s="5">
        <f>HYPERLINK("https://map.naver.com/p/search/연동면 명학리 137", "지도Link")</f>
        <v/>
      </c>
      <c r="K3451" s="5">
        <f>HYPERLINK("http://www.eum.go.kr/web/ar/lu/luLandDet.jsp?pnu=3611032023101370000&amp;isNoScr=script&amp;mode=search", "토지이음")</f>
        <v/>
      </c>
      <c r="L3451" s="3" t="inlineStr">
        <is>
          <t>하이엔드</t>
        </is>
      </c>
      <c r="M3451" s="3" t="n">
        <v>1</v>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3" t="inlineStr">
        <is>
          <t>보전관리, 전</t>
        </is>
      </c>
      <c r="I3452" s="5">
        <f>HYPERLINK("https://fin.land.naver.com/articles/2649732862", "매물Link")</f>
        <v/>
      </c>
      <c r="J3452" s="5">
        <f>HYPERLINK("https://map.naver.com/p/search/연동면 명학리 137", "지도Link")</f>
        <v/>
      </c>
      <c r="K3452" s="5">
        <f>HYPERLINK("http://www.eum.go.kr/web/ar/lu/luLandDet.jsp?pnu=3611032023101370000&amp;isNoScr=script&amp;mode=search", "토지이음")</f>
        <v/>
      </c>
      <c r="L3452" s="3" t="inlineStr">
        <is>
          <t>세종몽땅</t>
        </is>
      </c>
      <c r="M3452" s="3" t="n">
        <v>1</v>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3" t="inlineStr">
        <is>
          <t>2차선 도로변에 있는 대지로 활용도 높음, 5생활권 초인접 투자로 추천</t>
        </is>
      </c>
      <c r="I3453" s="5">
        <f>HYPERLINK("https://fin.land.naver.com/articles/2645172775", "매물Link")</f>
        <v/>
      </c>
      <c r="J3453" s="5">
        <f>HYPERLINK("https://map.naver.com/p/search/연동면 명학리 148-3", "지도Link")</f>
        <v/>
      </c>
      <c r="K3453" s="5">
        <f>HYPERLINK("http://www.eum.go.kr/web/ar/lu/luLandDet.jsp?pnu=3611032023101480003&amp;isNoScr=script&amp;mode=search", "토지이음")</f>
        <v/>
      </c>
      <c r="L3453" s="3" t="inlineStr">
        <is>
          <t>샘머리랜드</t>
        </is>
      </c>
      <c r="M3453" s="3" t="n">
        <v>1</v>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3" t="inlineStr">
        <is>
          <t>도로변 계획관리 토지 매매</t>
        </is>
      </c>
      <c r="I3454" s="5">
        <f>HYPERLINK("https://fin.land.naver.com/articles/2646722363", "매물Link")</f>
        <v/>
      </c>
      <c r="J3454" s="5">
        <f>HYPERLINK("https://map.naver.com/p/search/연동면 명학리 195-3", "지도Link")</f>
        <v/>
      </c>
      <c r="K3454" s="5">
        <f>HYPERLINK("http://www.eum.go.kr/web/ar/lu/luLandDet.jsp?pnu=3611032023101950003&amp;isNoScr=script&amp;mode=search", "토지이음")</f>
        <v/>
      </c>
      <c r="L3454" s="3" t="inlineStr">
        <is>
          <t>(주)정민근</t>
        </is>
      </c>
      <c r="M3454" s="3" t="n">
        <v>1</v>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3" t="inlineStr">
        <is>
          <t>nan</t>
        </is>
      </c>
      <c r="I3455" s="5">
        <f>HYPERLINK("https://fin.land.naver.com/articles/2648256503", "매물Link")</f>
        <v/>
      </c>
      <c r="J3455" s="5">
        <f>HYPERLINK("https://map.naver.com/p/search/연동면 명학리 220", "지도Link")</f>
        <v/>
      </c>
      <c r="K3455" s="5">
        <f>HYPERLINK("http://www.eum.go.kr/web/ar/lu/luLandDet.jsp?pnu=3611032023102200000&amp;isNoScr=script&amp;mode=search", "토지이음")</f>
        <v/>
      </c>
      <c r="L3455" s="3" t="inlineStr">
        <is>
          <t>연동스카이</t>
        </is>
      </c>
      <c r="M3455" s="3" t="n">
        <v>2</v>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3" t="inlineStr">
        <is>
          <t>세종5생활권연접된 소형토지매매21,400만원</t>
        </is>
      </c>
      <c r="I3456" s="5">
        <f>HYPERLINK("https://fin.land.naver.com/articles/2647917727", "매물Link")</f>
        <v/>
      </c>
      <c r="J3456" s="5">
        <f>HYPERLINK("https://map.naver.com/p/search/연동면 명학리 307-1", "지도Link")</f>
        <v/>
      </c>
      <c r="K3456" s="5">
        <f>HYPERLINK("http://www.eum.go.kr/web/ar/lu/luLandDet.jsp?pnu=3611032023103070001&amp;isNoScr=script&amp;mode=search", "토지이음")</f>
        <v/>
      </c>
      <c r="L3456" s="3" t="inlineStr">
        <is>
          <t>대박</t>
        </is>
      </c>
      <c r="M3456" s="3" t="n">
        <v>1</v>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3" t="inlineStr">
        <is>
          <t>도로 인접, 단독주택</t>
        </is>
      </c>
      <c r="I3457" s="5">
        <f>HYPERLINK("https://fin.land.naver.com/articles/2648947156", "매물Link")</f>
        <v/>
      </c>
      <c r="J3457" s="5">
        <f>HYPERLINK("https://map.naver.com/p/search/연동면 명학리 363", "지도Link")</f>
        <v/>
      </c>
      <c r="K3457" s="5">
        <f>HYPERLINK("http://www.eum.go.kr/web/ar/lu/luLandDet.jsp?pnu=3611032023103630000&amp;isNoScr=script&amp;mode=search", "토지이음")</f>
        <v/>
      </c>
      <c r="L3457" s="3" t="inlineStr">
        <is>
          <t>세종제일1</t>
        </is>
      </c>
      <c r="M3457" s="3" t="n">
        <v>1</v>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3" t="inlineStr">
        <is>
          <t>연동면 명학리 계획관리 토지, 5생활권 인근, 공시지가 이하, 급매</t>
        </is>
      </c>
      <c r="I3458" s="5">
        <f>HYPERLINK("https://fin.land.naver.com/articles/2645316250", "매물Link")</f>
        <v/>
      </c>
      <c r="J3458" s="5">
        <f>HYPERLINK("https://map.naver.com/p/search/연동면 명학리 376-3", "지도Link")</f>
        <v/>
      </c>
      <c r="K3458" s="5">
        <f>HYPERLINK("http://www.eum.go.kr/web/ar/lu/luLandDet.jsp?pnu=3611032023103760003&amp;isNoScr=script&amp;mode=search", "토지이음")</f>
        <v/>
      </c>
      <c r="L3458" s="3" t="inlineStr">
        <is>
          <t>스카이</t>
        </is>
      </c>
      <c r="M3458" s="3" t="n">
        <v>1</v>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3" t="inlineStr">
        <is>
          <t>세종 연동면 임야 매매｜보전관리지역준보전산지</t>
        </is>
      </c>
      <c r="I3459" s="5">
        <f>HYPERLINK("https://fin.land.naver.com/articles/2648299185", "매물Link")</f>
        <v/>
      </c>
      <c r="J3459" s="5">
        <f>HYPERLINK("https://map.naver.com/p/search/연동면 명학리 383-8", "지도Link")</f>
        <v/>
      </c>
      <c r="K3459" s="5">
        <f>HYPERLINK("http://www.eum.go.kr/web/ar/lu/luLandDet.jsp?pnu=3611032023103830008&amp;isNoScr=script&amp;mode=search", "토지이음")</f>
        <v/>
      </c>
      <c r="L3459" s="3" t="inlineStr">
        <is>
          <t>세종몽땅</t>
        </is>
      </c>
      <c r="M3459" s="3" t="n">
        <v>1</v>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3" t="inlineStr">
        <is>
          <t>51생활권 인근 근생추천용지. 도로접. 카페, 음식점 등</t>
        </is>
      </c>
      <c r="I3460" s="5">
        <f>HYPERLINK("https://fin.land.naver.com/articles/2645550129", "매물Link")</f>
        <v/>
      </c>
      <c r="J3460" s="5">
        <f>HYPERLINK("https://map.naver.com/p/search/연동면 명학리 384-27", "지도Link")</f>
        <v/>
      </c>
      <c r="K3460" s="5">
        <f>HYPERLINK("http://www.eum.go.kr/web/ar/lu/luLandDet.jsp?pnu=3611032023103840027&amp;isNoScr=script&amp;mode=search", "토지이음")</f>
        <v/>
      </c>
      <c r="L3460" s="3" t="inlineStr">
        <is>
          <t>미스터홈즈강남지사</t>
        </is>
      </c>
      <c r="M3460" s="3" t="n">
        <v>2</v>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3" t="inlineStr">
        <is>
          <t>nan</t>
        </is>
      </c>
      <c r="I3461" s="5">
        <f>HYPERLINK("https://fin.land.naver.com/articles/2647746185", "매물Link")</f>
        <v/>
      </c>
      <c r="J3461" s="5">
        <f>HYPERLINK("https://map.naver.com/p/search/연동면 명학리 385", "지도Link")</f>
        <v/>
      </c>
      <c r="K3461" s="5">
        <f>HYPERLINK("http://www.eum.go.kr/web/ar/lu/luLandDet.jsp?pnu=3611032023103850000&amp;isNoScr=script&amp;mode=search", "토지이음")</f>
        <v/>
      </c>
      <c r="L3461" s="3" t="inlineStr">
        <is>
          <t>다산</t>
        </is>
      </c>
      <c r="M3461" s="3" t="n">
        <v>1</v>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3" t="inlineStr">
        <is>
          <t>명성공인, 명학리 계획관리지역 추천 매물</t>
        </is>
      </c>
      <c r="I3462" s="5">
        <f>HYPERLINK("https://fin.land.naver.com/articles/2648045385", "매물Link")</f>
        <v/>
      </c>
      <c r="J3462" s="5">
        <f>HYPERLINK("https://map.naver.com/p/search/연동면 명학리 385", "지도Link")</f>
        <v/>
      </c>
      <c r="K3462" s="5">
        <f>HYPERLINK("http://www.eum.go.kr/web/ar/lu/luLandDet.jsp?pnu=3611032023103850000&amp;isNoScr=script&amp;mode=search", "토지이음")</f>
        <v/>
      </c>
      <c r="L3462" s="3" t="inlineStr">
        <is>
          <t>명성</t>
        </is>
      </c>
      <c r="M3462" s="3" t="n">
        <v>1</v>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3" t="inlineStr">
        <is>
          <t>명학리 위치좋고 앞으로 지가 상승이 예상되는 곳 저렴하게 매매</t>
        </is>
      </c>
      <c r="I3463" s="5">
        <f>HYPERLINK("https://fin.land.naver.com/articles/2644666630", "매물Link")</f>
        <v/>
      </c>
      <c r="J3463" s="5">
        <f>HYPERLINK("https://map.naver.com/p/search/연동면 명학리 389-2", "지도Link")</f>
        <v/>
      </c>
      <c r="K3463" s="5">
        <f>HYPERLINK("http://www.eum.go.kr/web/ar/lu/luLandDet.jsp?pnu=3611032023103890002&amp;isNoScr=script&amp;mode=search", "토지이음")</f>
        <v/>
      </c>
      <c r="L3463" s="3" t="inlineStr">
        <is>
          <t>효성해링턴오복</t>
        </is>
      </c>
      <c r="M3463" s="3" t="n">
        <v>1</v>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3" t="inlineStr">
        <is>
          <t>세종시 연동면 명학리 명학산업단지 인근 농지</t>
        </is>
      </c>
      <c r="I3464" s="5">
        <f>HYPERLINK("https://fin.land.naver.com/articles/2648761728", "매물Link")</f>
        <v/>
      </c>
      <c r="J3464" s="5">
        <f>HYPERLINK("https://map.naver.com/p/search/연동면 명학리 705", "지도Link")</f>
        <v/>
      </c>
      <c r="K3464" s="5">
        <f>HYPERLINK("http://www.eum.go.kr/web/ar/lu/luLandDet.jsp?pnu=3611032023107050000&amp;isNoScr=script&amp;mode=search", "토지이음")</f>
        <v/>
      </c>
      <c r="L3464" s="3" t="inlineStr">
        <is>
          <t>하이엔드</t>
        </is>
      </c>
      <c r="M3464" s="3" t="n">
        <v>1</v>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3" t="inlineStr">
        <is>
          <t>마을초입의 도로접한 농림지로 농업관련업종등 농가주택추천</t>
        </is>
      </c>
      <c r="I3465" s="5">
        <f>HYPERLINK("https://fin.land.naver.com/articles/2648261075", "매물Link")</f>
        <v/>
      </c>
      <c r="J3465" s="5">
        <f>HYPERLINK("https://map.naver.com/p/search/연동면 명학리 714", "지도Link")</f>
        <v/>
      </c>
      <c r="K3465" s="5">
        <f>HYPERLINK("http://www.eum.go.kr/web/ar/lu/luLandDet.jsp?pnu=3611032023107140000&amp;isNoScr=script&amp;mode=search", "토지이음")</f>
        <v/>
      </c>
      <c r="L3465" s="3" t="inlineStr">
        <is>
          <t>연동스카이</t>
        </is>
      </c>
      <c r="M3465" s="3" t="n">
        <v>1</v>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3" t="inlineStr">
        <is>
          <t>세종시 연동면 명학리 편도 1차선 도로에 접하여 접근성과 광고효과 우수함</t>
        </is>
      </c>
      <c r="I3466" s="5">
        <f>HYPERLINK("https://fin.land.naver.com/articles/2645658711", "매물Link")</f>
        <v/>
      </c>
      <c r="J3466" s="5">
        <f>HYPERLINK("https://map.naver.com/p/search/연동면 명학리 731", "지도Link")</f>
        <v/>
      </c>
      <c r="K3466" s="5">
        <f>HYPERLINK("http://www.eum.go.kr/web/ar/lu/luLandDet.jsp?pnu=3611032023107310000&amp;isNoScr=script&amp;mode=search", "토지이음")</f>
        <v/>
      </c>
      <c r="L3466" s="3" t="inlineStr">
        <is>
          <t>하이엔드</t>
        </is>
      </c>
      <c r="M3466" s="3" t="n">
        <v>1</v>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3" t="inlineStr">
        <is>
          <t>5생활권 초근접지역의 농지로 대토 및 장기투자 추천</t>
        </is>
      </c>
      <c r="I3467" s="5">
        <f>HYPERLINK("https://fin.land.naver.com/articles/2648305360", "매물Link")</f>
        <v/>
      </c>
      <c r="J3467" s="5">
        <f>HYPERLINK("https://map.naver.com/p/search/연동면 명학리 796", "지도Link")</f>
        <v/>
      </c>
      <c r="K3467" s="5">
        <f>HYPERLINK("http://www.eum.go.kr/web/ar/lu/luLandDet.jsp?pnu=3611032023107960000&amp;isNoScr=script&amp;mode=search", "토지이음")</f>
        <v/>
      </c>
      <c r="L3467" s="3" t="inlineStr">
        <is>
          <t>연동스카이</t>
        </is>
      </c>
      <c r="M3467" s="3" t="n">
        <v>1</v>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3" t="inlineStr">
        <is>
          <t>부강역 생활권 평탄 농지, 자경 및 주말농장 검토 적합</t>
        </is>
      </c>
      <c r="I3468" s="5">
        <f>HYPERLINK("https://fin.land.naver.com/articles/2645010975", "매물Link")</f>
        <v/>
      </c>
      <c r="J3468" s="5">
        <f>HYPERLINK("https://map.naver.com/p/search/연동면 명학리 844", "지도Link")</f>
        <v/>
      </c>
      <c r="K3468" s="5">
        <f>HYPERLINK("http://www.eum.go.kr/web/ar/lu/luLandDet.jsp?pnu=3611032023108440000&amp;isNoScr=script&amp;mode=search", "토지이음")</f>
        <v/>
      </c>
      <c r="L3468" s="3" t="inlineStr">
        <is>
          <t>세종소담황금</t>
        </is>
      </c>
      <c r="M3468" s="3" t="n">
        <v>1</v>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3" t="inlineStr">
        <is>
          <t>nan</t>
        </is>
      </c>
      <c r="I3469" s="5">
        <f>HYPERLINK("https://fin.land.naver.com/articles/2647688920", "매물Link")</f>
        <v/>
      </c>
      <c r="J3469" s="5">
        <f>HYPERLINK("https://map.naver.com/p/search/연동면 명학리 844", "지도Link")</f>
        <v/>
      </c>
      <c r="K3469" s="5">
        <f>HYPERLINK("http://www.eum.go.kr/web/ar/lu/luLandDet.jsp?pnu=3611032023108440000&amp;isNoScr=script&amp;mode=search", "토지이음")</f>
        <v/>
      </c>
      <c r="L3469" s="3" t="inlineStr">
        <is>
          <t>THE동아</t>
        </is>
      </c>
      <c r="M3469" s="3" t="n">
        <v>1</v>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3" t="inlineStr">
        <is>
          <t>nan</t>
        </is>
      </c>
      <c r="I3470" s="5">
        <f>HYPERLINK("https://fin.land.naver.com/articles/2644847717", "매물Link")</f>
        <v/>
      </c>
      <c r="J3470" s="5">
        <f>HYPERLINK("https://map.naver.com/p/search/연동면 명학리 844", "지도Link")</f>
        <v/>
      </c>
      <c r="K3470" s="5">
        <f>HYPERLINK("http://www.eum.go.kr/web/ar/lu/luLandDet.jsp?pnu=3611032023108440000&amp;isNoScr=script&amp;mode=search", "토지이음")</f>
        <v/>
      </c>
      <c r="L3470" s="3" t="inlineStr">
        <is>
          <t>세종몽땅</t>
        </is>
      </c>
      <c r="M3470" s="3" t="n">
        <v>1</v>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3" t="inlineStr">
        <is>
          <t>계획관리 전. 3필지입니다. 현재 전으로 사용 중</t>
        </is>
      </c>
      <c r="I3471" s="5">
        <f>HYPERLINK("https://fin.land.naver.com/articles/2645134495", "매물Link")</f>
        <v/>
      </c>
      <c r="J3471" s="5">
        <f>HYPERLINK("https://map.naver.com/p/search/연동면 명학리 93-4", "지도Link")</f>
        <v/>
      </c>
      <c r="K3471" s="5">
        <f>HYPERLINK("http://www.eum.go.kr/web/ar/lu/luLandDet.jsp?pnu=3611032023100930004&amp;isNoScr=script&amp;mode=search", "토지이음")</f>
        <v/>
      </c>
      <c r="L3471" s="3" t="inlineStr">
        <is>
          <t>미스터홈즈강남지사</t>
        </is>
      </c>
      <c r="M3471" s="3" t="n">
        <v>1</v>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3" t="inlineStr">
        <is>
          <t>nan</t>
        </is>
      </c>
      <c r="I3472" s="5">
        <f>HYPERLINK("https://fin.land.naver.com/articles/2644286770", "매물Link")</f>
        <v/>
      </c>
      <c r="J3472" s="5">
        <f>HYPERLINK("https://map.naver.com/p/search/연동면 명학리 산3", "지도Link")</f>
        <v/>
      </c>
      <c r="K3472" s="5">
        <f>HYPERLINK("http://www.eum.go.kr/web/ar/lu/luLandDet.jsp?pnu=3611032023200030000&amp;isNoScr=script&amp;mode=search", "토지이음")</f>
        <v/>
      </c>
      <c r="L3472" s="3" t="inlineStr">
        <is>
          <t>명당</t>
        </is>
      </c>
      <c r="M3472" s="3" t="n">
        <v>1</v>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3" t="inlineStr">
        <is>
          <t>급매, 계획관리지역, 도로 접한 형상 좋은 대지입니다.</t>
        </is>
      </c>
      <c r="I3473" s="5">
        <f>HYPERLINK("https://fin.land.naver.com/articles/2645662856", "매물Link")</f>
        <v/>
      </c>
      <c r="J3473" s="5">
        <f>HYPERLINK("https://map.naver.com/p/search/연동면 문주리 145-8", "지도Link")</f>
        <v/>
      </c>
      <c r="K3473" s="5">
        <f>HYPERLINK("http://www.eum.go.kr/web/ar/lu/luLandDet.jsp?pnu=3611032022101450008&amp;isNoScr=script&amp;mode=search", "토지이음")</f>
        <v/>
      </c>
      <c r="L3473" s="3" t="inlineStr">
        <is>
          <t>나폴리</t>
        </is>
      </c>
      <c r="M3473" s="3" t="n">
        <v>1</v>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3" t="inlineStr">
        <is>
          <t>구거 통해도로와 접한 농지,바로옆 도로 공사중</t>
        </is>
      </c>
      <c r="I3474" s="5">
        <f>HYPERLINK("https://fin.land.naver.com/articles/2648555398", "매물Link")</f>
        <v/>
      </c>
      <c r="J3474" s="5">
        <f>HYPERLINK("https://map.naver.com/p/search/연동면 문주리 956-3", "지도Link")</f>
        <v/>
      </c>
      <c r="K3474" s="5">
        <f>HYPERLINK("http://www.eum.go.kr/web/ar/lu/luLandDet.jsp?pnu=3611032022109560003&amp;isNoScr=script&amp;mode=search", "토지이음")</f>
        <v/>
      </c>
      <c r="L3474" s="3" t="inlineStr">
        <is>
          <t>향기나는방</t>
        </is>
      </c>
      <c r="M3474" s="3" t="n">
        <v>1</v>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3" t="inlineStr">
        <is>
          <t>nan</t>
        </is>
      </c>
      <c r="I3475" s="5">
        <f>HYPERLINK("https://fin.land.naver.com/articles/2644817653", "매물Link")</f>
        <v/>
      </c>
      <c r="J3475" s="5">
        <f>HYPERLINK("https://map.naver.com/p/search/연동면 문주리 967-7", "지도Link")</f>
        <v/>
      </c>
      <c r="K3475" s="5">
        <f>HYPERLINK("http://www.eum.go.kr/web/ar/lu/luLandDet.jsp?pnu=3611032022109670007&amp;isNoScr=script&amp;mode=search", "토지이음")</f>
        <v/>
      </c>
      <c r="L3475" s="3" t="inlineStr">
        <is>
          <t>세종몽땅</t>
        </is>
      </c>
      <c r="M3475" s="3" t="n">
        <v>1</v>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3" t="inlineStr">
        <is>
          <t>축사임.</t>
        </is>
      </c>
      <c r="I3476" s="5">
        <f>HYPERLINK("https://fin.land.naver.com/articles/2647564865", "매물Link")</f>
        <v/>
      </c>
      <c r="J3476" s="5">
        <f>HYPERLINK("https://map.naver.com/p/search/연동면 문주리 968-13", "지도Link")</f>
        <v/>
      </c>
      <c r="K3476" s="5">
        <f>HYPERLINK("http://www.eum.go.kr/web/ar/lu/luLandDet.jsp?pnu=3611032022109680013&amp;isNoScr=script&amp;mode=search", "토지이음")</f>
        <v/>
      </c>
      <c r="L3476" s="3" t="inlineStr">
        <is>
          <t>햇빛</t>
        </is>
      </c>
      <c r="M3476" s="3" t="n">
        <v>1</v>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3" t="inlineStr">
        <is>
          <t>농림지역 답 현재 옆필지와 함께 농사중</t>
        </is>
      </c>
      <c r="I3477" s="5">
        <f>HYPERLINK("https://fin.land.naver.com/articles/2649908913", "매물Link")</f>
        <v/>
      </c>
      <c r="J3477" s="5">
        <f>HYPERLINK("https://map.naver.com/p/search/연동면 문주리 980-10", "지도Link")</f>
        <v/>
      </c>
      <c r="K3477" s="5">
        <f>HYPERLINK("http://www.eum.go.kr/web/ar/lu/luLandDet.jsp?pnu=3611032022109800010&amp;isNoScr=script&amp;mode=search", "토지이음")</f>
        <v/>
      </c>
      <c r="L3477" s="3" t="inlineStr">
        <is>
          <t>미스터홈즈강남지사</t>
        </is>
      </c>
      <c r="M3477" s="3" t="n">
        <v>1</v>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3" t="inlineStr">
        <is>
          <t>가격저렴한 대토 및 장기투자</t>
        </is>
      </c>
      <c r="I3478" s="5">
        <f>HYPERLINK("https://fin.land.naver.com/articles/2650179155", "매물Link")</f>
        <v/>
      </c>
      <c r="J3478" s="5">
        <f>HYPERLINK("https://map.naver.com/p/search/연동면 송용리 1025-4", "지도Link")</f>
        <v/>
      </c>
      <c r="K3478" s="5">
        <f>HYPERLINK("http://www.eum.go.kr/web/ar/lu/luLandDet.jsp?pnu=3611032027110250004&amp;isNoScr=script&amp;mode=search", "토지이음")</f>
        <v/>
      </c>
      <c r="L3478" s="3" t="inlineStr">
        <is>
          <t>연동스카이</t>
        </is>
      </c>
      <c r="M3478" s="3" t="n">
        <v>2</v>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3" t="inlineStr">
        <is>
          <t>주변 시세대비 아주저렴</t>
        </is>
      </c>
      <c r="I3479" s="5">
        <f>HYPERLINK("https://fin.land.naver.com/articles/2648462411", "매물Link")</f>
        <v/>
      </c>
      <c r="J3479" s="5">
        <f>HYPERLINK("https://map.naver.com/p/search/연동면 송용리 1025-4", "지도Link")</f>
        <v/>
      </c>
      <c r="K3479" s="5">
        <f>HYPERLINK("http://www.eum.go.kr/web/ar/lu/luLandDet.jsp?pnu=3611032027110250004&amp;isNoScr=script&amp;mode=search", "토지이음")</f>
        <v/>
      </c>
      <c r="L3479" s="3" t="inlineStr">
        <is>
          <t>세종땅전문</t>
        </is>
      </c>
      <c r="M3479" s="3" t="n">
        <v>1</v>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3" t="inlineStr">
        <is>
          <t>투자용</t>
        </is>
      </c>
      <c r="I3480" s="5">
        <f>HYPERLINK("https://fin.land.naver.com/articles/2647374045", "매물Link")</f>
        <v/>
      </c>
      <c r="J3480" s="5">
        <f>HYPERLINK("https://map.naver.com/p/search/연동면 송용리 1039-5", "지도Link")</f>
        <v/>
      </c>
      <c r="K3480" s="5">
        <f>HYPERLINK("http://www.eum.go.kr/web/ar/lu/luLandDet.jsp?pnu=3611032027110390005&amp;isNoScr=script&amp;mode=search", "토지이음")</f>
        <v/>
      </c>
      <c r="L3480" s="3" t="inlineStr">
        <is>
          <t>제우스</t>
        </is>
      </c>
      <c r="M3480" s="3" t="n">
        <v>1</v>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3" t="inlineStr">
        <is>
          <t>연동면 대형 식당자리 추천</t>
        </is>
      </c>
      <c r="I3481" s="5">
        <f>HYPERLINK("https://fin.land.naver.com/articles/2649703500", "매물Link")</f>
        <v/>
      </c>
      <c r="J3481" s="5">
        <f>HYPERLINK("https://map.naver.com/p/search/연동면 송용리 179-2", "지도Link")</f>
        <v/>
      </c>
      <c r="K3481" s="5">
        <f>HYPERLINK("http://www.eum.go.kr/web/ar/lu/luLandDet.jsp?pnu=3611032027101790002&amp;isNoScr=script&amp;mode=search", "토지이음")</f>
        <v/>
      </c>
      <c r="L3481" s="3" t="inlineStr">
        <is>
          <t>강아지풀</t>
        </is>
      </c>
      <c r="M3481" s="3" t="n">
        <v>1</v>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3" t="inlineStr">
        <is>
          <t>태양광시설</t>
        </is>
      </c>
      <c r="I3482" s="5">
        <f>HYPERLINK("https://fin.land.naver.com/articles/2644390600", "매물Link")</f>
        <v/>
      </c>
      <c r="J3482" s="5">
        <f>HYPERLINK("https://map.naver.com/p/search/연동면 송용리 179-9", "지도Link")</f>
        <v/>
      </c>
      <c r="K3482" s="5">
        <f>HYPERLINK("http://www.eum.go.kr/web/ar/lu/luLandDet.jsp?pnu=3611032027101790009&amp;isNoScr=script&amp;mode=search", "토지이음")</f>
        <v/>
      </c>
      <c r="L3482" s="3" t="inlineStr">
        <is>
          <t>한창</t>
        </is>
      </c>
      <c r="M3482" s="3" t="n">
        <v>1</v>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3" t="inlineStr">
        <is>
          <t>계획관리지역으로 8미터이상 도로에 접한 직사각형 토지, 주변환경 좋음</t>
        </is>
      </c>
      <c r="I3483" s="5">
        <f>HYPERLINK("https://fin.land.naver.com/articles/2644778617", "매물Link")</f>
        <v/>
      </c>
      <c r="J3483" s="5">
        <f>HYPERLINK("https://map.naver.com/p/search/연동면 송용리 213-4", "지도Link")</f>
        <v/>
      </c>
      <c r="K3483" s="5">
        <f>HYPERLINK("http://www.eum.go.kr/web/ar/lu/luLandDet.jsp?pnu=3611032027102130004&amp;isNoScr=script&amp;mode=search", "토지이음")</f>
        <v/>
      </c>
      <c r="L3483" s="3" t="inlineStr">
        <is>
          <t>가수원</t>
        </is>
      </c>
      <c r="M3483" s="3" t="n">
        <v>1</v>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3" t="inlineStr">
        <is>
          <t>급매. 5생활권 인접 도로접한 토지</t>
        </is>
      </c>
      <c r="I3484" s="5">
        <f>HYPERLINK("https://fin.land.naver.com/articles/2645465831", "매물Link")</f>
        <v/>
      </c>
      <c r="J3484" s="5">
        <f>HYPERLINK("https://map.naver.com/p/search/연동면 송용리 213-6", "지도Link")</f>
        <v/>
      </c>
      <c r="K3484" s="5">
        <f>HYPERLINK("http://www.eum.go.kr/web/ar/lu/luLandDet.jsp?pnu=3611032027102130006&amp;isNoScr=script&amp;mode=search", "토지이음")</f>
        <v/>
      </c>
      <c r="L3484" s="3" t="inlineStr">
        <is>
          <t>강아지풀</t>
        </is>
      </c>
      <c r="M3484" s="3" t="n">
        <v>1</v>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3" t="inlineStr">
        <is>
          <t>계획관리지역,성장관리계획구역,대지,전원주택 용지로 투자가치 좋아요.</t>
        </is>
      </c>
      <c r="I3485" s="5">
        <f>HYPERLINK("https://fin.land.naver.com/articles/2649355280", "매물Link")</f>
        <v/>
      </c>
      <c r="J3485" s="5">
        <f>HYPERLINK("https://map.naver.com/p/search/연동면 송용리 261-34", "지도Link")</f>
        <v/>
      </c>
      <c r="K3485" s="5">
        <f>HYPERLINK("http://www.eum.go.kr/web/ar/lu/luLandDet.jsp?pnu=3611032027102610034&amp;isNoScr=script&amp;mode=search", "토지이음")</f>
        <v/>
      </c>
      <c r="L3485" s="3" t="inlineStr">
        <is>
          <t>마마</t>
        </is>
      </c>
      <c r="M3485" s="3" t="n">
        <v>1</v>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3" t="inlineStr">
        <is>
          <t>nan</t>
        </is>
      </c>
      <c r="I3486" s="5">
        <f>HYPERLINK("https://fin.land.naver.com/articles/2647973165", "매물Link")</f>
        <v/>
      </c>
      <c r="J3486" s="5">
        <f>HYPERLINK("https://map.naver.com/p/search/연동면 송용리 261-8", "지도Link")</f>
        <v/>
      </c>
      <c r="K3486" s="5">
        <f>HYPERLINK("http://www.eum.go.kr/web/ar/lu/luLandDet.jsp?pnu=3611032027102610008&amp;isNoScr=script&amp;mode=search", "토지이음")</f>
        <v/>
      </c>
      <c r="L3486" s="3" t="inlineStr">
        <is>
          <t>생명나무</t>
        </is>
      </c>
      <c r="M3486" s="3" t="n">
        <v>1</v>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3" t="inlineStr">
        <is>
          <t>추천. 세종시 인근 주택지</t>
        </is>
      </c>
      <c r="I3487" s="5">
        <f>HYPERLINK("https://fin.land.naver.com/articles/2645464557", "매물Link")</f>
        <v/>
      </c>
      <c r="J3487" s="5">
        <f>HYPERLINK("https://map.naver.com/p/search/연동면 송용리 4-1", "지도Link")</f>
        <v/>
      </c>
      <c r="K3487" s="5">
        <f>HYPERLINK("http://www.eum.go.kr/web/ar/lu/luLandDet.jsp?pnu=3611032027100040001&amp;isNoScr=script&amp;mode=search", "토지이음")</f>
        <v/>
      </c>
      <c r="L3487" s="3" t="inlineStr">
        <is>
          <t>강아지풀</t>
        </is>
      </c>
      <c r="M3487" s="3" t="n">
        <v>1</v>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3" t="inlineStr">
        <is>
          <t>nan</t>
        </is>
      </c>
      <c r="I3488" s="5">
        <f>HYPERLINK("https://fin.land.naver.com/articles/2646907874", "매물Link")</f>
        <v/>
      </c>
      <c r="J3488" s="5">
        <f>HYPERLINK("https://map.naver.com/p/search/연동면 송용리 82-1", "지도Link")</f>
        <v/>
      </c>
      <c r="K3488" s="5">
        <f>HYPERLINK("http://www.eum.go.kr/web/ar/lu/luLandDet.jsp?pnu=3611032027100820001&amp;isNoScr=script&amp;mode=search", "토지이음")</f>
        <v/>
      </c>
      <c r="L3488" s="3" t="inlineStr">
        <is>
          <t>장원</t>
        </is>
      </c>
      <c r="M3488" s="3" t="n">
        <v>1</v>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3" t="inlineStr">
        <is>
          <t>가격절충</t>
        </is>
      </c>
      <c r="I3489" s="5">
        <f>HYPERLINK("https://fin.land.naver.com/articles/2645908294", "매물Link")</f>
        <v/>
      </c>
      <c r="J3489" s="5">
        <f>HYPERLINK("https://map.naver.com/p/search/연동면 송용리 940-3", "지도Link")</f>
        <v/>
      </c>
      <c r="K3489" s="5">
        <f>HYPERLINK("http://www.eum.go.kr/web/ar/lu/luLandDet.jsp?pnu=3611032027109400003&amp;isNoScr=script&amp;mode=search", "토지이음")</f>
        <v/>
      </c>
      <c r="L3489" s="3" t="inlineStr">
        <is>
          <t>세종땅전문</t>
        </is>
      </c>
      <c r="M3489" s="3" t="n">
        <v>1</v>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3" t="inlineStr">
        <is>
          <t>세종시 토지로 적은 금액으로 투자하기 좋은 곳</t>
        </is>
      </c>
      <c r="I3490" s="5">
        <f>HYPERLINK("https://fin.land.naver.com/articles/2644762013", "매물Link")</f>
        <v/>
      </c>
      <c r="J3490" s="5">
        <f>HYPERLINK("https://map.naver.com/p/search/연동면 송용리 940-3", "지도Link")</f>
        <v/>
      </c>
      <c r="K3490" s="5">
        <f>HYPERLINK("http://www.eum.go.kr/web/ar/lu/luLandDet.jsp?pnu=3611032027109400003&amp;isNoScr=script&amp;mode=search", "토지이음")</f>
        <v/>
      </c>
      <c r="L3490" s="3" t="inlineStr">
        <is>
          <t>오송이가</t>
        </is>
      </c>
      <c r="M3490" s="3" t="n">
        <v>1</v>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3" t="inlineStr">
        <is>
          <t>예쁜 토지</t>
        </is>
      </c>
      <c r="I3491" s="5">
        <f>HYPERLINK("https://fin.land.naver.com/articles/2644756673", "매물Link")</f>
        <v/>
      </c>
      <c r="J3491" s="5">
        <f>HYPERLINK("https://map.naver.com/p/search/연동면 송용리 940-5", "지도Link")</f>
        <v/>
      </c>
      <c r="K3491" s="5">
        <f>HYPERLINK("http://www.eum.go.kr/web/ar/lu/luLandDet.jsp?pnu=3611032027109400005&amp;isNoScr=script&amp;mode=search", "토지이음")</f>
        <v/>
      </c>
      <c r="L3491" s="3" t="inlineStr">
        <is>
          <t>전원비래</t>
        </is>
      </c>
      <c r="M3491" s="3" t="n">
        <v>1</v>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3" t="inlineStr">
        <is>
          <t>nan</t>
        </is>
      </c>
      <c r="I3492" s="5">
        <f>HYPERLINK("https://fin.land.naver.com/articles/2645907735", "매물Link")</f>
        <v/>
      </c>
      <c r="J3492" s="5">
        <f>HYPERLINK("https://map.naver.com/p/search/연동면 송용리 963-10", "지도Link")</f>
        <v/>
      </c>
      <c r="K3492" s="5">
        <f>HYPERLINK("http://www.eum.go.kr/web/ar/lu/luLandDet.jsp?pnu=3611032027109630010&amp;isNoScr=script&amp;mode=search", "토지이음")</f>
        <v/>
      </c>
      <c r="L3492" s="3" t="inlineStr">
        <is>
          <t>세종땅전문</t>
        </is>
      </c>
      <c r="M3492" s="3" t="n">
        <v>1</v>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3" t="inlineStr">
        <is>
          <t>양면이 도로에 접해있어 접근성좋으며 농업관련 창고나 공장추천</t>
        </is>
      </c>
      <c r="I3493" s="5">
        <f>HYPERLINK("https://fin.land.naver.com/articles/2648263204", "매물Link")</f>
        <v/>
      </c>
      <c r="J3493" s="5">
        <f>HYPERLINK("https://map.naver.com/p/search/연동면 송용리 974-1", "지도Link")</f>
        <v/>
      </c>
      <c r="K3493" s="5">
        <f>HYPERLINK("http://www.eum.go.kr/web/ar/lu/luLandDet.jsp?pnu=3611032027109740001&amp;isNoScr=script&amp;mode=search", "토지이음")</f>
        <v/>
      </c>
      <c r="L3493" s="3" t="inlineStr">
        <is>
          <t>연동스카이</t>
        </is>
      </c>
      <c r="M3493" s="3" t="n">
        <v>1</v>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3" t="inlineStr">
        <is>
          <t>건축 및 투자</t>
        </is>
      </c>
      <c r="I3494" s="5">
        <f>HYPERLINK("https://fin.land.naver.com/articles/2646278884", "매물Link")</f>
        <v/>
      </c>
      <c r="J3494" s="5">
        <f>HYPERLINK("https://map.naver.com/p/search/연동면 예양리 25-1", "지도Link")</f>
        <v/>
      </c>
      <c r="K3494" s="5">
        <f>HYPERLINK("http://www.eum.go.kr/web/ar/lu/luLandDet.jsp?pnu=3611032026100250001&amp;isNoScr=script&amp;mode=search", "토지이음")</f>
        <v/>
      </c>
      <c r="L3494" s="3" t="inlineStr">
        <is>
          <t>한정호</t>
        </is>
      </c>
      <c r="M3494" s="3" t="n">
        <v>1</v>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3" t="inlineStr">
        <is>
          <t>도로접,땅모양좋습니다,조정가</t>
        </is>
      </c>
      <c r="I3495" s="5">
        <f>HYPERLINK("https://fin.land.naver.com/articles/2648103367", "매물Link")</f>
        <v/>
      </c>
      <c r="J3495" s="5">
        <f>HYPERLINK("https://map.naver.com/p/search/연동면 예양리 66-3", "지도Link")</f>
        <v/>
      </c>
      <c r="K3495" s="5">
        <f>HYPERLINK("http://www.eum.go.kr/web/ar/lu/luLandDet.jsp?pnu=3611032026100660003&amp;isNoScr=script&amp;mode=search", "토지이음")</f>
        <v/>
      </c>
      <c r="L3495" s="3" t="inlineStr">
        <is>
          <t>힐스테이트행복</t>
        </is>
      </c>
      <c r="M3495" s="3" t="n">
        <v>1</v>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3" t="inlineStr">
        <is>
          <t>농업용시설 허가완료 매물</t>
        </is>
      </c>
      <c r="I3496" s="5">
        <f>HYPERLINK("https://fin.land.naver.com/articles/2645775226", "매물Link")</f>
        <v/>
      </c>
      <c r="J3496" s="5">
        <f>HYPERLINK("https://map.naver.com/p/search/연동면 예양리 795-4", "지도Link")</f>
        <v/>
      </c>
      <c r="K3496" s="5">
        <f>HYPERLINK("http://www.eum.go.kr/web/ar/lu/luLandDet.jsp?pnu=3611032026107950004&amp;isNoScr=script&amp;mode=search", "토지이음")</f>
        <v/>
      </c>
      <c r="L3496" s="3" t="inlineStr">
        <is>
          <t>지호주식회사</t>
        </is>
      </c>
      <c r="M3496" s="3" t="n">
        <v>1</v>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3" t="inlineStr">
        <is>
          <t>대토용,투자적합</t>
        </is>
      </c>
      <c r="I3497" s="5">
        <f>HYPERLINK("https://fin.land.naver.com/articles/2647046874", "매물Link")</f>
        <v/>
      </c>
      <c r="J3497" s="5">
        <f>HYPERLINK("https://map.naver.com/p/search/연동면 예양리 828-1", "지도Link")</f>
        <v/>
      </c>
      <c r="K3497" s="5">
        <f>HYPERLINK("http://www.eum.go.kr/web/ar/lu/luLandDet.jsp?pnu=3611032026108280001&amp;isNoScr=script&amp;mode=search", "토지이음")</f>
        <v/>
      </c>
      <c r="L3497" s="3" t="inlineStr">
        <is>
          <t>지원</t>
        </is>
      </c>
      <c r="M3497" s="3" t="n">
        <v>1</v>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3" t="inlineStr">
        <is>
          <t>도로5m,3m접한 코너각지 직사각형,현재 전으로 이용중임.</t>
        </is>
      </c>
      <c r="I3498" s="5">
        <f>HYPERLINK("https://fin.land.naver.com/articles/2647235810", "매물Link")</f>
        <v/>
      </c>
      <c r="J3498" s="5">
        <f>HYPERLINK("https://map.naver.com/p/search/연동면 예양리 838-2", "지도Link")</f>
        <v/>
      </c>
      <c r="K3498" s="5">
        <f>HYPERLINK("http://www.eum.go.kr/web/ar/lu/luLandDet.jsp?pnu=3611032026108380002&amp;isNoScr=script&amp;mode=search", "토지이음")</f>
        <v/>
      </c>
      <c r="L3498" s="3" t="inlineStr">
        <is>
          <t>자이호박</t>
        </is>
      </c>
      <c r="M3498" s="3" t="n">
        <v>1</v>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3" t="inlineStr">
        <is>
          <t>3m 도로접한 계획관리</t>
        </is>
      </c>
      <c r="I3499" s="5">
        <f>HYPERLINK("https://fin.land.naver.com/articles/2644767611", "매물Link")</f>
        <v/>
      </c>
      <c r="J3499" s="5">
        <f>HYPERLINK("https://map.naver.com/p/search/연동면 예양리 99-5", "지도Link")</f>
        <v/>
      </c>
      <c r="K3499" s="5">
        <f>HYPERLINK("http://www.eum.go.kr/web/ar/lu/luLandDet.jsp?pnu=3611032026100990005&amp;isNoScr=script&amp;mode=search", "토지이음")</f>
        <v/>
      </c>
      <c r="L3499" s="3" t="inlineStr">
        <is>
          <t>세종땅사랑</t>
        </is>
      </c>
      <c r="M3499" s="3" t="n">
        <v>1</v>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3" t="inlineStr">
        <is>
          <t>nan</t>
        </is>
      </c>
      <c r="I3500" s="5">
        <f>HYPERLINK("https://fin.land.naver.com/articles/2645758542", "매물Link")</f>
        <v/>
      </c>
      <c r="J3500" s="5">
        <f>HYPERLINK("https://map.naver.com/p/search/연동면 응암리 121-4", "지도Link")</f>
        <v/>
      </c>
      <c r="K3500" s="5">
        <f>HYPERLINK("http://www.eum.go.kr/web/ar/lu/luLandDet.jsp?pnu=3611032024101210004&amp;isNoScr=script&amp;mode=search", "토지이음")</f>
        <v/>
      </c>
      <c r="L3500" s="3" t="inlineStr">
        <is>
          <t>어반통</t>
        </is>
      </c>
      <c r="M3500" s="3" t="n">
        <v>1</v>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3" t="inlineStr">
        <is>
          <t>평지,계획관리,대지,도로접,이웃필지 연접가능</t>
        </is>
      </c>
      <c r="I3501" s="5">
        <f>HYPERLINK("https://fin.land.naver.com/articles/2648020617", "매물Link")</f>
        <v/>
      </c>
      <c r="J3501" s="5">
        <f>HYPERLINK("https://map.naver.com/p/search/연동면 응암리 199-1", "지도Link")</f>
        <v/>
      </c>
      <c r="K3501" s="5">
        <f>HYPERLINK("http://www.eum.go.kr/web/ar/lu/luLandDet.jsp?pnu=3611032024101990001&amp;isNoScr=script&amp;mode=search", "토지이음")</f>
        <v/>
      </c>
      <c r="L3501" s="3" t="inlineStr">
        <is>
          <t>세종초이스</t>
        </is>
      </c>
      <c r="M3501" s="3" t="n">
        <v>1</v>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3" t="inlineStr">
        <is>
          <t>도로 높이로 성토하여 현재 블루베리 재배 2년차임</t>
        </is>
      </c>
      <c r="I3502" s="5">
        <f>HYPERLINK("https://fin.land.naver.com/articles/2649176108", "매물Link")</f>
        <v/>
      </c>
      <c r="J3502" s="5">
        <f>HYPERLINK("https://map.naver.com/p/search/연동면 응암리 253-5", "지도Link")</f>
        <v/>
      </c>
      <c r="K3502" s="5">
        <f>HYPERLINK("http://www.eum.go.kr/web/ar/lu/luLandDet.jsp?pnu=3611032024102530005&amp;isNoScr=script&amp;mode=search", "토지이음")</f>
        <v/>
      </c>
      <c r="L3502" s="3" t="inlineStr">
        <is>
          <t>그래그</t>
        </is>
      </c>
      <c r="M3502" s="3" t="n">
        <v>1</v>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3" t="inlineStr">
        <is>
          <t>nan</t>
        </is>
      </c>
      <c r="I3503" s="5">
        <f>HYPERLINK("https://fin.land.naver.com/articles/2647259477", "매물Link")</f>
        <v/>
      </c>
      <c r="J3503" s="5">
        <f>HYPERLINK("https://map.naver.com/p/search/연동면 응암리 257-5", "지도Link")</f>
        <v/>
      </c>
      <c r="K3503" s="5">
        <f>HYPERLINK("http://www.eum.go.kr/web/ar/lu/luLandDet.jsp?pnu=3611032024102570005&amp;isNoScr=script&amp;mode=search", "토지이음")</f>
        <v/>
      </c>
      <c r="L3503" s="3" t="inlineStr">
        <is>
          <t>세종땅전문</t>
        </is>
      </c>
      <c r="M3503" s="3" t="n">
        <v>1</v>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3" t="inlineStr">
        <is>
          <t>1.2차선 도로에서 바로진입 2.남청주IC 7KM소요시간 10분이내</t>
        </is>
      </c>
      <c r="I3504" s="5">
        <f>HYPERLINK("https://fin.land.naver.com/articles/2650176467", "매물Link")</f>
        <v/>
      </c>
      <c r="J3504" s="5">
        <f>HYPERLINK("https://map.naver.com/p/search/연동면 응암리 317", "지도Link")</f>
        <v/>
      </c>
      <c r="K3504" s="5">
        <f>HYPERLINK("http://www.eum.go.kr/web/ar/lu/luLandDet.jsp?pnu=3611032024103170000&amp;isNoScr=script&amp;mode=search", "토지이음")</f>
        <v/>
      </c>
      <c r="L3504" s="3" t="inlineStr">
        <is>
          <t>연동스카이</t>
        </is>
      </c>
      <c r="M3504" s="3" t="n">
        <v>2</v>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3" t="inlineStr">
        <is>
          <t>주변시세대비 저렴한 토지, 공장, 창고, 기타 환영.</t>
        </is>
      </c>
      <c r="I3505" s="5">
        <f>HYPERLINK("https://fin.land.naver.com/articles/2645625413", "매물Link")</f>
        <v/>
      </c>
      <c r="J3505" s="5">
        <f>HYPERLINK("https://map.naver.com/p/search/연동면 응암리 317", "지도Link")</f>
        <v/>
      </c>
      <c r="K3505" s="5">
        <f>HYPERLINK("http://www.eum.go.kr/web/ar/lu/luLandDet.jsp?pnu=3611032024103170000&amp;isNoScr=script&amp;mode=search", "토지이음")</f>
        <v/>
      </c>
      <c r="L3505" s="3" t="inlineStr">
        <is>
          <t>대박</t>
        </is>
      </c>
      <c r="M3505" s="3" t="n">
        <v>1</v>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3" t="inlineStr">
        <is>
          <t>세종시 연동면 투자가치 좋은 토지</t>
        </is>
      </c>
      <c r="I3506" s="5">
        <f>HYPERLINK("https://fin.land.naver.com/articles/2645321209", "매물Link")</f>
        <v/>
      </c>
      <c r="J3506" s="5">
        <f>HYPERLINK("https://map.naver.com/p/search/연동면 응암리 47-3", "지도Link")</f>
        <v/>
      </c>
      <c r="K3506" s="5">
        <f>HYPERLINK("http://www.eum.go.kr/web/ar/lu/luLandDet.jsp?pnu=3611032024100470003&amp;isNoScr=script&amp;mode=search", "토지이음")</f>
        <v/>
      </c>
      <c r="L3506" s="3" t="inlineStr">
        <is>
          <t>365</t>
        </is>
      </c>
      <c r="M3506" s="3" t="n">
        <v>1</v>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3" t="inlineStr">
        <is>
          <t>저렴한 농지 가격 레고 가능</t>
        </is>
      </c>
      <c r="I3507" s="5">
        <f>HYPERLINK("https://fin.land.naver.com/articles/2647259674", "매물Link")</f>
        <v/>
      </c>
      <c r="J3507" s="5">
        <f>HYPERLINK("https://map.naver.com/p/search/연동면 응암리 479-8", "지도Link")</f>
        <v/>
      </c>
      <c r="K3507" s="5">
        <f>HYPERLINK("http://www.eum.go.kr/web/ar/lu/luLandDet.jsp?pnu=3611032024104790008&amp;isNoScr=script&amp;mode=search", "토지이음")</f>
        <v/>
      </c>
      <c r="L3507" s="3" t="inlineStr">
        <is>
          <t>세종땅전문</t>
        </is>
      </c>
      <c r="M3507" s="3" t="n">
        <v>1</v>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3" t="inlineStr">
        <is>
          <t>nan</t>
        </is>
      </c>
      <c r="I3508" s="5">
        <f>HYPERLINK("https://fin.land.naver.com/articles/2645743219", "매물Link")</f>
        <v/>
      </c>
      <c r="J3508" s="5">
        <f>HYPERLINK("https://map.naver.com/p/search/연동면 응암리 481-1", "지도Link")</f>
        <v/>
      </c>
      <c r="K3508" s="5">
        <f>HYPERLINK("http://www.eum.go.kr/web/ar/lu/luLandDet.jsp?pnu=3611032024104810001&amp;isNoScr=script&amp;mode=search", "토지이음")</f>
        <v/>
      </c>
      <c r="L3508" s="3" t="inlineStr">
        <is>
          <t>세종몽땅</t>
        </is>
      </c>
      <c r="M3508" s="3" t="n">
        <v>1</v>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3" t="inlineStr">
        <is>
          <t>계획관리.도로접,투자용,물류교통최상,세종5생활권근접,남청주ic인접</t>
        </is>
      </c>
      <c r="I3509" s="5">
        <f>HYPERLINK("https://fin.land.naver.com/articles/2646417745", "매물Link")</f>
        <v/>
      </c>
      <c r="J3509" s="5">
        <f>HYPERLINK("https://map.naver.com/p/search/연동면 응암리 555-1", "지도Link")</f>
        <v/>
      </c>
      <c r="K3509" s="5">
        <f>HYPERLINK("http://www.eum.go.kr/web/ar/lu/luLandDet.jsp?pnu=3611032024105550001&amp;isNoScr=script&amp;mode=search", "토지이음")</f>
        <v/>
      </c>
      <c r="L3509" s="3" t="inlineStr">
        <is>
          <t>옥산제일사무소</t>
        </is>
      </c>
      <c r="M3509" s="3" t="n">
        <v>1</v>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3" t="inlineStr">
        <is>
          <t>2차선 도로접한,대,평지로 땅모양 좋아요,5생활권 및 명학 산업단지 근접</t>
        </is>
      </c>
      <c r="I3510" s="5">
        <f>HYPERLINK("https://fin.land.naver.com/articles/2647057768", "매물Link")</f>
        <v/>
      </c>
      <c r="J3510" s="5">
        <f>HYPERLINK("https://map.naver.com/p/search/연동면 응암리 584-13", "지도Link")</f>
        <v/>
      </c>
      <c r="K3510" s="5">
        <f>HYPERLINK("http://www.eum.go.kr/web/ar/lu/luLandDet.jsp?pnu=3611032024105840013&amp;isNoScr=script&amp;mode=search", "토지이음")</f>
        <v/>
      </c>
      <c r="L3510" s="3" t="inlineStr">
        <is>
          <t>해밀탑</t>
        </is>
      </c>
      <c r="M3510" s="3" t="n">
        <v>2</v>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3" t="inlineStr">
        <is>
          <t>2차선도로접  명학산업단지 5생활권 남청주ic 인근</t>
        </is>
      </c>
      <c r="I3511" s="5">
        <f>HYPERLINK("https://fin.land.naver.com/articles/2646908663", "매물Link")</f>
        <v/>
      </c>
      <c r="J3511" s="5">
        <f>HYPERLINK("https://map.naver.com/p/search/연동면 응암리 584-13", "지도Link")</f>
        <v/>
      </c>
      <c r="K3511" s="5">
        <f>HYPERLINK("http://www.eum.go.kr/web/ar/lu/luLandDet.jsp?pnu=3611032024105840013&amp;isNoScr=script&amp;mode=search", "토지이음")</f>
        <v/>
      </c>
      <c r="L3511" s="3" t="inlineStr">
        <is>
          <t>세종로또</t>
        </is>
      </c>
      <c r="M3511" s="3" t="n">
        <v>1</v>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3" t="inlineStr">
        <is>
          <t>1. 2차선도로 접한 직사각형토지 급매토지 2. 오송역 남청주IC 1</t>
        </is>
      </c>
      <c r="I3512" s="5">
        <f>HYPERLINK("https://fin.land.naver.com/articles/2646950261", "매물Link")</f>
        <v/>
      </c>
      <c r="J3512" s="5">
        <f>HYPERLINK("https://map.naver.com/p/search/연동면 응암리 584-13", "지도Link")</f>
        <v/>
      </c>
      <c r="K3512" s="5">
        <f>HYPERLINK("http://www.eum.go.kr/web/ar/lu/luLandDet.jsp?pnu=3611032024105840013&amp;isNoScr=script&amp;mode=search", "토지이음")</f>
        <v/>
      </c>
      <c r="L3512" s="3" t="inlineStr">
        <is>
          <t>연동스카이</t>
        </is>
      </c>
      <c r="M3512" s="3" t="n">
        <v>1</v>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3" t="inlineStr">
        <is>
          <t>nan</t>
        </is>
      </c>
      <c r="I3513" s="5">
        <f>HYPERLINK("https://fin.land.naver.com/articles/2645277621", "매물Link")</f>
        <v/>
      </c>
      <c r="J3513" s="5">
        <f>HYPERLINK("https://map.naver.com/p/search/연동면 응암리 602-3", "지도Link")</f>
        <v/>
      </c>
      <c r="K3513" s="5">
        <f>HYPERLINK("http://www.eum.go.kr/web/ar/lu/luLandDet.jsp?pnu=3611032024106020003&amp;isNoScr=script&amp;mode=search", "토지이음")</f>
        <v/>
      </c>
      <c r="L3513" s="3" t="inlineStr">
        <is>
          <t>부엉이</t>
        </is>
      </c>
      <c r="M3513" s="3" t="n">
        <v>2</v>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3" t="inlineStr">
        <is>
          <t>연동면 응암리 계획관리지역</t>
        </is>
      </c>
      <c r="I3514" s="5">
        <f>HYPERLINK("https://fin.land.naver.com/articles/2649787914", "매물Link")</f>
        <v/>
      </c>
      <c r="J3514" s="5">
        <f>HYPERLINK("https://map.naver.com/p/search/연동면 응암리 694", "지도Link")</f>
        <v/>
      </c>
      <c r="K3514" s="5">
        <f>HYPERLINK("http://www.eum.go.kr/web/ar/lu/luLandDet.jsp?pnu=3611032024106940000&amp;isNoScr=script&amp;mode=search", "토지이음")</f>
        <v/>
      </c>
      <c r="L3514" s="3" t="inlineStr">
        <is>
          <t>KB세종</t>
        </is>
      </c>
      <c r="M3514" s="3" t="n">
        <v>1</v>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3" t="inlineStr">
        <is>
          <t>행정중심복합도시 진입 방향 건축가능한 나대지</t>
        </is>
      </c>
      <c r="I3515" s="5">
        <f>HYPERLINK("https://fin.land.naver.com/articles/2647420850", "매물Link")</f>
        <v/>
      </c>
      <c r="J3515" s="5">
        <f>HYPERLINK("https://map.naver.com/p/search/연동면 응암리 738-8", "지도Link")</f>
        <v/>
      </c>
      <c r="K3515" s="5">
        <f>HYPERLINK("http://www.eum.go.kr/web/ar/lu/luLandDet.jsp?pnu=3611032024107380008&amp;isNoScr=script&amp;mode=search", "토지이음")</f>
        <v/>
      </c>
      <c r="L3515" s="3" t="inlineStr">
        <is>
          <t>남산제일</t>
        </is>
      </c>
      <c r="M3515" s="3" t="n">
        <v>1</v>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3" t="inlineStr">
        <is>
          <t>2차선접,땅모양 굿</t>
        </is>
      </c>
      <c r="I3516" s="5">
        <f>HYPERLINK("https://fin.land.naver.com/articles/2649526799", "매물Link")</f>
        <v/>
      </c>
      <c r="J3516" s="5">
        <f>HYPERLINK("https://map.naver.com/p/search/연동면 응암리 749-2", "지도Link")</f>
        <v/>
      </c>
      <c r="K3516" s="5">
        <f>HYPERLINK("http://www.eum.go.kr/web/ar/lu/luLandDet.jsp?pnu=3611032024107490002&amp;isNoScr=script&amp;mode=search", "토지이음")</f>
        <v/>
      </c>
      <c r="L3516" s="3" t="inlineStr">
        <is>
          <t>힐스테이트행복</t>
        </is>
      </c>
      <c r="M3516" s="3" t="n">
        <v>1</v>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3" t="inlineStr">
        <is>
          <t>2차선도로변, 5생활권주변, 카센터,타이어,물류,상가 등 추천</t>
        </is>
      </c>
      <c r="I3517" s="5">
        <f>HYPERLINK("https://fin.land.naver.com/articles/2649691502", "매물Link")</f>
        <v/>
      </c>
      <c r="J3517" s="5">
        <f>HYPERLINK("https://map.naver.com/p/search/연동면 응암리 752-2", "지도Link")</f>
        <v/>
      </c>
      <c r="K3517" s="5">
        <f>HYPERLINK("http://www.eum.go.kr/web/ar/lu/luLandDet.jsp?pnu=3611032024107520002&amp;isNoScr=script&amp;mode=search", "토지이음")</f>
        <v/>
      </c>
      <c r="L3517" s="3" t="inlineStr">
        <is>
          <t>세종큰길</t>
        </is>
      </c>
      <c r="M3517" s="3" t="n">
        <v>1</v>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3" t="inlineStr">
        <is>
          <t>마을부근의 농지로 대토 및 농업관련 업종의 소형공장이나 창고, 주택</t>
        </is>
      </c>
      <c r="I3518" s="5">
        <f>HYPERLINK("https://fin.land.naver.com/articles/2648259374", "매물Link")</f>
        <v/>
      </c>
      <c r="J3518" s="5">
        <f>HYPERLINK("https://map.naver.com/p/search/연동면 응암리 871", "지도Link")</f>
        <v/>
      </c>
      <c r="K3518" s="5">
        <f>HYPERLINK("http://www.eum.go.kr/web/ar/lu/luLandDet.jsp?pnu=3611032024108710000&amp;isNoScr=script&amp;mode=search", "토지이음")</f>
        <v/>
      </c>
      <c r="L3518" s="3" t="inlineStr">
        <is>
          <t>연동스카이</t>
        </is>
      </c>
      <c r="M3518" s="3" t="n">
        <v>1</v>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3" t="inlineStr">
        <is>
          <t>계획관리지역.4미터포장진입도로있음.물류창고용도활용가능.준보전산지.종중임야</t>
        </is>
      </c>
      <c r="I3519" s="5">
        <f>HYPERLINK("https://fin.land.naver.com/articles/2644984438", "매물Link")</f>
        <v/>
      </c>
      <c r="J3519" s="5">
        <f>HYPERLINK("https://map.naver.com/p/search/연동면 응암리 산42-6", "지도Link")</f>
        <v/>
      </c>
      <c r="K3519" s="5">
        <f>HYPERLINK("http://www.eum.go.kr/web/ar/lu/luLandDet.jsp?pnu=3611032024200420006&amp;isNoScr=script&amp;mode=search", "토지이음")</f>
        <v/>
      </c>
      <c r="L3519" s="3" t="inlineStr">
        <is>
          <t>돈방석</t>
        </is>
      </c>
      <c r="M3519" s="3" t="n">
        <v>1</v>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3" t="inlineStr">
        <is>
          <t>nan</t>
        </is>
      </c>
      <c r="I3520" s="5">
        <f>HYPERLINK("https://fin.land.naver.com/articles/2645606155", "매물Link")</f>
        <v/>
      </c>
      <c r="J3520" s="5">
        <f>HYPERLINK("https://map.naver.com/p/search/연동면 응암리 산6-1", "지도Link")</f>
        <v/>
      </c>
      <c r="K3520" s="5">
        <f>HYPERLINK("http://www.eum.go.kr/web/ar/lu/luLandDet.jsp?pnu=3611032024200060001&amp;isNoScr=script&amp;mode=search", "토지이음")</f>
        <v/>
      </c>
      <c r="L3520" s="3" t="inlineStr">
        <is>
          <t>미스터홈즈강남지사</t>
        </is>
      </c>
      <c r="M3520" s="3" t="n">
        <v>1</v>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3" t="inlineStr">
        <is>
          <t>조망이 좋고 투자가치가 높음, 인근에 비해 가격이 좋음</t>
        </is>
      </c>
      <c r="I3521" s="5">
        <f>HYPERLINK("https://fin.land.naver.com/articles/2646827360", "매물Link")</f>
        <v/>
      </c>
      <c r="J3521" s="5">
        <f>HYPERLINK("https://map.naver.com/p/search/연동면 합강리 486-41", "지도Link")</f>
        <v/>
      </c>
      <c r="K3521" s="5">
        <f>HYPERLINK("http://www.eum.go.kr/web/ar/lu/luLandDet.jsp?pnu=3611032028104860041&amp;isNoScr=script&amp;mode=search", "토지이음")</f>
        <v/>
      </c>
      <c r="L3521" s="3" t="inlineStr">
        <is>
          <t>새날</t>
        </is>
      </c>
      <c r="M3521" s="3" t="n">
        <v>1</v>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3" t="inlineStr">
        <is>
          <t>nan</t>
        </is>
      </c>
      <c r="I3522" s="5">
        <f>HYPERLINK("https://fin.land.naver.com/articles/2650048011", "매물Link")</f>
        <v/>
      </c>
      <c r="J3522" s="5">
        <f>HYPERLINK("https://map.naver.com/p/search/연동면 합강리 486-41", "지도Link")</f>
        <v/>
      </c>
      <c r="K3522" s="5">
        <f>HYPERLINK("http://www.eum.go.kr/web/ar/lu/luLandDet.jsp?pnu=3611032028104860041&amp;isNoScr=script&amp;mode=search", "토지이음")</f>
        <v/>
      </c>
      <c r="L3522" s="3" t="inlineStr">
        <is>
          <t>하이엔드</t>
        </is>
      </c>
      <c r="M3522" s="3" t="n">
        <v>1</v>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3" t="inlineStr">
        <is>
          <t>세종시 연동면 합강리 금강 인근 임야 매매</t>
        </is>
      </c>
      <c r="I3523" s="5">
        <f>HYPERLINK("https://fin.land.naver.com/articles/2646831517", "매물Link")</f>
        <v/>
      </c>
      <c r="J3523" s="5">
        <f>HYPERLINK("https://map.naver.com/p/search/연동면 합강리 486-41", "지도Link")</f>
        <v/>
      </c>
      <c r="K3523" s="5">
        <f>HYPERLINK("http://www.eum.go.kr/web/ar/lu/luLandDet.jsp?pnu=3611032028104860041&amp;isNoScr=script&amp;mode=search", "토지이음")</f>
        <v/>
      </c>
      <c r="L3523" s="3" t="inlineStr">
        <is>
          <t>뉴스카이</t>
        </is>
      </c>
      <c r="M3523" s="3" t="n">
        <v>1</v>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3" t="inlineStr">
        <is>
          <t>5생활권 인접한 세종의 꽃 합강리 무릉도원 배산임수 명당</t>
        </is>
      </c>
      <c r="I3524" s="5">
        <f>HYPERLINK("https://fin.land.naver.com/articles/2645210148", "매물Link")</f>
        <v/>
      </c>
      <c r="J3524" s="5">
        <f>HYPERLINK("https://map.naver.com/p/search/연동면 합강리 490-14", "지도Link")</f>
        <v/>
      </c>
      <c r="K3524" s="5">
        <f>HYPERLINK("http://www.eum.go.kr/web/ar/lu/luLandDet.jsp?pnu=3611032028104900014&amp;isNoScr=script&amp;mode=search", "토지이음")</f>
        <v/>
      </c>
      <c r="L3524" s="3" t="inlineStr">
        <is>
          <t>세종복댕이</t>
        </is>
      </c>
      <c r="M3524" s="3" t="n">
        <v>1</v>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3" t="inlineStr">
        <is>
          <t>nan</t>
        </is>
      </c>
      <c r="I3525" s="5">
        <f>HYPERLINK("https://fin.land.naver.com/articles/2645657449", "매물Link")</f>
        <v/>
      </c>
      <c r="J3525" s="5">
        <f>HYPERLINK("https://map.naver.com/p/search/연동면 합강리 491", "지도Link")</f>
        <v/>
      </c>
      <c r="K3525" s="5">
        <f>HYPERLINK("http://www.eum.go.kr/web/ar/lu/luLandDet.jsp?pnu=3611032028104910000&amp;isNoScr=script&amp;mode=search", "토지이음")</f>
        <v/>
      </c>
      <c r="L3525" s="3" t="inlineStr">
        <is>
          <t>하이엔드</t>
        </is>
      </c>
      <c r="M3525" s="3" t="n">
        <v>1</v>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3" t="inlineStr">
        <is>
          <t>카페입지, 좋은 위치, 상수도 전기설비완료, 농막 시설물포함, 가격절충</t>
        </is>
      </c>
      <c r="I3526" s="5">
        <f>HYPERLINK("https://fin.land.naver.com/articles/2649498432", "매물Link")</f>
        <v/>
      </c>
      <c r="J3526" s="5">
        <f>HYPERLINK("https://map.naver.com/p/search/연동면 합강리 492-4", "지도Link")</f>
        <v/>
      </c>
      <c r="K3526" s="5">
        <f>HYPERLINK("http://www.eum.go.kr/web/ar/lu/luLandDet.jsp?pnu=3611032028104920004&amp;isNoScr=script&amp;mode=search", "토지이음")</f>
        <v/>
      </c>
      <c r="L3526" s="3" t="inlineStr">
        <is>
          <t>황금힐스테이트</t>
        </is>
      </c>
      <c r="M3526" s="3" t="n">
        <v>1</v>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3" t="inlineStr">
        <is>
          <t>전망 좋은 주택지</t>
        </is>
      </c>
      <c r="I3527" s="5">
        <f>HYPERLINK("https://fin.land.naver.com/articles/2646891086", "매물Link")</f>
        <v/>
      </c>
      <c r="J3527" s="5">
        <f>HYPERLINK("https://map.naver.com/p/search/연동면 합강리 500-24", "지도Link")</f>
        <v/>
      </c>
      <c r="K3527" s="5">
        <f>HYPERLINK("http://www.eum.go.kr/web/ar/lu/luLandDet.jsp?pnu=3611032028105000024&amp;isNoScr=script&amp;mode=search", "토지이음")</f>
        <v/>
      </c>
      <c r="L3527" s="3" t="inlineStr">
        <is>
          <t>강아지풀</t>
        </is>
      </c>
      <c r="M3527" s="3" t="n">
        <v>1</v>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3" t="inlineStr">
        <is>
          <t>고복리 계획관리지역 대와 전으로 시세보다 저렴한 2필지 일괄매매.</t>
        </is>
      </c>
      <c r="I3528" s="5">
        <f>HYPERLINK("https://fin.land.naver.com/articles/2647918884", "매물Link")</f>
        <v/>
      </c>
      <c r="J3528" s="5">
        <f>HYPERLINK("https://map.naver.com/p/search/연서면 고복리 112-1", "지도Link")</f>
        <v/>
      </c>
      <c r="K3528" s="5">
        <f>HYPERLINK("http://www.eum.go.kr/web/ar/lu/luLandDet.jsp?pnu=3611036024101120001&amp;isNoScr=script&amp;mode=search", "토지이음")</f>
        <v/>
      </c>
      <c r="L3528" s="3" t="inlineStr">
        <is>
          <t>세종대장</t>
        </is>
      </c>
      <c r="M3528" s="3" t="n">
        <v>1</v>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3" t="inlineStr">
        <is>
          <t>추천. 도로접한 생산관리 농지</t>
        </is>
      </c>
      <c r="I3529" s="5">
        <f>HYPERLINK("https://fin.land.naver.com/articles/2645464010", "매물Link")</f>
        <v/>
      </c>
      <c r="J3529" s="5">
        <f>HYPERLINK("https://map.naver.com/p/search/연서면 고복리 117", "지도Link")</f>
        <v/>
      </c>
      <c r="K3529" s="5">
        <f>HYPERLINK("http://www.eum.go.kr/web/ar/lu/luLandDet.jsp?pnu=3611036024101170000&amp;isNoScr=script&amp;mode=search", "토지이음")</f>
        <v/>
      </c>
      <c r="L3529" s="3" t="inlineStr">
        <is>
          <t>강아지풀</t>
        </is>
      </c>
      <c r="M3529" s="3" t="n">
        <v>1</v>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3" t="inlineStr">
        <is>
          <t>소액추천매물,주말농장겸 투자용으로 미래가치 까지 가져가세요</t>
        </is>
      </c>
      <c r="I3530" s="5">
        <f>HYPERLINK("https://fin.land.naver.com/articles/2646793702", "매물Link")</f>
        <v/>
      </c>
      <c r="J3530" s="5">
        <f>HYPERLINK("https://map.naver.com/p/search/연서면 고복리 174-1", "지도Link")</f>
        <v/>
      </c>
      <c r="K3530" s="5">
        <f>HYPERLINK("http://www.eum.go.kr/web/ar/lu/luLandDet.jsp?pnu=3611036024101740001&amp;isNoScr=script&amp;mode=search", "토지이음")</f>
        <v/>
      </c>
      <c r="L3530" s="3" t="inlineStr">
        <is>
          <t>가치잇는</t>
        </is>
      </c>
      <c r="M3530" s="3" t="n">
        <v>4</v>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3" t="inlineStr">
        <is>
          <t>고복저수지 근방 대토또는 과수원으로 경작 추천 ,2필지 일괄매매</t>
        </is>
      </c>
      <c r="I3531" s="5">
        <f>HYPERLINK("https://fin.land.naver.com/articles/2647512056", "매물Link")</f>
        <v/>
      </c>
      <c r="J3531" s="5">
        <f>HYPERLINK("https://map.naver.com/p/search/연서면 고복리 186-1", "지도Link")</f>
        <v/>
      </c>
      <c r="K3531" s="5">
        <f>HYPERLINK("http://www.eum.go.kr/web/ar/lu/luLandDet.jsp?pnu=3611036024101860001&amp;isNoScr=script&amp;mode=search", "토지이음")</f>
        <v/>
      </c>
      <c r="L3531" s="3" t="inlineStr">
        <is>
          <t>담뜰</t>
        </is>
      </c>
      <c r="M3531" s="3" t="n">
        <v>1</v>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3" t="inlineStr">
        <is>
          <t>고복리 계획관리와 생산관리지역으로 지목이 대,과수원,창고시설 일괄급매.</t>
        </is>
      </c>
      <c r="I3532" s="5">
        <f>HYPERLINK("https://fin.land.naver.com/articles/2645179254", "매물Link")</f>
        <v/>
      </c>
      <c r="J3532" s="5">
        <f>HYPERLINK("https://map.naver.com/p/search/연서면 고복리 291-3", "지도Link")</f>
        <v/>
      </c>
      <c r="K3532" s="5">
        <f>HYPERLINK("http://www.eum.go.kr/web/ar/lu/luLandDet.jsp?pnu=3611036024102910003&amp;isNoScr=script&amp;mode=search", "토지이음")</f>
        <v/>
      </c>
      <c r="L3532" s="3" t="inlineStr">
        <is>
          <t>세종대장</t>
        </is>
      </c>
      <c r="M3532" s="3" t="n">
        <v>1</v>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3" t="inlineStr">
        <is>
          <t>급매, 연서면 고복리 마을포장도로에 접한 생산관리지역 과수원을 급매합니다</t>
        </is>
      </c>
      <c r="I3533" s="5">
        <f>HYPERLINK("https://fin.land.naver.com/articles/2647005012", "매물Link")</f>
        <v/>
      </c>
      <c r="J3533" s="5">
        <f>HYPERLINK("https://map.naver.com/p/search/연서면 고복리 294", "지도Link")</f>
        <v/>
      </c>
      <c r="K3533" s="5">
        <f>HYPERLINK("http://www.eum.go.kr/web/ar/lu/luLandDet.jsp?pnu=3611036024102940000&amp;isNoScr=script&amp;mode=search", "토지이음")</f>
        <v/>
      </c>
      <c r="L3533" s="3" t="inlineStr">
        <is>
          <t>스마일세종</t>
        </is>
      </c>
      <c r="M3533" s="3" t="n">
        <v>1</v>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3" t="inlineStr">
        <is>
          <t>고복저수지 3분, 조치원 5분 이내.</t>
        </is>
      </c>
      <c r="I3534" s="5">
        <f>HYPERLINK("https://fin.land.naver.com/articles/2649922113", "매물Link")</f>
        <v/>
      </c>
      <c r="J3534" s="5">
        <f>HYPERLINK("https://map.naver.com/p/search/연서면 고복리 373", "지도Link")</f>
        <v/>
      </c>
      <c r="K3534" s="5">
        <f>HYPERLINK("http://www.eum.go.kr/web/ar/lu/luLandDet.jsp?pnu=3611036024103730000&amp;isNoScr=script&amp;mode=search", "토지이음")</f>
        <v/>
      </c>
      <c r="L3534" s="3" t="inlineStr">
        <is>
          <t>미스터홈즈강남지사</t>
        </is>
      </c>
      <c r="M3534" s="3" t="n">
        <v>1</v>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3" t="inlineStr">
        <is>
          <t>고복저수지 인근 투자용도로 추천  가격 조율 가능</t>
        </is>
      </c>
      <c r="I3535" s="5">
        <f>HYPERLINK("https://fin.land.naver.com/articles/2649200788", "매물Link")</f>
        <v/>
      </c>
      <c r="J3535" s="5">
        <f>HYPERLINK("https://map.naver.com/p/search/연서면 고복리 395", "지도Link")</f>
        <v/>
      </c>
      <c r="K3535" s="5">
        <f>HYPERLINK("http://www.eum.go.kr/web/ar/lu/luLandDet.jsp?pnu=3611036024103950000&amp;isNoScr=script&amp;mode=search", "토지이음")</f>
        <v/>
      </c>
      <c r="L3535" s="3" t="inlineStr">
        <is>
          <t>뉴엘리트탑</t>
        </is>
      </c>
      <c r="M3535" s="3" t="n">
        <v>1</v>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3" t="inlineStr">
        <is>
          <t>고복저수지 뷰 좋아요</t>
        </is>
      </c>
      <c r="I3536" s="5">
        <f>HYPERLINK("https://fin.land.naver.com/articles/2646008035", "매물Link")</f>
        <v/>
      </c>
      <c r="J3536" s="5">
        <f>HYPERLINK("https://map.naver.com/p/search/연서면 고복리 415-34", "지도Link")</f>
        <v/>
      </c>
      <c r="K3536" s="5">
        <f>HYPERLINK("http://www.eum.go.kr/web/ar/lu/luLandDet.jsp?pnu=3611036024104150034&amp;isNoScr=script&amp;mode=search", "토지이음")</f>
        <v/>
      </c>
      <c r="L3536" s="3" t="inlineStr">
        <is>
          <t>세종대박</t>
        </is>
      </c>
      <c r="M3536" s="3" t="n">
        <v>1</v>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3" t="inlineStr">
        <is>
          <t>고복저수지 바로 인접한 토지매매 넓은 면적에 탁트인 전망 매매가격 조절가</t>
        </is>
      </c>
      <c r="I3537" s="5">
        <f>HYPERLINK("https://fin.land.naver.com/articles/2647450406", "매물Link")</f>
        <v/>
      </c>
      <c r="J3537" s="5">
        <f>HYPERLINK("https://map.naver.com/p/search/연서면 고복리 415-54", "지도Link")</f>
        <v/>
      </c>
      <c r="K3537" s="5">
        <f>HYPERLINK("http://www.eum.go.kr/web/ar/lu/luLandDet.jsp?pnu=3611036024104150054&amp;isNoScr=script&amp;mode=search", "토지이음")</f>
        <v/>
      </c>
      <c r="L3537" s="3" t="inlineStr">
        <is>
          <t>효성해링턴오복</t>
        </is>
      </c>
      <c r="M3537" s="3" t="n">
        <v>1</v>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3" t="inlineStr">
        <is>
          <t>nan</t>
        </is>
      </c>
      <c r="I3538" s="5">
        <f>HYPERLINK("https://fin.land.naver.com/articles/2648826287", "매물Link")</f>
        <v/>
      </c>
      <c r="J3538" s="5">
        <f>HYPERLINK("https://map.naver.com/p/search/연서면 고복리 42-7", "지도Link")</f>
        <v/>
      </c>
      <c r="K3538" s="5">
        <f>HYPERLINK("http://www.eum.go.kr/web/ar/lu/luLandDet.jsp?pnu=3611036024100420007&amp;isNoScr=script&amp;mode=search", "토지이음")</f>
        <v/>
      </c>
      <c r="L3538" s="3" t="inlineStr">
        <is>
          <t>푸른들</t>
        </is>
      </c>
      <c r="M3538" s="3" t="n">
        <v>1</v>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3" t="inlineStr">
        <is>
          <t>절충가능한 연서면 고복리 농림지역 대토용 토지를 급매합니다</t>
        </is>
      </c>
      <c r="I3539" s="5">
        <f>HYPERLINK("https://fin.land.naver.com/articles/2645199661", "매물Link")</f>
        <v/>
      </c>
      <c r="J3539" s="5">
        <f>HYPERLINK("https://map.naver.com/p/search/연서면 고복리 45-4", "지도Link")</f>
        <v/>
      </c>
      <c r="K3539" s="5">
        <f>HYPERLINK("http://www.eum.go.kr/web/ar/lu/luLandDet.jsp?pnu=3611036024100450004&amp;isNoScr=script&amp;mode=search", "토지이음")</f>
        <v/>
      </c>
      <c r="L3539" s="3" t="inlineStr">
        <is>
          <t>스마일세종</t>
        </is>
      </c>
      <c r="M3539" s="3" t="n">
        <v>1</v>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3" t="inlineStr">
        <is>
          <t>nan</t>
        </is>
      </c>
      <c r="I3540" s="5">
        <f>HYPERLINK("https://fin.land.naver.com/articles/2646331785", "매물Link")</f>
        <v/>
      </c>
      <c r="J3540" s="5">
        <f>HYPERLINK("https://map.naver.com/p/search/연서면 고복리 46-5", "지도Link")</f>
        <v/>
      </c>
      <c r="K3540" s="5">
        <f>HYPERLINK("http://www.eum.go.kr/web/ar/lu/luLandDet.jsp?pnu=3611036024100460005&amp;isNoScr=script&amp;mode=search", "토지이음")</f>
        <v/>
      </c>
      <c r="L3540" s="3" t="inlineStr">
        <is>
          <t>행운IPARK</t>
        </is>
      </c>
      <c r="M3540" s="3" t="n">
        <v>1</v>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3" t="inlineStr">
        <is>
          <t>고복저수지 책 박물관 옆</t>
        </is>
      </c>
      <c r="I3541" s="5">
        <f>HYPERLINK("https://fin.land.naver.com/articles/2646829683", "매물Link")</f>
        <v/>
      </c>
      <c r="J3541" s="5">
        <f>HYPERLINK("https://map.naver.com/p/search/연서면 고복리 469-2", "지도Link")</f>
        <v/>
      </c>
      <c r="K3541" s="5">
        <f>HYPERLINK("http://www.eum.go.kr/web/ar/lu/luLandDet.jsp?pnu=3611036024104690002&amp;isNoScr=script&amp;mode=search", "토지이음")</f>
        <v/>
      </c>
      <c r="L3541" s="3" t="inlineStr">
        <is>
          <t>새땅</t>
        </is>
      </c>
      <c r="M3541" s="3" t="n">
        <v>1</v>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3" t="inlineStr">
        <is>
          <t>nan</t>
        </is>
      </c>
      <c r="I3542" s="5">
        <f>HYPERLINK("https://fin.land.naver.com/articles/2644905986", "매물Link")</f>
        <v/>
      </c>
      <c r="J3542" s="5">
        <f>HYPERLINK("https://map.naver.com/p/search/연서면 고복리 548-16", "지도Link")</f>
        <v/>
      </c>
      <c r="K3542" s="5">
        <f>HYPERLINK("http://www.eum.go.kr/web/ar/lu/luLandDet.jsp?pnu=3611036024105480016&amp;isNoScr=script&amp;mode=search", "토지이음")</f>
        <v/>
      </c>
      <c r="L3542" s="3" t="inlineStr">
        <is>
          <t>KB</t>
        </is>
      </c>
      <c r="M3542" s="3" t="n">
        <v>1</v>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3" t="inlineStr">
        <is>
          <t>도로지분있음,주변개발가능성많은곳임야.맹지아님.조절가능.연서면고복저수지조망</t>
        </is>
      </c>
      <c r="I3543" s="5">
        <f>HYPERLINK("https://fin.land.naver.com/articles/2646411392", "매물Link")</f>
        <v/>
      </c>
      <c r="J3543" s="5">
        <f>HYPERLINK("https://map.naver.com/p/search/연서면 고복리 548-3", "지도Link")</f>
        <v/>
      </c>
      <c r="K3543" s="5">
        <f>HYPERLINK("http://www.eum.go.kr/web/ar/lu/luLandDet.jsp?pnu=3611036024105480003&amp;isNoScr=script&amp;mode=search", "토지이음")</f>
        <v/>
      </c>
      <c r="L3543" s="3" t="inlineStr">
        <is>
          <t>테크노금성</t>
        </is>
      </c>
      <c r="M3543" s="3" t="n">
        <v>1</v>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3" t="inlineStr">
        <is>
          <t>고복저수지 최고 조망권을 가진 주택지</t>
        </is>
      </c>
      <c r="I3544" s="5">
        <f>HYPERLINK("https://fin.land.naver.com/articles/2644525398", "매물Link")</f>
        <v/>
      </c>
      <c r="J3544" s="5">
        <f>HYPERLINK("https://map.naver.com/p/search/연서면 고복리 556-12", "지도Link")</f>
        <v/>
      </c>
      <c r="K3544" s="5">
        <f>HYPERLINK("http://www.eum.go.kr/web/ar/lu/luLandDet.jsp?pnu=3611036024105560012&amp;isNoScr=script&amp;mode=search", "토지이음")</f>
        <v/>
      </c>
      <c r="L3544" s="3" t="inlineStr">
        <is>
          <t>용궁</t>
        </is>
      </c>
      <c r="M3544" s="3" t="n">
        <v>1</v>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3" t="inlineStr">
        <is>
          <t>2필지 대지와근생건물 일괄매매.고복저수지인접.</t>
        </is>
      </c>
      <c r="I3545" s="5">
        <f>HYPERLINK("https://fin.land.naver.com/articles/2646788234", "매물Link")</f>
        <v/>
      </c>
      <c r="J3545" s="5">
        <f>HYPERLINK("https://map.naver.com/p/search/연서면 고복리 556-28", "지도Link")</f>
        <v/>
      </c>
      <c r="K3545" s="5">
        <f>HYPERLINK("http://www.eum.go.kr/web/ar/lu/luLandDet.jsp?pnu=3611036024105560028&amp;isNoScr=script&amp;mode=search", "토지이음")</f>
        <v/>
      </c>
      <c r="L3545" s="3" t="inlineStr">
        <is>
          <t>담뜰</t>
        </is>
      </c>
      <c r="M3545" s="3" t="n">
        <v>1</v>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3" t="inlineStr">
        <is>
          <t>저수지 뷰가 최상이며 필요한 평수 만큼 분할 매매도 가능합니다.</t>
        </is>
      </c>
      <c r="I3546" s="5">
        <f>HYPERLINK("https://fin.land.naver.com/articles/2649234828", "매물Link")</f>
        <v/>
      </c>
      <c r="J3546" s="5">
        <f>HYPERLINK("https://map.naver.com/p/search/연서면 고복리 557-4", "지도Link")</f>
        <v/>
      </c>
      <c r="K3546" s="5">
        <f>HYPERLINK("http://www.eum.go.kr/web/ar/lu/luLandDet.jsp?pnu=3611036024105570004&amp;isNoScr=script&amp;mode=search", "토지이음")</f>
        <v/>
      </c>
      <c r="L3546" s="3" t="inlineStr">
        <is>
          <t>신흥주공</t>
        </is>
      </c>
      <c r="M3546" s="3" t="n">
        <v>1</v>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3" t="inlineStr">
        <is>
          <t>대토용 및 주말농장</t>
        </is>
      </c>
      <c r="I3547" s="5">
        <f>HYPERLINK("https://fin.land.naver.com/articles/2645775432", "매물Link")</f>
        <v/>
      </c>
      <c r="J3547" s="5">
        <f>HYPERLINK("https://map.naver.com/p/search/연서면 고복리 56-10", "지도Link")</f>
        <v/>
      </c>
      <c r="K3547" s="5">
        <f>HYPERLINK("http://www.eum.go.kr/web/ar/lu/luLandDet.jsp?pnu=3611036024100560010&amp;isNoScr=script&amp;mode=search", "토지이음")</f>
        <v/>
      </c>
      <c r="L3547" s="3" t="inlineStr">
        <is>
          <t>지호주식회사</t>
        </is>
      </c>
      <c r="M3547" s="3" t="n">
        <v>1</v>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3" t="inlineStr">
        <is>
          <t>투자용, 주말 농장용으로 추천 합니다</t>
        </is>
      </c>
      <c r="I3548" s="5">
        <f>HYPERLINK("https://fin.land.naver.com/articles/2644444568", "매물Link")</f>
        <v/>
      </c>
      <c r="J3548" s="5">
        <f>HYPERLINK("https://map.naver.com/p/search/연서면 고복리 56-10", "지도Link")</f>
        <v/>
      </c>
      <c r="K3548" s="5">
        <f>HYPERLINK("http://www.eum.go.kr/web/ar/lu/luLandDet.jsp?pnu=3611036024100560010&amp;isNoScr=script&amp;mode=search", "토지이음")</f>
        <v/>
      </c>
      <c r="L3548" s="3" t="inlineStr">
        <is>
          <t>세종대박</t>
        </is>
      </c>
      <c r="M3548" s="3" t="n">
        <v>1</v>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3" t="inlineStr">
        <is>
          <t>대토용, 자경용, 전원주택, 투자용으로 추천.</t>
        </is>
      </c>
      <c r="I3549" s="5">
        <f>HYPERLINK("https://fin.land.naver.com/articles/2650165339", "매물Link")</f>
        <v/>
      </c>
      <c r="J3549" s="5">
        <f>HYPERLINK("https://map.naver.com/p/search/연서면 고복리 589", "지도Link")</f>
        <v/>
      </c>
      <c r="K3549" s="5">
        <f>HYPERLINK("http://www.eum.go.kr/web/ar/lu/luLandDet.jsp?pnu=3611036024105890000&amp;isNoScr=script&amp;mode=search", "토지이음")</f>
        <v/>
      </c>
      <c r="L3549" s="3" t="inlineStr">
        <is>
          <t>세종대장</t>
        </is>
      </c>
      <c r="M3549" s="3" t="n">
        <v>1</v>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3" t="inlineStr">
        <is>
          <t>고복저수지 인근의 전원주택지, 3필지</t>
        </is>
      </c>
      <c r="I3550" s="5">
        <f>HYPERLINK("https://fin.land.naver.com/articles/2647255708", "매물Link")</f>
        <v/>
      </c>
      <c r="J3550" s="5">
        <f>HYPERLINK("https://map.naver.com/p/search/연서면 고복리 97-4", "지도Link")</f>
        <v/>
      </c>
      <c r="K3550" s="5">
        <f>HYPERLINK("http://www.eum.go.kr/web/ar/lu/luLandDet.jsp?pnu=3611036024100970004&amp;isNoScr=script&amp;mode=search", "토지이음")</f>
        <v/>
      </c>
      <c r="L3550" s="3" t="inlineStr">
        <is>
          <t>세종공감</t>
        </is>
      </c>
      <c r="M3550" s="3" t="n">
        <v>1</v>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3" t="inlineStr">
        <is>
          <t>세종시 임야 지분 매매</t>
        </is>
      </c>
      <c r="I3551" s="5">
        <f>HYPERLINK("https://fin.land.naver.com/articles/2649010337", "매물Link")</f>
        <v/>
      </c>
      <c r="J3551" s="5">
        <f>HYPERLINK("https://map.naver.com/p/search/연서면 고복리 산 3", "지도Link")</f>
        <v/>
      </c>
      <c r="K3551" s="5">
        <f>HYPERLINK("http://www.eum.go.kr/web/ar/lu/luLandDet.jsp?pnu=3611036024200030000&amp;isNoScr=script&amp;mode=search", "토지이음")</f>
        <v/>
      </c>
      <c r="L3551" s="3" t="inlineStr">
        <is>
          <t>최고봉</t>
        </is>
      </c>
      <c r="M3551" s="3" t="n">
        <v>1</v>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3" t="inlineStr">
        <is>
          <t>명성공인, 급매 연서면 임야 추천 매물</t>
        </is>
      </c>
      <c r="I3552" s="5">
        <f>HYPERLINK("https://fin.land.naver.com/articles/2644660100", "매물Link")</f>
        <v/>
      </c>
      <c r="J3552" s="5">
        <f>HYPERLINK("https://map.naver.com/p/search/연서면 고복리 산102-1", "지도Link")</f>
        <v/>
      </c>
      <c r="K3552" s="5">
        <f>HYPERLINK("http://www.eum.go.kr/web/ar/lu/luLandDet.jsp?pnu=3611036024201020001&amp;isNoScr=script&amp;mode=search", "토지이음")</f>
        <v/>
      </c>
      <c r="L3552" s="3" t="inlineStr">
        <is>
          <t>명성</t>
        </is>
      </c>
      <c r="M3552" s="3" t="n">
        <v>1</v>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3" t="inlineStr">
        <is>
          <t>고복저수지가 잘 보이고 포장도로에 접한 경사도 완만한 보전관리지역의 임야</t>
        </is>
      </c>
      <c r="I3553" s="5">
        <f>HYPERLINK("https://fin.land.naver.com/articles/2648172406", "매물Link")</f>
        <v/>
      </c>
      <c r="J3553" s="5">
        <f>HYPERLINK("https://map.naver.com/p/search/연서면 고복리 산34-6", "지도Link")</f>
        <v/>
      </c>
      <c r="K3553" s="5">
        <f>HYPERLINK("http://www.eum.go.kr/web/ar/lu/luLandDet.jsp?pnu=3611036024200340006&amp;isNoScr=script&amp;mode=search", "토지이음")</f>
        <v/>
      </c>
      <c r="L3553" s="3" t="inlineStr">
        <is>
          <t>스마일세종</t>
        </is>
      </c>
      <c r="M3553" s="3" t="n">
        <v>1</v>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3" t="inlineStr">
        <is>
          <t>절충가능, 경사도가 완만하여 전원주택부지로 개발하기 최적의 토지입니다.</t>
        </is>
      </c>
      <c r="I3554" s="5">
        <f>HYPERLINK("https://fin.land.naver.com/articles/2647698471", "매물Link")</f>
        <v/>
      </c>
      <c r="J3554" s="5">
        <f>HYPERLINK("https://map.naver.com/p/search/연서면 고복리 산96-6", "지도Link")</f>
        <v/>
      </c>
      <c r="K3554" s="5">
        <f>HYPERLINK("http://www.eum.go.kr/web/ar/lu/luLandDet.jsp?pnu=3611036024200960006&amp;isNoScr=script&amp;mode=search", "토지이음")</f>
        <v/>
      </c>
      <c r="L3554" s="3" t="inlineStr">
        <is>
          <t>스마일세종</t>
        </is>
      </c>
      <c r="M3554" s="3" t="n">
        <v>1</v>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3" t="inlineStr">
        <is>
          <t>근린상가 건축허가 득한 스마트국가산업단지 인근의 계획관리지역의 평탄한임야</t>
        </is>
      </c>
      <c r="I3555" s="5">
        <f>HYPERLINK("https://fin.land.naver.com/articles/2646257012", "매물Link")</f>
        <v/>
      </c>
      <c r="J3555" s="5">
        <f>HYPERLINK("https://map.naver.com/p/search/연서면 국촌리 166-29", "지도Link")</f>
        <v/>
      </c>
      <c r="K3555" s="5">
        <f>HYPERLINK("http://www.eum.go.kr/web/ar/lu/luLandDet.jsp?pnu=3611036030101660029&amp;isNoScr=script&amp;mode=search", "토지이음")</f>
        <v/>
      </c>
      <c r="L3555" s="3" t="inlineStr">
        <is>
          <t>스마일세종</t>
        </is>
      </c>
      <c r="M3555" s="3" t="n">
        <v>1</v>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3" t="inlineStr">
        <is>
          <t>급매,도로접한 계획관리지역,알토란 토지,가격조정가능</t>
        </is>
      </c>
      <c r="I3556" s="5">
        <f>HYPERLINK("https://fin.land.naver.com/articles/2645370986", "매물Link")</f>
        <v/>
      </c>
      <c r="J3556" s="5">
        <f>HYPERLINK("https://map.naver.com/p/search/연서면 국촌리 24", "지도Link")</f>
        <v/>
      </c>
      <c r="K3556" s="5">
        <f>HYPERLINK("http://www.eum.go.kr/web/ar/lu/luLandDet.jsp?pnu=3611036030100240000&amp;isNoScr=script&amp;mode=search", "토지이음")</f>
        <v/>
      </c>
      <c r="L3556" s="3" t="inlineStr">
        <is>
          <t>고운맘</t>
        </is>
      </c>
      <c r="M3556" s="3" t="n">
        <v>1</v>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3" t="inlineStr">
        <is>
          <t>스마트국가산업단지와 북세종IC 인근 계획관리지역 토지로 지가상승 예상.</t>
        </is>
      </c>
      <c r="I3557" s="5">
        <f>HYPERLINK("https://fin.land.naver.com/articles/2644820086", "매물Link")</f>
        <v/>
      </c>
      <c r="J3557" s="5">
        <f>HYPERLINK("https://map.naver.com/p/search/연서면 국촌리 24", "지도Link")</f>
        <v/>
      </c>
      <c r="K3557" s="5">
        <f>HYPERLINK("http://www.eum.go.kr/web/ar/lu/luLandDet.jsp?pnu=3611036030100240000&amp;isNoScr=script&amp;mode=search", "토지이음")</f>
        <v/>
      </c>
      <c r="L3557" s="3" t="inlineStr">
        <is>
          <t>세종대장</t>
        </is>
      </c>
      <c r="M3557" s="3" t="n">
        <v>2</v>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3" t="inlineStr">
        <is>
          <t>추천. 세종스마트산단 인접 대지</t>
        </is>
      </c>
      <c r="I3558" s="5">
        <f>HYPERLINK("https://fin.land.naver.com/articles/2649193716", "매물Link")</f>
        <v/>
      </c>
      <c r="J3558" s="5">
        <f>HYPERLINK("https://map.naver.com/p/search/연서면 국촌리 321-8", "지도Link")</f>
        <v/>
      </c>
      <c r="K3558" s="5">
        <f>HYPERLINK("http://www.eum.go.kr/web/ar/lu/luLandDet.jsp?pnu=3611036030103210008&amp;isNoScr=script&amp;mode=search", "토지이음")</f>
        <v/>
      </c>
      <c r="L3558" s="3" t="inlineStr">
        <is>
          <t>강아지풀</t>
        </is>
      </c>
      <c r="M3558" s="3" t="n">
        <v>1</v>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3" t="inlineStr">
        <is>
          <t>연서면 국촌리토지 북세종IC예정지 와 5분 계획관리 세종국가산업단지인근</t>
        </is>
      </c>
      <c r="I3559" s="5">
        <f>HYPERLINK("https://fin.land.naver.com/articles/2645413011", "매물Link")</f>
        <v/>
      </c>
      <c r="J3559" s="5">
        <f>HYPERLINK("https://map.naver.com/p/search/연서면 국촌리 322-44", "지도Link")</f>
        <v/>
      </c>
      <c r="K3559" s="5">
        <f>HYPERLINK("http://www.eum.go.kr/web/ar/lu/luLandDet.jsp?pnu=3611036030103220044&amp;isNoScr=script&amp;mode=search", "토지이음")</f>
        <v/>
      </c>
      <c r="L3559" s="3" t="inlineStr">
        <is>
          <t>지성</t>
        </is>
      </c>
      <c r="M3559" s="3" t="n">
        <v>1</v>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3" t="inlineStr">
        <is>
          <t>연서면 국촌리 농림지역 토지, 국가산업단지 인근, 대토, 필지별 매매</t>
        </is>
      </c>
      <c r="I3560" s="5">
        <f>HYPERLINK("https://fin.land.naver.com/articles/2648714185", "매물Link")</f>
        <v/>
      </c>
      <c r="J3560" s="5">
        <f>HYPERLINK("https://map.naver.com/p/search/연서면 국촌리 53-4", "지도Link")</f>
        <v/>
      </c>
      <c r="K3560" s="5">
        <f>HYPERLINK("http://www.eum.go.kr/web/ar/lu/luLandDet.jsp?pnu=3611036030100530004&amp;isNoScr=script&amp;mode=search", "토지이음")</f>
        <v/>
      </c>
      <c r="L3560" s="3" t="inlineStr">
        <is>
          <t>스카이</t>
        </is>
      </c>
      <c r="M3560" s="3" t="n">
        <v>1</v>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3" t="inlineStr">
        <is>
          <t>대토,투자로 좋은 위치의 토지입니다</t>
        </is>
      </c>
      <c r="I3561" s="5">
        <f>HYPERLINK("https://fin.land.naver.com/articles/2644444570", "매물Link")</f>
        <v/>
      </c>
      <c r="J3561" s="5">
        <f>HYPERLINK("https://map.naver.com/p/search/연서면 국촌리 53-5", "지도Link")</f>
        <v/>
      </c>
      <c r="K3561" s="5">
        <f>HYPERLINK("http://www.eum.go.kr/web/ar/lu/luLandDet.jsp?pnu=3611036030100530005&amp;isNoScr=script&amp;mode=search", "토지이음")</f>
        <v/>
      </c>
      <c r="L3561" s="3" t="inlineStr">
        <is>
          <t>세종대박</t>
        </is>
      </c>
      <c r="M3561" s="3" t="n">
        <v>1</v>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3" t="inlineStr">
        <is>
          <t>세종국가산업단지 연서면 국촌리 토지</t>
        </is>
      </c>
      <c r="I3562" s="5">
        <f>HYPERLINK("https://fin.land.naver.com/articles/2646241465", "매물Link")</f>
        <v/>
      </c>
      <c r="J3562" s="5">
        <f>HYPERLINK("https://map.naver.com/p/search/연서면 국촌리 59-9", "지도Link")</f>
        <v/>
      </c>
      <c r="K3562" s="5">
        <f>HYPERLINK("http://www.eum.go.kr/web/ar/lu/luLandDet.jsp?pnu=3611036030100590009&amp;isNoScr=script&amp;mode=search", "토지이음")</f>
        <v/>
      </c>
      <c r="L3562" s="3" t="inlineStr">
        <is>
          <t>지성</t>
        </is>
      </c>
      <c r="M3562" s="3" t="n">
        <v>3</v>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3" t="inlineStr">
        <is>
          <t>시내와 가깝고 북세종 IC 인접, 창고에서 월세 나오는 농지</t>
        </is>
      </c>
      <c r="I3563" s="5">
        <f>HYPERLINK("https://fin.land.naver.com/articles/2644334560", "매물Link")</f>
        <v/>
      </c>
      <c r="J3563" s="5">
        <f>HYPERLINK("https://map.naver.com/p/search/연서면 국촌리 76-5", "지도Link")</f>
        <v/>
      </c>
      <c r="K3563" s="5">
        <f>HYPERLINK("http://www.eum.go.kr/web/ar/lu/luLandDet.jsp?pnu=3611036030100760005&amp;isNoScr=script&amp;mode=search", "토지이음")</f>
        <v/>
      </c>
      <c r="L3563" s="3" t="inlineStr">
        <is>
          <t>신와촌</t>
        </is>
      </c>
      <c r="M3563" s="3" t="n">
        <v>1</v>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3" t="inlineStr">
        <is>
          <t>농업인 아니더라도 주말체험가능, 컨테이너,수도,전기,통신 설치됨.</t>
        </is>
      </c>
      <c r="I3564" s="5">
        <f>HYPERLINK("https://fin.land.naver.com/articles/2648906327", "매물Link")</f>
        <v/>
      </c>
      <c r="J3564" s="5">
        <f>HYPERLINK("https://map.naver.com/p/search/연서면 기룡리 137-1", "지도Link")</f>
        <v/>
      </c>
      <c r="K3564" s="5">
        <f>HYPERLINK("http://www.eum.go.kr/web/ar/lu/luLandDet.jsp?pnu=3611036028101370001&amp;isNoScr=script&amp;mode=search", "토지이음")</f>
        <v/>
      </c>
      <c r="L3564" s="3" t="inlineStr">
        <is>
          <t>세종대장</t>
        </is>
      </c>
      <c r="M3564" s="3" t="n">
        <v>1</v>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3" t="inlineStr">
        <is>
          <t>국가산단 인근 토지 매매</t>
        </is>
      </c>
      <c r="I3565" s="5">
        <f>HYPERLINK("https://fin.land.naver.com/articles/2648030618", "매물Link")</f>
        <v/>
      </c>
      <c r="J3565" s="5">
        <f>HYPERLINK("https://map.naver.com/p/search/연서면 기룡리 137-3", "지도Link")</f>
        <v/>
      </c>
      <c r="K3565" s="5">
        <f>HYPERLINK("http://www.eum.go.kr/web/ar/lu/luLandDet.jsp?pnu=3611036028101370003&amp;isNoScr=script&amp;mode=search", "토지이음")</f>
        <v/>
      </c>
      <c r="L3565" s="3" t="inlineStr">
        <is>
          <t>THE행복</t>
        </is>
      </c>
      <c r="M3565" s="3" t="n">
        <v>1</v>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3" t="inlineStr">
        <is>
          <t>지적도상 맹지이지만 구거를 통해 통행 가능함.</t>
        </is>
      </c>
      <c r="I3566" s="5">
        <f>HYPERLINK("https://fin.land.naver.com/articles/2646205022", "매물Link")</f>
        <v/>
      </c>
      <c r="J3566" s="5">
        <f>HYPERLINK("https://map.naver.com/p/search/연서면 기룡리 143", "지도Link")</f>
        <v/>
      </c>
      <c r="K3566" s="5">
        <f>HYPERLINK("http://www.eum.go.kr/web/ar/lu/luLandDet.jsp?pnu=3611036028101430000&amp;isNoScr=script&amp;mode=search", "토지이음")</f>
        <v/>
      </c>
      <c r="L3566" s="3" t="inlineStr">
        <is>
          <t>해들일번지</t>
        </is>
      </c>
      <c r="M3566" s="3" t="n">
        <v>1</v>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3" t="inlineStr">
        <is>
          <t>국가산업단지 인근 투자성 높은 토지</t>
        </is>
      </c>
      <c r="I3567" s="5">
        <f>HYPERLINK("https://fin.land.naver.com/articles/2644495846", "매물Link")</f>
        <v/>
      </c>
      <c r="J3567" s="5">
        <f>HYPERLINK("https://map.naver.com/p/search/연서면 기룡리 145", "지도Link")</f>
        <v/>
      </c>
      <c r="K3567" s="5">
        <f>HYPERLINK("http://www.eum.go.kr/web/ar/lu/luLandDet.jsp?pnu=3611036028101450000&amp;isNoScr=script&amp;mode=search", "토지이음")</f>
        <v/>
      </c>
      <c r="L3567" s="3" t="inlineStr">
        <is>
          <t>세종시해냄</t>
        </is>
      </c>
      <c r="M3567" s="3" t="n">
        <v>1</v>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3" t="inlineStr">
        <is>
          <t>급매, 구거 이용하여 출입 가능함</t>
        </is>
      </c>
      <c r="I3568" s="5">
        <f>HYPERLINK("https://fin.land.naver.com/articles/2646204251", "매물Link")</f>
        <v/>
      </c>
      <c r="J3568" s="5">
        <f>HYPERLINK("https://map.naver.com/p/search/연서면 기룡리 156-4", "지도Link")</f>
        <v/>
      </c>
      <c r="K3568" s="5">
        <f>HYPERLINK("http://www.eum.go.kr/web/ar/lu/luLandDet.jsp?pnu=3611036028101560004&amp;isNoScr=script&amp;mode=search", "토지이음")</f>
        <v/>
      </c>
      <c r="L3568" s="3" t="inlineStr">
        <is>
          <t>해들일번지</t>
        </is>
      </c>
      <c r="M3568" s="3" t="n">
        <v>1</v>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3" t="inlineStr">
        <is>
          <t>연서면 기룡리 생산관리 토지, 도로접, 국가산단 인근</t>
        </is>
      </c>
      <c r="I3569" s="5">
        <f>HYPERLINK("https://fin.land.naver.com/articles/2647371400", "매물Link")</f>
        <v/>
      </c>
      <c r="J3569" s="5">
        <f>HYPERLINK("https://map.naver.com/p/search/연서면 기룡리 17", "지도Link")</f>
        <v/>
      </c>
      <c r="K3569" s="5">
        <f>HYPERLINK("http://www.eum.go.kr/web/ar/lu/luLandDet.jsp?pnu=3611036028100170000&amp;isNoScr=script&amp;mode=search", "토지이음")</f>
        <v/>
      </c>
      <c r="L3569" s="3" t="inlineStr">
        <is>
          <t>스카이</t>
        </is>
      </c>
      <c r="M3569" s="3" t="n">
        <v>1</v>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3" t="inlineStr">
        <is>
          <t>기룡리토지매매 가격조정가능</t>
        </is>
      </c>
      <c r="I3570" s="5">
        <f>HYPERLINK("https://fin.land.naver.com/articles/2646711689", "매물Link")</f>
        <v/>
      </c>
      <c r="J3570" s="5">
        <f>HYPERLINK("https://map.naver.com/p/search/연서면 기룡리 277-1", "지도Link")</f>
        <v/>
      </c>
      <c r="K3570" s="5">
        <f>HYPERLINK("http://www.eum.go.kr/web/ar/lu/luLandDet.jsp?pnu=3611036028102770001&amp;isNoScr=script&amp;mode=search", "토지이음")</f>
        <v/>
      </c>
      <c r="L3570" s="3" t="inlineStr">
        <is>
          <t>고운동리치세종</t>
        </is>
      </c>
      <c r="M3570" s="3" t="n">
        <v>1</v>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3" t="inlineStr">
        <is>
          <t>계획관리지역</t>
        </is>
      </c>
      <c r="I3571" s="5">
        <f>HYPERLINK("https://fin.land.naver.com/articles/2648732748", "매물Link")</f>
        <v/>
      </c>
      <c r="J3571" s="5">
        <f>HYPERLINK("https://map.naver.com/p/search/연서면 기룡리 332-2", "지도Link")</f>
        <v/>
      </c>
      <c r="K3571" s="5">
        <f>HYPERLINK("http://www.eum.go.kr/web/ar/lu/luLandDet.jsp?pnu=3611036028103320002&amp;isNoScr=script&amp;mode=search", "토지이음")</f>
        <v/>
      </c>
      <c r="L3571" s="3" t="inlineStr">
        <is>
          <t>다산</t>
        </is>
      </c>
      <c r="M3571" s="3" t="n">
        <v>1</v>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3" t="inlineStr">
        <is>
          <t>여러필지이며 투자및 경작용으로 매우 좋음</t>
        </is>
      </c>
      <c r="I3572" s="5">
        <f>HYPERLINK("https://fin.land.naver.com/articles/2648549270", "매물Link")</f>
        <v/>
      </c>
      <c r="J3572" s="5">
        <f>HYPERLINK("https://map.naver.com/p/search/연서면 기룡리 425", "지도Link")</f>
        <v/>
      </c>
      <c r="K3572" s="5">
        <f>HYPERLINK("http://www.eum.go.kr/web/ar/lu/luLandDet.jsp?pnu=3611036028104250000&amp;isNoScr=script&amp;mode=search", "토지이음")</f>
        <v/>
      </c>
      <c r="L3572" s="3" t="inlineStr">
        <is>
          <t>세종리츠</t>
        </is>
      </c>
      <c r="M3572" s="3" t="n">
        <v>1</v>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3" t="inlineStr">
        <is>
          <t>기룡리 마을인근 토지매매</t>
        </is>
      </c>
      <c r="I3573" s="5">
        <f>HYPERLINK("https://fin.land.naver.com/articles/2645513432", "매물Link")</f>
        <v/>
      </c>
      <c r="J3573" s="5">
        <f>HYPERLINK("https://map.naver.com/p/search/연서면 기룡리 426", "지도Link")</f>
        <v/>
      </c>
      <c r="K3573" s="5">
        <f>HYPERLINK("http://www.eum.go.kr/web/ar/lu/luLandDet.jsp?pnu=3611036028104260000&amp;isNoScr=script&amp;mode=search", "토지이음")</f>
        <v/>
      </c>
      <c r="L3573" s="3" t="inlineStr">
        <is>
          <t>에이스</t>
        </is>
      </c>
      <c r="M3573" s="3" t="n">
        <v>1</v>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3" t="inlineStr">
        <is>
          <t>기룡리 계획관리지역 지목이 전으로 총2필지 일괄로 급매.</t>
        </is>
      </c>
      <c r="I3574" s="5">
        <f>HYPERLINK("https://fin.land.naver.com/articles/2645179601", "매물Link")</f>
        <v/>
      </c>
      <c r="J3574" s="5">
        <f>HYPERLINK("https://map.naver.com/p/search/연서면 기룡리 431-1", "지도Link")</f>
        <v/>
      </c>
      <c r="K3574" s="5">
        <f>HYPERLINK("http://www.eum.go.kr/web/ar/lu/luLandDet.jsp?pnu=3611036028104310001&amp;isNoScr=script&amp;mode=search", "토지이음")</f>
        <v/>
      </c>
      <c r="L3574" s="3" t="inlineStr">
        <is>
          <t>세종대장</t>
        </is>
      </c>
      <c r="M3574" s="3" t="n">
        <v>1</v>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3" t="inlineStr">
        <is>
          <t>연서면 기룡리 마을 포장도로에 접한 생산관리지역의 토지 입니다.</t>
        </is>
      </c>
      <c r="I3575" s="5">
        <f>HYPERLINK("https://fin.land.naver.com/articles/2647461023", "매물Link")</f>
        <v/>
      </c>
      <c r="J3575" s="5">
        <f>HYPERLINK("https://map.naver.com/p/search/연서면 기룡리 444", "지도Link")</f>
        <v/>
      </c>
      <c r="K3575" s="5">
        <f>HYPERLINK("http://www.eum.go.kr/web/ar/lu/luLandDet.jsp?pnu=3611036028104440000&amp;isNoScr=script&amp;mode=search", "토지이음")</f>
        <v/>
      </c>
      <c r="L3575" s="3" t="inlineStr">
        <is>
          <t>스마일세종</t>
        </is>
      </c>
      <c r="M3575" s="3" t="n">
        <v>1</v>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3" t="inlineStr">
        <is>
          <t>보상이 시작된 세종국가산단과 인접하여 투자가치가 높음</t>
        </is>
      </c>
      <c r="I3576" s="5">
        <f>HYPERLINK("https://fin.land.naver.com/articles/2646696444", "매물Link")</f>
        <v/>
      </c>
      <c r="J3576" s="5">
        <f>HYPERLINK("https://map.naver.com/p/search/연서면 기룡리 484", "지도Link")</f>
        <v/>
      </c>
      <c r="K3576" s="5">
        <f>HYPERLINK("http://www.eum.go.kr/web/ar/lu/luLandDet.jsp?pnu=3611036028104840000&amp;isNoScr=script&amp;mode=search", "토지이음")</f>
        <v/>
      </c>
      <c r="L3576" s="3" t="inlineStr">
        <is>
          <t>가람</t>
        </is>
      </c>
      <c r="M3576" s="3" t="n">
        <v>1</v>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3" t="inlineStr">
        <is>
          <t>급매 가격조정가능</t>
        </is>
      </c>
      <c r="I3577" s="5">
        <f>HYPERLINK("https://fin.land.naver.com/articles/2648261882", "매물Link")</f>
        <v/>
      </c>
      <c r="J3577" s="5">
        <f>HYPERLINK("https://map.naver.com/p/search/연서면 기룡리 51-2", "지도Link")</f>
        <v/>
      </c>
      <c r="K3577" s="5">
        <f>HYPERLINK("http://www.eum.go.kr/web/ar/lu/luLandDet.jsp?pnu=3611036028100510002&amp;isNoScr=script&amp;mode=search", "토지이음")</f>
        <v/>
      </c>
      <c r="L3577" s="3" t="inlineStr">
        <is>
          <t>그래그</t>
        </is>
      </c>
      <c r="M3577" s="3" t="n">
        <v>1</v>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3" t="inlineStr">
        <is>
          <t>연서면 기룡리 개발된 계획관리 토지, 양어장, 국가산단 인근, 건축 추천</t>
        </is>
      </c>
      <c r="I3578" s="5">
        <f>HYPERLINK("https://fin.land.naver.com/articles/2645609544", "매물Link")</f>
        <v/>
      </c>
      <c r="J3578" s="5">
        <f>HYPERLINK("https://map.naver.com/p/search/연서면 기룡리 52-12", "지도Link")</f>
        <v/>
      </c>
      <c r="K3578" s="5">
        <f>HYPERLINK("http://www.eum.go.kr/web/ar/lu/luLandDet.jsp?pnu=3611036028100520012&amp;isNoScr=script&amp;mode=search", "토지이음")</f>
        <v/>
      </c>
      <c r="L3578" s="3" t="inlineStr">
        <is>
          <t>스카이</t>
        </is>
      </c>
      <c r="M3578" s="3" t="n">
        <v>1</v>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3" t="inlineStr">
        <is>
          <t>계획관리지역 양어장</t>
        </is>
      </c>
      <c r="I3579" s="5">
        <f>HYPERLINK("https://fin.land.naver.com/articles/2645416710", "매물Link")</f>
        <v/>
      </c>
      <c r="J3579" s="5">
        <f>HYPERLINK("https://map.naver.com/p/search/연서면 기룡리 52-14", "지도Link")</f>
        <v/>
      </c>
      <c r="K3579" s="5">
        <f>HYPERLINK("http://www.eum.go.kr/web/ar/lu/luLandDet.jsp?pnu=3611036028100520014&amp;isNoScr=script&amp;mode=search", "토지이음")</f>
        <v/>
      </c>
      <c r="L3579" s="3" t="inlineStr">
        <is>
          <t>그래그</t>
        </is>
      </c>
      <c r="M3579" s="3" t="n">
        <v>1</v>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3" t="inlineStr">
        <is>
          <t>연서면 기룡리 개발된 계획관리 토지, 국가산단 인근, 양어장, 건축 추천</t>
        </is>
      </c>
      <c r="I3580" s="5">
        <f>HYPERLINK("https://fin.land.naver.com/articles/2645609549", "매물Link")</f>
        <v/>
      </c>
      <c r="J3580" s="5">
        <f>HYPERLINK("https://map.naver.com/p/search/연서면 기룡리 52-14", "지도Link")</f>
        <v/>
      </c>
      <c r="K3580" s="5">
        <f>HYPERLINK("http://www.eum.go.kr/web/ar/lu/luLandDet.jsp?pnu=3611036028100520014&amp;isNoScr=script&amp;mode=search", "토지이음")</f>
        <v/>
      </c>
      <c r="L3580" s="3" t="inlineStr">
        <is>
          <t>스카이</t>
        </is>
      </c>
      <c r="M3580" s="3" t="n">
        <v>1</v>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3" t="inlineStr">
        <is>
          <t>급매 가격조정가능</t>
        </is>
      </c>
      <c r="I3581" s="5">
        <f>HYPERLINK("https://fin.land.naver.com/articles/2648261531", "매물Link")</f>
        <v/>
      </c>
      <c r="J3581" s="5">
        <f>HYPERLINK("https://map.naver.com/p/search/연서면 기룡리 52-17", "지도Link")</f>
        <v/>
      </c>
      <c r="K3581" s="5">
        <f>HYPERLINK("http://www.eum.go.kr/web/ar/lu/luLandDet.jsp?pnu=3611036028100520017&amp;isNoScr=script&amp;mode=search", "토지이음")</f>
        <v/>
      </c>
      <c r="L3581" s="3" t="inlineStr">
        <is>
          <t>그래그</t>
        </is>
      </c>
      <c r="M3581" s="3" t="n">
        <v>1</v>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3" t="inlineStr">
        <is>
          <t>관리지역 토지가격조율가능</t>
        </is>
      </c>
      <c r="I3582" s="5">
        <f>HYPERLINK("https://fin.land.naver.com/articles/2646007805", "매물Link")</f>
        <v/>
      </c>
      <c r="J3582" s="5">
        <f>HYPERLINK("https://map.naver.com/p/search/연서면 기룡리 526-2", "지도Link")</f>
        <v/>
      </c>
      <c r="K3582" s="5">
        <f>HYPERLINK("http://www.eum.go.kr/web/ar/lu/luLandDet.jsp?pnu=3611036028105260002&amp;isNoScr=script&amp;mode=search", "토지이음")</f>
        <v/>
      </c>
      <c r="L3582" s="3" t="inlineStr">
        <is>
          <t>세종대박</t>
        </is>
      </c>
      <c r="M3582" s="3" t="n">
        <v>2</v>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3" t="inlineStr">
        <is>
          <t>대전 보건전문대 부지 근거리위치 투자가치좋음</t>
        </is>
      </c>
      <c r="I3583" s="5">
        <f>HYPERLINK("https://fin.land.naver.com/articles/2646003750", "매물Link")</f>
        <v/>
      </c>
      <c r="J3583" s="5">
        <f>HYPERLINK("https://map.naver.com/p/search/연서면 기룡리 599", "지도Link")</f>
        <v/>
      </c>
      <c r="K3583" s="5">
        <f>HYPERLINK("http://www.eum.go.kr/web/ar/lu/luLandDet.jsp?pnu=3611036028105990000&amp;isNoScr=script&amp;mode=search", "토지이음")</f>
        <v/>
      </c>
      <c r="L3583" s="3" t="inlineStr">
        <is>
          <t>대박</t>
        </is>
      </c>
      <c r="M3583" s="3" t="n">
        <v>1</v>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3" t="inlineStr">
        <is>
          <t>기룡리 전망 좋고 공기 맑은 세컨하우스나 주말쉼터로 투자추천.</t>
        </is>
      </c>
      <c r="I3584" s="5">
        <f>HYPERLINK("https://fin.land.naver.com/articles/2649342597", "매물Link")</f>
        <v/>
      </c>
      <c r="J3584" s="5">
        <f>HYPERLINK("https://map.naver.com/p/search/연서면 기룡리 609-1", "지도Link")</f>
        <v/>
      </c>
      <c r="K3584" s="5">
        <f>HYPERLINK("http://www.eum.go.kr/web/ar/lu/luLandDet.jsp?pnu=3611036028106090001&amp;isNoScr=script&amp;mode=search", "토지이음")</f>
        <v/>
      </c>
      <c r="L3584" s="3" t="inlineStr">
        <is>
          <t>세종대장</t>
        </is>
      </c>
      <c r="M3584" s="3" t="n">
        <v>2</v>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3" t="inlineStr">
        <is>
          <t>전망좋은 전원택지및 다용도,투자적지</t>
        </is>
      </c>
      <c r="I3585" s="5">
        <f>HYPERLINK("https://fin.land.naver.com/articles/2649946421", "매물Link")</f>
        <v/>
      </c>
      <c r="J3585" s="5">
        <f>HYPERLINK("https://map.naver.com/p/search/연서면 기룡리 651-5", "지도Link")</f>
        <v/>
      </c>
      <c r="K3585" s="5">
        <f>HYPERLINK("http://www.eum.go.kr/web/ar/lu/luLandDet.jsp?pnu=3611036028106510005&amp;isNoScr=script&amp;mode=search", "토지이음")</f>
        <v/>
      </c>
      <c r="L3585" s="3" t="inlineStr">
        <is>
          <t>행복가득한</t>
        </is>
      </c>
      <c r="M3585" s="3" t="n">
        <v>1</v>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3" t="inlineStr">
        <is>
          <t>nan</t>
        </is>
      </c>
      <c r="I3586" s="5">
        <f>HYPERLINK("https://fin.land.naver.com/articles/2649561507", "매물Link")</f>
        <v/>
      </c>
      <c r="J3586" s="5">
        <f>HYPERLINK("https://map.naver.com/p/search/연서면 기룡리 651-5", "지도Link")</f>
        <v/>
      </c>
      <c r="K3586" s="5">
        <f>HYPERLINK("http://www.eum.go.kr/web/ar/lu/luLandDet.jsp?pnu=3611036028106510005&amp;isNoScr=script&amp;mode=search", "토지이음")</f>
        <v/>
      </c>
      <c r="L3586" s="3" t="inlineStr">
        <is>
          <t>조아</t>
        </is>
      </c>
      <c r="M3586" s="3" t="n">
        <v>4</v>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3" t="inlineStr">
        <is>
          <t>연서면 기룡리 토지 계획관리지역 전원주택등</t>
        </is>
      </c>
      <c r="I3587" s="5">
        <f>HYPERLINK("https://fin.land.naver.com/articles/2645841572", "매물Link")</f>
        <v/>
      </c>
      <c r="J3587" s="5">
        <f>HYPERLINK("https://map.naver.com/p/search/연서면 기룡리 651-5", "지도Link")</f>
        <v/>
      </c>
      <c r="K3587" s="5">
        <f>HYPERLINK("http://www.eum.go.kr/web/ar/lu/luLandDet.jsp?pnu=3611036028106510005&amp;isNoScr=script&amp;mode=search", "토지이음")</f>
        <v/>
      </c>
      <c r="L3587" s="3" t="inlineStr">
        <is>
          <t>반석원무소</t>
        </is>
      </c>
      <c r="M3587" s="3" t="n">
        <v>1</v>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3" t="inlineStr">
        <is>
          <t>급매 세종스마트산단인근  지가상승지역 전원주택 세컨하우스 추천</t>
        </is>
      </c>
      <c r="I3588" s="5">
        <f>HYPERLINK("https://fin.land.naver.com/articles/2649319892", "매물Link")</f>
        <v/>
      </c>
      <c r="J3588" s="5">
        <f>HYPERLINK("https://map.naver.com/p/search/연서면 기룡리 651-5", "지도Link")</f>
        <v/>
      </c>
      <c r="K3588" s="5">
        <f>HYPERLINK("http://www.eum.go.kr/web/ar/lu/luLandDet.jsp?pnu=3611036028106510005&amp;isNoScr=script&amp;mode=search", "토지이음")</f>
        <v/>
      </c>
      <c r="L3588" s="3" t="inlineStr">
        <is>
          <t>더원</t>
        </is>
      </c>
      <c r="M3588" s="3" t="n">
        <v>4</v>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3" t="inlineStr">
        <is>
          <t>급매매 계획관리 도로접 건축가능 세종 연서 기룡리</t>
        </is>
      </c>
      <c r="I3589" s="5">
        <f>HYPERLINK("https://fin.land.naver.com/articles/2649923225", "매물Link")</f>
        <v/>
      </c>
      <c r="J3589" s="5">
        <f>HYPERLINK("https://map.naver.com/p/search/연서면 기룡리 651-5", "지도Link")</f>
        <v/>
      </c>
      <c r="K3589" s="5">
        <f>HYPERLINK("http://www.eum.go.kr/web/ar/lu/luLandDet.jsp?pnu=3611036028106510005&amp;isNoScr=script&amp;mode=search", "토지이음")</f>
        <v/>
      </c>
      <c r="L3589" s="3" t="inlineStr">
        <is>
          <t>명장</t>
        </is>
      </c>
      <c r="M3589" s="3" t="n">
        <v>1</v>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3" t="inlineStr">
        <is>
          <t>급매물 마을앞 코너각지 도로접한 대지와 전매매</t>
        </is>
      </c>
      <c r="I3590" s="5">
        <f>HYPERLINK("https://fin.land.naver.com/articles/2650172378", "매물Link")</f>
        <v/>
      </c>
      <c r="J3590" s="5">
        <f>HYPERLINK("https://map.naver.com/p/search/연서면 기룡리 651-5", "지도Link")</f>
        <v/>
      </c>
      <c r="K3590" s="5">
        <f>HYPERLINK("http://www.eum.go.kr/web/ar/lu/luLandDet.jsp?pnu=3611036028106510005&amp;isNoScr=script&amp;mode=search", "토지이음")</f>
        <v/>
      </c>
      <c r="L3590" s="3" t="inlineStr">
        <is>
          <t>제이파크</t>
        </is>
      </c>
      <c r="M3590" s="3" t="n">
        <v>3</v>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3" t="inlineStr">
        <is>
          <t>연서면 기룡리 나대지와 작은 텃밭 토지</t>
        </is>
      </c>
      <c r="I3591" s="5">
        <f>HYPERLINK("https://fin.land.naver.com/articles/2649001106", "매물Link")</f>
        <v/>
      </c>
      <c r="J3591" s="5">
        <f>HYPERLINK("https://map.naver.com/p/search/연서면 기룡리 651-5", "지도Link")</f>
        <v/>
      </c>
      <c r="K3591" s="5">
        <f>HYPERLINK("http://www.eum.go.kr/web/ar/lu/luLandDet.jsp?pnu=3611036028106510005&amp;isNoScr=script&amp;mode=search", "토지이음")</f>
        <v/>
      </c>
      <c r="L3591" s="3" t="inlineStr">
        <is>
          <t>지성</t>
        </is>
      </c>
      <c r="M3591" s="3" t="n">
        <v>11</v>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3" t="inlineStr">
        <is>
          <t>nan</t>
        </is>
      </c>
      <c r="I3592" s="5">
        <f>HYPERLINK("https://fin.land.naver.com/articles/2647144520", "매물Link")</f>
        <v/>
      </c>
      <c r="J3592" s="5">
        <f>HYPERLINK("https://map.naver.com/p/search/연서면 기룡리 651-5", "지도Link")</f>
        <v/>
      </c>
      <c r="K3592" s="5">
        <f>HYPERLINK("http://www.eum.go.kr/web/ar/lu/luLandDet.jsp?pnu=3611036028106510005&amp;isNoScr=script&amp;mode=search", "토지이음")</f>
        <v/>
      </c>
      <c r="L3592" s="3" t="inlineStr">
        <is>
          <t>문은진</t>
        </is>
      </c>
      <c r="M3592" s="3" t="n">
        <v>1</v>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3" t="inlineStr">
        <is>
          <t>작은 텃밭 건축가능한 대지</t>
        </is>
      </c>
      <c r="I3593" s="5">
        <f>HYPERLINK("https://fin.land.naver.com/articles/2644342318", "매물Link")</f>
        <v/>
      </c>
      <c r="J3593" s="5">
        <f>HYPERLINK("https://map.naver.com/p/search/연서면 기룡리 662-1", "지도Link")</f>
        <v/>
      </c>
      <c r="K3593" s="5">
        <f>HYPERLINK("http://www.eum.go.kr/web/ar/lu/luLandDet.jsp?pnu=3611036028106620001&amp;isNoScr=script&amp;mode=search", "토지이음")</f>
        <v/>
      </c>
      <c r="L3593" s="3" t="inlineStr">
        <is>
          <t>지성</t>
        </is>
      </c>
      <c r="M3593" s="3" t="n">
        <v>1</v>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3" t="inlineStr">
        <is>
          <t>급매,투자추천,나대지</t>
        </is>
      </c>
      <c r="I3594" s="5">
        <f>HYPERLINK("https://fin.land.naver.com/articles/2648731146", "매물Link")</f>
        <v/>
      </c>
      <c r="J3594" s="5">
        <f>HYPERLINK("https://map.naver.com/p/search/연서면 기룡리 662-1", "지도Link")</f>
        <v/>
      </c>
      <c r="K3594" s="5">
        <f>HYPERLINK("http://www.eum.go.kr/web/ar/lu/luLandDet.jsp?pnu=3611036028106620001&amp;isNoScr=script&amp;mode=search", "토지이음")</f>
        <v/>
      </c>
      <c r="L3594" s="3" t="inlineStr">
        <is>
          <t>다산</t>
        </is>
      </c>
      <c r="M3594" s="3" t="n">
        <v>1</v>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3" t="inlineStr">
        <is>
          <t>급매, 협의,절충, 도로접, 성장관리계획구역 지목이전으로 입지,인프라 굿</t>
        </is>
      </c>
      <c r="I3595" s="5">
        <f>HYPERLINK("https://fin.land.naver.com/articles/2649747414", "매물Link")</f>
        <v/>
      </c>
      <c r="J3595" s="5">
        <f>HYPERLINK("https://map.naver.com/p/search/연서면 기룡리 692-1", "지도Link")</f>
        <v/>
      </c>
      <c r="K3595" s="5">
        <f>HYPERLINK("http://www.eum.go.kr/web/ar/lu/luLandDet.jsp?pnu=3611036028106920001&amp;isNoScr=script&amp;mode=search", "토지이음")</f>
        <v/>
      </c>
      <c r="L3595" s="3" t="inlineStr">
        <is>
          <t>세종한울</t>
        </is>
      </c>
      <c r="M3595" s="3" t="n">
        <v>1</v>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3" t="inlineStr">
        <is>
          <t>급매, 협의,절충, 도로접, 전, 농림지역으로 입지, 인프라 굿</t>
        </is>
      </c>
      <c r="I3596" s="5">
        <f>HYPERLINK("https://fin.land.naver.com/articles/2649748210", "매물Link")</f>
        <v/>
      </c>
      <c r="J3596" s="5">
        <f>HYPERLINK("https://map.naver.com/p/search/연서면 기룡리 693-5", "지도Link")</f>
        <v/>
      </c>
      <c r="K3596" s="5">
        <f>HYPERLINK("http://www.eum.go.kr/web/ar/lu/luLandDet.jsp?pnu=3611036028106930005&amp;isNoScr=script&amp;mode=search", "토지이음")</f>
        <v/>
      </c>
      <c r="L3596" s="3" t="inlineStr">
        <is>
          <t>세종한울</t>
        </is>
      </c>
      <c r="M3596" s="3" t="n">
        <v>1</v>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3" t="inlineStr">
        <is>
          <t>3.3m2당 82만원입니다.</t>
        </is>
      </c>
      <c r="I3597" s="5">
        <f>HYPERLINK("https://fin.land.naver.com/articles/2648760077", "매물Link")</f>
        <v/>
      </c>
      <c r="J3597" s="5">
        <f>HYPERLINK("https://map.naver.com/p/search/연서면 기룡리 91-2", "지도Link")</f>
        <v/>
      </c>
      <c r="K3597" s="5">
        <f>HYPERLINK("http://www.eum.go.kr/web/ar/lu/luLandDet.jsp?pnu=3611036028100910002&amp;isNoScr=script&amp;mode=search", "토지이음")</f>
        <v/>
      </c>
      <c r="L3597" s="3" t="inlineStr">
        <is>
          <t>하늘</t>
        </is>
      </c>
      <c r="M3597" s="3" t="n">
        <v>1</v>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3" t="inlineStr">
        <is>
          <t>연서면 기룡리 농림지역 대형 임야 매매, 국가산업단지, 용암JC 인근</t>
        </is>
      </c>
      <c r="I3598" s="5">
        <f>HYPERLINK("https://fin.land.naver.com/articles/2647363239", "매물Link")</f>
        <v/>
      </c>
      <c r="J3598" s="5">
        <f>HYPERLINK("https://map.naver.com/p/search/연서면 기룡리 산126", "지도Link")</f>
        <v/>
      </c>
      <c r="K3598" s="5">
        <f>HYPERLINK("http://www.eum.go.kr/web/ar/lu/luLandDet.jsp?pnu=3611036028201260000&amp;isNoScr=script&amp;mode=search", "토지이음")</f>
        <v/>
      </c>
      <c r="L3598" s="3" t="inlineStr">
        <is>
          <t>스카이</t>
        </is>
      </c>
      <c r="M3598" s="3" t="n">
        <v>2</v>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3" t="inlineStr">
        <is>
          <t>nan</t>
        </is>
      </c>
      <c r="I3599" s="5">
        <f>HYPERLINK("https://fin.land.naver.com/articles/2647129054", "매물Link")</f>
        <v/>
      </c>
      <c r="J3599" s="5">
        <f>HYPERLINK("https://map.naver.com/p/search/연서면 기룡리 산154-1", "지도Link")</f>
        <v/>
      </c>
      <c r="K3599" s="5">
        <f>HYPERLINK("http://www.eum.go.kr/web/ar/lu/luLandDet.jsp?pnu=3611036028201540001&amp;isNoScr=script&amp;mode=search", "토지이음")</f>
        <v/>
      </c>
      <c r="L3599" s="3" t="inlineStr">
        <is>
          <t>다온</t>
        </is>
      </c>
      <c r="M3599" s="3" t="n">
        <v>1</v>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3" t="inlineStr">
        <is>
          <t>인근북세종IC. 창고,공장 건축</t>
        </is>
      </c>
      <c r="I3600" s="5">
        <f>HYPERLINK("https://fin.land.naver.com/articles/2648813362", "매물Link")</f>
        <v/>
      </c>
      <c r="J3600" s="5">
        <f>HYPERLINK("https://map.naver.com/p/search/연서면 봉암리 102-8", "지도Link")</f>
        <v/>
      </c>
      <c r="K3600" s="5">
        <f>HYPERLINK("http://www.eum.go.kr/web/ar/lu/luLandDet.jsp?pnu=3611036033101020008&amp;isNoScr=script&amp;mode=search", "토지이음")</f>
        <v/>
      </c>
      <c r="L3600" s="3" t="inlineStr">
        <is>
          <t>세종대박</t>
        </is>
      </c>
      <c r="M3600" s="3" t="n">
        <v>2</v>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3" t="inlineStr">
        <is>
          <t>추천. 세종 스마트국가산업단지 인근 농지</t>
        </is>
      </c>
      <c r="I3601" s="5">
        <f>HYPERLINK("https://fin.land.naver.com/articles/2645465949", "매물Link")</f>
        <v/>
      </c>
      <c r="J3601" s="5">
        <f>HYPERLINK("https://map.naver.com/p/search/연서면 봉암리 1082", "지도Link")</f>
        <v/>
      </c>
      <c r="K3601" s="5">
        <f>HYPERLINK("http://www.eum.go.kr/web/ar/lu/luLandDet.jsp?pnu=3611036033110820000&amp;isNoScr=script&amp;mode=search", "토지이음")</f>
        <v/>
      </c>
      <c r="L3601" s="3" t="inlineStr">
        <is>
          <t>강아지풀</t>
        </is>
      </c>
      <c r="M3601" s="3" t="n">
        <v>1</v>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3" t="inlineStr">
        <is>
          <t>봉암리 상가 밀집지역 핵심   대지 매매</t>
        </is>
      </c>
      <c r="I3602" s="5">
        <f>HYPERLINK("https://fin.land.naver.com/articles/2650096965", "매물Link")</f>
        <v/>
      </c>
      <c r="J3602" s="5">
        <f>HYPERLINK("https://map.naver.com/p/search/연서면 봉암리 214-13", "지도Link")</f>
        <v/>
      </c>
      <c r="K3602" s="5">
        <f>HYPERLINK("http://www.eum.go.kr/web/ar/lu/luLandDet.jsp?pnu=3611036033102140013&amp;isNoScr=script&amp;mode=search", "토지이음")</f>
        <v/>
      </c>
      <c r="L3602" s="3" t="inlineStr">
        <is>
          <t>해들삼성</t>
        </is>
      </c>
      <c r="M3602" s="3" t="n">
        <v>2</v>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3" t="inlineStr">
        <is>
          <t>추천. 연서면 봉암리 계획관리</t>
        </is>
      </c>
      <c r="I3603" s="5">
        <f>HYPERLINK("https://fin.land.naver.com/articles/2645465916", "매물Link")</f>
        <v/>
      </c>
      <c r="J3603" s="5">
        <f>HYPERLINK("https://map.naver.com/p/search/연서면 봉암리 229-21", "지도Link")</f>
        <v/>
      </c>
      <c r="K3603" s="5">
        <f>HYPERLINK("http://www.eum.go.kr/web/ar/lu/luLandDet.jsp?pnu=3611036033102290021&amp;isNoScr=script&amp;mode=search", "토지이음")</f>
        <v/>
      </c>
      <c r="L3603" s="3" t="inlineStr">
        <is>
          <t>강아지풀</t>
        </is>
      </c>
      <c r="M3603" s="3" t="n">
        <v>1</v>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3" t="inlineStr">
        <is>
          <t>8차선 BRT 도로 근접, 와촌리 국가산단 근교, 세종시의 가장 중심지.</t>
        </is>
      </c>
      <c r="I3604" s="5">
        <f>HYPERLINK("https://fin.land.naver.com/articles/2647588359", "매물Link")</f>
        <v/>
      </c>
      <c r="J3604" s="5">
        <f>HYPERLINK("https://map.naver.com/p/search/연서면 봉암리 230-60", "지도Link")</f>
        <v/>
      </c>
      <c r="K3604" s="5">
        <f>HYPERLINK("http://www.eum.go.kr/web/ar/lu/luLandDet.jsp?pnu=3611036033102300060&amp;isNoScr=script&amp;mode=search", "토지이음")</f>
        <v/>
      </c>
      <c r="L3604" s="3" t="inlineStr">
        <is>
          <t>꿈드림</t>
        </is>
      </c>
      <c r="M3604" s="3" t="n">
        <v>1</v>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3" t="inlineStr">
        <is>
          <t>급매</t>
        </is>
      </c>
      <c r="I3605" s="5">
        <f>HYPERLINK("https://fin.land.naver.com/articles/2648100817", "매물Link")</f>
        <v/>
      </c>
      <c r="J3605" s="5">
        <f>HYPERLINK("https://map.naver.com/p/search/연서면 봉암리 232", "지도Link")</f>
        <v/>
      </c>
      <c r="K3605" s="5">
        <f>HYPERLINK("http://www.eum.go.kr/web/ar/lu/luLandDet.jsp?pnu=3611036033102320000&amp;isNoScr=script&amp;mode=search", "토지이음")</f>
        <v/>
      </c>
      <c r="L3605" s="3" t="inlineStr">
        <is>
          <t>세종공주제일</t>
        </is>
      </c>
      <c r="M3605" s="3" t="n">
        <v>2</v>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3" t="inlineStr">
        <is>
          <t>대로변 코너각지 계획관리 추천</t>
        </is>
      </c>
      <c r="I3606" s="5">
        <f>HYPERLINK("https://fin.land.naver.com/articles/2645016107", "매물Link")</f>
        <v/>
      </c>
      <c r="J3606" s="5">
        <f>HYPERLINK("https://map.naver.com/p/search/연서면 봉암리 234-32", "지도Link")</f>
        <v/>
      </c>
      <c r="K3606" s="5">
        <f>HYPERLINK("http://www.eum.go.kr/web/ar/lu/luLandDet.jsp?pnu=3611036033102340032&amp;isNoScr=script&amp;mode=search", "토지이음")</f>
        <v/>
      </c>
      <c r="L3606" s="3" t="inlineStr">
        <is>
          <t>엄지척</t>
        </is>
      </c>
      <c r="M3606" s="3" t="n">
        <v>1</v>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3" t="inlineStr">
        <is>
          <t>광고효과최상, 투자효가높은지역 추천</t>
        </is>
      </c>
      <c r="I3607" s="5">
        <f>HYPERLINK("https://fin.land.naver.com/articles/2646690318", "매물Link")</f>
        <v/>
      </c>
      <c r="J3607" s="5">
        <f>HYPERLINK("https://map.naver.com/p/search/연서면 봉암리 234-43", "지도Link")</f>
        <v/>
      </c>
      <c r="K3607" s="5">
        <f>HYPERLINK("http://www.eum.go.kr/web/ar/lu/luLandDet.jsp?pnu=3611036033102340043&amp;isNoScr=script&amp;mode=search", "토지이음")</f>
        <v/>
      </c>
      <c r="L3607" s="3" t="inlineStr">
        <is>
          <t>대박</t>
        </is>
      </c>
      <c r="M3607" s="3" t="n">
        <v>1</v>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3" t="inlineStr">
        <is>
          <t>현재 주거나지 상태이며 주택부지로 적합</t>
        </is>
      </c>
      <c r="I3608" s="5">
        <f>HYPERLINK("https://fin.land.naver.com/articles/2644983094", "매물Link")</f>
        <v/>
      </c>
      <c r="J3608" s="5">
        <f>HYPERLINK("https://map.naver.com/p/search/연서면 봉암리 245-5", "지도Link")</f>
        <v/>
      </c>
      <c r="K3608" s="5">
        <f>HYPERLINK("http://www.eum.go.kr/web/ar/lu/luLandDet.jsp?pnu=3611036033102450005&amp;isNoScr=script&amp;mode=search", "토지이음")</f>
        <v/>
      </c>
      <c r="L3608" s="3" t="inlineStr">
        <is>
          <t>엘지에스케이</t>
        </is>
      </c>
      <c r="M3608" s="3" t="n">
        <v>1</v>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3" t="inlineStr">
        <is>
          <t>추천. 세종국가산단 인근 토지</t>
        </is>
      </c>
      <c r="I3609" s="5">
        <f>HYPERLINK("https://fin.land.naver.com/articles/2645464688", "매물Link")</f>
        <v/>
      </c>
      <c r="J3609" s="5">
        <f>HYPERLINK("https://map.naver.com/p/search/연서면 봉암리 348", "지도Link")</f>
        <v/>
      </c>
      <c r="K3609" s="5">
        <f>HYPERLINK("http://www.eum.go.kr/web/ar/lu/luLandDet.jsp?pnu=3611036033103480000&amp;isNoScr=script&amp;mode=search", "토지이음")</f>
        <v/>
      </c>
      <c r="L3609" s="3" t="inlineStr">
        <is>
          <t>강아지풀</t>
        </is>
      </c>
      <c r="M3609" s="3" t="n">
        <v>1</v>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3" t="inlineStr">
        <is>
          <t>계획관리지역 ,주택있는 대지</t>
        </is>
      </c>
      <c r="I3610" s="5">
        <f>HYPERLINK("https://fin.land.naver.com/articles/2648106375", "매물Link")</f>
        <v/>
      </c>
      <c r="J3610" s="5">
        <f>HYPERLINK("https://map.naver.com/p/search/연서면 봉암리 427-12", "지도Link")</f>
        <v/>
      </c>
      <c r="K3610" s="5">
        <f>HYPERLINK("http://www.eum.go.kr/web/ar/lu/luLandDet.jsp?pnu=3611036033104270012&amp;isNoScr=script&amp;mode=search", "토지이음")</f>
        <v/>
      </c>
      <c r="L3610" s="3" t="inlineStr">
        <is>
          <t>마메종</t>
        </is>
      </c>
      <c r="M3610" s="3" t="n">
        <v>1</v>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3" t="inlineStr">
        <is>
          <t>계획관리 2차선도로 인근 작은 텃밭 토지</t>
        </is>
      </c>
      <c r="I3611" s="5">
        <f>HYPERLINK("https://fin.land.naver.com/articles/2649966247", "매물Link")</f>
        <v/>
      </c>
      <c r="J3611" s="5">
        <f>HYPERLINK("https://map.naver.com/p/search/연서면 봉암리 448", "지도Link")</f>
        <v/>
      </c>
      <c r="K3611" s="5">
        <f>HYPERLINK("http://www.eum.go.kr/web/ar/lu/luLandDet.jsp?pnu=3611036033104480000&amp;isNoScr=script&amp;mode=search", "토지이음")</f>
        <v/>
      </c>
      <c r="L3611" s="3" t="inlineStr">
        <is>
          <t>지성</t>
        </is>
      </c>
      <c r="M3611" s="3" t="n">
        <v>1</v>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3" t="inlineStr">
        <is>
          <t>1번국도 바로옆 임야  고도제한없어요,</t>
        </is>
      </c>
      <c r="I3612" s="5">
        <f>HYPERLINK("https://fin.land.naver.com/articles/2646790913", "매물Link")</f>
        <v/>
      </c>
      <c r="J3612" s="5">
        <f>HYPERLINK("https://map.naver.com/p/search/연서면 봉암리 45", "지도Link")</f>
        <v/>
      </c>
      <c r="K3612" s="5">
        <f>HYPERLINK("http://www.eum.go.kr/web/ar/lu/luLandDet.jsp?pnu=3611036033100450000&amp;isNoScr=script&amp;mode=search", "토지이음")</f>
        <v/>
      </c>
      <c r="L3612" s="3" t="inlineStr">
        <is>
          <t>담뜰</t>
        </is>
      </c>
      <c r="M3612" s="3" t="n">
        <v>2</v>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3" t="inlineStr">
        <is>
          <t>연기사거리 인근 건축 가능한 계획관리지역 투자목적 토지 급매매</t>
        </is>
      </c>
      <c r="I3613" s="5">
        <f>HYPERLINK("https://fin.land.naver.com/articles/2644225467", "매물Link")</f>
        <v/>
      </c>
      <c r="J3613" s="5">
        <f>HYPERLINK("https://map.naver.com/p/search/연서면 봉암리 532-2", "지도Link")</f>
        <v/>
      </c>
      <c r="K3613" s="5">
        <f>HYPERLINK("http://www.eum.go.kr/web/ar/lu/luLandDet.jsp?pnu=3611036033105320002&amp;isNoScr=script&amp;mode=search", "토지이음")</f>
        <v/>
      </c>
      <c r="L3613" s="3" t="inlineStr">
        <is>
          <t>(주)해뜰터</t>
        </is>
      </c>
      <c r="M3613" s="3" t="n">
        <v>1</v>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3" t="inlineStr">
        <is>
          <t>행복도시 인근 나대지 이며 시세대비 저렴한매물</t>
        </is>
      </c>
      <c r="I3614" s="5">
        <f>HYPERLINK("https://fin.land.naver.com/articles/2647763887", "매물Link")</f>
        <v/>
      </c>
      <c r="J3614" s="5">
        <f>HYPERLINK("https://map.naver.com/p/search/연서면 봉암리 579-1", "지도Link")</f>
        <v/>
      </c>
      <c r="K3614" s="5">
        <f>HYPERLINK("http://www.eum.go.kr/web/ar/lu/luLandDet.jsp?pnu=3611036033105790001&amp;isNoScr=script&amp;mode=search", "토지이음")</f>
        <v/>
      </c>
      <c r="L3614" s="3" t="inlineStr">
        <is>
          <t>지호주식회사</t>
        </is>
      </c>
      <c r="M3614" s="3" t="n">
        <v>1</v>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3" t="inlineStr">
        <is>
          <t>주거개발진흥지구, 성장관리계획구역,자연취락지구 정방형 급매</t>
        </is>
      </c>
      <c r="I3615" s="5">
        <f>HYPERLINK("https://fin.land.naver.com/articles/2648051486", "매물Link")</f>
        <v/>
      </c>
      <c r="J3615" s="5">
        <f>HYPERLINK("https://map.naver.com/p/search/연서면 봉암리 604-3", "지도Link")</f>
        <v/>
      </c>
      <c r="K3615" s="5">
        <f>HYPERLINK("http://www.eum.go.kr/web/ar/lu/luLandDet.jsp?pnu=3611036033106040003&amp;isNoScr=script&amp;mode=search", "토지이음")</f>
        <v/>
      </c>
      <c r="L3615" s="3" t="inlineStr">
        <is>
          <t>도안재벌</t>
        </is>
      </c>
      <c r="M3615" s="3" t="n">
        <v>1</v>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3" t="inlineStr">
        <is>
          <t>8차선으로 확장된 BRT 도로와 2차선변.와촌리국가 산단 중심 근교임.</t>
        </is>
      </c>
      <c r="I3616" s="5">
        <f>HYPERLINK("https://fin.land.naver.com/articles/2647892832", "매물Link")</f>
        <v/>
      </c>
      <c r="J3616" s="5">
        <f>HYPERLINK("https://map.naver.com/p/search/연서면 봉암리 620-22", "지도Link")</f>
        <v/>
      </c>
      <c r="K3616" s="5">
        <f>HYPERLINK("http://www.eum.go.kr/web/ar/lu/luLandDet.jsp?pnu=3611036033106200022&amp;isNoScr=script&amp;mode=search", "토지이음")</f>
        <v/>
      </c>
      <c r="L3616" s="3" t="inlineStr">
        <is>
          <t>꿈드림</t>
        </is>
      </c>
      <c r="M3616" s="3" t="n">
        <v>1</v>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3" t="inlineStr">
        <is>
          <t>봉암리 세종스마트산단 초입 2차선인접  위치 좋습니다</t>
        </is>
      </c>
      <c r="I3617" s="5">
        <f>HYPERLINK("https://fin.land.naver.com/articles/2648077629", "매물Link")</f>
        <v/>
      </c>
      <c r="J3617" s="5">
        <f>HYPERLINK("https://map.naver.com/p/search/연서면 봉암리 657-13", "지도Link")</f>
        <v/>
      </c>
      <c r="K3617" s="5">
        <f>HYPERLINK("http://www.eum.go.kr/web/ar/lu/luLandDet.jsp?pnu=3611036033106570013&amp;isNoScr=script&amp;mode=search", "토지이음")</f>
        <v/>
      </c>
      <c r="L3617" s="3" t="inlineStr">
        <is>
          <t>OK수</t>
        </is>
      </c>
      <c r="M3617" s="3" t="n">
        <v>1</v>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3" t="inlineStr">
        <is>
          <t>세종스마트국가산업단지 근접, 작은 근생용지나창고부지로 적합</t>
        </is>
      </c>
      <c r="I3618" s="5">
        <f>HYPERLINK("https://fin.land.naver.com/articles/2646790177", "매물Link")</f>
        <v/>
      </c>
      <c r="J3618" s="5">
        <f>HYPERLINK("https://map.naver.com/p/search/연서면 봉암리 676-10", "지도Link")</f>
        <v/>
      </c>
      <c r="K3618" s="5">
        <f>HYPERLINK("http://www.eum.go.kr/web/ar/lu/luLandDet.jsp?pnu=3611036033106760010&amp;isNoScr=script&amp;mode=search", "토지이음")</f>
        <v/>
      </c>
      <c r="L3618" s="3" t="inlineStr">
        <is>
          <t>담뜰</t>
        </is>
      </c>
      <c r="M3618" s="3" t="n">
        <v>1</v>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3" t="inlineStr">
        <is>
          <t>세종스마트국가산업단지 근접 도로접근 용이</t>
        </is>
      </c>
      <c r="I3619" s="5">
        <f>HYPERLINK("https://fin.land.naver.com/articles/2646904487", "매물Link")</f>
        <v/>
      </c>
      <c r="J3619" s="5">
        <f>HYPERLINK("https://map.naver.com/p/search/연서면 봉암리 677-2", "지도Link")</f>
        <v/>
      </c>
      <c r="K3619" s="5">
        <f>HYPERLINK("http://www.eum.go.kr/web/ar/lu/luLandDet.jsp?pnu=3611036033106770002&amp;isNoScr=script&amp;mode=search", "토지이음")</f>
        <v/>
      </c>
      <c r="L3619" s="3" t="inlineStr">
        <is>
          <t>오송파라곤리치</t>
        </is>
      </c>
      <c r="M3619" s="3" t="n">
        <v>1</v>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3" t="inlineStr">
        <is>
          <t>세종시  제일 핫한 명당지역 시세보다 저렴</t>
        </is>
      </c>
      <c r="I3620" s="5">
        <f>HYPERLINK("https://fin.land.naver.com/articles/2648233463", "매물Link")</f>
        <v/>
      </c>
      <c r="J3620" s="5">
        <f>HYPERLINK("https://map.naver.com/p/search/연서면 봉암리 705-2", "지도Link")</f>
        <v/>
      </c>
      <c r="K3620" s="5">
        <f>HYPERLINK("http://www.eum.go.kr/web/ar/lu/luLandDet.jsp?pnu=3611036033107050002&amp;isNoScr=script&amp;mode=search", "토지이음")</f>
        <v/>
      </c>
      <c r="L3620" s="3" t="inlineStr">
        <is>
          <t>엔터수진</t>
        </is>
      </c>
      <c r="M3620" s="3" t="n">
        <v>1</v>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3" t="inlineStr">
        <is>
          <t>추천. 세종국가산단 인근 하우스</t>
        </is>
      </c>
      <c r="I3621" s="5">
        <f>HYPERLINK("https://fin.land.naver.com/articles/2645465632", "매물Link")</f>
        <v/>
      </c>
      <c r="J3621" s="5">
        <f>HYPERLINK("https://map.naver.com/p/search/연서면 봉암리 828", "지도Link")</f>
        <v/>
      </c>
      <c r="K3621" s="5">
        <f>HYPERLINK("http://www.eum.go.kr/web/ar/lu/luLandDet.jsp?pnu=3611036033108280000&amp;isNoScr=script&amp;mode=search", "토지이음")</f>
        <v/>
      </c>
      <c r="L3621" s="3" t="inlineStr">
        <is>
          <t>강아지풀</t>
        </is>
      </c>
      <c r="M3621" s="3" t="n">
        <v>1</v>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3" t="inlineStr">
        <is>
          <t>북세종톨게이트 수혜지 봉암리 토지</t>
        </is>
      </c>
      <c r="I3622" s="5">
        <f>HYPERLINK("https://fin.land.naver.com/articles/2649964850", "매물Link")</f>
        <v/>
      </c>
      <c r="J3622" s="5">
        <f>HYPERLINK("https://map.naver.com/p/search/연서면 봉암리 947", "지도Link")</f>
        <v/>
      </c>
      <c r="K3622" s="5">
        <f>HYPERLINK("http://www.eum.go.kr/web/ar/lu/luLandDet.jsp?pnu=3611036033109470000&amp;isNoScr=script&amp;mode=search", "토지이음")</f>
        <v/>
      </c>
      <c r="L3622" s="3" t="inlineStr">
        <is>
          <t>지성</t>
        </is>
      </c>
      <c r="M3622" s="3" t="n">
        <v>2</v>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3" t="inlineStr">
        <is>
          <t>세종 연서면 투자용 토지</t>
        </is>
      </c>
      <c r="I3623" s="5">
        <f>HYPERLINK("https://fin.land.naver.com/articles/2646298669", "매물Link")</f>
        <v/>
      </c>
      <c r="J3623" s="5">
        <f>HYPERLINK("https://map.naver.com/p/search/연서면 봉암리 996", "지도Link")</f>
        <v/>
      </c>
      <c r="K3623" s="5">
        <f>HYPERLINK("http://www.eum.go.kr/web/ar/lu/luLandDet.jsp?pnu=3611036033109960000&amp;isNoScr=script&amp;mode=search", "토지이음")</f>
        <v/>
      </c>
      <c r="L3623" s="3" t="inlineStr">
        <is>
          <t>(주)경진컨설팅</t>
        </is>
      </c>
      <c r="M3623" s="3" t="n">
        <v>1</v>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3" t="inlineStr">
        <is>
          <t>국가산단에 근접한토지로 현재전이며 모양이 좋고 2면각지도로에 접함.</t>
        </is>
      </c>
      <c r="I3624" s="5">
        <f>HYPERLINK("https://fin.land.naver.com/articles/2650181594", "매물Link")</f>
        <v/>
      </c>
      <c r="J3624" s="5">
        <f>HYPERLINK("https://map.naver.com/p/search/연서면 부동리 108-1", "지도Link")</f>
        <v/>
      </c>
      <c r="K3624" s="5">
        <f>HYPERLINK("http://www.eum.go.kr/web/ar/lu/luLandDet.jsp?pnu=3611036032101080001&amp;isNoScr=script&amp;mode=search", "토지이음")</f>
        <v/>
      </c>
      <c r="L3624" s="3" t="inlineStr">
        <is>
          <t>세종리츠</t>
        </is>
      </c>
      <c r="M3624" s="3" t="n">
        <v>1</v>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3" t="inlineStr">
        <is>
          <t>세종스마트산단 초인접 계획관리</t>
        </is>
      </c>
      <c r="I3625" s="5">
        <f>HYPERLINK("https://fin.land.naver.com/articles/2645464056", "매물Link")</f>
        <v/>
      </c>
      <c r="J3625" s="5">
        <f>HYPERLINK("https://map.naver.com/p/search/연서면 부동리 108-2", "지도Link")</f>
        <v/>
      </c>
      <c r="K3625" s="5">
        <f>HYPERLINK("http://www.eum.go.kr/web/ar/lu/luLandDet.jsp?pnu=3611036032101080002&amp;isNoScr=script&amp;mode=search", "토지이음")</f>
        <v/>
      </c>
      <c r="L3625" s="3" t="inlineStr">
        <is>
          <t>강아지풀</t>
        </is>
      </c>
      <c r="M3625" s="3" t="n">
        <v>1</v>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3" t="inlineStr">
        <is>
          <t>도로접한 근생용지,세종국가산업단지와 조치원일반산업단지 근접</t>
        </is>
      </c>
      <c r="I3626" s="5">
        <f>HYPERLINK("https://fin.land.naver.com/articles/2644482290", "매물Link")</f>
        <v/>
      </c>
      <c r="J3626" s="5">
        <f>HYPERLINK("https://map.naver.com/p/search/연서면 부동리 255-1", "지도Link")</f>
        <v/>
      </c>
      <c r="K3626" s="5">
        <f>HYPERLINK("http://www.eum.go.kr/web/ar/lu/luLandDet.jsp?pnu=3611036032102550001&amp;isNoScr=script&amp;mode=search", "토지이음")</f>
        <v/>
      </c>
      <c r="L3626" s="3" t="inlineStr">
        <is>
          <t>세종나라</t>
        </is>
      </c>
      <c r="M3626" s="3" t="n">
        <v>1</v>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3" t="inlineStr">
        <is>
          <t>조율가능 국가산단인근 귀한 계획관리 매물</t>
        </is>
      </c>
      <c r="I3627" s="5">
        <f>HYPERLINK("https://fin.land.naver.com/articles/2648979075", "매물Link")</f>
        <v/>
      </c>
      <c r="J3627" s="5">
        <f>HYPERLINK("https://map.naver.com/p/search/연서면 부동리 65", "지도Link")</f>
        <v/>
      </c>
      <c r="K3627" s="5">
        <f>HYPERLINK("http://www.eum.go.kr/web/ar/lu/luLandDet.jsp?pnu=3611036032100650000&amp;isNoScr=script&amp;mode=search", "토지이음")</f>
        <v/>
      </c>
      <c r="L3627" s="3" t="inlineStr">
        <is>
          <t>세종스타</t>
        </is>
      </c>
      <c r="M3627" s="3" t="n">
        <v>1</v>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3" t="inlineStr">
        <is>
          <t>계획관리 전</t>
        </is>
      </c>
      <c r="I3628" s="5">
        <f>HYPERLINK("https://fin.land.naver.com/articles/2649731129", "매물Link")</f>
        <v/>
      </c>
      <c r="J3628" s="5">
        <f>HYPERLINK("https://map.naver.com/p/search/연서면 부동리 65", "지도Link")</f>
        <v/>
      </c>
      <c r="K3628" s="5">
        <f>HYPERLINK("http://www.eum.go.kr/web/ar/lu/luLandDet.jsp?pnu=3611036032100650000&amp;isNoScr=script&amp;mode=search", "토지이음")</f>
        <v/>
      </c>
      <c r="L3628" s="3" t="inlineStr">
        <is>
          <t>세종몽땅</t>
        </is>
      </c>
      <c r="M3628" s="3" t="n">
        <v>1</v>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3" t="inlineStr">
        <is>
          <t>국가산단인근,조치원산단인근,세종6생활권인근</t>
        </is>
      </c>
      <c r="I3629" s="5">
        <f>HYPERLINK("https://fin.land.naver.com/articles/2647073219", "매물Link")</f>
        <v/>
      </c>
      <c r="J3629" s="5">
        <f>HYPERLINK("https://map.naver.com/p/search/연서면 부동리 80-2", "지도Link")</f>
        <v/>
      </c>
      <c r="K3629" s="5">
        <f>HYPERLINK("http://www.eum.go.kr/web/ar/lu/luLandDet.jsp?pnu=3611036032100800002&amp;isNoScr=script&amp;mode=search", "토지이음")</f>
        <v/>
      </c>
      <c r="L3629" s="3" t="inlineStr">
        <is>
          <t>세종강남</t>
        </is>
      </c>
      <c r="M3629" s="3" t="n">
        <v>1</v>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3" t="inlineStr">
        <is>
          <t>스마트팜 및 대토, 농업경영체 등록 최적지 추천</t>
        </is>
      </c>
      <c r="I3630" s="5">
        <f>HYPERLINK("https://fin.land.naver.com/articles/2644698864", "매물Link")</f>
        <v/>
      </c>
      <c r="J3630" s="5">
        <f>HYPERLINK("https://map.naver.com/p/search/연서면 성제리 100-1", "지도Link")</f>
        <v/>
      </c>
      <c r="K3630" s="5">
        <f>HYPERLINK("http://www.eum.go.kr/web/ar/lu/luLandDet.jsp?pnu=3611036023101000001&amp;isNoScr=script&amp;mode=search", "토지이음")</f>
        <v/>
      </c>
      <c r="L3630" s="3" t="inlineStr">
        <is>
          <t>지성</t>
        </is>
      </c>
      <c r="M3630" s="3" t="n">
        <v>1</v>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3" t="inlineStr">
        <is>
          <t>국가산단인근 도로접한 과수원 매매</t>
        </is>
      </c>
      <c r="I3631" s="5">
        <f>HYPERLINK("https://fin.land.naver.com/articles/2647111799", "매물Link")</f>
        <v/>
      </c>
      <c r="J3631" s="5">
        <f>HYPERLINK("https://map.naver.com/p/search/연서면 성제리 145-14", "지도Link")</f>
        <v/>
      </c>
      <c r="K3631" s="5">
        <f>HYPERLINK("http://www.eum.go.kr/web/ar/lu/luLandDet.jsp?pnu=3611036023101450014&amp;isNoScr=script&amp;mode=search", "토지이음")</f>
        <v/>
      </c>
      <c r="L3631" s="3" t="inlineStr">
        <is>
          <t>THE행복</t>
        </is>
      </c>
      <c r="M3631" s="3" t="n">
        <v>1</v>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3" t="inlineStr">
        <is>
          <t>국가산단인근 도로변 성장관리구역 과수원</t>
        </is>
      </c>
      <c r="I3632" s="5">
        <f>HYPERLINK("https://fin.land.naver.com/articles/2644279426", "매물Link")</f>
        <v/>
      </c>
      <c r="J3632" s="5">
        <f>HYPERLINK("https://map.naver.com/p/search/연서면 성제리 145-14", "지도Link")</f>
        <v/>
      </c>
      <c r="K3632" s="5">
        <f>HYPERLINK("http://www.eum.go.kr/web/ar/lu/luLandDet.jsp?pnu=3611036023101450014&amp;isNoScr=script&amp;mode=search", "토지이음")</f>
        <v/>
      </c>
      <c r="L3632" s="3" t="inlineStr">
        <is>
          <t>THE행복</t>
        </is>
      </c>
      <c r="M3632" s="3" t="n">
        <v>1</v>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3" t="inlineStr">
        <is>
          <t>포장도로에 접해있는 도시지역 자연녹지지역의 농업용창고 66㎡와 전850㎡</t>
        </is>
      </c>
      <c r="I3633" s="5">
        <f>HYPERLINK("https://fin.land.naver.com/articles/2645384692", "매물Link")</f>
        <v/>
      </c>
      <c r="J3633" s="5">
        <f>HYPERLINK("https://map.naver.com/p/search/연서면 성제리 158-6", "지도Link")</f>
        <v/>
      </c>
      <c r="K3633" s="5">
        <f>HYPERLINK("http://www.eum.go.kr/web/ar/lu/luLandDet.jsp?pnu=3611036023101580006&amp;isNoScr=script&amp;mode=search", "토지이음")</f>
        <v/>
      </c>
      <c r="L3633" s="3" t="inlineStr">
        <is>
          <t>스마일세종</t>
        </is>
      </c>
      <c r="M3633" s="3" t="n">
        <v>1</v>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3" t="inlineStr">
        <is>
          <t>세종시근접 2차선도로접 토지,향후 개발가능성높은 토지입니다.</t>
        </is>
      </c>
      <c r="I3634" s="5">
        <f>HYPERLINK("https://fin.land.naver.com/articles/2648033562", "매물Link")</f>
        <v/>
      </c>
      <c r="J3634" s="5">
        <f>HYPERLINK("https://map.naver.com/p/search/연서면 성제리 186-5", "지도Link")</f>
        <v/>
      </c>
      <c r="K3634" s="5">
        <f>HYPERLINK("http://www.eum.go.kr/web/ar/lu/luLandDet.jsp?pnu=3611036023101860005&amp;isNoScr=script&amp;mode=search", "토지이음")</f>
        <v/>
      </c>
      <c r="L3634" s="3" t="inlineStr">
        <is>
          <t>담뜰</t>
        </is>
      </c>
      <c r="M3634" s="3" t="n">
        <v>3</v>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3" t="inlineStr">
        <is>
          <t>2차선 도로에 접한 투자용 토지 급매입니다. 스마트산업단지 인근에 있음</t>
        </is>
      </c>
      <c r="I3635" s="5">
        <f>HYPERLINK("https://fin.land.naver.com/articles/2649419870", "매물Link")</f>
        <v/>
      </c>
      <c r="J3635" s="5">
        <f>HYPERLINK("https://map.naver.com/p/search/연서면 성제리 186-5", "지도Link")</f>
        <v/>
      </c>
      <c r="K3635" s="5">
        <f>HYPERLINK("http://www.eum.go.kr/web/ar/lu/luLandDet.jsp?pnu=3611036023101860005&amp;isNoScr=script&amp;mode=search", "토지이음")</f>
        <v/>
      </c>
      <c r="L3635" s="3" t="inlineStr">
        <is>
          <t>스마일세종</t>
        </is>
      </c>
      <c r="M3635" s="3" t="n">
        <v>4</v>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3" t="inlineStr">
        <is>
          <t>2차선도로접, 개발호재가 강한지역 투자가치최고</t>
        </is>
      </c>
      <c r="I3636" s="5">
        <f>HYPERLINK("https://fin.land.naver.com/articles/2644591685", "매물Link")</f>
        <v/>
      </c>
      <c r="J3636" s="5">
        <f>HYPERLINK("https://map.naver.com/p/search/연서면 성제리 186-5", "지도Link")</f>
        <v/>
      </c>
      <c r="K3636" s="5">
        <f>HYPERLINK("http://www.eum.go.kr/web/ar/lu/luLandDet.jsp?pnu=3611036023101860005&amp;isNoScr=script&amp;mode=search", "토지이음")</f>
        <v/>
      </c>
      <c r="L3636" s="3" t="inlineStr">
        <is>
          <t>원내</t>
        </is>
      </c>
      <c r="M3636" s="3" t="n">
        <v>2</v>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3" t="inlineStr">
        <is>
          <t>세종시근접 2차선도로접 토지,향후 개발가능성높은 토지입니다.</t>
        </is>
      </c>
      <c r="I3637" s="5">
        <f>HYPERLINK("https://fin.land.naver.com/articles/2648921014", "매물Link")</f>
        <v/>
      </c>
      <c r="J3637" s="5">
        <f>HYPERLINK("https://map.naver.com/p/search/연서면 성제리 186-6", "지도Link")</f>
        <v/>
      </c>
      <c r="K3637" s="5">
        <f>HYPERLINK("http://www.eum.go.kr/web/ar/lu/luLandDet.jsp?pnu=3611036023101860006&amp;isNoScr=script&amp;mode=search", "토지이음")</f>
        <v/>
      </c>
      <c r="L3637" s="3" t="inlineStr">
        <is>
          <t>담뜰</t>
        </is>
      </c>
      <c r="M3637" s="3" t="n">
        <v>3</v>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3" t="inlineStr">
        <is>
          <t>성제리토지 국가산업단지 인근지역 2차선접함</t>
        </is>
      </c>
      <c r="I3638" s="5">
        <f>HYPERLINK("https://fin.land.naver.com/articles/2646713188", "매물Link")</f>
        <v/>
      </c>
      <c r="J3638" s="5">
        <f>HYPERLINK("https://map.naver.com/p/search/연서면 성제리 186-6", "지도Link")</f>
        <v/>
      </c>
      <c r="K3638" s="5">
        <f>HYPERLINK("http://www.eum.go.kr/web/ar/lu/luLandDet.jsp?pnu=3611036023101860006&amp;isNoScr=script&amp;mode=search", "토지이음")</f>
        <v/>
      </c>
      <c r="L3638" s="3" t="inlineStr">
        <is>
          <t>빛나</t>
        </is>
      </c>
      <c r="M3638" s="3" t="n">
        <v>2</v>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3" t="inlineStr">
        <is>
          <t>2차선 도로변 토지 매매</t>
        </is>
      </c>
      <c r="I3639" s="5">
        <f>HYPERLINK("https://fin.land.naver.com/articles/2647481662", "매물Link")</f>
        <v/>
      </c>
      <c r="J3639" s="5">
        <f>HYPERLINK("https://map.naver.com/p/search/연서면 성제리 186-6", "지도Link")</f>
        <v/>
      </c>
      <c r="K3639" s="5">
        <f>HYPERLINK("http://www.eum.go.kr/web/ar/lu/luLandDet.jsp?pnu=3611036023101860006&amp;isNoScr=script&amp;mode=search", "토지이음")</f>
        <v/>
      </c>
      <c r="L3639" s="3" t="inlineStr">
        <is>
          <t>주식회사넥서스</t>
        </is>
      </c>
      <c r="M3639" s="3" t="n">
        <v>1</v>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3" t="inlineStr">
        <is>
          <t>연서면 성제리 지목이 과수원으로 마을 포장도로에 접해 있어 이용가치 높은</t>
        </is>
      </c>
      <c r="I3640" s="5">
        <f>HYPERLINK("https://fin.land.naver.com/articles/2645998585", "매물Link")</f>
        <v/>
      </c>
      <c r="J3640" s="5">
        <f>HYPERLINK("https://map.naver.com/p/search/연서면 성제리 188-3", "지도Link")</f>
        <v/>
      </c>
      <c r="K3640" s="5">
        <f>HYPERLINK("http://www.eum.go.kr/web/ar/lu/luLandDet.jsp?pnu=3611036023101880003&amp;isNoScr=script&amp;mode=search", "토지이음")</f>
        <v/>
      </c>
      <c r="L3640" s="3" t="inlineStr">
        <is>
          <t>스마일세종</t>
        </is>
      </c>
      <c r="M3640" s="3" t="n">
        <v>1</v>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3" t="inlineStr">
        <is>
          <t>포장농로 접한 연서면 평탄 농업용 토지</t>
        </is>
      </c>
      <c r="I3641" s="5">
        <f>HYPERLINK("https://fin.land.naver.com/articles/2647424202", "매물Link")</f>
        <v/>
      </c>
      <c r="J3641" s="5">
        <f>HYPERLINK("https://map.naver.com/p/search/연서면 성제리 190-7", "지도Link")</f>
        <v/>
      </c>
      <c r="K3641" s="5">
        <f>HYPERLINK("http://www.eum.go.kr/web/ar/lu/luLandDet.jsp?pnu=3611036023101900007&amp;isNoScr=script&amp;mode=search", "토지이음")</f>
        <v/>
      </c>
      <c r="L3641" s="3" t="inlineStr">
        <is>
          <t>세종소담황금</t>
        </is>
      </c>
      <c r="M3641" s="3" t="n">
        <v>1</v>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3" t="inlineStr">
        <is>
          <t>세종스마트 국가산업단지 인근에 있는 주변시세보다 저렴한 대토용 농지 급매</t>
        </is>
      </c>
      <c r="I3642" s="5">
        <f>HYPERLINK("https://fin.land.naver.com/articles/2649145962", "매물Link")</f>
        <v/>
      </c>
      <c r="J3642" s="5">
        <f>HYPERLINK("https://map.naver.com/p/search/연서면 성제리 202-3", "지도Link")</f>
        <v/>
      </c>
      <c r="K3642" s="5">
        <f>HYPERLINK("http://www.eum.go.kr/web/ar/lu/luLandDet.jsp?pnu=3611036023102020003&amp;isNoScr=script&amp;mode=search", "토지이음")</f>
        <v/>
      </c>
      <c r="L3642" s="3" t="inlineStr">
        <is>
          <t>스마일세종</t>
        </is>
      </c>
      <c r="M3642" s="3" t="n">
        <v>1</v>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3" t="inlineStr">
        <is>
          <t>도로접한 농지</t>
        </is>
      </c>
      <c r="I3643" s="5">
        <f>HYPERLINK("https://fin.land.naver.com/articles/2644890063", "매물Link")</f>
        <v/>
      </c>
      <c r="J3643" s="5">
        <f>HYPERLINK("https://map.naver.com/p/search/연서면 성제리 217-1", "지도Link")</f>
        <v/>
      </c>
      <c r="K3643" s="5">
        <f>HYPERLINK("http://www.eum.go.kr/web/ar/lu/luLandDet.jsp?pnu=3611036023102170001&amp;isNoScr=script&amp;mode=search", "토지이음")</f>
        <v/>
      </c>
      <c r="L3643" s="3" t="inlineStr">
        <is>
          <t>세종대박</t>
        </is>
      </c>
      <c r="M3643" s="3" t="n">
        <v>1</v>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3" t="inlineStr">
        <is>
          <t>투자가치 높은 도시지역내 과수원</t>
        </is>
      </c>
      <c r="I3644" s="5">
        <f>HYPERLINK("https://fin.land.naver.com/articles/2646007792", "매물Link")</f>
        <v/>
      </c>
      <c r="J3644" s="5">
        <f>HYPERLINK("https://map.naver.com/p/search/연서면 성제리 273-5", "지도Link")</f>
        <v/>
      </c>
      <c r="K3644" s="5">
        <f>HYPERLINK("http://www.eum.go.kr/web/ar/lu/luLandDet.jsp?pnu=3611036023102730005&amp;isNoScr=script&amp;mode=search", "토지이음")</f>
        <v/>
      </c>
      <c r="L3644" s="3" t="inlineStr">
        <is>
          <t>세종대박</t>
        </is>
      </c>
      <c r="M3644" s="3" t="n">
        <v>2</v>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3" t="inlineStr">
        <is>
          <t>미래가치 높은 관리 잘된 투자형 과수원</t>
        </is>
      </c>
      <c r="I3645" s="5">
        <f>HYPERLINK("https://fin.land.naver.com/articles/2649629027", "매물Link")</f>
        <v/>
      </c>
      <c r="J3645" s="5">
        <f>HYPERLINK("https://map.naver.com/p/search/연서면 성제리 273-6", "지도Link")</f>
        <v/>
      </c>
      <c r="K3645" s="5">
        <f>HYPERLINK("http://www.eum.go.kr/web/ar/lu/luLandDet.jsp?pnu=3611036023102730006&amp;isNoScr=script&amp;mode=search", "토지이음")</f>
        <v/>
      </c>
      <c r="L3645" s="3" t="inlineStr">
        <is>
          <t>가치잇는</t>
        </is>
      </c>
      <c r="M3645" s="3" t="n">
        <v>1</v>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3" t="inlineStr">
        <is>
          <t>nan</t>
        </is>
      </c>
      <c r="I3646" s="5">
        <f>HYPERLINK("https://fin.land.naver.com/articles/2644345316", "매물Link")</f>
        <v/>
      </c>
      <c r="J3646" s="5">
        <f>HYPERLINK("https://map.naver.com/p/search/연서면 성제리 273-9", "지도Link")</f>
        <v/>
      </c>
      <c r="K3646" s="5">
        <f>HYPERLINK("http://www.eum.go.kr/web/ar/lu/luLandDet.jsp?pnu=3611036023102730009&amp;isNoScr=script&amp;mode=search", "토지이음")</f>
        <v/>
      </c>
      <c r="L3646" s="3" t="inlineStr">
        <is>
          <t>미스터홈즈강남지사</t>
        </is>
      </c>
      <c r="M3646" s="3" t="n">
        <v>1</v>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3" t="inlineStr">
        <is>
          <t>분할가능,실수요와 투자를 동시에.미래가치 충분</t>
        </is>
      </c>
      <c r="I3647" s="5">
        <f>HYPERLINK("https://fin.land.naver.com/articles/2646800317", "매물Link")</f>
        <v/>
      </c>
      <c r="J3647" s="5">
        <f>HYPERLINK("https://map.naver.com/p/search/연서면 성제리 273-9", "지도Link")</f>
        <v/>
      </c>
      <c r="K3647" s="5">
        <f>HYPERLINK("http://www.eum.go.kr/web/ar/lu/luLandDet.jsp?pnu=3611036023102730009&amp;isNoScr=script&amp;mode=search", "토지이음")</f>
        <v/>
      </c>
      <c r="L3647" s="3" t="inlineStr">
        <is>
          <t>가치잇는</t>
        </is>
      </c>
      <c r="M3647" s="3" t="n">
        <v>2</v>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3" t="inlineStr">
        <is>
          <t>연서면행정복지센타 인근토지</t>
        </is>
      </c>
      <c r="I3648" s="5">
        <f>HYPERLINK("https://fin.land.naver.com/articles/2648029985", "매물Link")</f>
        <v/>
      </c>
      <c r="J3648" s="5">
        <f>HYPERLINK("https://map.naver.com/p/search/연서면 성제리 280-9", "지도Link")</f>
        <v/>
      </c>
      <c r="K3648" s="5">
        <f>HYPERLINK("http://www.eum.go.kr/web/ar/lu/luLandDet.jsp?pnu=3611036023102800009&amp;isNoScr=script&amp;mode=search", "토지이음")</f>
        <v/>
      </c>
      <c r="L3648" s="3" t="inlineStr">
        <is>
          <t>THE행복</t>
        </is>
      </c>
      <c r="M3648" s="3" t="n">
        <v>1</v>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3" t="inlineStr">
        <is>
          <t>행정복지센터 인근 자연녹지 저렴한 토지</t>
        </is>
      </c>
      <c r="I3649" s="5">
        <f>HYPERLINK("https://fin.land.naver.com/articles/2645605670", "매물Link")</f>
        <v/>
      </c>
      <c r="J3649" s="5">
        <f>HYPERLINK("https://map.naver.com/p/search/연서면 성제리 280-9", "지도Link")</f>
        <v/>
      </c>
      <c r="K3649" s="5">
        <f>HYPERLINK("http://www.eum.go.kr/web/ar/lu/luLandDet.jsp?pnu=3611036023102800009&amp;isNoScr=script&amp;mode=search", "토지이음")</f>
        <v/>
      </c>
      <c r="L3649" s="3" t="inlineStr">
        <is>
          <t>미스터홈즈강남지사</t>
        </is>
      </c>
      <c r="M3649" s="3" t="n">
        <v>1</v>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3" t="inlineStr">
        <is>
          <t>2차선 도로 인접 ,용도 변경 가능 미래 투자가치 좋은 금싸라기 땅</t>
        </is>
      </c>
      <c r="I3650" s="5">
        <f>HYPERLINK("https://fin.land.naver.com/articles/2645523085", "매물Link")</f>
        <v/>
      </c>
      <c r="J3650" s="5">
        <f>HYPERLINK("https://map.naver.com/p/search/연서면 성제리 429", "지도Link")</f>
        <v/>
      </c>
      <c r="K3650" s="5">
        <f>HYPERLINK("http://www.eum.go.kr/web/ar/lu/luLandDet.jsp?pnu=3611036023104290000&amp;isNoScr=script&amp;mode=search", "토지이음")</f>
        <v/>
      </c>
      <c r="L3650" s="3" t="inlineStr">
        <is>
          <t>강남뜰</t>
        </is>
      </c>
      <c r="M3650" s="3" t="n">
        <v>1</v>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3" t="inlineStr">
        <is>
          <t>집짓기 좋은 정방형 토지 매매</t>
        </is>
      </c>
      <c r="I3651" s="5">
        <f>HYPERLINK("https://fin.land.naver.com/articles/2647111574", "매물Link")</f>
        <v/>
      </c>
      <c r="J3651" s="5">
        <f>HYPERLINK("https://map.naver.com/p/search/연서면 성제리 446", "지도Link")</f>
        <v/>
      </c>
      <c r="K3651" s="5">
        <f>HYPERLINK("http://www.eum.go.kr/web/ar/lu/luLandDet.jsp?pnu=3611036023104460000&amp;isNoScr=script&amp;mode=search", "토지이음")</f>
        <v/>
      </c>
      <c r="L3651" s="3" t="inlineStr">
        <is>
          <t>THE행복</t>
        </is>
      </c>
      <c r="M3651" s="3" t="n">
        <v>1</v>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3" t="inlineStr">
        <is>
          <t>코너 도시지역 자연녹지 밭 도심과 가까운 위치</t>
        </is>
      </c>
      <c r="I3652" s="5">
        <f>HYPERLINK("https://fin.land.naver.com/articles/2648498507", "매물Link")</f>
        <v/>
      </c>
      <c r="J3652" s="5">
        <f>HYPERLINK("https://map.naver.com/p/search/연서면 성제리 446", "지도Link")</f>
        <v/>
      </c>
      <c r="K3652" s="5">
        <f>HYPERLINK("http://www.eum.go.kr/web/ar/lu/luLandDet.jsp?pnu=3611036023104460000&amp;isNoScr=script&amp;mode=search", "토지이음")</f>
        <v/>
      </c>
      <c r="L3652" s="3" t="inlineStr">
        <is>
          <t>지성</t>
        </is>
      </c>
      <c r="M3652" s="3" t="n">
        <v>1</v>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3" t="inlineStr">
        <is>
          <t>국가산단인근  성장관리계획구역</t>
        </is>
      </c>
      <c r="I3653" s="5">
        <f>HYPERLINK("https://fin.land.naver.com/articles/2648491546", "매물Link")</f>
        <v/>
      </c>
      <c r="J3653" s="5">
        <f>HYPERLINK("https://map.naver.com/p/search/연서면 성제리 446", "지도Link")</f>
        <v/>
      </c>
      <c r="K3653" s="5">
        <f>HYPERLINK("http://www.eum.go.kr/web/ar/lu/luLandDet.jsp?pnu=3611036023104460000&amp;isNoScr=script&amp;mode=search", "토지이음")</f>
        <v/>
      </c>
      <c r="L3653" s="3" t="inlineStr">
        <is>
          <t>THE행복</t>
        </is>
      </c>
      <c r="M3653" s="3" t="n">
        <v>1</v>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3" t="inlineStr">
        <is>
          <t>자연녹지 작은텃밭 도심 가까운 성제리 토지매매</t>
        </is>
      </c>
      <c r="I3654" s="5">
        <f>HYPERLINK("https://fin.land.naver.com/articles/2646241377", "매물Link")</f>
        <v/>
      </c>
      <c r="J3654" s="5">
        <f>HYPERLINK("https://map.naver.com/p/search/연서면 성제리 446-1", "지도Link")</f>
        <v/>
      </c>
      <c r="K3654" s="5">
        <f>HYPERLINK("http://www.eum.go.kr/web/ar/lu/luLandDet.jsp?pnu=3611036023104460001&amp;isNoScr=script&amp;mode=search", "토지이음")</f>
        <v/>
      </c>
      <c r="L3654" s="3" t="inlineStr">
        <is>
          <t>지성</t>
        </is>
      </c>
      <c r="M3654" s="3" t="n">
        <v>1</v>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3" t="inlineStr">
        <is>
          <t>국가 산업 단지 근접투자 가치 용 토지</t>
        </is>
      </c>
      <c r="I3655" s="5">
        <f>HYPERLINK("https://fin.land.naver.com/articles/2649511861", "매물Link")</f>
        <v/>
      </c>
      <c r="J3655" s="5">
        <f>HYPERLINK("https://map.naver.com/p/search/연서면 성제리 448-5", "지도Link")</f>
        <v/>
      </c>
      <c r="K3655" s="5">
        <f>HYPERLINK("http://www.eum.go.kr/web/ar/lu/luLandDet.jsp?pnu=3611036023104480005&amp;isNoScr=script&amp;mode=search", "토지이음")</f>
        <v/>
      </c>
      <c r="L3655" s="3" t="inlineStr">
        <is>
          <t>현담</t>
        </is>
      </c>
      <c r="M3655" s="3" t="n">
        <v>1</v>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3" t="inlineStr">
        <is>
          <t>자연취락지구, 도로접 평탄농지, 전원형 활용 검토 유리</t>
        </is>
      </c>
      <c r="I3656" s="5">
        <f>HYPERLINK("https://fin.land.naver.com/articles/2648857594", "매물Link")</f>
        <v/>
      </c>
      <c r="J3656" s="5">
        <f>HYPERLINK("https://map.naver.com/p/search/연서면 성제리 452", "지도Link")</f>
        <v/>
      </c>
      <c r="K3656" s="5">
        <f>HYPERLINK("http://www.eum.go.kr/web/ar/lu/luLandDet.jsp?pnu=3611036023104520000&amp;isNoScr=script&amp;mode=search", "토지이음")</f>
        <v/>
      </c>
      <c r="L3656" s="3" t="inlineStr">
        <is>
          <t>세종소담황금</t>
        </is>
      </c>
      <c r="M3656" s="3" t="n">
        <v>1</v>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3" t="inlineStr">
        <is>
          <t>계획관리 과수원배밭매매</t>
        </is>
      </c>
      <c r="I3657" s="5">
        <f>HYPERLINK("https://fin.land.naver.com/articles/2648813382", "매물Link")</f>
        <v/>
      </c>
      <c r="J3657" s="5">
        <f>HYPERLINK("https://map.naver.com/p/search/연서면 성제리 455-8", "지도Link")</f>
        <v/>
      </c>
      <c r="K3657" s="5">
        <f>HYPERLINK("http://www.eum.go.kr/web/ar/lu/luLandDet.jsp?pnu=3611036023104550008&amp;isNoScr=script&amp;mode=search", "토지이음")</f>
        <v/>
      </c>
      <c r="L3657" s="3" t="inlineStr">
        <is>
          <t>세종대박</t>
        </is>
      </c>
      <c r="M3657" s="3" t="n">
        <v>1</v>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3" t="inlineStr">
        <is>
          <t>세종시 연서면 계획관리 매매.11.1억</t>
        </is>
      </c>
      <c r="I3658" s="5">
        <f>HYPERLINK("https://fin.land.naver.com/articles/2645257637", "매물Link")</f>
        <v/>
      </c>
      <c r="J3658" s="5">
        <f>HYPERLINK("https://map.naver.com/p/search/연서면 성제리 564-3", "지도Link")</f>
        <v/>
      </c>
      <c r="K3658" s="5">
        <f>HYPERLINK("http://www.eum.go.kr/web/ar/lu/luLandDet.jsp?pnu=3611036023105640003&amp;isNoScr=script&amp;mode=search", "토지이음")</f>
        <v/>
      </c>
      <c r="L3658" s="3" t="inlineStr">
        <is>
          <t>동원</t>
        </is>
      </c>
      <c r="M3658" s="3" t="n">
        <v>1</v>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3" t="inlineStr">
        <is>
          <t>상가건물있음,  성제네거리코너10m도로접합 계획관리지역 3필지일괄매매</t>
        </is>
      </c>
      <c r="I3659" s="5">
        <f>HYPERLINK("https://fin.land.naver.com/articles/2648410546", "매물Link")</f>
        <v/>
      </c>
      <c r="J3659" s="5">
        <f>HYPERLINK("https://map.naver.com/p/search/연서면 성제리 586-14", "지도Link")</f>
        <v/>
      </c>
      <c r="K3659" s="5">
        <f>HYPERLINK("http://www.eum.go.kr/web/ar/lu/luLandDet.jsp?pnu=3611036023105860014&amp;isNoScr=script&amp;mode=search", "토지이음")</f>
        <v/>
      </c>
      <c r="L3659" s="3" t="inlineStr">
        <is>
          <t>길음(02-983-0110)</t>
        </is>
      </c>
      <c r="M3659" s="3" t="n">
        <v>1</v>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3" t="inlineStr">
        <is>
          <t>현재132.16제곱음식점운영.인접2필지병행매매가합1204제곱.코너각지</t>
        </is>
      </c>
      <c r="I3660" s="5">
        <f>HYPERLINK("https://fin.land.naver.com/articles/2649411604", "매물Link")</f>
        <v/>
      </c>
      <c r="J3660" s="5">
        <f>HYPERLINK("https://map.naver.com/p/search/연서면 성제리 586-14", "지도Link")</f>
        <v/>
      </c>
      <c r="K3660" s="5">
        <f>HYPERLINK("http://www.eum.go.kr/web/ar/lu/luLandDet.jsp?pnu=3611036023105860014&amp;isNoScr=script&amp;mode=search", "토지이음")</f>
        <v/>
      </c>
      <c r="L3660" s="3" t="inlineStr">
        <is>
          <t>돈방석</t>
        </is>
      </c>
      <c r="M3660" s="3" t="n">
        <v>2</v>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3" t="inlineStr">
        <is>
          <t>2차선에 접한 귀한 토지.개발호재.지가상승지역.</t>
        </is>
      </c>
      <c r="I3661" s="5">
        <f>HYPERLINK("https://fin.land.naver.com/articles/2645258121", "매물Link")</f>
        <v/>
      </c>
      <c r="J3661" s="5">
        <f>HYPERLINK("https://map.naver.com/p/search/연서면 성제리 586-183", "지도Link")</f>
        <v/>
      </c>
      <c r="K3661" s="5">
        <f>HYPERLINK("http://www.eum.go.kr/web/ar/lu/luLandDet.jsp?pnu=3611036023105860183&amp;isNoScr=script&amp;mode=search", "토지이음")</f>
        <v/>
      </c>
      <c r="L3661" s="3" t="inlineStr">
        <is>
          <t>동원</t>
        </is>
      </c>
      <c r="M3661" s="3" t="n">
        <v>1</v>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3" t="inlineStr">
        <is>
          <t>성제리 도로접한 해 잘들어오는 계획관리 토지</t>
        </is>
      </c>
      <c r="I3662" s="5">
        <f>HYPERLINK("https://fin.land.naver.com/articles/2648593585", "매물Link")</f>
        <v/>
      </c>
      <c r="J3662" s="5">
        <f>HYPERLINK("https://map.naver.com/p/search/연서면 성제리 77-1", "지도Link")</f>
        <v/>
      </c>
      <c r="K3662" s="5">
        <f>HYPERLINK("http://www.eum.go.kr/web/ar/lu/luLandDet.jsp?pnu=3611036023100770001&amp;isNoScr=script&amp;mode=search", "토지이음")</f>
        <v/>
      </c>
      <c r="L3662" s="3" t="inlineStr">
        <is>
          <t>엄지척</t>
        </is>
      </c>
      <c r="M3662" s="3" t="n">
        <v>1</v>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3" t="inlineStr">
        <is>
          <t>임야</t>
        </is>
      </c>
      <c r="I3663" s="5">
        <f>HYPERLINK("https://fin.land.naver.com/articles/2647749190", "매물Link")</f>
        <v/>
      </c>
      <c r="J3663" s="5">
        <f>HYPERLINK("https://map.naver.com/p/search/연서면 성제리 산 28-1", "지도Link")</f>
        <v/>
      </c>
      <c r="K3663" s="5">
        <f>HYPERLINK("http://www.eum.go.kr/web/ar/lu/luLandDet.jsp?pnu=3611036023200280001&amp;isNoScr=script&amp;mode=search", "토지이음")</f>
        <v/>
      </c>
      <c r="L3663" s="3" t="inlineStr">
        <is>
          <t>다산</t>
        </is>
      </c>
      <c r="M3663" s="3" t="n">
        <v>1</v>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3" t="inlineStr">
        <is>
          <t>연서면 성제리 농림지역, 일부 보전관리 임야, 조치원 인근</t>
        </is>
      </c>
      <c r="I3664" s="5">
        <f>HYPERLINK("https://fin.land.naver.com/articles/2645918265", "매물Link")</f>
        <v/>
      </c>
      <c r="J3664" s="5">
        <f>HYPERLINK("https://map.naver.com/p/search/연서면 성제리 산 28-1", "지도Link")</f>
        <v/>
      </c>
      <c r="K3664" s="5">
        <f>HYPERLINK("http://www.eum.go.kr/web/ar/lu/luLandDet.jsp?pnu=3611036023200280001&amp;isNoScr=script&amp;mode=search", "토지이음")</f>
        <v/>
      </c>
      <c r="L3664" s="3" t="inlineStr">
        <is>
          <t>스카이</t>
        </is>
      </c>
      <c r="M3664" s="3" t="n">
        <v>1</v>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3" t="inlineStr">
        <is>
          <t>연서면 신대리 계획관리 대지, 포장도로접, 조치원 국가산단 인근, 저렴</t>
        </is>
      </c>
      <c r="I3665" s="5">
        <f>HYPERLINK("https://fin.land.naver.com/articles/2647404519", "매물Link")</f>
        <v/>
      </c>
      <c r="J3665" s="5">
        <f>HYPERLINK("https://map.naver.com/p/search/연서면 신대리 115", "지도Link")</f>
        <v/>
      </c>
      <c r="K3665" s="5">
        <f>HYPERLINK("http://www.eum.go.kr/web/ar/lu/luLandDet.jsp?pnu=3611036029101150000&amp;isNoScr=script&amp;mode=search", "토지이음")</f>
        <v/>
      </c>
      <c r="L3665" s="3" t="inlineStr">
        <is>
          <t>스카이</t>
        </is>
      </c>
      <c r="M3665" s="3" t="n">
        <v>1</v>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3" t="inlineStr">
        <is>
          <t>급매, 대토용, 투자용</t>
        </is>
      </c>
      <c r="I3666" s="5">
        <f>HYPERLINK("https://fin.land.naver.com/articles/2648500554", "매물Link")</f>
        <v/>
      </c>
      <c r="J3666" s="5">
        <f>HYPERLINK("https://map.naver.com/p/search/연서면 신대리 124", "지도Link")</f>
        <v/>
      </c>
      <c r="K3666" s="5">
        <f>HYPERLINK("http://www.eum.go.kr/web/ar/lu/luLandDet.jsp?pnu=3611036029101240000&amp;isNoScr=script&amp;mode=search", "토지이음")</f>
        <v/>
      </c>
      <c r="L3666" s="3" t="inlineStr">
        <is>
          <t>고운동리치세종</t>
        </is>
      </c>
      <c r="M3666" s="3" t="n">
        <v>1</v>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3" t="inlineStr">
        <is>
          <t>계획관리지역, 성장관리구역, 도로접합, 세종국가산단인근</t>
        </is>
      </c>
      <c r="I3667" s="5">
        <f>HYPERLINK("https://fin.land.naver.com/articles/2643989102", "매물Link")</f>
        <v/>
      </c>
      <c r="J3667" s="5">
        <f>HYPERLINK("https://map.naver.com/p/search/연서면 신대리 192", "지도Link")</f>
        <v/>
      </c>
      <c r="K3667" s="5">
        <f>HYPERLINK("http://www.eum.go.kr/web/ar/lu/luLandDet.jsp?pnu=3611036029101920000&amp;isNoScr=script&amp;mode=search", "토지이음")</f>
        <v/>
      </c>
      <c r="L3667" s="3" t="inlineStr">
        <is>
          <t>세종일조</t>
        </is>
      </c>
      <c r="M3667" s="3" t="n">
        <v>1</v>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3" t="inlineStr">
        <is>
          <t>세종산업단지 1km이내 계획관리지역, 자연취락지구 토지매매</t>
        </is>
      </c>
      <c r="I3668" s="5">
        <f>HYPERLINK("https://fin.land.naver.com/articles/2645514771", "매물Link")</f>
        <v/>
      </c>
      <c r="J3668" s="5">
        <f>HYPERLINK("https://map.naver.com/p/search/연서면 신대리 30", "지도Link")</f>
        <v/>
      </c>
      <c r="K3668" s="5">
        <f>HYPERLINK("http://www.eum.go.kr/web/ar/lu/luLandDet.jsp?pnu=3611036029100300000&amp;isNoScr=script&amp;mode=search", "토지이음")</f>
        <v/>
      </c>
      <c r="L3668" s="3" t="inlineStr">
        <is>
          <t>에이스</t>
        </is>
      </c>
      <c r="M3668" s="3" t="n">
        <v>1</v>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3" t="inlineStr">
        <is>
          <t>투자하기 좋은 토지</t>
        </is>
      </c>
      <c r="I3669" s="5">
        <f>HYPERLINK("https://fin.land.naver.com/articles/2646792074", "매물Link")</f>
        <v/>
      </c>
      <c r="J3669" s="5">
        <f>HYPERLINK("https://map.naver.com/p/search/연서면 신대리 320", "지도Link")</f>
        <v/>
      </c>
      <c r="K3669" s="5">
        <f>HYPERLINK("http://www.eum.go.kr/web/ar/lu/luLandDet.jsp?pnu=3611036029103200000&amp;isNoScr=script&amp;mode=search", "토지이음")</f>
        <v/>
      </c>
      <c r="L3669" s="3" t="inlineStr">
        <is>
          <t>이로운 사무소</t>
        </is>
      </c>
      <c r="M3669" s="3" t="n">
        <v>1</v>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3" t="inlineStr">
        <is>
          <t>귀한 연서면 토지이며 인접한 3필지 일괄 매매.분할매도가능</t>
        </is>
      </c>
      <c r="I3670" s="5">
        <f>HYPERLINK("https://fin.land.naver.com/articles/2646723486", "매물Link")</f>
        <v/>
      </c>
      <c r="J3670" s="5">
        <f>HYPERLINK("https://map.naver.com/p/search/연서면 신대리 323", "지도Link")</f>
        <v/>
      </c>
      <c r="K3670" s="5">
        <f>HYPERLINK("http://www.eum.go.kr/web/ar/lu/luLandDet.jsp?pnu=3611036029103230000&amp;isNoScr=script&amp;mode=search", "토지이음")</f>
        <v/>
      </c>
      <c r="L3670" s="3" t="inlineStr">
        <is>
          <t>생생</t>
        </is>
      </c>
      <c r="M3670" s="3" t="n">
        <v>1</v>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3" t="inlineStr">
        <is>
          <t>국가산단예정지 인접,전원생활과 미래가치를 동시에</t>
        </is>
      </c>
      <c r="I3671" s="5">
        <f>HYPERLINK("https://fin.land.naver.com/articles/2648185485", "매물Link")</f>
        <v/>
      </c>
      <c r="J3671" s="5">
        <f>HYPERLINK("https://map.naver.com/p/search/연서면 신대리 327-5", "지도Link")</f>
        <v/>
      </c>
      <c r="K3671" s="5">
        <f>HYPERLINK("http://www.eum.go.kr/web/ar/lu/luLandDet.jsp?pnu=3611036029103270005&amp;isNoScr=script&amp;mode=search", "토지이음")</f>
        <v/>
      </c>
      <c r="L3671" s="3" t="inlineStr">
        <is>
          <t>가치잇는</t>
        </is>
      </c>
      <c r="M3671" s="3" t="n">
        <v>1</v>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3" t="inlineStr">
        <is>
          <t>고복저수지인근 전원주택 단지 교통편리</t>
        </is>
      </c>
      <c r="I3672" s="5">
        <f>HYPERLINK("https://fin.land.naver.com/articles/2648855823", "매물Link")</f>
        <v/>
      </c>
      <c r="J3672" s="5">
        <f>HYPERLINK("https://map.naver.com/p/search/연서면 신대리 395-10", "지도Link")</f>
        <v/>
      </c>
      <c r="K3672" s="5">
        <f>HYPERLINK("http://www.eum.go.kr/web/ar/lu/luLandDet.jsp?pnu=3611036029103950010&amp;isNoScr=script&amp;mode=search", "토지이음")</f>
        <v/>
      </c>
      <c r="L3672" s="3" t="inlineStr">
        <is>
          <t>신한국</t>
        </is>
      </c>
      <c r="M3672" s="3" t="n">
        <v>1</v>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3" t="inlineStr">
        <is>
          <t>고복저수지근처 지목대지 건축 허가 가능.</t>
        </is>
      </c>
      <c r="I3673" s="5">
        <f>HYPERLINK("https://fin.land.naver.com/articles/2644480997", "매물Link")</f>
        <v/>
      </c>
      <c r="J3673" s="5">
        <f>HYPERLINK("https://map.naver.com/p/search/연서면 신대리 395-10", "지도Link")</f>
        <v/>
      </c>
      <c r="K3673" s="5">
        <f>HYPERLINK("http://www.eum.go.kr/web/ar/lu/luLandDet.jsp?pnu=3611036029103950010&amp;isNoScr=script&amp;mode=search", "토지이음")</f>
        <v/>
      </c>
      <c r="L3673" s="3" t="inlineStr">
        <is>
          <t>신한국</t>
        </is>
      </c>
      <c r="M3673" s="3" t="n">
        <v>1</v>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3" t="inlineStr">
        <is>
          <t>대지 즉시 건축가능 전원주택부지</t>
        </is>
      </c>
      <c r="I3674" s="5">
        <f>HYPERLINK("https://fin.land.naver.com/articles/2644413334", "매물Link")</f>
        <v/>
      </c>
      <c r="J3674" s="5">
        <f>HYPERLINK("https://map.naver.com/p/search/연서면 신대리 395-62", "지도Link")</f>
        <v/>
      </c>
      <c r="K3674" s="5">
        <f>HYPERLINK("http://www.eum.go.kr/web/ar/lu/luLandDet.jsp?pnu=3611036029103950062&amp;isNoScr=script&amp;mode=search", "토지이음")</f>
        <v/>
      </c>
      <c r="L3674" s="3" t="inlineStr">
        <is>
          <t>로데오상가</t>
        </is>
      </c>
      <c r="M3674" s="3" t="n">
        <v>1</v>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3" t="inlineStr">
        <is>
          <t>nan</t>
        </is>
      </c>
      <c r="I3675" s="5">
        <f>HYPERLINK("https://fin.land.naver.com/articles/2648579809", "매물Link")</f>
        <v/>
      </c>
      <c r="J3675" s="5">
        <f>HYPERLINK("https://map.naver.com/p/search/연서면 신대리 395-62", "지도Link")</f>
        <v/>
      </c>
      <c r="K3675" s="5">
        <f>HYPERLINK("http://www.eum.go.kr/web/ar/lu/luLandDet.jsp?pnu=3611036029103950062&amp;isNoScr=script&amp;mode=search", "토지이음")</f>
        <v/>
      </c>
      <c r="L3675" s="3" t="inlineStr">
        <is>
          <t>대한민국</t>
        </is>
      </c>
      <c r="M3675" s="3" t="n">
        <v>2</v>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3" t="inlineStr">
        <is>
          <t>급매추천. 개발 완료된 전원주택지. 전용 542  도로 120</t>
        </is>
      </c>
      <c r="I3676" s="5">
        <f>HYPERLINK("https://fin.land.naver.com/articles/2645968263", "매물Link")</f>
        <v/>
      </c>
      <c r="J3676" s="5">
        <f>HYPERLINK("https://map.naver.com/p/search/연서면 신대리 412-25", "지도Link")</f>
        <v/>
      </c>
      <c r="K3676" s="5">
        <f>HYPERLINK("http://www.eum.go.kr/web/ar/lu/luLandDet.jsp?pnu=3611036029104120025&amp;isNoScr=script&amp;mode=search", "토지이음")</f>
        <v/>
      </c>
      <c r="L3676" s="3" t="inlineStr">
        <is>
          <t>세종소담114</t>
        </is>
      </c>
      <c r="M3676" s="3" t="n">
        <v>2</v>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3" t="inlineStr">
        <is>
          <t>급매 고복저수지근처 로얄빌리지 전원주택지매매</t>
        </is>
      </c>
      <c r="I3677" s="5">
        <f>HYPERLINK("https://fin.land.naver.com/articles/2644999408", "매물Link")</f>
        <v/>
      </c>
      <c r="J3677" s="5">
        <f>HYPERLINK("https://map.naver.com/p/search/연서면 신대리 412-25", "지도Link")</f>
        <v/>
      </c>
      <c r="K3677" s="5">
        <f>HYPERLINK("http://www.eum.go.kr/web/ar/lu/luLandDet.jsp?pnu=3611036029104120025&amp;isNoScr=script&amp;mode=search", "토지이음")</f>
        <v/>
      </c>
      <c r="L3677" s="3" t="inlineStr">
        <is>
          <t>명진</t>
        </is>
      </c>
      <c r="M3677" s="3" t="n">
        <v>1</v>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3" t="inlineStr">
        <is>
          <t>nan</t>
        </is>
      </c>
      <c r="I3678" s="5">
        <f>HYPERLINK("https://fin.land.naver.com/articles/2646534350", "매물Link")</f>
        <v/>
      </c>
      <c r="J3678" s="5">
        <f>HYPERLINK("https://map.naver.com/p/search/연서면 신대리 412-28", "지도Link")</f>
        <v/>
      </c>
      <c r="K3678" s="5">
        <f>HYPERLINK("http://www.eum.go.kr/web/ar/lu/luLandDet.jsp?pnu=3611036029104120028&amp;isNoScr=script&amp;mode=search", "토지이음")</f>
        <v/>
      </c>
      <c r="L3678" s="3" t="inlineStr">
        <is>
          <t>은성</t>
        </is>
      </c>
      <c r="M3678" s="3" t="n">
        <v>1</v>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3" t="inlineStr">
        <is>
          <t>nan</t>
        </is>
      </c>
      <c r="I3679" s="5">
        <f>HYPERLINK("https://fin.land.naver.com/articles/2648596717", "매물Link")</f>
        <v/>
      </c>
      <c r="J3679" s="5">
        <f>HYPERLINK("https://map.naver.com/p/search/연서면 신대리 447-3", "지도Link")</f>
        <v/>
      </c>
      <c r="K3679" s="5">
        <f>HYPERLINK("http://www.eum.go.kr/web/ar/lu/luLandDet.jsp?pnu=3611036029104470003&amp;isNoScr=script&amp;mode=search", "토지이음")</f>
        <v/>
      </c>
      <c r="L3679" s="3" t="inlineStr">
        <is>
          <t>효성</t>
        </is>
      </c>
      <c r="M3679" s="3" t="n">
        <v>1</v>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3" t="inlineStr">
        <is>
          <t>고복 저수지와 전원 마을 단지 사이 신대리 토지매매</t>
        </is>
      </c>
      <c r="I3680" s="5">
        <f>HYPERLINK("https://fin.land.naver.com/articles/2645112142", "매물Link")</f>
        <v/>
      </c>
      <c r="J3680" s="5">
        <f>HYPERLINK("https://map.naver.com/p/search/연서면 신대리 454-4", "지도Link")</f>
        <v/>
      </c>
      <c r="K3680" s="5">
        <f>HYPERLINK("http://www.eum.go.kr/web/ar/lu/luLandDet.jsp?pnu=3611036029104540004&amp;isNoScr=script&amp;mode=search", "토지이음")</f>
        <v/>
      </c>
      <c r="L3680" s="3" t="inlineStr">
        <is>
          <t>지성</t>
        </is>
      </c>
      <c r="M3680" s="3" t="n">
        <v>1</v>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3" t="inlineStr">
        <is>
          <t>신대리 국가산단 인접,아스팔트 도로접,컨테이너 농막포함</t>
        </is>
      </c>
      <c r="I3681" s="5">
        <f>HYPERLINK("https://fin.land.naver.com/articles/2644417501", "매물Link")</f>
        <v/>
      </c>
      <c r="J3681" s="5">
        <f>HYPERLINK("https://map.naver.com/p/search/연서면 신대리 454-5", "지도Link")</f>
        <v/>
      </c>
      <c r="K3681" s="5">
        <f>HYPERLINK("http://www.eum.go.kr/web/ar/lu/luLandDet.jsp?pnu=3611036029104540005&amp;isNoScr=script&amp;mode=search", "토지이음")</f>
        <v/>
      </c>
      <c r="L3681" s="3" t="inlineStr">
        <is>
          <t>광장</t>
        </is>
      </c>
      <c r="M3681" s="3" t="n">
        <v>1</v>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3" t="inlineStr">
        <is>
          <t>nan</t>
        </is>
      </c>
      <c r="I3682" s="5">
        <f>HYPERLINK("https://fin.land.naver.com/articles/2648596996", "매물Link")</f>
        <v/>
      </c>
      <c r="J3682" s="5">
        <f>HYPERLINK("https://map.naver.com/p/search/연서면 신대리 456-2", "지도Link")</f>
        <v/>
      </c>
      <c r="K3682" s="5">
        <f>HYPERLINK("http://www.eum.go.kr/web/ar/lu/luLandDet.jsp?pnu=3611036029104560002&amp;isNoScr=script&amp;mode=search", "토지이음")</f>
        <v/>
      </c>
      <c r="L3682" s="3" t="inlineStr">
        <is>
          <t>효성</t>
        </is>
      </c>
      <c r="M3682" s="3" t="n">
        <v>1</v>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3" t="inlineStr">
        <is>
          <t>세종 국가산단 인근 가치 상승지역 토지 매매</t>
        </is>
      </c>
      <c r="I3683" s="5">
        <f>HYPERLINK("https://fin.land.naver.com/articles/2648383274", "매물Link")</f>
        <v/>
      </c>
      <c r="J3683" s="5">
        <f>HYPERLINK("https://map.naver.com/p/search/연서면 신대리 458-1", "지도Link")</f>
        <v/>
      </c>
      <c r="K3683" s="5">
        <f>HYPERLINK("http://www.eum.go.kr/web/ar/lu/luLandDet.jsp?pnu=3611036029104580001&amp;isNoScr=script&amp;mode=search", "토지이음")</f>
        <v/>
      </c>
      <c r="L3683" s="3" t="inlineStr">
        <is>
          <t>세종비전행정사</t>
        </is>
      </c>
      <c r="M3683" s="3" t="n">
        <v>1</v>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3" t="inlineStr">
        <is>
          <t>남향,전원주택지추천,계획관리,고복저수지인접</t>
        </is>
      </c>
      <c r="I3684" s="5">
        <f>HYPERLINK("https://fin.land.naver.com/articles/2647028639", "매물Link")</f>
        <v/>
      </c>
      <c r="J3684" s="5">
        <f>HYPERLINK("https://map.naver.com/p/search/연서면 신대리 469-44", "지도Link")</f>
        <v/>
      </c>
      <c r="K3684" s="5">
        <f>HYPERLINK("http://www.eum.go.kr/web/ar/lu/luLandDet.jsp?pnu=3611036029104690044&amp;isNoScr=script&amp;mode=search", "토지이음")</f>
        <v/>
      </c>
      <c r="L3684" s="3" t="inlineStr">
        <is>
          <t>따뜻한</t>
        </is>
      </c>
      <c r="M3684" s="3" t="n">
        <v>1</v>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3" t="inlineStr">
        <is>
          <t>nan</t>
        </is>
      </c>
      <c r="I3685" s="5">
        <f>HYPERLINK("https://fin.land.naver.com/articles/2649736710", "매물Link")</f>
        <v/>
      </c>
      <c r="J3685" s="5">
        <f>HYPERLINK("https://map.naver.com/p/search/연서면 신대리 49-9", "지도Link")</f>
        <v/>
      </c>
      <c r="K3685" s="5">
        <f>HYPERLINK("http://www.eum.go.kr/web/ar/lu/luLandDet.jsp?pnu=3611036029100490009&amp;isNoScr=script&amp;mode=search", "토지이음")</f>
        <v/>
      </c>
      <c r="L3685" s="3" t="inlineStr">
        <is>
          <t>세종몽땅</t>
        </is>
      </c>
      <c r="M3685" s="3" t="n">
        <v>1</v>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3" t="inlineStr">
        <is>
          <t>투자 위치 좋은 신대리 토지 추천</t>
        </is>
      </c>
      <c r="I3686" s="5">
        <f>HYPERLINK("https://fin.land.naver.com/articles/2645963615", "매물Link")</f>
        <v/>
      </c>
      <c r="J3686" s="5">
        <f>HYPERLINK("https://map.naver.com/p/search/연서면 신대리 49-9", "지도Link")</f>
        <v/>
      </c>
      <c r="K3686" s="5">
        <f>HYPERLINK("http://www.eum.go.kr/web/ar/lu/luLandDet.jsp?pnu=3611036029100490009&amp;isNoScr=script&amp;mode=search", "토지이음")</f>
        <v/>
      </c>
      <c r="L3686" s="3" t="inlineStr">
        <is>
          <t>지성</t>
        </is>
      </c>
      <c r="M3686" s="3" t="n">
        <v>1</v>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3" t="inlineStr">
        <is>
          <t>2차선도로에 접해있으며 인접 도로 여건이 양호</t>
        </is>
      </c>
      <c r="I3687" s="5">
        <f>HYPERLINK("https://fin.land.naver.com/articles/2648621797", "매물Link")</f>
        <v/>
      </c>
      <c r="J3687" s="5">
        <f>HYPERLINK("https://map.naver.com/p/search/연서면 신대리 537", "지도Link")</f>
        <v/>
      </c>
      <c r="K3687" s="5">
        <f>HYPERLINK("http://www.eum.go.kr/web/ar/lu/luLandDet.jsp?pnu=3611036029105370000&amp;isNoScr=script&amp;mode=search", "토지이음")</f>
        <v/>
      </c>
      <c r="L3687" s="3" t="inlineStr">
        <is>
          <t>더KEY</t>
        </is>
      </c>
      <c r="M3687" s="3" t="n">
        <v>1</v>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3" t="inlineStr">
        <is>
          <t>연서면 국가 산단 인근 2차선접한 토지 급매</t>
        </is>
      </c>
      <c r="I3688" s="5">
        <f>HYPERLINK("https://fin.land.naver.com/articles/2648418688", "매물Link")</f>
        <v/>
      </c>
      <c r="J3688" s="5">
        <f>HYPERLINK("https://map.naver.com/p/search/연서면 신대리 75-1", "지도Link")</f>
        <v/>
      </c>
      <c r="K3688" s="5">
        <f>HYPERLINK("http://www.eum.go.kr/web/ar/lu/luLandDet.jsp?pnu=3611036029100750001&amp;isNoScr=script&amp;mode=search", "토지이음")</f>
        <v/>
      </c>
      <c r="L3688" s="3" t="inlineStr">
        <is>
          <t>(주)경진컨설팅</t>
        </is>
      </c>
      <c r="M3688" s="3" t="n">
        <v>1</v>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3" t="inlineStr">
        <is>
          <t>2차선 도로에 접해 있는 세종 스마트 산업단지 인근의 투자용 토지</t>
        </is>
      </c>
      <c r="I3689" s="5">
        <f>HYPERLINK("https://fin.land.naver.com/articles/2647006031", "매물Link")</f>
        <v/>
      </c>
      <c r="J3689" s="5">
        <f>HYPERLINK("https://map.naver.com/p/search/연서면 신대리 75-1", "지도Link")</f>
        <v/>
      </c>
      <c r="K3689" s="5">
        <f>HYPERLINK("http://www.eum.go.kr/web/ar/lu/luLandDet.jsp?pnu=3611036029100750001&amp;isNoScr=script&amp;mode=search", "토지이음")</f>
        <v/>
      </c>
      <c r="L3689" s="3" t="inlineStr">
        <is>
          <t>스마일세종</t>
        </is>
      </c>
      <c r="M3689" s="3" t="n">
        <v>2</v>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3" t="inlineStr">
        <is>
          <t>세종 스마트 국가산업단지가 예정 돼 있어 향후 투자가치가 높은 토지입니다</t>
        </is>
      </c>
      <c r="I3690" s="5">
        <f>HYPERLINK("https://fin.land.naver.com/articles/2649560776", "매물Link")</f>
        <v/>
      </c>
      <c r="J3690" s="5">
        <f>HYPERLINK("https://map.naver.com/p/search/연서면 신대리 75-2", "지도Link")</f>
        <v/>
      </c>
      <c r="K3690" s="5">
        <f>HYPERLINK("http://www.eum.go.kr/web/ar/lu/luLandDet.jsp?pnu=3611036029100750002&amp;isNoScr=script&amp;mode=search", "토지이음")</f>
        <v/>
      </c>
      <c r="L3690" s="3" t="inlineStr">
        <is>
          <t>스마일세종</t>
        </is>
      </c>
      <c r="M3690" s="3" t="n">
        <v>2</v>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3" t="inlineStr">
        <is>
          <t>세종국가산단 3km이내 계획관리지역 토지매매</t>
        </is>
      </c>
      <c r="I3691" s="5">
        <f>HYPERLINK("https://fin.land.naver.com/articles/2647596631", "매물Link")</f>
        <v/>
      </c>
      <c r="J3691" s="5">
        <f>HYPERLINK("https://map.naver.com/p/search/연서면 신대리 92-1", "지도Link")</f>
        <v/>
      </c>
      <c r="K3691" s="5">
        <f>HYPERLINK("http://www.eum.go.kr/web/ar/lu/luLandDet.jsp?pnu=3611036029100920001&amp;isNoScr=script&amp;mode=search", "토지이음")</f>
        <v/>
      </c>
      <c r="L3691" s="3" t="inlineStr">
        <is>
          <t>에이스</t>
        </is>
      </c>
      <c r="M3691" s="3" t="n">
        <v>1</v>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3" t="inlineStr">
        <is>
          <t>해구토말형 임야,귀한 명당 자리</t>
        </is>
      </c>
      <c r="I3692" s="5">
        <f>HYPERLINK("https://fin.land.naver.com/articles/2645984384", "매물Link")</f>
        <v/>
      </c>
      <c r="J3692" s="5">
        <f>HYPERLINK("https://map.naver.com/p/search/연서면 신대리 산100", "지도Link")</f>
        <v/>
      </c>
      <c r="K3692" s="5">
        <f>HYPERLINK("http://www.eum.go.kr/web/ar/lu/luLandDet.jsp?pnu=3611036029201000000&amp;isNoScr=script&amp;mode=search", "토지이음")</f>
        <v/>
      </c>
      <c r="L3692" s="3" t="inlineStr">
        <is>
          <t>가치잇는</t>
        </is>
      </c>
      <c r="M3692" s="3" t="n">
        <v>1</v>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3" t="inlineStr">
        <is>
          <t>전원주택및다용도</t>
        </is>
      </c>
      <c r="I3693" s="5">
        <f>HYPERLINK("https://fin.land.naver.com/articles/2649186499", "매물Link")</f>
        <v/>
      </c>
      <c r="J3693" s="5">
        <f>HYPERLINK("https://map.naver.com/p/search/연서면 신대리 산19-5", "지도Link")</f>
        <v/>
      </c>
      <c r="K3693" s="5">
        <f>HYPERLINK("http://www.eum.go.kr/web/ar/lu/luLandDet.jsp?pnu=3611036029200190005&amp;isNoScr=script&amp;mode=search", "토지이음")</f>
        <v/>
      </c>
      <c r="L3693" s="3" t="inlineStr">
        <is>
          <t>지성</t>
        </is>
      </c>
      <c r="M3693" s="3" t="n">
        <v>1</v>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3" t="inlineStr">
        <is>
          <t>국가산단옆,취락지구,계획관리포함됨,도로접, 가격조정가.</t>
        </is>
      </c>
      <c r="I3694" s="5">
        <f>HYPERLINK("https://fin.land.naver.com/articles/2649391412", "매물Link")</f>
        <v/>
      </c>
      <c r="J3694" s="5">
        <f>HYPERLINK("https://map.naver.com/p/search/연서면 신대리 산54-1", "지도Link")</f>
        <v/>
      </c>
      <c r="K3694" s="5">
        <f>HYPERLINK("http://www.eum.go.kr/web/ar/lu/luLandDet.jsp?pnu=3611036029200540001&amp;isNoScr=script&amp;mode=search", "토지이음")</f>
        <v/>
      </c>
      <c r="L3694" s="3" t="inlineStr">
        <is>
          <t>카톡</t>
        </is>
      </c>
      <c r="M3694" s="3" t="n">
        <v>1</v>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3" t="inlineStr">
        <is>
          <t>연서면 신대리 토지 매매</t>
        </is>
      </c>
      <c r="I3695" s="5">
        <f>HYPERLINK("https://fin.land.naver.com/articles/2646756083", "매물Link")</f>
        <v/>
      </c>
      <c r="J3695" s="5">
        <f>HYPERLINK("https://map.naver.com/p/search/연서면 신대리 산64-13", "지도Link")</f>
        <v/>
      </c>
      <c r="K3695" s="5">
        <f>HYPERLINK("http://www.eum.go.kr/web/ar/lu/luLandDet.jsp?pnu=3611036029200640013&amp;isNoScr=script&amp;mode=search", "토지이음")</f>
        <v/>
      </c>
      <c r="L3695" s="3" t="inlineStr">
        <is>
          <t>주식회사넥서스</t>
        </is>
      </c>
      <c r="M3695" s="3" t="n">
        <v>1</v>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3" t="inlineStr">
        <is>
          <t>계획관리 네모 반듯한 임야. 주택 근생 공장 창고 가능 넓은 도로</t>
        </is>
      </c>
      <c r="I3696" s="5">
        <f>HYPERLINK("https://fin.land.naver.com/articles/2645603303", "매물Link")</f>
        <v/>
      </c>
      <c r="J3696" s="5">
        <f>HYPERLINK("https://map.naver.com/p/search/연서면 신대리 산64-15", "지도Link")</f>
        <v/>
      </c>
      <c r="K3696" s="5">
        <f>HYPERLINK("http://www.eum.go.kr/web/ar/lu/luLandDet.jsp?pnu=3611036029200640015&amp;isNoScr=script&amp;mode=search", "토지이음")</f>
        <v/>
      </c>
      <c r="L3696" s="3" t="inlineStr">
        <is>
          <t>미스터홈즈강남지사</t>
        </is>
      </c>
      <c r="M3696" s="3" t="n">
        <v>1</v>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3" t="inlineStr">
        <is>
          <t>고복저수지인근,4m도로접, 모양좋고 평탄한 농지, 주말농장,체류형쉼터,</t>
        </is>
      </c>
      <c r="I3697" s="5">
        <f>HYPERLINK("https://fin.land.naver.com/articles/2645138787", "매물Link")</f>
        <v/>
      </c>
      <c r="J3697" s="5">
        <f>HYPERLINK("https://map.naver.com/p/search/연서면 쌍류리 101-10", "지도Link")</f>
        <v/>
      </c>
      <c r="K3697" s="5">
        <f>HYPERLINK("http://www.eum.go.kr/web/ar/lu/luLandDet.jsp?pnu=3611036026101010010&amp;isNoScr=script&amp;mode=search", "토지이음")</f>
        <v/>
      </c>
      <c r="L3697" s="3" t="inlineStr">
        <is>
          <t>세종복댕이</t>
        </is>
      </c>
      <c r="M3697" s="3" t="n">
        <v>1</v>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3" t="inlineStr">
        <is>
          <t>도로지분 포함, 전원생활,귀농,주말농장 검토 가능한 소형 과수원</t>
        </is>
      </c>
      <c r="I3698" s="5">
        <f>HYPERLINK("https://fin.land.naver.com/articles/2646380838", "매물Link")</f>
        <v/>
      </c>
      <c r="J3698" s="5">
        <f>HYPERLINK("https://map.naver.com/p/search/연서면 쌍류리 101-10", "지도Link")</f>
        <v/>
      </c>
      <c r="K3698" s="5">
        <f>HYPERLINK("http://www.eum.go.kr/web/ar/lu/luLandDet.jsp?pnu=3611036026101010010&amp;isNoScr=script&amp;mode=search", "토지이음")</f>
        <v/>
      </c>
      <c r="L3698" s="3" t="inlineStr">
        <is>
          <t>세종소담황금</t>
        </is>
      </c>
      <c r="M3698" s="3" t="n">
        <v>1</v>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3" t="inlineStr">
        <is>
          <t>체류형쉼터강추,도로접,국유지사용가,도로지분33제곱별도면적포함가</t>
        </is>
      </c>
      <c r="I3699" s="5">
        <f>HYPERLINK("https://fin.land.naver.com/articles/2648103313", "매물Link")</f>
        <v/>
      </c>
      <c r="J3699" s="5">
        <f>HYPERLINK("https://map.naver.com/p/search/연서면 쌍류리 101-10", "지도Link")</f>
        <v/>
      </c>
      <c r="K3699" s="5">
        <f>HYPERLINK("http://www.eum.go.kr/web/ar/lu/luLandDet.jsp?pnu=3611036026101010010&amp;isNoScr=script&amp;mode=search", "토지이음")</f>
        <v/>
      </c>
      <c r="L3699" s="3" t="inlineStr">
        <is>
          <t>힐스테이트행복</t>
        </is>
      </c>
      <c r="M3699" s="3" t="n">
        <v>1</v>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3" t="inlineStr">
        <is>
          <t>고복저수지 끝자락  나만의 힐링 텃밭 조성 가능,  농막, 정화조 있음</t>
        </is>
      </c>
      <c r="I3700" s="5">
        <f>HYPERLINK("https://fin.land.naver.com/articles/2647651356", "매물Link")</f>
        <v/>
      </c>
      <c r="J3700" s="5">
        <f>HYPERLINK("https://map.naver.com/p/search/연서면 쌍류리 101-15", "지도Link")</f>
        <v/>
      </c>
      <c r="K3700" s="5">
        <f>HYPERLINK("http://www.eum.go.kr/web/ar/lu/luLandDet.jsp?pnu=3611036026101010015&amp;isNoScr=script&amp;mode=search", "토지이음")</f>
        <v/>
      </c>
      <c r="L3700" s="3" t="inlineStr">
        <is>
          <t>현담</t>
        </is>
      </c>
      <c r="M3700" s="3" t="n">
        <v>1</v>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3" t="inlineStr">
        <is>
          <t>연서면 세종국가산단 인근지, 고복유원지 500m, 2차선 국도 확장 예정</t>
        </is>
      </c>
      <c r="I3701" s="5">
        <f>HYPERLINK("https://fin.land.naver.com/articles/2648088515", "매물Link")</f>
        <v/>
      </c>
      <c r="J3701" s="5">
        <f>HYPERLINK("https://map.naver.com/p/search/연서면 쌍류리 106-1", "지도Link")</f>
        <v/>
      </c>
      <c r="K3701" s="5">
        <f>HYPERLINK("http://www.eum.go.kr/web/ar/lu/luLandDet.jsp?pnu=3611036026101060001&amp;isNoScr=script&amp;mode=search", "토지이음")</f>
        <v/>
      </c>
      <c r="L3701" s="3" t="inlineStr">
        <is>
          <t>오송3산단  사무소</t>
        </is>
      </c>
      <c r="M3701" s="3" t="n">
        <v>1</v>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3" t="inlineStr">
        <is>
          <t>도로접한 과수원</t>
        </is>
      </c>
      <c r="I3702" s="5">
        <f>HYPERLINK("https://fin.land.naver.com/articles/2647652152", "매물Link")</f>
        <v/>
      </c>
      <c r="J3702" s="5">
        <f>HYPERLINK("https://map.naver.com/p/search/연서면 쌍류리 106-8", "지도Link")</f>
        <v/>
      </c>
      <c r="K3702" s="5">
        <f>HYPERLINK("http://www.eum.go.kr/web/ar/lu/luLandDet.jsp?pnu=3611036026101060008&amp;isNoScr=script&amp;mode=search", "토지이음")</f>
        <v/>
      </c>
      <c r="L3702" s="3" t="inlineStr">
        <is>
          <t>현담</t>
        </is>
      </c>
      <c r="M3702" s="3" t="n">
        <v>1</v>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3" t="inlineStr">
        <is>
          <t>급매. 고복저수지 인근 소액토지</t>
        </is>
      </c>
      <c r="I3703" s="5">
        <f>HYPERLINK("https://fin.land.naver.com/articles/2648767659", "매물Link")</f>
        <v/>
      </c>
      <c r="J3703" s="5">
        <f>HYPERLINK("https://map.naver.com/p/search/연서면 쌍류리 116", "지도Link")</f>
        <v/>
      </c>
      <c r="K3703" s="5">
        <f>HYPERLINK("http://www.eum.go.kr/web/ar/lu/luLandDet.jsp?pnu=3611036026101160000&amp;isNoScr=script&amp;mode=search", "토지이음")</f>
        <v/>
      </c>
      <c r="L3703" s="3" t="inlineStr">
        <is>
          <t>강아지풀</t>
        </is>
      </c>
      <c r="M3703" s="3" t="n">
        <v>1</v>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3" t="inlineStr">
        <is>
          <t>고복저수지근방 2차 도로접,소하천접한 생산,성장관리계획구역 활용도 굿</t>
        </is>
      </c>
      <c r="I3704" s="5">
        <f>HYPERLINK("https://fin.land.naver.com/articles/2644005821", "매물Link")</f>
        <v/>
      </c>
      <c r="J3704" s="5">
        <f>HYPERLINK("https://map.naver.com/p/search/연서면 쌍류리 117", "지도Link")</f>
        <v/>
      </c>
      <c r="K3704" s="5">
        <f>HYPERLINK("http://www.eum.go.kr/web/ar/lu/luLandDet.jsp?pnu=3611036026101170000&amp;isNoScr=script&amp;mode=search", "토지이음")</f>
        <v/>
      </c>
      <c r="L3704" s="3" t="inlineStr">
        <is>
          <t>가경수</t>
        </is>
      </c>
      <c r="M3704" s="3" t="n">
        <v>1</v>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3" t="inlineStr">
        <is>
          <t>신축주택과 넓은 마당 갖춘 고복저수지 생활권</t>
        </is>
      </c>
      <c r="I3705" s="5">
        <f>HYPERLINK("https://fin.land.naver.com/articles/2647850817", "매물Link")</f>
        <v/>
      </c>
      <c r="J3705" s="5">
        <f>HYPERLINK("https://map.naver.com/p/search/연서면 쌍류리 126-3", "지도Link")</f>
        <v/>
      </c>
      <c r="K3705" s="5">
        <f>HYPERLINK("http://www.eum.go.kr/web/ar/lu/luLandDet.jsp?pnu=3611036026101260003&amp;isNoScr=script&amp;mode=search", "토지이음")</f>
        <v/>
      </c>
      <c r="L3705" s="3" t="inlineStr">
        <is>
          <t>세종소담황금</t>
        </is>
      </c>
      <c r="M3705" s="3" t="n">
        <v>1</v>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3" t="inlineStr">
        <is>
          <t>nan</t>
        </is>
      </c>
      <c r="I3706" s="5">
        <f>HYPERLINK("https://fin.land.naver.com/articles/2649773331", "매물Link")</f>
        <v/>
      </c>
      <c r="J3706" s="5">
        <f>HYPERLINK("https://map.naver.com/p/search/연서면 쌍류리 164", "지도Link")</f>
        <v/>
      </c>
      <c r="K3706" s="5">
        <f>HYPERLINK("http://www.eum.go.kr/web/ar/lu/luLandDet.jsp?pnu=3611036026101640000&amp;isNoScr=script&amp;mode=search", "토지이음")</f>
        <v/>
      </c>
      <c r="L3706" s="3" t="inlineStr">
        <is>
          <t>세종몽땅</t>
        </is>
      </c>
      <c r="M3706" s="3" t="n">
        <v>1</v>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3" t="inlineStr">
        <is>
          <t>규모 있는 영농부지 찾는 분 주목</t>
        </is>
      </c>
      <c r="I3707" s="5">
        <f>HYPERLINK("https://fin.land.naver.com/articles/2649776390", "매물Link")</f>
        <v/>
      </c>
      <c r="J3707" s="5">
        <f>HYPERLINK("https://map.naver.com/p/search/연서면 쌍류리 171-3", "지도Link")</f>
        <v/>
      </c>
      <c r="K3707" s="5">
        <f>HYPERLINK("http://www.eum.go.kr/web/ar/lu/luLandDet.jsp?pnu=3611036026101710003&amp;isNoScr=script&amp;mode=search", "토지이음")</f>
        <v/>
      </c>
      <c r="L3707" s="3" t="inlineStr">
        <is>
          <t>세종몽땅</t>
        </is>
      </c>
      <c r="M3707" s="3" t="n">
        <v>1</v>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3" t="inlineStr">
        <is>
          <t>도로접,땅모양좋습니다,성장관리계획구역,조정가</t>
        </is>
      </c>
      <c r="I3708" s="5">
        <f>HYPERLINK("https://fin.land.naver.com/articles/2644050854", "매물Link")</f>
        <v/>
      </c>
      <c r="J3708" s="5">
        <f>HYPERLINK("https://map.naver.com/p/search/연서면 쌍류리 224", "지도Link")</f>
        <v/>
      </c>
      <c r="K3708" s="5">
        <f>HYPERLINK("http://www.eum.go.kr/web/ar/lu/luLandDet.jsp?pnu=3611036026102240000&amp;isNoScr=script&amp;mode=search", "토지이음")</f>
        <v/>
      </c>
      <c r="L3708" s="3" t="inlineStr">
        <is>
          <t>힐스테이트행복</t>
        </is>
      </c>
      <c r="M3708" s="3" t="n">
        <v>1</v>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3" t="inlineStr">
        <is>
          <t>고복저수지, 연기휴게소예정지 인근 생산관리토지</t>
        </is>
      </c>
      <c r="I3709" s="5">
        <f>HYPERLINK("https://fin.land.naver.com/articles/2645606587", "매물Link")</f>
        <v/>
      </c>
      <c r="J3709" s="5">
        <f>HYPERLINK("https://map.naver.com/p/search/연서면 쌍류리 224", "지도Link")</f>
        <v/>
      </c>
      <c r="K3709" s="5">
        <f>HYPERLINK("http://www.eum.go.kr/web/ar/lu/luLandDet.jsp?pnu=3611036026102240000&amp;isNoScr=script&amp;mode=search", "토지이음")</f>
        <v/>
      </c>
      <c r="L3709" s="3" t="inlineStr">
        <is>
          <t>미스터홈즈강남지사</t>
        </is>
      </c>
      <c r="M3709" s="3" t="n">
        <v>1</v>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3" t="inlineStr">
        <is>
          <t>고복저수지인근,2차선접,투자가치좋아요</t>
        </is>
      </c>
      <c r="I3710" s="5">
        <f>HYPERLINK("https://fin.land.naver.com/articles/2644050916", "매물Link")</f>
        <v/>
      </c>
      <c r="J3710" s="5">
        <f>HYPERLINK("https://map.naver.com/p/search/연서면 쌍류리 227-1", "지도Link")</f>
        <v/>
      </c>
      <c r="K3710" s="5">
        <f>HYPERLINK("http://www.eum.go.kr/web/ar/lu/luLandDet.jsp?pnu=3611036026102270001&amp;isNoScr=script&amp;mode=search", "토지이음")</f>
        <v/>
      </c>
      <c r="L3710" s="3" t="inlineStr">
        <is>
          <t>힐스테이트행복</t>
        </is>
      </c>
      <c r="M3710" s="3" t="n">
        <v>1</v>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3" t="inlineStr">
        <is>
          <t>고복저수지 1분거리 2차로 접한 토지</t>
        </is>
      </c>
      <c r="I3711" s="5">
        <f>HYPERLINK("https://fin.land.naver.com/articles/2644334853", "매물Link")</f>
        <v/>
      </c>
      <c r="J3711" s="5">
        <f>HYPERLINK("https://map.naver.com/p/search/연서면 쌍류리 227-1", "지도Link")</f>
        <v/>
      </c>
      <c r="K3711" s="5">
        <f>HYPERLINK("http://www.eum.go.kr/web/ar/lu/luLandDet.jsp?pnu=3611036026102270001&amp;isNoScr=script&amp;mode=search", "토지이음")</f>
        <v/>
      </c>
      <c r="L3711" s="3" t="inlineStr">
        <is>
          <t>신와촌</t>
        </is>
      </c>
      <c r="M3711" s="3" t="n">
        <v>1</v>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3" t="inlineStr">
        <is>
          <t>도로접함 2필지 일괄매매 현재 과수원 미래가치ok</t>
        </is>
      </c>
      <c r="I3712" s="5">
        <f>HYPERLINK("https://fin.land.naver.com/articles/2643940125", "매물Link")</f>
        <v/>
      </c>
      <c r="J3712" s="5">
        <f>HYPERLINK("https://map.naver.com/p/search/연서면 쌍류리 227-1", "지도Link")</f>
        <v/>
      </c>
      <c r="K3712" s="5">
        <f>HYPERLINK("http://www.eum.go.kr/web/ar/lu/luLandDet.jsp?pnu=3611036026102270001&amp;isNoScr=script&amp;mode=search", "토지이음")</f>
        <v/>
      </c>
      <c r="L3712" s="3" t="inlineStr">
        <is>
          <t>신불당</t>
        </is>
      </c>
      <c r="M3712" s="3" t="n">
        <v>1</v>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3" t="inlineStr">
        <is>
          <t>고복저수지인근 토지 매매</t>
        </is>
      </c>
      <c r="I3713" s="5">
        <f>HYPERLINK("https://fin.land.naver.com/articles/2648030320", "매물Link")</f>
        <v/>
      </c>
      <c r="J3713" s="5">
        <f>HYPERLINK("https://map.naver.com/p/search/연서면 쌍류리 232-1", "지도Link")</f>
        <v/>
      </c>
      <c r="K3713" s="5">
        <f>HYPERLINK("http://www.eum.go.kr/web/ar/lu/luLandDet.jsp?pnu=3611036026102320001&amp;isNoScr=script&amp;mode=search", "토지이음")</f>
        <v/>
      </c>
      <c r="L3713" s="3" t="inlineStr">
        <is>
          <t>THE행복</t>
        </is>
      </c>
      <c r="M3713" s="3" t="n">
        <v>1</v>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3" t="inlineStr">
        <is>
          <t>고복저수지인근 도로접한 계획관리 최상급 토</t>
        </is>
      </c>
      <c r="I3714" s="5">
        <f>HYPERLINK("https://fin.land.naver.com/articles/2645356064", "매물Link")</f>
        <v/>
      </c>
      <c r="J3714" s="5">
        <f>HYPERLINK("https://map.naver.com/p/search/연서면 쌍류리 250", "지도Link")</f>
        <v/>
      </c>
      <c r="K3714" s="5">
        <f>HYPERLINK("http://www.eum.go.kr/web/ar/lu/luLandDet.jsp?pnu=3611036026102500000&amp;isNoScr=script&amp;mode=search", "토지이음")</f>
        <v/>
      </c>
      <c r="L3714" s="3" t="inlineStr">
        <is>
          <t>지성</t>
        </is>
      </c>
      <c r="M3714" s="3" t="n">
        <v>1</v>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3" t="inlineStr">
        <is>
          <t>고복저수지인근의 도로길게 접한 생산관리 농지, 전원생활,투자를 겸한 자경</t>
        </is>
      </c>
      <c r="I3715" s="5">
        <f>HYPERLINK("https://fin.land.naver.com/articles/2645140592", "매물Link")</f>
        <v/>
      </c>
      <c r="J3715" s="5">
        <f>HYPERLINK("https://map.naver.com/p/search/연서면 쌍류리 253-1", "지도Link")</f>
        <v/>
      </c>
      <c r="K3715" s="5">
        <f>HYPERLINK("http://www.eum.go.kr/web/ar/lu/luLandDet.jsp?pnu=3611036026102530001&amp;isNoScr=script&amp;mode=search", "토지이음")</f>
        <v/>
      </c>
      <c r="L3715" s="3" t="inlineStr">
        <is>
          <t>세종복댕이</t>
        </is>
      </c>
      <c r="M3715" s="3" t="n">
        <v>1</v>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3" t="inlineStr">
        <is>
          <t>농막 전기 수도 등이 설치된 복숭아 과수원을 급매로  매매합니다</t>
        </is>
      </c>
      <c r="I3716" s="5">
        <f>HYPERLINK("https://fin.land.naver.com/articles/2648878841", "매물Link")</f>
        <v/>
      </c>
      <c r="J3716" s="5">
        <f>HYPERLINK("https://map.naver.com/p/search/연서면 쌍류리 29-1", "지도Link")</f>
        <v/>
      </c>
      <c r="K3716" s="5">
        <f>HYPERLINK("http://www.eum.go.kr/web/ar/lu/luLandDet.jsp?pnu=3611036026100290001&amp;isNoScr=script&amp;mode=search", "토지이음")</f>
        <v/>
      </c>
      <c r="L3716" s="3" t="inlineStr">
        <is>
          <t>스마일세종</t>
        </is>
      </c>
      <c r="M3716" s="3" t="n">
        <v>3</v>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3" t="inlineStr">
        <is>
          <t>공장 있었으나 멸실됨, 공장 창고 또는 근생부지로도 훌륭함</t>
        </is>
      </c>
      <c r="I3717" s="5">
        <f>HYPERLINK("https://fin.land.naver.com/articles/2645606684", "매물Link")</f>
        <v/>
      </c>
      <c r="J3717" s="5">
        <f>HYPERLINK("https://map.naver.com/p/search/연서면 쌍류리 304-1", "지도Link")</f>
        <v/>
      </c>
      <c r="K3717" s="5">
        <f>HYPERLINK("http://www.eum.go.kr/web/ar/lu/luLandDet.jsp?pnu=3611036026103040001&amp;isNoScr=script&amp;mode=search", "토지이음")</f>
        <v/>
      </c>
      <c r="L3717" s="3" t="inlineStr">
        <is>
          <t>미스터홈즈강남지사</t>
        </is>
      </c>
      <c r="M3717" s="3" t="n">
        <v>1</v>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3" t="inlineStr">
        <is>
          <t>연서면 쌍류리 2차선변 토지 매매</t>
        </is>
      </c>
      <c r="I3718" s="5">
        <f>HYPERLINK("https://fin.land.naver.com/articles/2649563551", "매물Link")</f>
        <v/>
      </c>
      <c r="J3718" s="5">
        <f>HYPERLINK("https://map.naver.com/p/search/연서면 쌍류리 333-1", "지도Link")</f>
        <v/>
      </c>
      <c r="K3718" s="5">
        <f>HYPERLINK("http://www.eum.go.kr/web/ar/lu/luLandDet.jsp?pnu=3611036026103330001&amp;isNoScr=script&amp;mode=search", "토지이음")</f>
        <v/>
      </c>
      <c r="L3718" s="3" t="inlineStr">
        <is>
          <t>길운</t>
        </is>
      </c>
      <c r="M3718" s="3" t="n">
        <v>1</v>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3" t="inlineStr">
        <is>
          <t>하천, 도로접, 포도농원</t>
        </is>
      </c>
      <c r="I3719" s="5">
        <f>HYPERLINK("https://fin.land.naver.com/articles/2650024525", "매물Link")</f>
        <v/>
      </c>
      <c r="J3719" s="5">
        <f>HYPERLINK("https://map.naver.com/p/search/연서면 쌍류리 333-1", "지도Link")</f>
        <v/>
      </c>
      <c r="K3719" s="5">
        <f>HYPERLINK("http://www.eum.go.kr/web/ar/lu/luLandDet.jsp?pnu=3611036026103330001&amp;isNoScr=script&amp;mode=search", "토지이음")</f>
        <v/>
      </c>
      <c r="L3719" s="3" t="inlineStr">
        <is>
          <t>삼보</t>
        </is>
      </c>
      <c r="M3719" s="3" t="n">
        <v>1</v>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3" t="inlineStr">
        <is>
          <t>연서면 쌍류리 2차선변 과수원 매매</t>
        </is>
      </c>
      <c r="I3720" s="5">
        <f>HYPERLINK("https://fin.land.naver.com/articles/2644208940", "매물Link")</f>
        <v/>
      </c>
      <c r="J3720" s="5">
        <f>HYPERLINK("https://map.naver.com/p/search/연서면 쌍류리 333-1", "지도Link")</f>
        <v/>
      </c>
      <c r="K3720" s="5">
        <f>HYPERLINK("http://www.eum.go.kr/web/ar/lu/luLandDet.jsp?pnu=3611036026103330001&amp;isNoScr=script&amp;mode=search", "토지이음")</f>
        <v/>
      </c>
      <c r="L3720" s="3" t="inlineStr">
        <is>
          <t>길운</t>
        </is>
      </c>
      <c r="M3720" s="3" t="n">
        <v>1</v>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3" t="inlineStr">
        <is>
          <t>남향토지 도로 접한 농지 초등학교 인근 전원주택지 추천</t>
        </is>
      </c>
      <c r="I3721" s="5">
        <f>HYPERLINK("https://fin.land.naver.com/articles/2646804144", "매물Link")</f>
        <v/>
      </c>
      <c r="J3721" s="5">
        <f>HYPERLINK("https://map.naver.com/p/search/연서면 쌍류리 340-2", "지도Link")</f>
        <v/>
      </c>
      <c r="K3721" s="5">
        <f>HYPERLINK("http://www.eum.go.kr/web/ar/lu/luLandDet.jsp?pnu=3611036026103400002&amp;isNoScr=script&amp;mode=search", "토지이음")</f>
        <v/>
      </c>
      <c r="L3721" s="3" t="inlineStr">
        <is>
          <t>지성</t>
        </is>
      </c>
      <c r="M3721" s="3" t="n">
        <v>1</v>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3" t="inlineStr">
        <is>
          <t>과수원1필지,임야3필지 일괄매매</t>
        </is>
      </c>
      <c r="I3722" s="5">
        <f>HYPERLINK("https://fin.land.naver.com/articles/2646711526", "매물Link")</f>
        <v/>
      </c>
      <c r="J3722" s="5">
        <f>HYPERLINK("https://map.naver.com/p/search/연서면 쌍류리 419", "지도Link")</f>
        <v/>
      </c>
      <c r="K3722" s="5">
        <f>HYPERLINK("http://www.eum.go.kr/web/ar/lu/luLandDet.jsp?pnu=3611036026104190000&amp;isNoScr=script&amp;mode=search", "토지이음")</f>
        <v/>
      </c>
      <c r="L3722" s="3" t="inlineStr">
        <is>
          <t>빛나</t>
        </is>
      </c>
      <c r="M3722" s="3" t="n">
        <v>1</v>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3" t="inlineStr">
        <is>
          <t>도로확장 되는 부분과 96미터 정도로 길게 접한 좁고 길쭉한 토지</t>
        </is>
      </c>
      <c r="I3723" s="5">
        <f>HYPERLINK("https://fin.land.naver.com/articles/2649904522", "매물Link")</f>
        <v/>
      </c>
      <c r="J3723" s="5">
        <f>HYPERLINK("https://map.naver.com/p/search/연서면 쌍류리 42-1", "지도Link")</f>
        <v/>
      </c>
      <c r="K3723" s="5">
        <f>HYPERLINK("http://www.eum.go.kr/web/ar/lu/luLandDet.jsp?pnu=3611036026100420001&amp;isNoScr=script&amp;mode=search", "토지이음")</f>
        <v/>
      </c>
      <c r="L3723" s="3" t="inlineStr">
        <is>
          <t>미스터홈즈강남지사</t>
        </is>
      </c>
      <c r="M3723" s="3" t="n">
        <v>1</v>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3" t="inlineStr">
        <is>
          <t>nan</t>
        </is>
      </c>
      <c r="I3724" s="5">
        <f>HYPERLINK("https://fin.land.naver.com/articles/2649967157", "매물Link")</f>
        <v/>
      </c>
      <c r="J3724" s="5">
        <f>HYPERLINK("https://map.naver.com/p/search/연서면 쌍류리 426-2", "지도Link")</f>
        <v/>
      </c>
      <c r="K3724" s="5">
        <f>HYPERLINK("http://www.eum.go.kr/web/ar/lu/luLandDet.jsp?pnu=3611036026104260002&amp;isNoScr=script&amp;mode=search", "토지이음")</f>
        <v/>
      </c>
      <c r="L3724" s="3" t="inlineStr">
        <is>
          <t>지성</t>
        </is>
      </c>
      <c r="M3724" s="3" t="n">
        <v>1</v>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3" t="inlineStr">
        <is>
          <t>도로있음, 매매가협의가능, 고복저수지7분거리, 분할가능</t>
        </is>
      </c>
      <c r="I3725" s="5">
        <f>HYPERLINK("https://fin.land.naver.com/articles/2649913709", "매물Link")</f>
        <v/>
      </c>
      <c r="J3725" s="5">
        <f>HYPERLINK("https://map.naver.com/p/search/연서면 쌍류리 438-1", "지도Link")</f>
        <v/>
      </c>
      <c r="K3725" s="5">
        <f>HYPERLINK("http://www.eum.go.kr/web/ar/lu/luLandDet.jsp?pnu=3611036026104380001&amp;isNoScr=script&amp;mode=search", "토지이음")</f>
        <v/>
      </c>
      <c r="L3725" s="3" t="inlineStr">
        <is>
          <t>미스터홈즈강남지사</t>
        </is>
      </c>
      <c r="M3725" s="3" t="n">
        <v>2</v>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3" t="inlineStr">
        <is>
          <t>평탄화 작업 완료하여, 전원생활을 위한 원형지를 찾는 분에게 추천</t>
        </is>
      </c>
      <c r="I3726" s="5">
        <f>HYPERLINK("https://fin.land.naver.com/articles/2645605797", "매물Link")</f>
        <v/>
      </c>
      <c r="J3726" s="5">
        <f>HYPERLINK("https://map.naver.com/p/search/연서면 쌍류리 451", "지도Link")</f>
        <v/>
      </c>
      <c r="K3726" s="5">
        <f>HYPERLINK("http://www.eum.go.kr/web/ar/lu/luLandDet.jsp?pnu=3611036026104510000&amp;isNoScr=script&amp;mode=search", "토지이음")</f>
        <v/>
      </c>
      <c r="L3726" s="3" t="inlineStr">
        <is>
          <t>미스터홈즈강남지사</t>
        </is>
      </c>
      <c r="M3726" s="3" t="n">
        <v>1</v>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3" t="inlineStr">
        <is>
          <t>추천.고복저수지 인근 농지</t>
        </is>
      </c>
      <c r="I3727" s="5">
        <f>HYPERLINK("https://fin.land.naver.com/articles/2645465767", "매물Link")</f>
        <v/>
      </c>
      <c r="J3727" s="5">
        <f>HYPERLINK("https://map.naver.com/p/search/연서면 쌍류리 463-2", "지도Link")</f>
        <v/>
      </c>
      <c r="K3727" s="5">
        <f>HYPERLINK("http://www.eum.go.kr/web/ar/lu/luLandDet.jsp?pnu=3611036026104630002&amp;isNoScr=script&amp;mode=search", "토지이음")</f>
        <v/>
      </c>
      <c r="L3727" s="3" t="inlineStr">
        <is>
          <t>강아지풀</t>
        </is>
      </c>
      <c r="M3727" s="3" t="n">
        <v>1</v>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3" t="inlineStr">
        <is>
          <t>관리지역 토지 매매</t>
        </is>
      </c>
      <c r="I3728" s="5">
        <f>HYPERLINK("https://fin.land.naver.com/articles/2644444561", "매물Link")</f>
        <v/>
      </c>
      <c r="J3728" s="5">
        <f>HYPERLINK("https://map.naver.com/p/search/연서면 쌍류리 53", "지도Link")</f>
        <v/>
      </c>
      <c r="K3728" s="5">
        <f>HYPERLINK("http://www.eum.go.kr/web/ar/lu/luLandDet.jsp?pnu=3611036026100530000&amp;isNoScr=script&amp;mode=search", "토지이음")</f>
        <v/>
      </c>
      <c r="L3728" s="3" t="inlineStr">
        <is>
          <t>세종대박</t>
        </is>
      </c>
      <c r="M3728" s="3" t="n">
        <v>1</v>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3" t="inlineStr">
        <is>
          <t>명성공인, 전용406, 연서면 추천 매물</t>
        </is>
      </c>
      <c r="I3729" s="5">
        <f>HYPERLINK("https://fin.land.naver.com/articles/2648045315", "매물Link")</f>
        <v/>
      </c>
      <c r="J3729" s="5">
        <f>HYPERLINK("https://map.naver.com/p/search/연서면 쌍류리 56", "지도Link")</f>
        <v/>
      </c>
      <c r="K3729" s="5">
        <f>HYPERLINK("http://www.eum.go.kr/web/ar/lu/luLandDet.jsp?pnu=3611036026100560000&amp;isNoScr=script&amp;mode=search", "토지이음")</f>
        <v/>
      </c>
      <c r="L3729" s="3" t="inlineStr">
        <is>
          <t>명성</t>
        </is>
      </c>
      <c r="M3729" s="3" t="n">
        <v>1</v>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3" t="inlineStr">
        <is>
          <t>nan</t>
        </is>
      </c>
      <c r="I3730" s="5">
        <f>HYPERLINK("https://fin.land.naver.com/articles/2647537025", "매물Link")</f>
        <v/>
      </c>
      <c r="J3730" s="5">
        <f>HYPERLINK("https://map.naver.com/p/search/연서면 쌍류리 560", "지도Link")</f>
        <v/>
      </c>
      <c r="K3730" s="5">
        <f>HYPERLINK("http://www.eum.go.kr/web/ar/lu/luLandDet.jsp?pnu=3611036026105600000&amp;isNoScr=script&amp;mode=search", "토지이음")</f>
        <v/>
      </c>
      <c r="L3730" s="3" t="inlineStr">
        <is>
          <t>신태양</t>
        </is>
      </c>
      <c r="M3730" s="3" t="n">
        <v>1</v>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3" t="inlineStr">
        <is>
          <t>관리지역 토지매매</t>
        </is>
      </c>
      <c r="I3731" s="5">
        <f>HYPERLINK("https://fin.land.naver.com/articles/2648813367", "매물Link")</f>
        <v/>
      </c>
      <c r="J3731" s="5">
        <f>HYPERLINK("https://map.naver.com/p/search/연서면 쌍류리 564", "지도Link")</f>
        <v/>
      </c>
      <c r="K3731" s="5">
        <f>HYPERLINK("http://www.eum.go.kr/web/ar/lu/luLandDet.jsp?pnu=3611036026105640000&amp;isNoScr=script&amp;mode=search", "토지이음")</f>
        <v/>
      </c>
      <c r="L3731" s="3" t="inlineStr">
        <is>
          <t>세종대박</t>
        </is>
      </c>
      <c r="M3731" s="3" t="n">
        <v>1</v>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3" t="inlineStr">
        <is>
          <t>마을 포장도로에 접한 농지</t>
        </is>
      </c>
      <c r="I3732" s="5">
        <f>HYPERLINK("https://fin.land.naver.com/articles/2644332174", "매물Link")</f>
        <v/>
      </c>
      <c r="J3732" s="5">
        <f>HYPERLINK("https://map.naver.com/p/search/연서면 쌍류리 58", "지도Link")</f>
        <v/>
      </c>
      <c r="K3732" s="5">
        <f>HYPERLINK("http://www.eum.go.kr/web/ar/lu/luLandDet.jsp?pnu=3611036026100580000&amp;isNoScr=script&amp;mode=search", "토지이음")</f>
        <v/>
      </c>
      <c r="L3732" s="3" t="inlineStr">
        <is>
          <t>신와촌</t>
        </is>
      </c>
      <c r="M3732" s="3" t="n">
        <v>1</v>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3" t="inlineStr">
        <is>
          <t>세종시에서 1억원대에 투자할수 있는땅</t>
        </is>
      </c>
      <c r="I3733" s="5">
        <f>HYPERLINK("https://fin.land.naver.com/articles/2647444352", "매물Link")</f>
        <v/>
      </c>
      <c r="J3733" s="5">
        <f>HYPERLINK("https://map.naver.com/p/search/연서면 쌍류리 584-1", "지도Link")</f>
        <v/>
      </c>
      <c r="K3733" s="5">
        <f>HYPERLINK("http://www.eum.go.kr/web/ar/lu/luLandDet.jsp?pnu=3611036026105840001&amp;isNoScr=script&amp;mode=search", "토지이음")</f>
        <v/>
      </c>
      <c r="L3733" s="3" t="inlineStr">
        <is>
          <t>킹</t>
        </is>
      </c>
      <c r="M3733" s="3" t="n">
        <v>1</v>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3" t="inlineStr">
        <is>
          <t>쌍류리 저렴한 토지매매</t>
        </is>
      </c>
      <c r="I3734" s="5">
        <f>HYPERLINK("https://fin.land.naver.com/articles/2646861698", "매물Link")</f>
        <v/>
      </c>
      <c r="J3734" s="5">
        <f>HYPERLINK("https://map.naver.com/p/search/연서면 쌍류리 584-3", "지도Link")</f>
        <v/>
      </c>
      <c r="K3734" s="5">
        <f>HYPERLINK("http://www.eum.go.kr/web/ar/lu/luLandDet.jsp?pnu=3611036026105840003&amp;isNoScr=script&amp;mode=search", "토지이음")</f>
        <v/>
      </c>
      <c r="L3734" s="3" t="inlineStr">
        <is>
          <t>세종땅사랑</t>
        </is>
      </c>
      <c r="M3734" s="3" t="n">
        <v>1</v>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3" t="inlineStr">
        <is>
          <t>2차선 도로 접 하고 있는매물</t>
        </is>
      </c>
      <c r="I3735" s="5">
        <f>HYPERLINK("https://fin.land.naver.com/articles/2647765926", "매물Link")</f>
        <v/>
      </c>
      <c r="J3735" s="5">
        <f>HYPERLINK("https://map.naver.com/p/search/연서면 쌍류리 598-1", "지도Link")</f>
        <v/>
      </c>
      <c r="K3735" s="5">
        <f>HYPERLINK("http://www.eum.go.kr/web/ar/lu/luLandDet.jsp?pnu=3611036026105980001&amp;isNoScr=script&amp;mode=search", "토지이음")</f>
        <v/>
      </c>
      <c r="L3735" s="3" t="inlineStr">
        <is>
          <t>지호주식회사</t>
        </is>
      </c>
      <c r="M3735" s="3" t="n">
        <v>1</v>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3" t="inlineStr">
        <is>
          <t>연서면 2차선변 야산</t>
        </is>
      </c>
      <c r="I3736" s="5">
        <f>HYPERLINK("https://fin.land.naver.com/articles/2647576378", "매물Link")</f>
        <v/>
      </c>
      <c r="J3736" s="5">
        <f>HYPERLINK("https://map.naver.com/p/search/연서면 쌍류리 6-11", "지도Link")</f>
        <v/>
      </c>
      <c r="K3736" s="5">
        <f>HYPERLINK("http://www.eum.go.kr/web/ar/lu/luLandDet.jsp?pnu=3611036026100060011&amp;isNoScr=script&amp;mode=search", "토지이음")</f>
        <v/>
      </c>
      <c r="L3736" s="3" t="inlineStr">
        <is>
          <t>KB세종</t>
        </is>
      </c>
      <c r="M3736" s="3" t="n">
        <v>1</v>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3" t="inlineStr">
        <is>
          <t>세종에서 1억원대에 투자할수 있는땅</t>
        </is>
      </c>
      <c r="I3737" s="5">
        <f>HYPERLINK("https://fin.land.naver.com/articles/2647444081", "매물Link")</f>
        <v/>
      </c>
      <c r="J3737" s="5">
        <f>HYPERLINK("https://map.naver.com/p/search/연서면 쌍류리 608-4", "지도Link")</f>
        <v/>
      </c>
      <c r="K3737" s="5">
        <f>HYPERLINK("http://www.eum.go.kr/web/ar/lu/luLandDet.jsp?pnu=3611036026106080004&amp;isNoScr=script&amp;mode=search", "토지이음")</f>
        <v/>
      </c>
      <c r="L3737" s="3" t="inlineStr">
        <is>
          <t>킹</t>
        </is>
      </c>
      <c r="M3737" s="3" t="n">
        <v>1</v>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3" t="inlineStr">
        <is>
          <t>2차선 도로변의 접근성 좋은 급매 토지</t>
        </is>
      </c>
      <c r="I3738" s="5">
        <f>HYPERLINK("https://fin.land.naver.com/articles/2648746836", "매물Link")</f>
        <v/>
      </c>
      <c r="J3738" s="5">
        <f>HYPERLINK("https://map.naver.com/p/search/연서면 쌍류리 706-99", "지도Link")</f>
        <v/>
      </c>
      <c r="K3738" s="5">
        <f>HYPERLINK("http://www.eum.go.kr/web/ar/lu/luLandDet.jsp?pnu=3611036026107060099&amp;isNoScr=script&amp;mode=search", "토지이음")</f>
        <v/>
      </c>
      <c r="L3738" s="3" t="inlineStr">
        <is>
          <t>용궁</t>
        </is>
      </c>
      <c r="M3738" s="3" t="n">
        <v>1</v>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3" t="inlineStr">
        <is>
          <t>쌍류리 2차선길게 접한 코너각지 위치좋고 저렴한 토지</t>
        </is>
      </c>
      <c r="I3739" s="5">
        <f>HYPERLINK("https://fin.land.naver.com/articles/2644770034", "매물Link")</f>
        <v/>
      </c>
      <c r="J3739" s="5">
        <f>HYPERLINK("https://map.naver.com/p/search/연서면 쌍류리 706-99", "지도Link")</f>
        <v/>
      </c>
      <c r="K3739" s="5">
        <f>HYPERLINK("http://www.eum.go.kr/web/ar/lu/luLandDet.jsp?pnu=3611036026107060099&amp;isNoScr=script&amp;mode=search", "토지이음")</f>
        <v/>
      </c>
      <c r="L3739" s="3" t="inlineStr">
        <is>
          <t>세종땅사랑</t>
        </is>
      </c>
      <c r="M3739" s="3" t="n">
        <v>1</v>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3" t="inlineStr">
        <is>
          <t>nan</t>
        </is>
      </c>
      <c r="I3740" s="5">
        <f>HYPERLINK("https://fin.land.naver.com/articles/2644183391", "매물Link")</f>
        <v/>
      </c>
      <c r="J3740" s="5">
        <f>HYPERLINK("https://map.naver.com/p/search/연서면 쌍류리 94-12", "지도Link")</f>
        <v/>
      </c>
      <c r="K3740" s="5">
        <f>HYPERLINK("http://www.eum.go.kr/web/ar/lu/luLandDet.jsp?pnu=3611036026100940012&amp;isNoScr=script&amp;mode=search", "토지이음")</f>
        <v/>
      </c>
      <c r="L3740" s="3" t="inlineStr">
        <is>
          <t>세종소담114</t>
        </is>
      </c>
      <c r="M3740" s="3" t="n">
        <v>1</v>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3" t="inlineStr">
        <is>
          <t>근생 건축허가 및 전기,수도,통신 등 지하와 완료 즉시 신축가능</t>
        </is>
      </c>
      <c r="I3741" s="5">
        <f>HYPERLINK("https://fin.land.naver.com/articles/2649398240", "매물Link")</f>
        <v/>
      </c>
      <c r="J3741" s="5">
        <f>HYPERLINK("https://map.naver.com/p/search/연서면 쌍류리 94-12", "지도Link")</f>
        <v/>
      </c>
      <c r="K3741" s="5">
        <f>HYPERLINK("http://www.eum.go.kr/web/ar/lu/luLandDet.jsp?pnu=3611036026100940012&amp;isNoScr=script&amp;mode=search", "토지이음")</f>
        <v/>
      </c>
      <c r="L3741" s="3" t="inlineStr">
        <is>
          <t>세종나라</t>
        </is>
      </c>
      <c r="M3741" s="3" t="n">
        <v>2</v>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3" t="inlineStr">
        <is>
          <t>nan</t>
        </is>
      </c>
      <c r="I3742" s="5">
        <f>HYPERLINK("https://fin.land.naver.com/articles/2646589357", "매물Link")</f>
        <v/>
      </c>
      <c r="J3742" s="5">
        <f>HYPERLINK("https://map.naver.com/p/search/연서면 쌍전리 136", "지도Link")</f>
        <v/>
      </c>
      <c r="K3742" s="5">
        <f>HYPERLINK("http://www.eum.go.kr/web/ar/lu/luLandDet.jsp?pnu=3611036022101360000&amp;isNoScr=script&amp;mode=search", "토지이음")</f>
        <v/>
      </c>
      <c r="L3742" s="3" t="inlineStr">
        <is>
          <t>이순이</t>
        </is>
      </c>
      <c r="M3742" s="3" t="n">
        <v>1</v>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3" t="inlineStr">
        <is>
          <t>토지거래허가구역에서 제외된 토지. 향후 미래가치가 높은 소액투자로 추천.</t>
        </is>
      </c>
      <c r="I3743" s="5">
        <f>HYPERLINK("https://fin.land.naver.com/articles/2649342650", "매물Link")</f>
        <v/>
      </c>
      <c r="J3743" s="5">
        <f>HYPERLINK("https://map.naver.com/p/search/연서면 쌍전리 140-2", "지도Link")</f>
        <v/>
      </c>
      <c r="K3743" s="5">
        <f>HYPERLINK("http://www.eum.go.kr/web/ar/lu/luLandDet.jsp?pnu=3611036022101400002&amp;isNoScr=script&amp;mode=search", "토지이음")</f>
        <v/>
      </c>
      <c r="L3743" s="3" t="inlineStr">
        <is>
          <t>세종대장</t>
        </is>
      </c>
      <c r="M3743" s="3" t="n">
        <v>2</v>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3" t="inlineStr">
        <is>
          <t>세종국가산단 인접 토지</t>
        </is>
      </c>
      <c r="I3744" s="5">
        <f>HYPERLINK("https://fin.land.naver.com/articles/2645464603", "매물Link")</f>
        <v/>
      </c>
      <c r="J3744" s="5">
        <f>HYPERLINK("https://map.naver.com/p/search/연서면 쌍전리 150-3", "지도Link")</f>
        <v/>
      </c>
      <c r="K3744" s="5">
        <f>HYPERLINK("http://www.eum.go.kr/web/ar/lu/luLandDet.jsp?pnu=3611036022101500003&amp;isNoScr=script&amp;mode=search", "토지이음")</f>
        <v/>
      </c>
      <c r="L3744" s="3" t="inlineStr">
        <is>
          <t>강아지풀</t>
        </is>
      </c>
      <c r="M3744" s="3" t="n">
        <v>1</v>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3" t="inlineStr">
        <is>
          <t>시세 대비 저렴한 물건으로 대토나 주말농장용 농지로 추천</t>
        </is>
      </c>
      <c r="I3745" s="5">
        <f>HYPERLINK("https://fin.land.naver.com/articles/2647392151", "매물Link")</f>
        <v/>
      </c>
      <c r="J3745" s="5">
        <f>HYPERLINK("https://map.naver.com/p/search/연서면 쌍전리 151", "지도Link")</f>
        <v/>
      </c>
      <c r="K3745" s="5">
        <f>HYPERLINK("http://www.eum.go.kr/web/ar/lu/luLandDet.jsp?pnu=3611036022101510000&amp;isNoScr=script&amp;mode=search", "토지이음")</f>
        <v/>
      </c>
      <c r="L3745" s="3" t="inlineStr">
        <is>
          <t>신와촌</t>
        </is>
      </c>
      <c r="M3745" s="3" t="n">
        <v>1</v>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3" t="inlineStr">
        <is>
          <t>nan</t>
        </is>
      </c>
      <c r="I3746" s="5">
        <f>HYPERLINK("https://fin.land.naver.com/articles/2645005219", "매물Link")</f>
        <v/>
      </c>
      <c r="J3746" s="5">
        <f>HYPERLINK("https://map.naver.com/p/search/연서면 쌍전리 154-2", "지도Link")</f>
        <v/>
      </c>
      <c r="K3746" s="5">
        <f>HYPERLINK("http://www.eum.go.kr/web/ar/lu/luLandDet.jsp?pnu=3611036022101540002&amp;isNoScr=script&amp;mode=search", "토지이음")</f>
        <v/>
      </c>
      <c r="L3746" s="3" t="inlineStr">
        <is>
          <t>세종가온채</t>
        </is>
      </c>
      <c r="M3746" s="3" t="n">
        <v>2</v>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3" t="inlineStr">
        <is>
          <t>전원주택단지 최고의 입지  단지조성완료  협의가능  연기군아파트공급호재</t>
        </is>
      </c>
      <c r="I3747" s="5">
        <f>HYPERLINK("https://fin.land.naver.com/articles/2647888422", "매물Link")</f>
        <v/>
      </c>
      <c r="J3747" s="5">
        <f>HYPERLINK("https://map.naver.com/p/search/연서면 쌍전리 175-14", "지도Link")</f>
        <v/>
      </c>
      <c r="K3747" s="5">
        <f>HYPERLINK("http://www.eum.go.kr/web/ar/lu/luLandDet.jsp?pnu=3611036022101750014&amp;isNoScr=script&amp;mode=search", "토지이음")</f>
        <v/>
      </c>
      <c r="L3747" s="3" t="inlineStr">
        <is>
          <t>연세</t>
        </is>
      </c>
      <c r="M3747" s="3" t="n">
        <v>1</v>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3" t="inlineStr">
        <is>
          <t>급매,568P 도로접, 연서면 쌍전리 자연녹지</t>
        </is>
      </c>
      <c r="I3748" s="5">
        <f>HYPERLINK("https://fin.land.naver.com/articles/2646815489", "매물Link")</f>
        <v/>
      </c>
      <c r="J3748" s="5">
        <f>HYPERLINK("https://map.naver.com/p/search/연서면 쌍전리 200-1", "지도Link")</f>
        <v/>
      </c>
      <c r="K3748" s="5">
        <f>HYPERLINK("http://www.eum.go.kr/web/ar/lu/luLandDet.jsp?pnu=3611036022102000001&amp;isNoScr=script&amp;mode=search", "토지이음")</f>
        <v/>
      </c>
      <c r="L3748" s="3" t="inlineStr">
        <is>
          <t>광장</t>
        </is>
      </c>
      <c r="M3748" s="3" t="n">
        <v>2</v>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3" t="inlineStr">
        <is>
          <t>nan</t>
        </is>
      </c>
      <c r="I3749" s="5">
        <f>HYPERLINK("https://fin.land.naver.com/articles/2646589140", "매물Link")</f>
        <v/>
      </c>
      <c r="J3749" s="5">
        <f>HYPERLINK("https://map.naver.com/p/search/연서면 쌍전리 400", "지도Link")</f>
        <v/>
      </c>
      <c r="K3749" s="5">
        <f>HYPERLINK("http://www.eum.go.kr/web/ar/lu/luLandDet.jsp?pnu=3611036022104000000&amp;isNoScr=script&amp;mode=search", "토지이음")</f>
        <v/>
      </c>
      <c r="L3749" s="3" t="inlineStr">
        <is>
          <t>이순이</t>
        </is>
      </c>
      <c r="M3749" s="3" t="n">
        <v>1</v>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3" t="inlineStr">
        <is>
          <t>자연녹지 임야 매매</t>
        </is>
      </c>
      <c r="I3750" s="5">
        <f>HYPERLINK("https://fin.land.naver.com/articles/2648813384", "매물Link")</f>
        <v/>
      </c>
      <c r="J3750" s="5">
        <f>HYPERLINK("https://map.naver.com/p/search/연서면 쌍전리 405-4", "지도Link")</f>
        <v/>
      </c>
      <c r="K3750" s="5">
        <f>HYPERLINK("http://www.eum.go.kr/web/ar/lu/luLandDet.jsp?pnu=3611036022104050004&amp;isNoScr=script&amp;mode=search", "토지이음")</f>
        <v/>
      </c>
      <c r="L3750" s="3" t="inlineStr">
        <is>
          <t>세종대박</t>
        </is>
      </c>
      <c r="M3750" s="3" t="n">
        <v>1</v>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3" t="inlineStr">
        <is>
          <t>본 토지에진입로가 접하고 있으며세종시에는흔치않 은희소성 이 있는토지임</t>
        </is>
      </c>
      <c r="I3751" s="5">
        <f>HYPERLINK("https://fin.land.naver.com/articles/2648740927", "매물Link")</f>
        <v/>
      </c>
      <c r="J3751" s="5">
        <f>HYPERLINK("https://map.naver.com/p/search/연서면 쌍전리 407-3", "지도Link")</f>
        <v/>
      </c>
      <c r="K3751" s="5">
        <f>HYPERLINK("http://www.eum.go.kr/web/ar/lu/luLandDet.jsp?pnu=3611036022104070003&amp;isNoScr=script&amp;mode=search", "토지이음")</f>
        <v/>
      </c>
      <c r="L3751" s="3" t="inlineStr">
        <is>
          <t>대흥</t>
        </is>
      </c>
      <c r="M3751" s="3" t="n">
        <v>1</v>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3" t="inlineStr">
        <is>
          <t>급매 지대가 높아 조망이 좋은 전원주택지 및 과수원으로 활용</t>
        </is>
      </c>
      <c r="I3752" s="5">
        <f>HYPERLINK("https://fin.land.naver.com/articles/2649203247", "매물Link")</f>
        <v/>
      </c>
      <c r="J3752" s="5">
        <f>HYPERLINK("https://map.naver.com/p/search/연서면 쌍전리 419-2", "지도Link")</f>
        <v/>
      </c>
      <c r="K3752" s="5">
        <f>HYPERLINK("http://www.eum.go.kr/web/ar/lu/luLandDet.jsp?pnu=3611036022104190002&amp;isNoScr=script&amp;mode=search", "토지이음")</f>
        <v/>
      </c>
      <c r="L3752" s="3" t="inlineStr">
        <is>
          <t>스마일세종</t>
        </is>
      </c>
      <c r="M3752" s="3" t="n">
        <v>1</v>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3" t="inlineStr">
        <is>
          <t>nan</t>
        </is>
      </c>
      <c r="I3753" s="5">
        <f>HYPERLINK("https://fin.land.naver.com/articles/2648997031", "매물Link")</f>
        <v/>
      </c>
      <c r="J3753" s="5">
        <f>HYPERLINK("https://map.naver.com/p/search/연서면 쌍전리 433-1", "지도Link")</f>
        <v/>
      </c>
      <c r="K3753" s="5">
        <f>HYPERLINK("http://www.eum.go.kr/web/ar/lu/luLandDet.jsp?pnu=3611036022104330001&amp;isNoScr=script&amp;mode=search", "토지이음")</f>
        <v/>
      </c>
      <c r="L3753" s="3" t="inlineStr">
        <is>
          <t>KB세종</t>
        </is>
      </c>
      <c r="M3753" s="3" t="n">
        <v>1</v>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3" t="inlineStr">
        <is>
          <t>매매합니다</t>
        </is>
      </c>
      <c r="I3754" s="5">
        <f>HYPERLINK("https://fin.land.naver.com/articles/2649833628", "매물Link")</f>
        <v/>
      </c>
      <c r="J3754" s="5">
        <f>HYPERLINK("https://map.naver.com/p/search/연서면 쌍전리 463-1", "지도Link")</f>
        <v/>
      </c>
      <c r="K3754" s="5">
        <f>HYPERLINK("http://www.eum.go.kr/web/ar/lu/luLandDet.jsp?pnu=3611036022104630001&amp;isNoScr=script&amp;mode=search", "토지이음")</f>
        <v/>
      </c>
      <c r="L3754" s="3" t="inlineStr">
        <is>
          <t>마니</t>
        </is>
      </c>
      <c r="M3754" s="3" t="n">
        <v>1</v>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3" t="inlineStr">
        <is>
          <t>2차선도로와 본 토지 사이에 국유지가 있어 점용허가를 받아 넓게 사용가능</t>
        </is>
      </c>
      <c r="I3755" s="5">
        <f>HYPERLINK("https://fin.land.naver.com/articles/2648695807", "매물Link")</f>
        <v/>
      </c>
      <c r="J3755" s="5">
        <f>HYPERLINK("https://map.naver.com/p/search/연서면 쌍전리 464-3", "지도Link")</f>
        <v/>
      </c>
      <c r="K3755" s="5">
        <f>HYPERLINK("http://www.eum.go.kr/web/ar/lu/luLandDet.jsp?pnu=3611036022104640003&amp;isNoScr=script&amp;mode=search", "토지이음")</f>
        <v/>
      </c>
      <c r="L3755" s="3" t="inlineStr">
        <is>
          <t>스마일세종</t>
        </is>
      </c>
      <c r="M3755" s="3" t="n">
        <v>1</v>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3" t="inlineStr">
        <is>
          <t>북세종IC 인근 농림지역으로 투자가치 높고 저렴한 가격인 대토로 추천.</t>
        </is>
      </c>
      <c r="I3756" s="5">
        <f>HYPERLINK("https://fin.land.naver.com/articles/2644819956", "매물Link")</f>
        <v/>
      </c>
      <c r="J3756" s="5">
        <f>HYPERLINK("https://map.naver.com/p/search/연서면 쌍전리 513", "지도Link")</f>
        <v/>
      </c>
      <c r="K3756" s="5">
        <f>HYPERLINK("http://www.eum.go.kr/web/ar/lu/luLandDet.jsp?pnu=3611036022105130000&amp;isNoScr=script&amp;mode=search", "토지이음")</f>
        <v/>
      </c>
      <c r="L3756" s="3" t="inlineStr">
        <is>
          <t>세종대장</t>
        </is>
      </c>
      <c r="M3756" s="3" t="n">
        <v>1</v>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3" t="inlineStr">
        <is>
          <t>도로접한 농림지역, 인근 북세종IC예정</t>
        </is>
      </c>
      <c r="I3757" s="5">
        <f>HYPERLINK("https://fin.land.naver.com/articles/2648813360", "매물Link")</f>
        <v/>
      </c>
      <c r="J3757" s="5">
        <f>HYPERLINK("https://map.naver.com/p/search/연서면 쌍전리 580", "지도Link")</f>
        <v/>
      </c>
      <c r="K3757" s="5">
        <f>HYPERLINK("http://www.eum.go.kr/web/ar/lu/luLandDet.jsp?pnu=3611036022105800000&amp;isNoScr=script&amp;mode=search", "토지이음")</f>
        <v/>
      </c>
      <c r="L3757" s="3" t="inlineStr">
        <is>
          <t>세종대박</t>
        </is>
      </c>
      <c r="M3757" s="3" t="n">
        <v>1</v>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3" t="inlineStr">
        <is>
          <t>대토로도 좋은 도로접한 농지입니다</t>
        </is>
      </c>
      <c r="I3758" s="5">
        <f>HYPERLINK("https://fin.land.naver.com/articles/2645603430", "매물Link")</f>
        <v/>
      </c>
      <c r="J3758" s="5">
        <f>HYPERLINK("https://map.naver.com/p/search/연서면 쌍전리 584", "지도Link")</f>
        <v/>
      </c>
      <c r="K3758" s="5">
        <f>HYPERLINK("http://www.eum.go.kr/web/ar/lu/luLandDet.jsp?pnu=3611036022105840000&amp;isNoScr=script&amp;mode=search", "토지이음")</f>
        <v/>
      </c>
      <c r="L3758" s="3" t="inlineStr">
        <is>
          <t>미스터홈즈강남지사</t>
        </is>
      </c>
      <c r="M3758" s="3" t="n">
        <v>2</v>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3" t="inlineStr">
        <is>
          <t>2차선 도로에접한 토지로 현재가보다 매우 저렴하게 나온 매물임.</t>
        </is>
      </c>
      <c r="I3759" s="5">
        <f>HYPERLINK("https://fin.land.naver.com/articles/2648518171", "매물Link")</f>
        <v/>
      </c>
      <c r="J3759" s="5">
        <f>HYPERLINK("https://map.naver.com/p/search/연서면 쌍전리 619", "지도Link")</f>
        <v/>
      </c>
      <c r="K3759" s="5">
        <f>HYPERLINK("http://www.eum.go.kr/web/ar/lu/luLandDet.jsp?pnu=3611036022106190000&amp;isNoScr=script&amp;mode=search", "토지이음")</f>
        <v/>
      </c>
      <c r="L3759" s="3" t="inlineStr">
        <is>
          <t>세종리츠</t>
        </is>
      </c>
      <c r="M3759" s="3" t="n">
        <v>1</v>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3" t="inlineStr">
        <is>
          <t>도로 접한 코너 답 토지 접근성 우수</t>
        </is>
      </c>
      <c r="I3760" s="5">
        <f>HYPERLINK("https://fin.land.naver.com/articles/2648379661", "매물Link")</f>
        <v/>
      </c>
      <c r="J3760" s="5">
        <f>HYPERLINK("https://map.naver.com/p/search/연서면 쌍전리 619", "지도Link")</f>
        <v/>
      </c>
      <c r="K3760" s="5">
        <f>HYPERLINK("http://www.eum.go.kr/web/ar/lu/luLandDet.jsp?pnu=3611036022106190000&amp;isNoScr=script&amp;mode=search", "토지이음")</f>
        <v/>
      </c>
      <c r="L3760" s="3" t="inlineStr">
        <is>
          <t>몬스터</t>
        </is>
      </c>
      <c r="M3760" s="3" t="n">
        <v>1</v>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3" t="inlineStr">
        <is>
          <t>쌍전리 2차선도로 가까운 토지 북세종톨게이트 예정지 수혜지</t>
        </is>
      </c>
      <c r="I3761" s="5">
        <f>HYPERLINK("https://fin.land.naver.com/articles/2649964374", "매물Link")</f>
        <v/>
      </c>
      <c r="J3761" s="5">
        <f>HYPERLINK("https://map.naver.com/p/search/연서면 쌍전리 638", "지도Link")</f>
        <v/>
      </c>
      <c r="K3761" s="5">
        <f>HYPERLINK("http://www.eum.go.kr/web/ar/lu/luLandDet.jsp?pnu=3611036022106380000&amp;isNoScr=script&amp;mode=search", "토지이음")</f>
        <v/>
      </c>
      <c r="L3761" s="3" t="inlineStr">
        <is>
          <t>지성</t>
        </is>
      </c>
      <c r="M3761" s="3" t="n">
        <v>1</v>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3" t="inlineStr">
        <is>
          <t>도로접한 농림지역 농지. 대토추천</t>
        </is>
      </c>
      <c r="I3762" s="5">
        <f>HYPERLINK("https://fin.land.naver.com/articles/2649890122", "매물Link")</f>
        <v/>
      </c>
      <c r="J3762" s="5">
        <f>HYPERLINK("https://map.naver.com/p/search/연서면 쌍전리 654", "지도Link")</f>
        <v/>
      </c>
      <c r="K3762" s="5">
        <f>HYPERLINK("http://www.eum.go.kr/web/ar/lu/luLandDet.jsp?pnu=3611036022106540000&amp;isNoScr=script&amp;mode=search", "토지이음")</f>
        <v/>
      </c>
      <c r="L3762" s="3" t="inlineStr">
        <is>
          <t>미스터홈즈강남지사</t>
        </is>
      </c>
      <c r="M3762" s="3" t="n">
        <v>1</v>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3" t="inlineStr">
        <is>
          <t>2차선접,대토강추,투자가치최고</t>
        </is>
      </c>
      <c r="I3763" s="5">
        <f>HYPERLINK("https://fin.land.naver.com/articles/2648102972", "매물Link")</f>
        <v/>
      </c>
      <c r="J3763" s="5">
        <f>HYPERLINK("https://map.naver.com/p/search/연서면 쌍전리 684", "지도Link")</f>
        <v/>
      </c>
      <c r="K3763" s="5">
        <f>HYPERLINK("http://www.eum.go.kr/web/ar/lu/luLandDet.jsp?pnu=3611036022106840000&amp;isNoScr=script&amp;mode=search", "토지이음")</f>
        <v/>
      </c>
      <c r="L3763" s="3" t="inlineStr">
        <is>
          <t>힐스테이트행복</t>
        </is>
      </c>
      <c r="M3763" s="3" t="n">
        <v>2</v>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3" t="inlineStr">
        <is>
          <t>2차선 도로에 접해 있으며 3면이 도로에 접한 투지가치 좋은 매물입니다</t>
        </is>
      </c>
      <c r="I3764" s="5">
        <f>HYPERLINK("https://fin.land.naver.com/articles/2649380436", "매물Link")</f>
        <v/>
      </c>
      <c r="J3764" s="5">
        <f>HYPERLINK("https://map.naver.com/p/search/연서면 쌍전리 684", "지도Link")</f>
        <v/>
      </c>
      <c r="K3764" s="5">
        <f>HYPERLINK("http://www.eum.go.kr/web/ar/lu/luLandDet.jsp?pnu=3611036022106840000&amp;isNoScr=script&amp;mode=search", "토지이음")</f>
        <v/>
      </c>
      <c r="L3764" s="3" t="inlineStr">
        <is>
          <t>스마일세종</t>
        </is>
      </c>
      <c r="M3764" s="3" t="n">
        <v>7</v>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3" t="inlineStr">
        <is>
          <t>nan</t>
        </is>
      </c>
      <c r="I3765" s="5">
        <f>HYPERLINK("https://fin.land.naver.com/articles/2644414723", "매물Link")</f>
        <v/>
      </c>
      <c r="J3765" s="5">
        <f>HYPERLINK("https://map.naver.com/p/search/연서면 쌍전리 684", "지도Link")</f>
        <v/>
      </c>
      <c r="K3765" s="5">
        <f>HYPERLINK("http://www.eum.go.kr/web/ar/lu/luLandDet.jsp?pnu=3611036022106840000&amp;isNoScr=script&amp;mode=search", "토지이음")</f>
        <v/>
      </c>
      <c r="L3765" s="3" t="inlineStr">
        <is>
          <t>로데오상가</t>
        </is>
      </c>
      <c r="M3765" s="3" t="n">
        <v>1</v>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3" t="inlineStr">
        <is>
          <t>자연녹지, 자연취락지구 내 대지. 현재는 나대지임. 건폐율 60</t>
        </is>
      </c>
      <c r="I3766" s="5">
        <f>HYPERLINK("https://fin.land.naver.com/articles/2649900081", "매물Link")</f>
        <v/>
      </c>
      <c r="J3766" s="5">
        <f>HYPERLINK("https://map.naver.com/p/search/연서면 쌍전리 78", "지도Link")</f>
        <v/>
      </c>
      <c r="K3766" s="5">
        <f>HYPERLINK("http://www.eum.go.kr/web/ar/lu/luLandDet.jsp?pnu=3611036022100780000&amp;isNoScr=script&amp;mode=search", "토지이음")</f>
        <v/>
      </c>
      <c r="L3766" s="3" t="inlineStr">
        <is>
          <t>미스터홈즈강남지사</t>
        </is>
      </c>
      <c r="M3766" s="3" t="n">
        <v>1</v>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3" t="inlineStr">
        <is>
          <t>연서면 쌍전리 임야와 과수원을 일괄하여 급매로 매매합니다</t>
        </is>
      </c>
      <c r="I3767" s="5">
        <f>HYPERLINK("https://fin.land.naver.com/articles/2649203413", "매물Link")</f>
        <v/>
      </c>
      <c r="J3767" s="5">
        <f>HYPERLINK("https://map.naver.com/p/search/연서면 쌍전리 산18-6", "지도Link")</f>
        <v/>
      </c>
      <c r="K3767" s="5">
        <f>HYPERLINK("http://www.eum.go.kr/web/ar/lu/luLandDet.jsp?pnu=3611036022200180006&amp;isNoScr=script&amp;mode=search", "토지이음")</f>
        <v/>
      </c>
      <c r="L3767" s="3" t="inlineStr">
        <is>
          <t>스마일세종</t>
        </is>
      </c>
      <c r="M3767" s="3" t="n">
        <v>1</v>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3" t="inlineStr">
        <is>
          <t>세종 연서면 와촌리 토지</t>
        </is>
      </c>
      <c r="I3768" s="5">
        <f>HYPERLINK("https://fin.land.naver.com/articles/2649772695", "매물Link")</f>
        <v/>
      </c>
      <c r="J3768" s="5">
        <f>HYPERLINK("https://map.naver.com/p/search/연서면 와촌리 1075", "지도Link")</f>
        <v/>
      </c>
      <c r="K3768" s="5">
        <f>HYPERLINK("http://www.eum.go.kr/web/ar/lu/luLandDet.jsp?pnu=3611036031110750000&amp;isNoScr=script&amp;mode=search", "토지이음")</f>
        <v/>
      </c>
      <c r="L3768" s="3" t="inlineStr">
        <is>
          <t>세종몽땅</t>
        </is>
      </c>
      <c r="M3768" s="3" t="n">
        <v>1</v>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3" t="inlineStr">
        <is>
          <t>주말농장 및 투자용</t>
        </is>
      </c>
      <c r="I3769" s="5">
        <f>HYPERLINK("https://fin.land.naver.com/articles/2647763444", "매물Link")</f>
        <v/>
      </c>
      <c r="J3769" s="5">
        <f>HYPERLINK("https://map.naver.com/p/search/연서면 와촌리 1075", "지도Link")</f>
        <v/>
      </c>
      <c r="K3769" s="5">
        <f>HYPERLINK("http://www.eum.go.kr/web/ar/lu/luLandDet.jsp?pnu=3611036031110750000&amp;isNoScr=script&amp;mode=search", "토지이음")</f>
        <v/>
      </c>
      <c r="L3769" s="3" t="inlineStr">
        <is>
          <t>지호주식회사</t>
        </is>
      </c>
      <c r="M3769" s="3" t="n">
        <v>1</v>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3" t="inlineStr">
        <is>
          <t>지방도 접해 있고 다양한 용도로 활용성 높은 투자가치 높은 용지</t>
        </is>
      </c>
      <c r="I3770" s="5">
        <f>HYPERLINK("https://fin.land.naver.com/articles/2649282774", "매물Link")</f>
        <v/>
      </c>
      <c r="J3770" s="5">
        <f>HYPERLINK("https://map.naver.com/p/search/연서면 와촌리 1092-4", "지도Link")</f>
        <v/>
      </c>
      <c r="K3770" s="5">
        <f>HYPERLINK("http://www.eum.go.kr/web/ar/lu/luLandDet.jsp?pnu=3611036031110920004&amp;isNoScr=script&amp;mode=search", "토지이음")</f>
        <v/>
      </c>
      <c r="L3770" s="3" t="inlineStr">
        <is>
          <t>반곡황금더샵</t>
        </is>
      </c>
      <c r="M3770" s="3" t="n">
        <v>2</v>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3" t="inlineStr">
        <is>
          <t>상가 신축에 아주 적합한 2차선변에 길게 접한 소액투자 토지</t>
        </is>
      </c>
      <c r="I3771" s="5">
        <f>HYPERLINK("https://fin.land.naver.com/articles/2644523576", "매물Link")</f>
        <v/>
      </c>
      <c r="J3771" s="5">
        <f>HYPERLINK("https://map.naver.com/p/search/연서면 와촌리 1094", "지도Link")</f>
        <v/>
      </c>
      <c r="K3771" s="5">
        <f>HYPERLINK("http://www.eum.go.kr/web/ar/lu/luLandDet.jsp?pnu=3611036031110940000&amp;isNoScr=script&amp;mode=search", "토지이음")</f>
        <v/>
      </c>
      <c r="L3771" s="3" t="inlineStr">
        <is>
          <t>용궁</t>
        </is>
      </c>
      <c r="M3771" s="3" t="n">
        <v>1</v>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3" t="inlineStr">
        <is>
          <t>도로접한 근생 건축 가능 토지</t>
        </is>
      </c>
      <c r="I3772" s="5">
        <f>HYPERLINK("https://fin.land.naver.com/articles/2647548610", "매물Link")</f>
        <v/>
      </c>
      <c r="J3772" s="5">
        <f>HYPERLINK("https://map.naver.com/p/search/연서면 와촌리 1109-1", "지도Link")</f>
        <v/>
      </c>
      <c r="K3772" s="5">
        <f>HYPERLINK("http://www.eum.go.kr/web/ar/lu/luLandDet.jsp?pnu=3611036031111090001&amp;isNoScr=script&amp;mode=search", "토지이음")</f>
        <v/>
      </c>
      <c r="L3772" s="3" t="inlineStr">
        <is>
          <t>강우림</t>
        </is>
      </c>
      <c r="M3772" s="3" t="n">
        <v>1</v>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3" t="inlineStr">
        <is>
          <t>소액 투자나 농막 체류형쉼터용 농지</t>
        </is>
      </c>
      <c r="I3773" s="5">
        <f>HYPERLINK("https://fin.land.naver.com/articles/2644526737", "매물Link")</f>
        <v/>
      </c>
      <c r="J3773" s="5">
        <f>HYPERLINK("https://map.naver.com/p/search/연서면 와촌리 1175", "지도Link")</f>
        <v/>
      </c>
      <c r="K3773" s="5">
        <f>HYPERLINK("http://www.eum.go.kr/web/ar/lu/luLandDet.jsp?pnu=3611036031111750000&amp;isNoScr=script&amp;mode=search", "토지이음")</f>
        <v/>
      </c>
      <c r="L3773" s="3" t="inlineStr">
        <is>
          <t>용궁</t>
        </is>
      </c>
      <c r="M3773" s="3" t="n">
        <v>1</v>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3" t="inlineStr">
        <is>
          <t>세종시 인기지역, 국가산업단지 인근, 현재 축사건물있음 , 투자가치높음</t>
        </is>
      </c>
      <c r="I3774" s="5">
        <f>HYPERLINK("https://fin.land.naver.com/articles/2646426712", "매물Link")</f>
        <v/>
      </c>
      <c r="J3774" s="5">
        <f>HYPERLINK("https://map.naver.com/p/search/연서면 와촌리 1180", "지도Link")</f>
        <v/>
      </c>
      <c r="K3774" s="5">
        <f>HYPERLINK("http://www.eum.go.kr/web/ar/lu/luLandDet.jsp?pnu=3611036031111800000&amp;isNoScr=script&amp;mode=search", "토지이음")</f>
        <v/>
      </c>
      <c r="L3774" s="3" t="inlineStr">
        <is>
          <t>세종특별시</t>
        </is>
      </c>
      <c r="M3774" s="3" t="n">
        <v>1</v>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3" t="inlineStr">
        <is>
          <t>마을 맨 윗쪽 넓은 전원주택지. 현재 전 및 일부 축사</t>
        </is>
      </c>
      <c r="I3775" s="5">
        <f>HYPERLINK("https://fin.land.naver.com/articles/2645548376", "매물Link")</f>
        <v/>
      </c>
      <c r="J3775" s="5">
        <f>HYPERLINK("https://map.naver.com/p/search/연서면 와촌리 1180", "지도Link")</f>
        <v/>
      </c>
      <c r="K3775" s="5">
        <f>HYPERLINK("http://www.eum.go.kr/web/ar/lu/luLandDet.jsp?pnu=3611036031111800000&amp;isNoScr=script&amp;mode=search", "토지이음")</f>
        <v/>
      </c>
      <c r="L3775" s="3" t="inlineStr">
        <is>
          <t>세종소담114</t>
        </is>
      </c>
      <c r="M3775" s="3" t="n">
        <v>1</v>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3" t="inlineStr">
        <is>
          <t>복숭아 나무 식재 중, 토지모양 굿, 자연취락지구, 성장관리계획구역</t>
        </is>
      </c>
      <c r="I3776" s="5">
        <f>HYPERLINK("https://fin.land.naver.com/articles/2647190456", "매물Link")</f>
        <v/>
      </c>
      <c r="J3776" s="5">
        <f>HYPERLINK("https://map.naver.com/p/search/연서면 와촌리 1182", "지도Link")</f>
        <v/>
      </c>
      <c r="K3776" s="5">
        <f>HYPERLINK("http://www.eum.go.kr/web/ar/lu/luLandDet.jsp?pnu=3611036031111820000&amp;isNoScr=script&amp;mode=search", "토지이음")</f>
        <v/>
      </c>
      <c r="L3776" s="3" t="inlineStr">
        <is>
          <t>올바른</t>
        </is>
      </c>
      <c r="M3776" s="3" t="n">
        <v>1</v>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3" t="inlineStr">
        <is>
          <t>계획관리, 성장관리 지역, 2차선 도로 바로 옆 토지, 국가산단 5분거리</t>
        </is>
      </c>
      <c r="I3777" s="5">
        <f>HYPERLINK("https://fin.land.naver.com/articles/2647190264", "매물Link")</f>
        <v/>
      </c>
      <c r="J3777" s="5">
        <f>HYPERLINK("https://map.naver.com/p/search/연서면 와촌리 1185-1", "지도Link")</f>
        <v/>
      </c>
      <c r="K3777" s="5">
        <f>HYPERLINK("http://www.eum.go.kr/web/ar/lu/luLandDet.jsp?pnu=3611036031111850001&amp;isNoScr=script&amp;mode=search", "토지이음")</f>
        <v/>
      </c>
      <c r="L3777" s="3" t="inlineStr">
        <is>
          <t>올바른</t>
        </is>
      </c>
      <c r="M3777" s="3" t="n">
        <v>1</v>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3" t="inlineStr">
        <is>
          <t>스마트국가산업단지 초근접위치</t>
        </is>
      </c>
      <c r="I3778" s="5">
        <f>HYPERLINK("https://fin.land.naver.com/articles/2645271688", "매물Link")</f>
        <v/>
      </c>
      <c r="J3778" s="5">
        <f>HYPERLINK("https://map.naver.com/p/search/연서면 와촌리 1194", "지도Link")</f>
        <v/>
      </c>
      <c r="K3778" s="5">
        <f>HYPERLINK("http://www.eum.go.kr/web/ar/lu/luLandDet.jsp?pnu=3611036031111940000&amp;isNoScr=script&amp;mode=search", "토지이음")</f>
        <v/>
      </c>
      <c r="L3778" s="3" t="inlineStr">
        <is>
          <t>우장산역스타</t>
        </is>
      </c>
      <c r="M3778" s="3" t="n">
        <v>1</v>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3" t="inlineStr">
        <is>
          <t>세종 스마트 국가산업단지 길건너 발전가능성 높은 귀한 토지 매도</t>
        </is>
      </c>
      <c r="I3779" s="5">
        <f>HYPERLINK("https://fin.land.naver.com/articles/2648901026", "매물Link")</f>
        <v/>
      </c>
      <c r="J3779" s="5">
        <f>HYPERLINK("https://map.naver.com/p/search/연서면 와촌리 172-1", "지도Link")</f>
        <v/>
      </c>
      <c r="K3779" s="5">
        <f>HYPERLINK("http://www.eum.go.kr/web/ar/lu/luLandDet.jsp?pnu=3611036031101720001&amp;isNoScr=script&amp;mode=search", "토지이음")</f>
        <v/>
      </c>
      <c r="L3779" s="3" t="inlineStr">
        <is>
          <t>번영</t>
        </is>
      </c>
      <c r="M3779" s="3" t="n">
        <v>1</v>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3" t="inlineStr">
        <is>
          <t>와촌리 급매 투자 및 국가산단 보상 대토 강력 추천 계획관리</t>
        </is>
      </c>
      <c r="I3780" s="5">
        <f>HYPERLINK("https://fin.land.naver.com/articles/2646956103", "매물Link")</f>
        <v/>
      </c>
      <c r="J3780" s="5">
        <f>HYPERLINK("https://map.naver.com/p/search/연서면 와촌리 314-2", "지도Link")</f>
        <v/>
      </c>
      <c r="K3780" s="5">
        <f>HYPERLINK("http://www.eum.go.kr/web/ar/lu/luLandDet.jsp?pnu=3611036031103140002&amp;isNoScr=script&amp;mode=search", "토지이음")</f>
        <v/>
      </c>
      <c r="L3780" s="3" t="inlineStr">
        <is>
          <t>연서</t>
        </is>
      </c>
      <c r="M3780" s="3" t="n">
        <v>1</v>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3" t="inlineStr">
        <is>
          <t>세종국가산업단지 인접한 토지</t>
        </is>
      </c>
      <c r="I3781" s="5">
        <f>HYPERLINK("https://fin.land.naver.com/articles/2646007789", "매물Link")</f>
        <v/>
      </c>
      <c r="J3781" s="5">
        <f>HYPERLINK("https://map.naver.com/p/search/연서면 와촌리 430-9", "지도Link")</f>
        <v/>
      </c>
      <c r="K3781" s="5">
        <f>HYPERLINK("http://www.eum.go.kr/web/ar/lu/luLandDet.jsp?pnu=3611036031104300009&amp;isNoScr=script&amp;mode=search", "토지이음")</f>
        <v/>
      </c>
      <c r="L3781" s="3" t="inlineStr">
        <is>
          <t>세종대박</t>
        </is>
      </c>
      <c r="M3781" s="3" t="n">
        <v>3</v>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3" t="inlineStr">
        <is>
          <t>세종스마트 국가산업단지 옆 와촌리 토지 급매.</t>
        </is>
      </c>
      <c r="I3782" s="5">
        <f>HYPERLINK("https://fin.land.naver.com/articles/2644836588", "매물Link")</f>
        <v/>
      </c>
      <c r="J3782" s="5">
        <f>HYPERLINK("https://map.naver.com/p/search/연서면 와촌리 437-2", "지도Link")</f>
        <v/>
      </c>
      <c r="K3782" s="5">
        <f>HYPERLINK("http://www.eum.go.kr/web/ar/lu/luLandDet.jsp?pnu=3611036031104370002&amp;isNoScr=script&amp;mode=search", "토지이음")</f>
        <v/>
      </c>
      <c r="L3782" s="3" t="inlineStr">
        <is>
          <t>세종대장</t>
        </is>
      </c>
      <c r="M3782" s="3" t="n">
        <v>1</v>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3" t="inlineStr">
        <is>
          <t>조치원산단 인근 농지. 투자용으로 추천</t>
        </is>
      </c>
      <c r="I3783" s="5">
        <f>HYPERLINK("https://fin.land.naver.com/articles/2644444541", "매물Link")</f>
        <v/>
      </c>
      <c r="J3783" s="5">
        <f>HYPERLINK("https://map.naver.com/p/search/연서면 와촌리 437-3", "지도Link")</f>
        <v/>
      </c>
      <c r="K3783" s="5">
        <f>HYPERLINK("http://www.eum.go.kr/web/ar/lu/luLandDet.jsp?pnu=3611036031104370003&amp;isNoScr=script&amp;mode=search", "토지이음")</f>
        <v/>
      </c>
      <c r="L3783" s="3" t="inlineStr">
        <is>
          <t>세종대박</t>
        </is>
      </c>
      <c r="M3783" s="3" t="n">
        <v>1</v>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3" t="inlineStr">
        <is>
          <t>성토된 농지, 도로접한 전현황</t>
        </is>
      </c>
      <c r="I3784" s="5">
        <f>HYPERLINK("https://fin.land.naver.com/articles/2648813655", "매물Link")</f>
        <v/>
      </c>
      <c r="J3784" s="5">
        <f>HYPERLINK("https://map.naver.com/p/search/연서면 와촌리 438-3", "지도Link")</f>
        <v/>
      </c>
      <c r="K3784" s="5">
        <f>HYPERLINK("http://www.eum.go.kr/web/ar/lu/luLandDet.jsp?pnu=3611036031104380003&amp;isNoScr=script&amp;mode=search", "토지이음")</f>
        <v/>
      </c>
      <c r="L3784" s="3" t="inlineStr">
        <is>
          <t>세종대박</t>
        </is>
      </c>
      <c r="M3784" s="3" t="n">
        <v>1</v>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3" t="inlineStr">
        <is>
          <t>세종산업단지인근 2차선도로 계획관리지역 토지매매</t>
        </is>
      </c>
      <c r="I3785" s="5">
        <f>HYPERLINK("https://fin.land.naver.com/articles/2645513821", "매물Link")</f>
        <v/>
      </c>
      <c r="J3785" s="5">
        <f>HYPERLINK("https://map.naver.com/p/search/연서면 와촌리 858-1", "지도Link")</f>
        <v/>
      </c>
      <c r="K3785" s="5">
        <f>HYPERLINK("http://www.eum.go.kr/web/ar/lu/luLandDet.jsp?pnu=3611036031108580001&amp;isNoScr=script&amp;mode=search", "토지이음")</f>
        <v/>
      </c>
      <c r="L3785" s="3" t="inlineStr">
        <is>
          <t>에이스</t>
        </is>
      </c>
      <c r="M3785" s="3" t="n">
        <v>1</v>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3" t="inlineStr">
        <is>
          <t>연서면 와촌리 와촌보건소 인근 2차선 도로에 접한 농지 분할 매매 합니다</t>
        </is>
      </c>
      <c r="I3786" s="5">
        <f>HYPERLINK("https://fin.land.naver.com/articles/2646999752", "매물Link")</f>
        <v/>
      </c>
      <c r="J3786" s="5">
        <f>HYPERLINK("https://map.naver.com/p/search/연서면 와촌리 862-3", "지도Link")</f>
        <v/>
      </c>
      <c r="K3786" s="5">
        <f>HYPERLINK("http://www.eum.go.kr/web/ar/lu/luLandDet.jsp?pnu=3611036031108620003&amp;isNoScr=script&amp;mode=search", "토지이음")</f>
        <v/>
      </c>
      <c r="L3786" s="3" t="inlineStr">
        <is>
          <t>스마일세종</t>
        </is>
      </c>
      <c r="M3786" s="3" t="n">
        <v>1</v>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3" t="inlineStr">
        <is>
          <t>스마트국가산단 인근 생산관리 토지</t>
        </is>
      </c>
      <c r="I3787" s="5">
        <f>HYPERLINK("https://fin.land.naver.com/articles/2649915561", "매물Link")</f>
        <v/>
      </c>
      <c r="J3787" s="5">
        <f>HYPERLINK("https://map.naver.com/p/search/연서면 와촌리 866-4", "지도Link")</f>
        <v/>
      </c>
      <c r="K3787" s="5">
        <f>HYPERLINK("http://www.eum.go.kr/web/ar/lu/luLandDet.jsp?pnu=3611036031108660004&amp;isNoScr=script&amp;mode=search", "토지이음")</f>
        <v/>
      </c>
      <c r="L3787" s="3" t="inlineStr">
        <is>
          <t>미스터홈즈강남지사</t>
        </is>
      </c>
      <c r="M3787" s="3" t="n">
        <v>1</v>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3" t="inlineStr">
        <is>
          <t>국가산업단지 인근의 가장 저렴한 과수원</t>
        </is>
      </c>
      <c r="I3788" s="5">
        <f>HYPERLINK("https://fin.land.naver.com/articles/2644527068", "매물Link")</f>
        <v/>
      </c>
      <c r="J3788" s="5">
        <f>HYPERLINK("https://map.naver.com/p/search/연서면 와촌리 955-2", "지도Link")</f>
        <v/>
      </c>
      <c r="K3788" s="5">
        <f>HYPERLINK("http://www.eum.go.kr/web/ar/lu/luLandDet.jsp?pnu=3611036031109550002&amp;isNoScr=script&amp;mode=search", "토지이음")</f>
        <v/>
      </c>
      <c r="L3788" s="3" t="inlineStr">
        <is>
          <t>용궁</t>
        </is>
      </c>
      <c r="M3788" s="3" t="n">
        <v>1</v>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3" t="inlineStr">
        <is>
          <t>nan</t>
        </is>
      </c>
      <c r="I3789" s="5">
        <f>HYPERLINK("https://fin.land.naver.com/articles/2645463701", "매물Link")</f>
        <v/>
      </c>
      <c r="J3789" s="5">
        <f>HYPERLINK("https://map.naver.com/p/search/연서면 와촌리 955-2", "지도Link")</f>
        <v/>
      </c>
      <c r="K3789" s="5">
        <f>HYPERLINK("http://www.eum.go.kr/web/ar/lu/luLandDet.jsp?pnu=3611036031109550002&amp;isNoScr=script&amp;mode=search", "토지이음")</f>
        <v/>
      </c>
      <c r="L3789" s="3" t="inlineStr">
        <is>
          <t>강아지풀</t>
        </is>
      </c>
      <c r="M3789" s="3" t="n">
        <v>1</v>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3" t="inlineStr">
        <is>
          <t>새종 국가산업단지  길목, 수혜지역.투자용,상업용,산업용 용도 다양</t>
        </is>
      </c>
      <c r="I3790" s="5">
        <f>HYPERLINK("https://fin.land.naver.com/articles/2644487553", "매물Link")</f>
        <v/>
      </c>
      <c r="J3790" s="5">
        <f>HYPERLINK("https://map.naver.com/p/search/연서면 와촌리 963", "지도Link")</f>
        <v/>
      </c>
      <c r="K3790" s="5">
        <f>HYPERLINK("http://www.eum.go.kr/web/ar/lu/luLandDet.jsp?pnu=3611036031109630000&amp;isNoScr=script&amp;mode=search", "토지이음")</f>
        <v/>
      </c>
      <c r="L3790" s="3" t="inlineStr">
        <is>
          <t>세종시해냄</t>
        </is>
      </c>
      <c r="M3790" s="3" t="n">
        <v>1</v>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3" t="inlineStr">
        <is>
          <t>연서면 와촌리 농림지역 임야, 국가산단 인근</t>
        </is>
      </c>
      <c r="I3791" s="5">
        <f>HYPERLINK("https://fin.land.naver.com/articles/2645316124", "매물Link")</f>
        <v/>
      </c>
      <c r="J3791" s="5">
        <f>HYPERLINK("https://map.naver.com/p/search/연서면 와촌리 산 80-1", "지도Link")</f>
        <v/>
      </c>
      <c r="K3791" s="5">
        <f>HYPERLINK("http://www.eum.go.kr/web/ar/lu/luLandDet.jsp?pnu=3611036031200800001&amp;isNoScr=script&amp;mode=search", "토지이음")</f>
        <v/>
      </c>
      <c r="L3791" s="3" t="inlineStr">
        <is>
          <t>스카이</t>
        </is>
      </c>
      <c r="M3791" s="3" t="n">
        <v>1</v>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3" t="inlineStr">
        <is>
          <t>장기투자 개발 하기 좋은 세종시 토지 매매</t>
        </is>
      </c>
      <c r="I3792" s="5">
        <f>HYPERLINK("https://fin.land.naver.com/articles/2646721829", "매물Link")</f>
        <v/>
      </c>
      <c r="J3792" s="5">
        <f>HYPERLINK("https://map.naver.com/p/search/연서면 와촌리 산112-3", "지도Link")</f>
        <v/>
      </c>
      <c r="K3792" s="5">
        <f>HYPERLINK("http://www.eum.go.kr/web/ar/lu/luLandDet.jsp?pnu=3611036031201120003&amp;isNoScr=script&amp;mode=search", "토지이음")</f>
        <v/>
      </c>
      <c r="L3792" s="3" t="inlineStr">
        <is>
          <t>(주)정민근</t>
        </is>
      </c>
      <c r="M3792" s="3" t="n">
        <v>1</v>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3" t="inlineStr">
        <is>
          <t>임업용산지</t>
        </is>
      </c>
      <c r="I3793" s="5">
        <f>HYPERLINK("https://fin.land.naver.com/articles/2645530400", "매물Link")</f>
        <v/>
      </c>
      <c r="J3793" s="5">
        <f>HYPERLINK("https://map.naver.com/p/search/연서면 와촌리 산135", "지도Link")</f>
        <v/>
      </c>
      <c r="K3793" s="5">
        <f>HYPERLINK("http://www.eum.go.kr/web/ar/lu/luLandDet.jsp?pnu=3611036031201350000&amp;isNoScr=script&amp;mode=search", "토지이음")</f>
        <v/>
      </c>
      <c r="L3793" s="3" t="inlineStr">
        <is>
          <t>세종소담114</t>
        </is>
      </c>
      <c r="M3793" s="3" t="n">
        <v>1</v>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3" t="inlineStr">
        <is>
          <t>nan</t>
        </is>
      </c>
      <c r="I3794" s="5">
        <f>HYPERLINK("https://fin.land.naver.com/articles/2646485649", "매물Link")</f>
        <v/>
      </c>
      <c r="J3794" s="5">
        <f>HYPERLINK("https://map.naver.com/p/search/연서면 와촌리 산136-2", "지도Link")</f>
        <v/>
      </c>
      <c r="K3794" s="5">
        <f>HYPERLINK("http://www.eum.go.kr/web/ar/lu/luLandDet.jsp?pnu=3611036031201360002&amp;isNoScr=script&amp;mode=search", "토지이음")</f>
        <v/>
      </c>
      <c r="L3794" s="3" t="inlineStr">
        <is>
          <t>땅부자 사무소</t>
        </is>
      </c>
      <c r="M3794" s="3" t="n">
        <v>1</v>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3" t="inlineStr">
        <is>
          <t>세종시 연서면 와촌리 임야매매.35만원</t>
        </is>
      </c>
      <c r="I3795" s="5">
        <f>HYPERLINK("https://fin.land.naver.com/articles/2645257534", "매물Link")</f>
        <v/>
      </c>
      <c r="J3795" s="5">
        <f>HYPERLINK("https://map.naver.com/p/search/연서면 와촌리 산161", "지도Link")</f>
        <v/>
      </c>
      <c r="K3795" s="5">
        <f>HYPERLINK("http://www.eum.go.kr/web/ar/lu/luLandDet.jsp?pnu=3611036031201610000&amp;isNoScr=script&amp;mode=search", "토지이음")</f>
        <v/>
      </c>
      <c r="L3795" s="3" t="inlineStr">
        <is>
          <t>동원</t>
        </is>
      </c>
      <c r="M3795" s="3" t="n">
        <v>1</v>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3" t="inlineStr">
        <is>
          <t>세종국가산업단지 예정지와 근접하며 향후 개발가능성 높은 임야,6생활권인접</t>
        </is>
      </c>
      <c r="I3796" s="5">
        <f>HYPERLINK("https://fin.land.naver.com/articles/2648678203", "매물Link")</f>
        <v/>
      </c>
      <c r="J3796" s="5">
        <f>HYPERLINK("https://map.naver.com/p/search/연서면 와촌리 산96-15", "지도Link")</f>
        <v/>
      </c>
      <c r="K3796" s="5">
        <f>HYPERLINK("http://www.eum.go.kr/web/ar/lu/luLandDet.jsp?pnu=3611036031200960015&amp;isNoScr=script&amp;mode=search", "토지이음")</f>
        <v/>
      </c>
      <c r="L3796" s="3" t="inlineStr">
        <is>
          <t>담뜰</t>
        </is>
      </c>
      <c r="M3796" s="3" t="n">
        <v>1</v>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3" t="inlineStr">
        <is>
          <t>고복저수지의 투자용 농지</t>
        </is>
      </c>
      <c r="I3797" s="5">
        <f>HYPERLINK("https://fin.land.naver.com/articles/2644518278", "매물Link")</f>
        <v/>
      </c>
      <c r="J3797" s="5">
        <f>HYPERLINK("https://map.naver.com/p/search/연서면 용암리 157-6", "지도Link")</f>
        <v/>
      </c>
      <c r="K3797" s="5">
        <f>HYPERLINK("http://www.eum.go.kr/web/ar/lu/luLandDet.jsp?pnu=3611036025101570006&amp;isNoScr=script&amp;mode=search", "토지이음")</f>
        <v/>
      </c>
      <c r="L3797" s="3" t="inlineStr">
        <is>
          <t>용궁</t>
        </is>
      </c>
      <c r="M3797" s="3" t="n">
        <v>1</v>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3" t="inlineStr">
        <is>
          <t>와촌리 국가산업단지와 가까움, 2차선변 주차용이,투자로최고</t>
        </is>
      </c>
      <c r="I3798" s="5">
        <f>HYPERLINK("https://fin.land.naver.com/articles/2647982475", "매물Link")</f>
        <v/>
      </c>
      <c r="J3798" s="5">
        <f>HYPERLINK("https://map.naver.com/p/search/연서면 용암리 166-5", "지도Link")</f>
        <v/>
      </c>
      <c r="K3798" s="5">
        <f>HYPERLINK("http://www.eum.go.kr/web/ar/lu/luLandDet.jsp?pnu=3611036025101660005&amp;isNoScr=script&amp;mode=search", "토지이음")</f>
        <v/>
      </c>
      <c r="L3798" s="3" t="inlineStr">
        <is>
          <t>세종공주제일</t>
        </is>
      </c>
      <c r="M3798" s="3" t="n">
        <v>1</v>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3" t="inlineStr">
        <is>
          <t>고복저수지 월하천변 농지. 경치좋은 지역. 서울세종간고속도로인근</t>
        </is>
      </c>
      <c r="I3799" s="5">
        <f>HYPERLINK("https://fin.land.naver.com/articles/2649914984", "매물Link")</f>
        <v/>
      </c>
      <c r="J3799" s="5">
        <f>HYPERLINK("https://map.naver.com/p/search/연서면 용암리 212-11", "지도Link")</f>
        <v/>
      </c>
      <c r="K3799" s="5">
        <f>HYPERLINK("http://www.eum.go.kr/web/ar/lu/luLandDet.jsp?pnu=3611036025102120011&amp;isNoScr=script&amp;mode=search", "토지이음")</f>
        <v/>
      </c>
      <c r="L3799" s="3" t="inlineStr">
        <is>
          <t>미스터홈즈강남지사</t>
        </is>
      </c>
      <c r="M3799" s="3" t="n">
        <v>1</v>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3" t="inlineStr">
        <is>
          <t>급매, 조율도가능, 건축 휴게음식점 가능</t>
        </is>
      </c>
      <c r="I3800" s="5">
        <f>HYPERLINK("https://fin.land.naver.com/articles/2644543912", "매물Link")</f>
        <v/>
      </c>
      <c r="J3800" s="5">
        <f>HYPERLINK("https://map.naver.com/p/search/연서면 용암리 216-5", "지도Link")</f>
        <v/>
      </c>
      <c r="K3800" s="5">
        <f>HYPERLINK("http://www.eum.go.kr/web/ar/lu/luLandDet.jsp?pnu=3611036025102160005&amp;isNoScr=script&amp;mode=search", "토지이음")</f>
        <v/>
      </c>
      <c r="L3800" s="3" t="inlineStr">
        <is>
          <t>세종무지개</t>
        </is>
      </c>
      <c r="M3800" s="3" t="n">
        <v>1</v>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3" t="inlineStr">
        <is>
          <t>생산관리지역 2필지 포함 매매</t>
        </is>
      </c>
      <c r="I3801" s="5">
        <f>HYPERLINK("https://fin.land.naver.com/articles/2644543986", "매물Link")</f>
        <v/>
      </c>
      <c r="J3801" s="5">
        <f>HYPERLINK("https://map.naver.com/p/search/연서면 용암리 217-46", "지도Link")</f>
        <v/>
      </c>
      <c r="K3801" s="5">
        <f>HYPERLINK("http://www.eum.go.kr/web/ar/lu/luLandDet.jsp?pnu=3611036025102170046&amp;isNoScr=script&amp;mode=search", "토지이음")</f>
        <v/>
      </c>
      <c r="L3801" s="3" t="inlineStr">
        <is>
          <t>세종무지개</t>
        </is>
      </c>
      <c r="M3801" s="3" t="n">
        <v>1</v>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3" t="inlineStr">
        <is>
          <t>고복저수지 인근 용암리 도로접한 농업보호구역 토지 급매.</t>
        </is>
      </c>
      <c r="I3802" s="5">
        <f>HYPERLINK("https://fin.land.naver.com/articles/2648906608", "매물Link")</f>
        <v/>
      </c>
      <c r="J3802" s="5">
        <f>HYPERLINK("https://map.naver.com/p/search/연서면 용암리 225-12", "지도Link")</f>
        <v/>
      </c>
      <c r="K3802" s="5">
        <f>HYPERLINK("http://www.eum.go.kr/web/ar/lu/luLandDet.jsp?pnu=3611036025102250012&amp;isNoScr=script&amp;mode=search", "토지이음")</f>
        <v/>
      </c>
      <c r="L3802" s="3" t="inlineStr">
        <is>
          <t>세종대장</t>
        </is>
      </c>
      <c r="M3802" s="3" t="n">
        <v>1</v>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3" t="inlineStr">
        <is>
          <t>고복저수지 인근, 연기휴게소 근처임. 넓은국유지접함</t>
        </is>
      </c>
      <c r="I3803" s="5">
        <f>HYPERLINK("https://fin.land.naver.com/articles/2645604122", "매물Link")</f>
        <v/>
      </c>
      <c r="J3803" s="5">
        <f>HYPERLINK("https://map.naver.com/p/search/연서면 용암리 229-1", "지도Link")</f>
        <v/>
      </c>
      <c r="K3803" s="5">
        <f>HYPERLINK("http://www.eum.go.kr/web/ar/lu/luLandDet.jsp?pnu=3611036025102290001&amp;isNoScr=script&amp;mode=search", "토지이음")</f>
        <v/>
      </c>
      <c r="L3803" s="3" t="inlineStr">
        <is>
          <t>미스터홈즈강남지사</t>
        </is>
      </c>
      <c r="M3803" s="3" t="n">
        <v>1</v>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3" t="inlineStr">
        <is>
          <t>도로지분포함매매,남향토지.</t>
        </is>
      </c>
      <c r="I3804" s="5">
        <f>HYPERLINK("https://fin.land.naver.com/articles/2649852384", "매물Link")</f>
        <v/>
      </c>
      <c r="J3804" s="5">
        <f>HYPERLINK("https://map.naver.com/p/search/연서면 용암리 239-11", "지도Link")</f>
        <v/>
      </c>
      <c r="K3804" s="5">
        <f>HYPERLINK("http://www.eum.go.kr/web/ar/lu/luLandDet.jsp?pnu=3611036025102390011&amp;isNoScr=script&amp;mode=search", "토지이음")</f>
        <v/>
      </c>
      <c r="L3804" s="3" t="inlineStr">
        <is>
          <t>담뜰</t>
        </is>
      </c>
      <c r="M3804" s="3" t="n">
        <v>2</v>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3" t="inlineStr">
        <is>
          <t>nan</t>
        </is>
      </c>
      <c r="I3805" s="5">
        <f>HYPERLINK("https://fin.land.naver.com/articles/2645406875", "매물Link")</f>
        <v/>
      </c>
      <c r="J3805" s="5">
        <f>HYPERLINK("https://map.naver.com/p/search/연서면 용암리 239-3", "지도Link")</f>
        <v/>
      </c>
      <c r="K3805" s="5">
        <f>HYPERLINK("http://www.eum.go.kr/web/ar/lu/luLandDet.jsp?pnu=3611036025102390003&amp;isNoScr=script&amp;mode=search", "토지이음")</f>
        <v/>
      </c>
      <c r="L3805" s="3" t="inlineStr">
        <is>
          <t>그래그</t>
        </is>
      </c>
      <c r="M3805" s="3" t="n">
        <v>1</v>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3" t="inlineStr">
        <is>
          <t>태양광 시설 및 경사도 없는 야산으로 태양광 시설을 확장할 수 있는 임야</t>
        </is>
      </c>
      <c r="I3806" s="5">
        <f>HYPERLINK("https://fin.land.naver.com/articles/2646127462", "매물Link")</f>
        <v/>
      </c>
      <c r="J3806" s="5">
        <f>HYPERLINK("https://map.naver.com/p/search/연서면 용암리 245-2", "지도Link")</f>
        <v/>
      </c>
      <c r="K3806" s="5">
        <f>HYPERLINK("http://www.eum.go.kr/web/ar/lu/luLandDet.jsp?pnu=3611036025102450002&amp;isNoScr=script&amp;mode=search", "토지이음")</f>
        <v/>
      </c>
      <c r="L3806" s="3" t="inlineStr">
        <is>
          <t>스마일세종</t>
        </is>
      </c>
      <c r="M3806" s="3" t="n">
        <v>1</v>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3" t="inlineStr">
        <is>
          <t>연서면 용암리 고복저수지 인근 계획관리 토지, 국가산단 인근</t>
        </is>
      </c>
      <c r="I3807" s="5">
        <f>HYPERLINK("https://fin.land.naver.com/articles/2648394462", "매물Link")</f>
        <v/>
      </c>
      <c r="J3807" s="5">
        <f>HYPERLINK("https://map.naver.com/p/search/연서면 용암리 259-1", "지도Link")</f>
        <v/>
      </c>
      <c r="K3807" s="5">
        <f>HYPERLINK("http://www.eum.go.kr/web/ar/lu/luLandDet.jsp?pnu=3611036025102590001&amp;isNoScr=script&amp;mode=search", "토지이음")</f>
        <v/>
      </c>
      <c r="L3807" s="3" t="inlineStr">
        <is>
          <t>스카이</t>
        </is>
      </c>
      <c r="M3807" s="3" t="n">
        <v>1</v>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3" t="inlineStr">
        <is>
          <t>세종시 휴게소 예정지 인근 토지매매, 과수원매매</t>
        </is>
      </c>
      <c r="I3808" s="5">
        <f>HYPERLINK("https://fin.land.naver.com/articles/2645317868", "매물Link")</f>
        <v/>
      </c>
      <c r="J3808" s="5">
        <f>HYPERLINK("https://map.naver.com/p/search/연서면 용암리 283", "지도Link")</f>
        <v/>
      </c>
      <c r="K3808" s="5">
        <f>HYPERLINK("http://www.eum.go.kr/web/ar/lu/luLandDet.jsp?pnu=3611036025102830000&amp;isNoScr=script&amp;mode=search", "토지이음")</f>
        <v/>
      </c>
      <c r="L3808" s="3" t="inlineStr">
        <is>
          <t>유성대박</t>
        </is>
      </c>
      <c r="M3808" s="3" t="n">
        <v>1</v>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3" t="inlineStr">
        <is>
          <t>세종시 고속도로 휴게소 예정지 인근 토지매매</t>
        </is>
      </c>
      <c r="I3809" s="5">
        <f>HYPERLINK("https://fin.land.naver.com/articles/2645317862", "매물Link")</f>
        <v/>
      </c>
      <c r="J3809" s="5">
        <f>HYPERLINK("https://map.naver.com/p/search/연서면 용암리 295", "지도Link")</f>
        <v/>
      </c>
      <c r="K3809" s="5">
        <f>HYPERLINK("http://www.eum.go.kr/web/ar/lu/luLandDet.jsp?pnu=3611036025102950000&amp;isNoScr=script&amp;mode=search", "토지이음")</f>
        <v/>
      </c>
      <c r="L3809" s="3" t="inlineStr">
        <is>
          <t>유성대박</t>
        </is>
      </c>
      <c r="M3809" s="3" t="n">
        <v>1</v>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3" t="inlineStr">
        <is>
          <t>세종시 토지매매. 휴게소 예정지 인근</t>
        </is>
      </c>
      <c r="I3810" s="5">
        <f>HYPERLINK("https://fin.land.naver.com/articles/2645317252", "매물Link")</f>
        <v/>
      </c>
      <c r="J3810" s="5">
        <f>HYPERLINK("https://map.naver.com/p/search/연서면 용암리 296", "지도Link")</f>
        <v/>
      </c>
      <c r="K3810" s="5">
        <f>HYPERLINK("http://www.eum.go.kr/web/ar/lu/luLandDet.jsp?pnu=3611036025102960000&amp;isNoScr=script&amp;mode=search", "토지이음")</f>
        <v/>
      </c>
      <c r="L3810" s="3" t="inlineStr">
        <is>
          <t>유성대박</t>
        </is>
      </c>
      <c r="M3810" s="3" t="n">
        <v>1</v>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3" t="inlineStr">
        <is>
          <t>고복저수지 뷰 도로에접한 저렴한 토지</t>
        </is>
      </c>
      <c r="I3811" s="5">
        <f>HYPERLINK("https://fin.land.naver.com/articles/2644444576", "매물Link")</f>
        <v/>
      </c>
      <c r="J3811" s="5">
        <f>HYPERLINK("https://map.naver.com/p/search/연서면 용암리 45-23", "지도Link")</f>
        <v/>
      </c>
      <c r="K3811" s="5">
        <f>HYPERLINK("http://www.eum.go.kr/web/ar/lu/luLandDet.jsp?pnu=3611036025100450023&amp;isNoScr=script&amp;mode=search", "토지이음")</f>
        <v/>
      </c>
      <c r="L3811" s="3" t="inlineStr">
        <is>
          <t>세종대박</t>
        </is>
      </c>
      <c r="M3811" s="3" t="n">
        <v>1</v>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3" t="inlineStr">
        <is>
          <t>급매, 총 4필지, 임야 토지매매, 농림지역</t>
        </is>
      </c>
      <c r="I3812" s="5">
        <f>HYPERLINK("https://fin.land.naver.com/articles/2644544076", "매물Link")</f>
        <v/>
      </c>
      <c r="J3812" s="5">
        <f>HYPERLINK("https://map.naver.com/p/search/연서면 용암리 산28-13", "지도Link")</f>
        <v/>
      </c>
      <c r="K3812" s="5">
        <f>HYPERLINK("http://www.eum.go.kr/web/ar/lu/luLandDet.jsp?pnu=3611036025200280013&amp;isNoScr=script&amp;mode=search", "토지이음")</f>
        <v/>
      </c>
      <c r="L3812" s="3" t="inlineStr">
        <is>
          <t>세종무지개</t>
        </is>
      </c>
      <c r="M3812" s="3" t="n">
        <v>1</v>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3" t="inlineStr">
        <is>
          <t>세종 연서면 약 10만평 대규모 토지 통매매｜대단위 부지 찾는 분 주목</t>
        </is>
      </c>
      <c r="I3813" s="5">
        <f>HYPERLINK("https://fin.land.naver.com/articles/2646226640", "매물Link")</f>
        <v/>
      </c>
      <c r="J3813" s="5">
        <f>HYPERLINK("https://map.naver.com/p/search/연서면 용암리 산28-16", "지도Link")</f>
        <v/>
      </c>
      <c r="K3813" s="5">
        <f>HYPERLINK("http://www.eum.go.kr/web/ar/lu/luLandDet.jsp?pnu=3611036025200280016&amp;isNoScr=script&amp;mode=search", "토지이음")</f>
        <v/>
      </c>
      <c r="L3813" s="3" t="inlineStr">
        <is>
          <t>세종몽땅</t>
        </is>
      </c>
      <c r="M3813" s="3" t="n">
        <v>1</v>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3" t="inlineStr">
        <is>
          <t>도심 가까운 여유있는 텃밭 공공택지 개발지 인근</t>
        </is>
      </c>
      <c r="I3814" s="5">
        <f>HYPERLINK("https://fin.land.naver.com/articles/2645359652", "매물Link")</f>
        <v/>
      </c>
      <c r="J3814" s="5">
        <f>HYPERLINK("https://map.naver.com/p/search/연서면 월하리 1024-2", "지도Link")</f>
        <v/>
      </c>
      <c r="K3814" s="5">
        <f>HYPERLINK("http://www.eum.go.kr/web/ar/lu/luLandDet.jsp?pnu=3611036021110240002&amp;isNoScr=script&amp;mode=search", "토지이음")</f>
        <v/>
      </c>
      <c r="L3814" s="3" t="inlineStr">
        <is>
          <t>지성</t>
        </is>
      </c>
      <c r="M3814" s="3" t="n">
        <v>1</v>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3" t="inlineStr">
        <is>
          <t>연서면 월하리 2차선, 4차선 계획 예정 도로에 접한 투자가치 좋은 급매</t>
        </is>
      </c>
      <c r="I3815" s="5">
        <f>HYPERLINK("https://fin.land.naver.com/articles/2646728467", "매물Link")</f>
        <v/>
      </c>
      <c r="J3815" s="5">
        <f>HYPERLINK("https://map.naver.com/p/search/연서면 월하리 1035-2", "지도Link")</f>
        <v/>
      </c>
      <c r="K3815" s="5">
        <f>HYPERLINK("http://www.eum.go.kr/web/ar/lu/luLandDet.jsp?pnu=3611036021110350002&amp;isNoScr=script&amp;mode=search", "토지이음")</f>
        <v/>
      </c>
      <c r="L3815" s="3" t="inlineStr">
        <is>
          <t>스마일세종</t>
        </is>
      </c>
      <c r="M3815" s="3" t="n">
        <v>1</v>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3" t="inlineStr">
        <is>
          <t>nan</t>
        </is>
      </c>
      <c r="I3816" s="5">
        <f>HYPERLINK("https://fin.land.naver.com/articles/2649692747", "매물Link")</f>
        <v/>
      </c>
      <c r="J3816" s="5">
        <f>HYPERLINK("https://map.naver.com/p/search/연서면 월하리 1055-1", "지도Link")</f>
        <v/>
      </c>
      <c r="K3816" s="5">
        <f>HYPERLINK("http://www.eum.go.kr/web/ar/lu/luLandDet.jsp?pnu=3611036021110550001&amp;isNoScr=script&amp;mode=search", "토지이음")</f>
        <v/>
      </c>
      <c r="L3816" s="3" t="inlineStr">
        <is>
          <t>온뜰</t>
        </is>
      </c>
      <c r="M3816" s="3" t="n">
        <v>1</v>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3" t="inlineStr">
        <is>
          <t>자연녹지토지 분할매매가능</t>
        </is>
      </c>
      <c r="I3817" s="5">
        <f>HYPERLINK("https://fin.land.naver.com/articles/2646008031", "매물Link")</f>
        <v/>
      </c>
      <c r="J3817" s="5">
        <f>HYPERLINK("https://map.naver.com/p/search/연서면 월하리 1055-1", "지도Link")</f>
        <v/>
      </c>
      <c r="K3817" s="5">
        <f>HYPERLINK("http://www.eum.go.kr/web/ar/lu/luLandDet.jsp?pnu=3611036021110550001&amp;isNoScr=script&amp;mode=search", "토지이음")</f>
        <v/>
      </c>
      <c r="L3817" s="3" t="inlineStr">
        <is>
          <t>세종대박</t>
        </is>
      </c>
      <c r="M3817" s="3" t="n">
        <v>2</v>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3" t="inlineStr">
        <is>
          <t>세종 조치원 공공주택지구 인근 투자용 토지 매매</t>
        </is>
      </c>
      <c r="I3818" s="5">
        <f>HYPERLINK("https://fin.land.naver.com/articles/2649466633", "매물Link")</f>
        <v/>
      </c>
      <c r="J3818" s="5">
        <f>HYPERLINK("https://map.naver.com/p/search/연서면 월하리 1055-1", "지도Link")</f>
        <v/>
      </c>
      <c r="K3818" s="5">
        <f>HYPERLINK("http://www.eum.go.kr/web/ar/lu/luLandDet.jsp?pnu=3611036021110550001&amp;isNoScr=script&amp;mode=search", "토지이음")</f>
        <v/>
      </c>
      <c r="L3818" s="3" t="inlineStr">
        <is>
          <t>(주)해뜰터</t>
        </is>
      </c>
      <c r="M3818" s="3" t="n">
        <v>1</v>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3" t="inlineStr">
        <is>
          <t>월하리 포장도로 접한 자연녹지지역 밭으로 이용. 총 4필지로 급매.</t>
        </is>
      </c>
      <c r="I3819" s="5">
        <f>HYPERLINK("https://fin.land.naver.com/articles/2649104014", "매물Link")</f>
        <v/>
      </c>
      <c r="J3819" s="5">
        <f>HYPERLINK("https://map.naver.com/p/search/연서면 월하리 1056", "지도Link")</f>
        <v/>
      </c>
      <c r="K3819" s="5">
        <f>HYPERLINK("http://www.eum.go.kr/web/ar/lu/luLandDet.jsp?pnu=3611036021110560000&amp;isNoScr=script&amp;mode=search", "토지이음")</f>
        <v/>
      </c>
      <c r="L3819" s="3" t="inlineStr">
        <is>
          <t>세종대장</t>
        </is>
      </c>
      <c r="M3819" s="3" t="n">
        <v>1</v>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3" t="inlineStr">
        <is>
          <t>조치원 공공택지 개발지 인근</t>
        </is>
      </c>
      <c r="I3820" s="5">
        <f>HYPERLINK("https://fin.land.naver.com/articles/2650022169", "매물Link")</f>
        <v/>
      </c>
      <c r="J3820" s="5">
        <f>HYPERLINK("https://map.naver.com/p/search/연서면 월하리 1103-51", "지도Link")</f>
        <v/>
      </c>
      <c r="K3820" s="5">
        <f>HYPERLINK("http://www.eum.go.kr/web/ar/lu/luLandDet.jsp?pnu=3611036021111030051&amp;isNoScr=script&amp;mode=search", "토지이음")</f>
        <v/>
      </c>
      <c r="L3820" s="3" t="inlineStr">
        <is>
          <t>나릿재OK</t>
        </is>
      </c>
      <c r="M3820" s="3" t="n">
        <v>1</v>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3" t="inlineStr">
        <is>
          <t>2차선 도로에 접해 있어 근생 부지로 적합한 도시지역 자연녹지의 과수원</t>
        </is>
      </c>
      <c r="I3821" s="5">
        <f>HYPERLINK("https://fin.land.naver.com/articles/2645638593", "매물Link")</f>
        <v/>
      </c>
      <c r="J3821" s="5">
        <f>HYPERLINK("https://map.naver.com/p/search/연서면 월하리 1103-54", "지도Link")</f>
        <v/>
      </c>
      <c r="K3821" s="5">
        <f>HYPERLINK("http://www.eum.go.kr/web/ar/lu/luLandDet.jsp?pnu=3611036021111030054&amp;isNoScr=script&amp;mode=search", "토지이음")</f>
        <v/>
      </c>
      <c r="L3821" s="3" t="inlineStr">
        <is>
          <t>스마일세종</t>
        </is>
      </c>
      <c r="M3821" s="3" t="n">
        <v>1</v>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3" t="inlineStr">
        <is>
          <t>시세저렴 공시지가 연서면 월하리 과수원 및 대지</t>
        </is>
      </c>
      <c r="I3822" s="5">
        <f>HYPERLINK("https://fin.land.naver.com/articles/2649446319", "매물Link")</f>
        <v/>
      </c>
      <c r="J3822" s="5">
        <f>HYPERLINK("https://map.naver.com/p/search/연서면 월하리 1110-1", "지도Link")</f>
        <v/>
      </c>
      <c r="K3822" s="5">
        <f>HYPERLINK("http://www.eum.go.kr/web/ar/lu/luLandDet.jsp?pnu=3611036021111100001&amp;isNoScr=script&amp;mode=search", "토지이음")</f>
        <v/>
      </c>
      <c r="L3822" s="3" t="inlineStr">
        <is>
          <t>명당</t>
        </is>
      </c>
      <c r="M3822" s="3" t="n">
        <v>1</v>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3" t="inlineStr">
        <is>
          <t>위치가 좋은 토지</t>
        </is>
      </c>
      <c r="I3823" s="5">
        <f>HYPERLINK("https://fin.land.naver.com/articles/2648555111", "매물Link")</f>
        <v/>
      </c>
      <c r="J3823" s="5">
        <f>HYPERLINK("https://map.naver.com/p/search/연서면 월하리 1138-4", "지도Link")</f>
        <v/>
      </c>
      <c r="K3823" s="5">
        <f>HYPERLINK("http://www.eum.go.kr/web/ar/lu/luLandDet.jsp?pnu=3611036021111380004&amp;isNoScr=script&amp;mode=search", "토지이음")</f>
        <v/>
      </c>
      <c r="L3823" s="3" t="inlineStr">
        <is>
          <t>세종리츠</t>
        </is>
      </c>
      <c r="M3823" s="3" t="n">
        <v>1</v>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3" t="inlineStr">
        <is>
          <t>조치원 생활권 인접 도로접 자연녹지 토지</t>
        </is>
      </c>
      <c r="I3824" s="5">
        <f>HYPERLINK("https://fin.land.naver.com/articles/2648855584", "매물Link")</f>
        <v/>
      </c>
      <c r="J3824" s="5">
        <f>HYPERLINK("https://map.naver.com/p/search/연서면 월하리 1153", "지도Link")</f>
        <v/>
      </c>
      <c r="K3824" s="5">
        <f>HYPERLINK("http://www.eum.go.kr/web/ar/lu/luLandDet.jsp?pnu=3611036021111530000&amp;isNoScr=script&amp;mode=search", "토지이음")</f>
        <v/>
      </c>
      <c r="L3824" s="3" t="inlineStr">
        <is>
          <t>세종소담황금</t>
        </is>
      </c>
      <c r="M3824" s="3" t="n">
        <v>2</v>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3" t="inlineStr">
        <is>
          <t>월하리 도시지역 자연녹지의 포장도로에 접한 농촌체류형 쉼터로 적합한 전</t>
        </is>
      </c>
      <c r="I3825" s="5">
        <f>HYPERLINK("https://fin.land.naver.com/articles/2649862201", "매물Link")</f>
        <v/>
      </c>
      <c r="J3825" s="5">
        <f>HYPERLINK("https://map.naver.com/p/search/연서면 월하리 1153", "지도Link")</f>
        <v/>
      </c>
      <c r="K3825" s="5">
        <f>HYPERLINK("http://www.eum.go.kr/web/ar/lu/luLandDet.jsp?pnu=3611036021111530000&amp;isNoScr=script&amp;mode=search", "토지이음")</f>
        <v/>
      </c>
      <c r="L3825" s="3" t="inlineStr">
        <is>
          <t>스마일세종</t>
        </is>
      </c>
      <c r="M3825" s="3" t="n">
        <v>4</v>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3" t="inlineStr">
        <is>
          <t>농림진흥구역 농지,코너각지, 도로 양면 접, 대토추천</t>
        </is>
      </c>
      <c r="I3826" s="5">
        <f>HYPERLINK("https://fin.land.naver.com/articles/2645595709", "매물Link")</f>
        <v/>
      </c>
      <c r="J3826" s="5">
        <f>HYPERLINK("https://map.naver.com/p/search/연서면 월하리 1274", "지도Link")</f>
        <v/>
      </c>
      <c r="K3826" s="5">
        <f>HYPERLINK("http://www.eum.go.kr/web/ar/lu/luLandDet.jsp?pnu=3611036021112740000&amp;isNoScr=script&amp;mode=search", "토지이음")</f>
        <v/>
      </c>
      <c r="L3826" s="3" t="inlineStr">
        <is>
          <t>신안무소</t>
        </is>
      </c>
      <c r="M3826" s="3" t="n">
        <v>1</v>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3" t="inlineStr">
        <is>
          <t>nan</t>
        </is>
      </c>
      <c r="I3827" s="5">
        <f>HYPERLINK("https://fin.land.naver.com/articles/2648746259", "매물Link")</f>
        <v/>
      </c>
      <c r="J3827" s="5">
        <f>HYPERLINK("https://map.naver.com/p/search/연서면 월하리 15-1", "지도Link")</f>
        <v/>
      </c>
      <c r="K3827" s="5">
        <f>HYPERLINK("http://www.eum.go.kr/web/ar/lu/luLandDet.jsp?pnu=3611036021100150001&amp;isNoScr=script&amp;mode=search", "토지이음")</f>
        <v/>
      </c>
      <c r="L3827" s="3" t="inlineStr">
        <is>
          <t>용궁</t>
        </is>
      </c>
      <c r="M3827" s="3" t="n">
        <v>2</v>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3" t="inlineStr">
        <is>
          <t>미호강인근,주택부지포함,차도바로옆 금액최대협의</t>
        </is>
      </c>
      <c r="I3828" s="5">
        <f>HYPERLINK("https://fin.land.naver.com/articles/2648051944", "매물Link")</f>
        <v/>
      </c>
      <c r="J3828" s="5">
        <f>HYPERLINK("https://map.naver.com/p/search/연서면 월하리 25-7", "지도Link")</f>
        <v/>
      </c>
      <c r="K3828" s="5">
        <f>HYPERLINK("http://www.eum.go.kr/web/ar/lu/luLandDet.jsp?pnu=3611036021100250007&amp;isNoScr=script&amp;mode=search", "토지이음")</f>
        <v/>
      </c>
      <c r="L3828" s="3" t="inlineStr">
        <is>
          <t>세종새빛</t>
        </is>
      </c>
      <c r="M3828" s="3" t="n">
        <v>1</v>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3" t="inlineStr">
        <is>
          <t>미호강변 오천자전거길 옆 카페나 주택지, 근생으로 개발해도 좋음</t>
        </is>
      </c>
      <c r="I3829" s="5">
        <f>HYPERLINK("https://fin.land.naver.com/articles/2645605477", "매물Link")</f>
        <v/>
      </c>
      <c r="J3829" s="5">
        <f>HYPERLINK("https://map.naver.com/p/search/연서면 월하리 27", "지도Link")</f>
        <v/>
      </c>
      <c r="K3829" s="5">
        <f>HYPERLINK("http://www.eum.go.kr/web/ar/lu/luLandDet.jsp?pnu=3611036021100270000&amp;isNoScr=script&amp;mode=search", "토지이음")</f>
        <v/>
      </c>
      <c r="L3829" s="3" t="inlineStr">
        <is>
          <t>미스터홈즈강남지사</t>
        </is>
      </c>
      <c r="M3829" s="3" t="n">
        <v>1</v>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3" t="inlineStr">
        <is>
          <t>공장부지, 299P, 주차6대, 1층 공장 건물 및 부속건물</t>
        </is>
      </c>
      <c r="I3830" s="5">
        <f>HYPERLINK("https://fin.land.naver.com/articles/2644870587", "매물Link")</f>
        <v/>
      </c>
      <c r="J3830" s="5">
        <f>HYPERLINK("https://map.naver.com/p/search/연서면 월하리 35-3", "지도Link")</f>
        <v/>
      </c>
      <c r="K3830" s="5">
        <f>HYPERLINK("http://www.eum.go.kr/web/ar/lu/luLandDet.jsp?pnu=3611036021100350003&amp;isNoScr=script&amp;mode=search", "토지이음")</f>
        <v/>
      </c>
      <c r="L3830" s="3" t="inlineStr">
        <is>
          <t>엄마와딸</t>
        </is>
      </c>
      <c r="M3830" s="3" t="n">
        <v>1</v>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3" t="inlineStr">
        <is>
          <t>미호강이 흐르는 경치 좋은 곳에 카페, 식당  상업용을 추천합니다.</t>
        </is>
      </c>
      <c r="I3831" s="5">
        <f>HYPERLINK("https://fin.land.naver.com/articles/2649621498", "매물Link")</f>
        <v/>
      </c>
      <c r="J3831" s="5">
        <f>HYPERLINK("https://map.naver.com/p/search/연서면 월하리 35-7", "지도Link")</f>
        <v/>
      </c>
      <c r="K3831" s="5">
        <f>HYPERLINK("http://www.eum.go.kr/web/ar/lu/luLandDet.jsp?pnu=3611036021100350007&amp;isNoScr=script&amp;mode=search", "토지이음")</f>
        <v/>
      </c>
      <c r="L3831" s="3" t="inlineStr">
        <is>
          <t>효자</t>
        </is>
      </c>
      <c r="M3831" s="3" t="n">
        <v>1</v>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3" t="inlineStr">
        <is>
          <t>1번 국도에 인접한 근생 및 상업용 토지</t>
        </is>
      </c>
      <c r="I3832" s="5">
        <f>HYPERLINK("https://fin.land.naver.com/articles/2647392720", "매물Link")</f>
        <v/>
      </c>
      <c r="J3832" s="5">
        <f>HYPERLINK("https://map.naver.com/p/search/연서면 월하리 507-2", "지도Link")</f>
        <v/>
      </c>
      <c r="K3832" s="5">
        <f>HYPERLINK("http://www.eum.go.kr/web/ar/lu/luLandDet.jsp?pnu=3611036021105070002&amp;isNoScr=script&amp;mode=search", "토지이음")</f>
        <v/>
      </c>
      <c r="L3832" s="3" t="inlineStr">
        <is>
          <t>신와촌</t>
        </is>
      </c>
      <c r="M3832" s="3" t="n">
        <v>1</v>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3" t="inlineStr">
        <is>
          <t>명성공인, 월하리, 1번국도 가까운 활용도 좋은 추천 매물</t>
        </is>
      </c>
      <c r="I3833" s="5">
        <f>HYPERLINK("https://fin.land.naver.com/articles/2646316879", "매물Link")</f>
        <v/>
      </c>
      <c r="J3833" s="5">
        <f>HYPERLINK("https://map.naver.com/p/search/연서면 월하리 619", "지도Link")</f>
        <v/>
      </c>
      <c r="K3833" s="5">
        <f>HYPERLINK("http://www.eum.go.kr/web/ar/lu/luLandDet.jsp?pnu=3611036021106190000&amp;isNoScr=script&amp;mode=search", "토지이음")</f>
        <v/>
      </c>
      <c r="L3833" s="3" t="inlineStr">
        <is>
          <t>명성</t>
        </is>
      </c>
      <c r="M3833" s="3" t="n">
        <v>1</v>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3" t="inlineStr">
        <is>
          <t>상가건물건축용</t>
        </is>
      </c>
      <c r="I3834" s="5">
        <f>HYPERLINK("https://fin.land.naver.com/articles/2648552601", "매물Link")</f>
        <v/>
      </c>
      <c r="J3834" s="5">
        <f>HYPERLINK("https://map.naver.com/p/search/연서면 월하리 619", "지도Link")</f>
        <v/>
      </c>
      <c r="K3834" s="5">
        <f>HYPERLINK("http://www.eum.go.kr/web/ar/lu/luLandDet.jsp?pnu=3611036021106190000&amp;isNoScr=script&amp;mode=search", "토지이음")</f>
        <v/>
      </c>
      <c r="L3834" s="3" t="inlineStr">
        <is>
          <t>세종리츠</t>
        </is>
      </c>
      <c r="M3834" s="3" t="n">
        <v>1</v>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3" t="inlineStr">
        <is>
          <t>도로 인접한  활용도 높은  토지 매매</t>
        </is>
      </c>
      <c r="I3835" s="5">
        <f>HYPERLINK("https://fin.land.naver.com/articles/2648014033", "매물Link")</f>
        <v/>
      </c>
      <c r="J3835" s="5">
        <f>HYPERLINK("https://map.naver.com/p/search/연서면 월하리 658-4", "지도Link")</f>
        <v/>
      </c>
      <c r="K3835" s="5">
        <f>HYPERLINK("http://www.eum.go.kr/web/ar/lu/luLandDet.jsp?pnu=3611036021106580004&amp;isNoScr=script&amp;mode=search", "토지이음")</f>
        <v/>
      </c>
      <c r="L3835" s="3" t="inlineStr">
        <is>
          <t>오송2단지창조</t>
        </is>
      </c>
      <c r="M3835" s="3" t="n">
        <v>1</v>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3" t="inlineStr">
        <is>
          <t>대도로변에 위치해 있는 토지 매매</t>
        </is>
      </c>
      <c r="I3836" s="5">
        <f>HYPERLINK("https://fin.land.naver.com/articles/2648014288", "매물Link")</f>
        <v/>
      </c>
      <c r="J3836" s="5">
        <f>HYPERLINK("https://map.naver.com/p/search/연서면 월하리 658-8", "지도Link")</f>
        <v/>
      </c>
      <c r="K3836" s="5">
        <f>HYPERLINK("http://www.eum.go.kr/web/ar/lu/luLandDet.jsp?pnu=3611036021106580008&amp;isNoScr=script&amp;mode=search", "토지이음")</f>
        <v/>
      </c>
      <c r="L3836" s="3" t="inlineStr">
        <is>
          <t>오송2단지창조</t>
        </is>
      </c>
      <c r="M3836" s="3" t="n">
        <v>1</v>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3" t="inlineStr">
        <is>
          <t>위치 좋은 넓은 토지.연락주세요</t>
        </is>
      </c>
      <c r="I3837" s="5">
        <f>HYPERLINK("https://fin.land.naver.com/articles/2648522838", "매물Link")</f>
        <v/>
      </c>
      <c r="J3837" s="5">
        <f>HYPERLINK("https://map.naver.com/p/search/연서면 월하리 663-38", "지도Link")</f>
        <v/>
      </c>
      <c r="K3837" s="5">
        <f>HYPERLINK("http://www.eum.go.kr/web/ar/lu/luLandDet.jsp?pnu=3611036021106630038&amp;isNoScr=script&amp;mode=search", "토지이음")</f>
        <v/>
      </c>
      <c r="L3837" s="3" t="inlineStr">
        <is>
          <t>수자인</t>
        </is>
      </c>
      <c r="M3837" s="3" t="n">
        <v>1</v>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3" t="inlineStr">
        <is>
          <t>코너 2차선에 접하고 향후 4차선 계획도로 예정임. 시세보다 저렴.</t>
        </is>
      </c>
      <c r="I3838" s="5">
        <f>HYPERLINK("https://fin.land.naver.com/articles/2649104055", "매물Link")</f>
        <v/>
      </c>
      <c r="J3838" s="5">
        <f>HYPERLINK("https://map.naver.com/p/search/연서면 월하리 707", "지도Link")</f>
        <v/>
      </c>
      <c r="K3838" s="5">
        <f>HYPERLINK("http://www.eum.go.kr/web/ar/lu/luLandDet.jsp?pnu=3611036021107070000&amp;isNoScr=script&amp;mode=search", "토지이음")</f>
        <v/>
      </c>
      <c r="L3838" s="3" t="inlineStr">
        <is>
          <t>세종대장</t>
        </is>
      </c>
      <c r="M3838" s="3" t="n">
        <v>1</v>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3" t="inlineStr">
        <is>
          <t>연서면 월하리 2차선  접한  자연녹지, 4차선계획도로이며 분할매매 가능</t>
        </is>
      </c>
      <c r="I3839" s="5">
        <f>HYPERLINK("https://fin.land.naver.com/articles/2644707618", "매물Link")</f>
        <v/>
      </c>
      <c r="J3839" s="5">
        <f>HYPERLINK("https://map.naver.com/p/search/연서면 월하리 730", "지도Link")</f>
        <v/>
      </c>
      <c r="K3839" s="5">
        <f>HYPERLINK("http://www.eum.go.kr/web/ar/lu/luLandDet.jsp?pnu=3611036021107300000&amp;isNoScr=script&amp;mode=search", "토지이음")</f>
        <v/>
      </c>
      <c r="L3839" s="3" t="inlineStr">
        <is>
          <t>the다올</t>
        </is>
      </c>
      <c r="M3839" s="3" t="n">
        <v>1</v>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3" t="inlineStr">
        <is>
          <t>2차선변,월하리 토지매매.</t>
        </is>
      </c>
      <c r="I3840" s="5">
        <f>HYPERLINK("https://fin.land.naver.com/articles/2644147110", "매물Link")</f>
        <v/>
      </c>
      <c r="J3840" s="5">
        <f>HYPERLINK("https://map.naver.com/p/search/연서면 월하리 794-1", "지도Link")</f>
        <v/>
      </c>
      <c r="K3840" s="5">
        <f>HYPERLINK("http://www.eum.go.kr/web/ar/lu/luLandDet.jsp?pnu=3611036021107940001&amp;isNoScr=script&amp;mode=search", "토지이음")</f>
        <v/>
      </c>
      <c r="L3840" s="3" t="inlineStr">
        <is>
          <t>세종강산</t>
        </is>
      </c>
      <c r="M3840" s="3" t="n">
        <v>1</v>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3" t="inlineStr">
        <is>
          <t>월하리 2차선 도로접한 대지 급매. 자연취락지구로 토지거래허가구역임</t>
        </is>
      </c>
      <c r="I3841" s="5">
        <f>HYPERLINK("https://fin.land.naver.com/articles/2645640747", "매물Link")</f>
        <v/>
      </c>
      <c r="J3841" s="5">
        <f>HYPERLINK("https://map.naver.com/p/search/연서면 월하리 809", "지도Link")</f>
        <v/>
      </c>
      <c r="K3841" s="5">
        <f>HYPERLINK("http://www.eum.go.kr/web/ar/lu/luLandDet.jsp?pnu=3611036021108090000&amp;isNoScr=script&amp;mode=search", "토지이음")</f>
        <v/>
      </c>
      <c r="L3841" s="3" t="inlineStr">
        <is>
          <t>세종대장</t>
        </is>
      </c>
      <c r="M3841" s="3" t="n">
        <v>1</v>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3" t="inlineStr">
        <is>
          <t>조치원 월하리 아파트 분양 예정지 근접,개발 투자가치로 좋아요</t>
        </is>
      </c>
      <c r="I3842" s="5">
        <f>HYPERLINK("https://fin.land.naver.com/articles/2645497722", "매물Link")</f>
        <v/>
      </c>
      <c r="J3842" s="5">
        <f>HYPERLINK("https://map.naver.com/p/search/연서면 월하리 818-1", "지도Link")</f>
        <v/>
      </c>
      <c r="K3842" s="5">
        <f>HYPERLINK("http://www.eum.go.kr/web/ar/lu/luLandDet.jsp?pnu=3611036021108180001&amp;isNoScr=script&amp;mode=search", "토지이음")</f>
        <v/>
      </c>
      <c r="L3842" s="3" t="inlineStr">
        <is>
          <t>담뜰</t>
        </is>
      </c>
      <c r="M3842" s="3" t="n">
        <v>1</v>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3" t="inlineStr">
        <is>
          <t>세종 조치원 공공주택지구 접한 투자용 토지 매매</t>
        </is>
      </c>
      <c r="I3843" s="5">
        <f>HYPERLINK("https://fin.land.naver.com/articles/2644217019", "매물Link")</f>
        <v/>
      </c>
      <c r="J3843" s="5">
        <f>HYPERLINK("https://map.naver.com/p/search/연서면 월하리 889-1", "지도Link")</f>
        <v/>
      </c>
      <c r="K3843" s="5">
        <f>HYPERLINK("http://www.eum.go.kr/web/ar/lu/luLandDet.jsp?pnu=3611036021108890001&amp;isNoScr=script&amp;mode=search", "토지이음")</f>
        <v/>
      </c>
      <c r="L3843" s="3" t="inlineStr">
        <is>
          <t>(주)해뜰터</t>
        </is>
      </c>
      <c r="M3843" s="3" t="n">
        <v>2</v>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3" t="inlineStr">
        <is>
          <t>공공주택단지 인접토지 매매</t>
        </is>
      </c>
      <c r="I3844" s="5">
        <f>HYPERLINK("https://fin.land.naver.com/articles/2648030210", "매물Link")</f>
        <v/>
      </c>
      <c r="J3844" s="5">
        <f>HYPERLINK("https://map.naver.com/p/search/연서면 월하리 892-1", "지도Link")</f>
        <v/>
      </c>
      <c r="K3844" s="5">
        <f>HYPERLINK("http://www.eum.go.kr/web/ar/lu/luLandDet.jsp?pnu=3611036021108920001&amp;isNoScr=script&amp;mode=search", "토지이음")</f>
        <v/>
      </c>
      <c r="L3844" s="3" t="inlineStr">
        <is>
          <t>THE행복</t>
        </is>
      </c>
      <c r="M3844" s="3" t="n">
        <v>1</v>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3" t="inlineStr">
        <is>
          <t>포장도로 접한 답. 조치원 공공주택지구 인근 자연녹지</t>
        </is>
      </c>
      <c r="I3845" s="5">
        <f>HYPERLINK("https://fin.land.naver.com/articles/2648329552", "매물Link")</f>
        <v/>
      </c>
      <c r="J3845" s="5">
        <f>HYPERLINK("https://map.naver.com/p/search/연서면 월하리 898", "지도Link")</f>
        <v/>
      </c>
      <c r="K3845" s="5">
        <f>HYPERLINK("http://www.eum.go.kr/web/ar/lu/luLandDet.jsp?pnu=3611036021108980000&amp;isNoScr=script&amp;mode=search", "토지이음")</f>
        <v/>
      </c>
      <c r="L3845" s="3" t="inlineStr">
        <is>
          <t>미스터홈즈강남지사</t>
        </is>
      </c>
      <c r="M3845" s="3" t="n">
        <v>1</v>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3" t="inlineStr">
        <is>
          <t>2차선 도로에 접한 3거리 코너각지에 있는 도시지역자연녹지  투자용 토지</t>
        </is>
      </c>
      <c r="I3846" s="5">
        <f>HYPERLINK("https://fin.land.naver.com/articles/2646257545", "매물Link")</f>
        <v/>
      </c>
      <c r="J3846" s="5">
        <f>HYPERLINK("https://map.naver.com/p/search/연서면 월하리 960-4", "지도Link")</f>
        <v/>
      </c>
      <c r="K3846" s="5">
        <f>HYPERLINK("http://www.eum.go.kr/web/ar/lu/luLandDet.jsp?pnu=3611036021109600004&amp;isNoScr=script&amp;mode=search", "토지이음")</f>
        <v/>
      </c>
      <c r="L3846" s="3" t="inlineStr">
        <is>
          <t>스마일세종</t>
        </is>
      </c>
      <c r="M3846" s="3" t="n">
        <v>1</v>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3" t="inlineStr">
        <is>
          <t>주말농장 및 미래가치 높은 투자형, 토지거래 허가구역</t>
        </is>
      </c>
      <c r="I3847" s="5">
        <f>HYPERLINK("https://fin.land.naver.com/articles/2649406700", "매물Link")</f>
        <v/>
      </c>
      <c r="J3847" s="5">
        <f>HYPERLINK("https://map.naver.com/p/search/연서면 월하리 966-14", "지도Link")</f>
        <v/>
      </c>
      <c r="K3847" s="5">
        <f>HYPERLINK("http://www.eum.go.kr/web/ar/lu/luLandDet.jsp?pnu=3611036021109660014&amp;isNoScr=script&amp;mode=search", "토지이음")</f>
        <v/>
      </c>
      <c r="L3847" s="3" t="inlineStr">
        <is>
          <t>천우</t>
        </is>
      </c>
      <c r="M3847" s="3" t="n">
        <v>1</v>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3" t="inlineStr">
        <is>
          <t>실거주, 미래가치 높은 투자형, 토지거래 허가구역</t>
        </is>
      </c>
      <c r="I3848" s="5">
        <f>HYPERLINK("https://fin.land.naver.com/articles/2649406297", "매물Link")</f>
        <v/>
      </c>
      <c r="J3848" s="5">
        <f>HYPERLINK("https://map.naver.com/p/search/연서면 월하리 966-3", "지도Link")</f>
        <v/>
      </c>
      <c r="K3848" s="5">
        <f>HYPERLINK("http://www.eum.go.kr/web/ar/lu/luLandDet.jsp?pnu=3611036021109660003&amp;isNoScr=script&amp;mode=search", "토지이음")</f>
        <v/>
      </c>
      <c r="L3848" s="3" t="inlineStr">
        <is>
          <t>천우</t>
        </is>
      </c>
      <c r="M3848" s="3" t="n">
        <v>1</v>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3" t="inlineStr">
        <is>
          <t>조치원 서북부 개발지역 근접  농지로 투자용으로도 추천, 포장도로 접함</t>
        </is>
      </c>
      <c r="I3849" s="5">
        <f>HYPERLINK("https://fin.land.naver.com/articles/2647543173", "매물Link")</f>
        <v/>
      </c>
      <c r="J3849" s="5">
        <f>HYPERLINK("https://map.naver.com/p/search/연서면 월하리 986-3", "지도Link")</f>
        <v/>
      </c>
      <c r="K3849" s="5">
        <f>HYPERLINK("http://www.eum.go.kr/web/ar/lu/luLandDet.jsp?pnu=3611036021109860003&amp;isNoScr=script&amp;mode=search", "토지이음")</f>
        <v/>
      </c>
      <c r="L3849" s="3" t="inlineStr">
        <is>
          <t>the다올</t>
        </is>
      </c>
      <c r="M3849" s="3" t="n">
        <v>1</v>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3" t="inlineStr">
        <is>
          <t>월하리 자연녹지지역 지목은 임야로 현재 전으로 사용. 2필지 급매</t>
        </is>
      </c>
      <c r="I3850" s="5">
        <f>HYPERLINK("https://fin.land.naver.com/articles/2645850271", "매물Link")</f>
        <v/>
      </c>
      <c r="J3850" s="5">
        <f>HYPERLINK("https://map.naver.com/p/search/연서면 월하리 산 26-1", "지도Link")</f>
        <v/>
      </c>
      <c r="K3850" s="5">
        <f>HYPERLINK("http://www.eum.go.kr/web/ar/lu/luLandDet.jsp?pnu=3611036021200260001&amp;isNoScr=script&amp;mode=search", "토지이음")</f>
        <v/>
      </c>
      <c r="L3850" s="3" t="inlineStr">
        <is>
          <t>세종대장</t>
        </is>
      </c>
      <c r="M3850" s="3" t="n">
        <v>1</v>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3" t="inlineStr">
        <is>
          <t>미호강변 경관좋은 완경사 임야</t>
        </is>
      </c>
      <c r="I3851" s="5">
        <f>HYPERLINK("https://fin.land.naver.com/articles/2646263025", "매물Link")</f>
        <v/>
      </c>
      <c r="J3851" s="5">
        <f>HYPERLINK("https://map.naver.com/p/search/연서면 월하리 산144-1", "지도Link")</f>
        <v/>
      </c>
      <c r="K3851" s="5">
        <f>HYPERLINK("http://www.eum.go.kr/web/ar/lu/luLandDet.jsp?pnu=3611036021201440001&amp;isNoScr=script&amp;mode=search", "토지이음")</f>
        <v/>
      </c>
      <c r="L3851" s="3" t="inlineStr">
        <is>
          <t>번영</t>
        </is>
      </c>
      <c r="M3851" s="3" t="n">
        <v>1</v>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3" t="inlineStr">
        <is>
          <t>연서면 월하리 도시지역 자연녹지, 경사도 완만한 투 자용 임야입니다</t>
        </is>
      </c>
      <c r="I3852" s="5">
        <f>HYPERLINK("https://fin.land.naver.com/articles/2648168085", "매물Link")</f>
        <v/>
      </c>
      <c r="J3852" s="5">
        <f>HYPERLINK("https://map.naver.com/p/search/연서면 월하리 산7-12", "지도Link")</f>
        <v/>
      </c>
      <c r="K3852" s="5">
        <f>HYPERLINK("http://www.eum.go.kr/web/ar/lu/luLandDet.jsp?pnu=3611036021200070012&amp;isNoScr=script&amp;mode=search", "토지이음")</f>
        <v/>
      </c>
      <c r="L3852" s="3" t="inlineStr">
        <is>
          <t>스마일세종</t>
        </is>
      </c>
      <c r="M3852" s="3" t="n">
        <v>2</v>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3" t="inlineStr">
        <is>
          <t>연서면 청라리토지 세종국가산업단지인근 싸고 넓은 토지</t>
        </is>
      </c>
      <c r="I3853" s="5">
        <f>HYPERLINK("https://fin.land.naver.com/articles/2646801132", "매물Link")</f>
        <v/>
      </c>
      <c r="J3853" s="5">
        <f>HYPERLINK("https://map.naver.com/p/search/연서면 청라리 12", "지도Link")</f>
        <v/>
      </c>
      <c r="K3853" s="5">
        <f>HYPERLINK("http://www.eum.go.kr/web/ar/lu/luLandDet.jsp?pnu=3611036027100120000&amp;isNoScr=script&amp;mode=search", "토지이음")</f>
        <v/>
      </c>
      <c r="L3853" s="3" t="inlineStr">
        <is>
          <t>지성</t>
        </is>
      </c>
      <c r="M3853" s="3" t="n">
        <v>3</v>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3" t="inlineStr">
        <is>
          <t>세종 연서면 고복저수지 인근 건축 및 투자 추천 추가 하천부지 있음</t>
        </is>
      </c>
      <c r="I3854" s="5">
        <f>HYPERLINK("https://fin.land.naver.com/articles/2648832986", "매물Link")</f>
        <v/>
      </c>
      <c r="J3854" s="5">
        <f>HYPERLINK("https://map.naver.com/p/search/연서면 청라리 127-1", "지도Link")</f>
        <v/>
      </c>
      <c r="K3854" s="5">
        <f>HYPERLINK("http://www.eum.go.kr/web/ar/lu/luLandDet.jsp?pnu=3611036027101270001&amp;isNoScr=script&amp;mode=search", "토지이음")</f>
        <v/>
      </c>
      <c r="L3854" s="3" t="inlineStr">
        <is>
          <t>나침반</t>
        </is>
      </c>
      <c r="M3854" s="3" t="n">
        <v>9</v>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3" t="inlineStr">
        <is>
          <t>l청년l 세종시 투자가치 있는 토지 입니다.</t>
        </is>
      </c>
      <c r="I3855" s="5">
        <f>HYPERLINK("https://fin.land.naver.com/articles/2646721360", "매물Link")</f>
        <v/>
      </c>
      <c r="J3855" s="5">
        <f>HYPERLINK("https://map.naver.com/p/search/연서면 청라리 127-1", "지도Link")</f>
        <v/>
      </c>
      <c r="K3855" s="5">
        <f>HYPERLINK("http://www.eum.go.kr/web/ar/lu/luLandDet.jsp?pnu=3611036027101270001&amp;isNoScr=script&amp;mode=search", "토지이음")</f>
        <v/>
      </c>
      <c r="L3855" s="3" t="inlineStr">
        <is>
          <t>청년사사무소</t>
        </is>
      </c>
      <c r="M3855" s="3" t="n">
        <v>1</v>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3" t="inlineStr">
        <is>
          <t>포장도로 접한 세종 북부권 전원주택 검토형 토지</t>
        </is>
      </c>
      <c r="I3856" s="5">
        <f>HYPERLINK("https://fin.land.naver.com/articles/2649753980", "매물Link")</f>
        <v/>
      </c>
      <c r="J3856" s="5">
        <f>HYPERLINK("https://map.naver.com/p/search/연서면 청라리 127-1", "지도Link")</f>
        <v/>
      </c>
      <c r="K3856" s="5">
        <f>HYPERLINK("http://www.eum.go.kr/web/ar/lu/luLandDet.jsp?pnu=3611036027101270001&amp;isNoScr=script&amp;mode=search", "토지이음")</f>
        <v/>
      </c>
      <c r="L3856" s="3" t="inlineStr">
        <is>
          <t>세종소담황금</t>
        </is>
      </c>
      <c r="M3856" s="3" t="n">
        <v>1</v>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3" t="inlineStr">
        <is>
          <t>급매  남향  토목공사 완료  조망권 좋음</t>
        </is>
      </c>
      <c r="I3857" s="5">
        <f>HYPERLINK("https://fin.land.naver.com/articles/2648711196", "매물Link")</f>
        <v/>
      </c>
      <c r="J3857" s="5">
        <f>HYPERLINK("https://map.naver.com/p/search/연서면 청라리 163-8", "지도Link")</f>
        <v/>
      </c>
      <c r="K3857" s="5">
        <f>HYPERLINK("http://www.eum.go.kr/web/ar/lu/luLandDet.jsp?pnu=3611036027101630008&amp;isNoScr=script&amp;mode=search", "토지이음")</f>
        <v/>
      </c>
      <c r="L3857" s="3" t="inlineStr">
        <is>
          <t>보람진솔한</t>
        </is>
      </c>
      <c r="M3857" s="3" t="n">
        <v>1</v>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3" t="inlineStr">
        <is>
          <t>연서면 청라리에 있는 전원주택도 지을 수 있는 투자용 토지 입니다</t>
        </is>
      </c>
      <c r="I3858" s="5">
        <f>HYPERLINK("https://fin.land.naver.com/articles/2644243777", "매물Link")</f>
        <v/>
      </c>
      <c r="J3858" s="5">
        <f>HYPERLINK("https://map.naver.com/p/search/연서면 청라리 17-1", "지도Link")</f>
        <v/>
      </c>
      <c r="K3858" s="5">
        <f>HYPERLINK("http://www.eum.go.kr/web/ar/lu/luLandDet.jsp?pnu=3611036027100170001&amp;isNoScr=script&amp;mode=search", "토지이음")</f>
        <v/>
      </c>
      <c r="L3858" s="3" t="inlineStr">
        <is>
          <t>스마일세종</t>
        </is>
      </c>
      <c r="M3858" s="3" t="n">
        <v>1</v>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3" t="inlineStr">
        <is>
          <t>생산관리, 도로접함, 대토용, 투자용</t>
        </is>
      </c>
      <c r="I3859" s="5">
        <f>HYPERLINK("https://fin.land.naver.com/articles/2643988969", "매물Link")</f>
        <v/>
      </c>
      <c r="J3859" s="5">
        <f>HYPERLINK("https://map.naver.com/p/search/연서면 청라리 191-1", "지도Link")</f>
        <v/>
      </c>
      <c r="K3859" s="5">
        <f>HYPERLINK("http://www.eum.go.kr/web/ar/lu/luLandDet.jsp?pnu=3611036027101910001&amp;isNoScr=script&amp;mode=search", "토지이음")</f>
        <v/>
      </c>
      <c r="L3859" s="3" t="inlineStr">
        <is>
          <t>세종일조</t>
        </is>
      </c>
      <c r="M3859" s="3" t="n">
        <v>1</v>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3" t="inlineStr">
        <is>
          <t>nan</t>
        </is>
      </c>
      <c r="I3860" s="5">
        <f>HYPERLINK("https://fin.land.naver.com/articles/2645939242", "매물Link")</f>
        <v/>
      </c>
      <c r="J3860" s="5">
        <f>HYPERLINK("https://map.naver.com/p/search/연서면 청라리 244-1", "지도Link")</f>
        <v/>
      </c>
      <c r="K3860" s="5">
        <f>HYPERLINK("http://www.eum.go.kr/web/ar/lu/luLandDet.jsp?pnu=3611036027102440001&amp;isNoScr=script&amp;mode=search", "토지이음")</f>
        <v/>
      </c>
      <c r="L3860" s="3" t="inlineStr">
        <is>
          <t>고운하임</t>
        </is>
      </c>
      <c r="M3860" s="3" t="n">
        <v>1</v>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3" t="inlineStr">
        <is>
          <t>산업단지개발구역 인근 투자가치 높은 곳입니다.</t>
        </is>
      </c>
      <c r="I3861" s="5">
        <f>HYPERLINK("https://fin.land.naver.com/articles/2646627780", "매물Link")</f>
        <v/>
      </c>
      <c r="J3861" s="5">
        <f>HYPERLINK("https://map.naver.com/p/search/연서면 청라리 261", "지도Link")</f>
        <v/>
      </c>
      <c r="K3861" s="5">
        <f>HYPERLINK("http://www.eum.go.kr/web/ar/lu/luLandDet.jsp?pnu=3611036027102610000&amp;isNoScr=script&amp;mode=search", "토지이음")</f>
        <v/>
      </c>
      <c r="L3861" s="3" t="inlineStr">
        <is>
          <t>노은탑</t>
        </is>
      </c>
      <c r="M3861" s="3" t="n">
        <v>1</v>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3" t="inlineStr">
        <is>
          <t>저렴한 농지 나무식재 농업경영체 등록가능 토지 찾으시는분</t>
        </is>
      </c>
      <c r="I3862" s="5">
        <f>HYPERLINK("https://fin.land.naver.com/articles/2645606420", "매물Link")</f>
        <v/>
      </c>
      <c r="J3862" s="5">
        <f>HYPERLINK("https://map.naver.com/p/search/연서면 청라리 264", "지도Link")</f>
        <v/>
      </c>
      <c r="K3862" s="5">
        <f>HYPERLINK("http://www.eum.go.kr/web/ar/lu/luLandDet.jsp?pnu=3611036027102640000&amp;isNoScr=script&amp;mode=search", "토지이음")</f>
        <v/>
      </c>
      <c r="L3862" s="3" t="inlineStr">
        <is>
          <t>미스터홈즈강남지사</t>
        </is>
      </c>
      <c r="M3862" s="3" t="n">
        <v>1</v>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3" t="inlineStr">
        <is>
          <t>현황도로 길게 접한 생산관리 토지. 대토, 전원주택 추천</t>
        </is>
      </c>
      <c r="I3863" s="5">
        <f>HYPERLINK("https://fin.land.naver.com/articles/2645604558", "매물Link")</f>
        <v/>
      </c>
      <c r="J3863" s="5">
        <f>HYPERLINK("https://map.naver.com/p/search/연서면 청라리 277", "지도Link")</f>
        <v/>
      </c>
      <c r="K3863" s="5">
        <f>HYPERLINK("http://www.eum.go.kr/web/ar/lu/luLandDet.jsp?pnu=3611036027102770000&amp;isNoScr=script&amp;mode=search", "토지이음")</f>
        <v/>
      </c>
      <c r="L3863" s="3" t="inlineStr">
        <is>
          <t>미스터홈즈강남지사</t>
        </is>
      </c>
      <c r="M3863" s="3" t="n">
        <v>1</v>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3" t="inlineStr">
        <is>
          <t>고복저수지인근 2차선변 답</t>
        </is>
      </c>
      <c r="I3864" s="5">
        <f>HYPERLINK("https://fin.land.naver.com/articles/2645606345", "매물Link")</f>
        <v/>
      </c>
      <c r="J3864" s="5">
        <f>HYPERLINK("https://map.naver.com/p/search/연서면 청라리 295-2", "지도Link")</f>
        <v/>
      </c>
      <c r="K3864" s="5">
        <f>HYPERLINK("http://www.eum.go.kr/web/ar/lu/luLandDet.jsp?pnu=3611036027102950002&amp;isNoScr=script&amp;mode=search", "토지이음")</f>
        <v/>
      </c>
      <c r="L3864" s="3" t="inlineStr">
        <is>
          <t>미스터홈즈강남지사</t>
        </is>
      </c>
      <c r="M3864" s="3" t="n">
        <v>1</v>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3" t="inlineStr">
        <is>
          <t>청라리 농지원부 나오는 아주 저렴한 토지</t>
        </is>
      </c>
      <c r="I3865" s="5">
        <f>HYPERLINK("https://fin.land.naver.com/articles/2644528885", "매물Link")</f>
        <v/>
      </c>
      <c r="J3865" s="5">
        <f>HYPERLINK("https://map.naver.com/p/search/연서면 청라리 38-2", "지도Link")</f>
        <v/>
      </c>
      <c r="K3865" s="5">
        <f>HYPERLINK("http://www.eum.go.kr/web/ar/lu/luLandDet.jsp?pnu=3611036027100380002&amp;isNoScr=script&amp;mode=search", "토지이음")</f>
        <v/>
      </c>
      <c r="L3865" s="3" t="inlineStr">
        <is>
          <t>용궁</t>
        </is>
      </c>
      <c r="M3865" s="3" t="n">
        <v>1</v>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3" t="inlineStr">
        <is>
          <t>계획관리지역.성장관리계획구역.단독주택있슴</t>
        </is>
      </c>
      <c r="I3866" s="5">
        <f>HYPERLINK("https://fin.land.naver.com/articles/2648373796", "매물Link")</f>
        <v/>
      </c>
      <c r="J3866" s="5">
        <f>HYPERLINK("https://map.naver.com/p/search/연서면 청라리 420-1", "지도Link")</f>
        <v/>
      </c>
      <c r="K3866" s="5">
        <f>HYPERLINK("http://www.eum.go.kr/web/ar/lu/luLandDet.jsp?pnu=3611036027104200001&amp;isNoScr=script&amp;mode=search", "토지이음")</f>
        <v/>
      </c>
      <c r="L3866" s="3" t="inlineStr">
        <is>
          <t>돈방석</t>
        </is>
      </c>
      <c r="M3866" s="3" t="n">
        <v>1</v>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3" t="inlineStr">
        <is>
          <t>2차선도로 접한 토지</t>
        </is>
      </c>
      <c r="I3867" s="5">
        <f>HYPERLINK("https://fin.land.naver.com/articles/2648565269", "매물Link")</f>
        <v/>
      </c>
      <c r="J3867" s="5">
        <f>HYPERLINK("https://map.naver.com/p/search/연서면 청라리 448", "지도Link")</f>
        <v/>
      </c>
      <c r="K3867" s="5">
        <f>HYPERLINK("http://www.eum.go.kr/web/ar/lu/luLandDet.jsp?pnu=3611036027104480000&amp;isNoScr=script&amp;mode=search", "토지이음")</f>
        <v/>
      </c>
      <c r="L3867" s="3" t="inlineStr">
        <is>
          <t>더KEY</t>
        </is>
      </c>
      <c r="M3867" s="3" t="n">
        <v>1</v>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3" t="inlineStr">
        <is>
          <t>구거 접해 있지만 맹지입니다.</t>
        </is>
      </c>
      <c r="I3868" s="5">
        <f>HYPERLINK("https://fin.land.naver.com/articles/2645859316", "매물Link")</f>
        <v/>
      </c>
      <c r="J3868" s="5">
        <f>HYPERLINK("https://map.naver.com/p/search/연서면 청라리 490", "지도Link")</f>
        <v/>
      </c>
      <c r="K3868" s="5">
        <f>HYPERLINK("http://www.eum.go.kr/web/ar/lu/luLandDet.jsp?pnu=3611036027104900000&amp;isNoScr=script&amp;mode=search", "토지이음")</f>
        <v/>
      </c>
      <c r="L3868" s="3" t="inlineStr">
        <is>
          <t>세종땅사랑</t>
        </is>
      </c>
      <c r="M3868" s="3" t="n">
        <v>1</v>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3" t="inlineStr">
        <is>
          <t>절충가능하고 대토용으로 추천드림니다</t>
        </is>
      </c>
      <c r="I3869" s="5">
        <f>HYPERLINK("https://fin.land.naver.com/articles/2649224599", "매물Link")</f>
        <v/>
      </c>
      <c r="J3869" s="5">
        <f>HYPERLINK("https://map.naver.com/p/search/연서면 청라리 490", "지도Link")</f>
        <v/>
      </c>
      <c r="K3869" s="5">
        <f>HYPERLINK("http://www.eum.go.kr/web/ar/lu/luLandDet.jsp?pnu=3611036027104900000&amp;isNoScr=script&amp;mode=search", "토지이음")</f>
        <v/>
      </c>
      <c r="L3869" s="3" t="inlineStr">
        <is>
          <t>스마일세종</t>
        </is>
      </c>
      <c r="M3869" s="3" t="n">
        <v>1</v>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3" t="inlineStr">
        <is>
          <t>급매.과수원추천.보전관리.성장관리계획구역.영농여건불리농지. 대토추천.</t>
        </is>
      </c>
      <c r="I3870" s="5">
        <f>HYPERLINK("https://fin.land.naver.com/articles/2646070061", "매물Link")</f>
        <v/>
      </c>
      <c r="J3870" s="5">
        <f>HYPERLINK("https://map.naver.com/p/search/연서면 청라리 490", "지도Link")</f>
        <v/>
      </c>
      <c r="K3870" s="5">
        <f>HYPERLINK("http://www.eum.go.kr/web/ar/lu/luLandDet.jsp?pnu=3611036027104900000&amp;isNoScr=script&amp;mode=search", "토지이음")</f>
        <v/>
      </c>
      <c r="L3870" s="3" t="inlineStr">
        <is>
          <t>휴튼9단지세교신도시</t>
        </is>
      </c>
      <c r="M3870" s="3" t="n">
        <v>1</v>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3" t="inlineStr">
        <is>
          <t>국가산업단지 인근 전원주택부지 추천 계획관리 전</t>
        </is>
      </c>
      <c r="I3871" s="5">
        <f>HYPERLINK("https://fin.land.naver.com/articles/2646439538", "매물Link")</f>
        <v/>
      </c>
      <c r="J3871" s="5">
        <f>HYPERLINK("https://map.naver.com/p/search/연서면 청라리 70", "지도Link")</f>
        <v/>
      </c>
      <c r="K3871" s="5">
        <f>HYPERLINK("http://www.eum.go.kr/web/ar/lu/luLandDet.jsp?pnu=3611036027100700000&amp;isNoScr=script&amp;mode=search", "토지이음")</f>
        <v/>
      </c>
      <c r="L3871" s="3" t="inlineStr">
        <is>
          <t>노은탑</t>
        </is>
      </c>
      <c r="M3871" s="3" t="n">
        <v>1</v>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3" t="inlineStr">
        <is>
          <t>용호동 대지 매매, 전원주택지로 적합합니다.</t>
        </is>
      </c>
      <c r="I3872" s="5">
        <f>HYPERLINK("https://fin.land.naver.com/articles/2646492842", "매물Link")</f>
        <v/>
      </c>
      <c r="J3872" s="5">
        <f>HYPERLINK("https://map.naver.com/p/search/용호동 212-3", "지도Link")</f>
        <v/>
      </c>
      <c r="K3872" s="5">
        <f>HYPERLINK("http://www.eum.go.kr/web/ar/lu/luLandDet.jsp?pnu=3023011900102120003&amp;isNoScr=script&amp;mode=search", "토지이음")</f>
        <v/>
      </c>
      <c r="L3872" s="3" t="inlineStr">
        <is>
          <t>셀리</t>
        </is>
      </c>
      <c r="M3872" s="3" t="n">
        <v>1</v>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3" t="inlineStr">
        <is>
          <t>도로접 위치 최상 투자 실사용 추천 본필지 외 2필지 총 3필지</t>
        </is>
      </c>
      <c r="I3873" s="5">
        <f>HYPERLINK("https://fin.land.naver.com/articles/2648878756", "매물Link")</f>
        <v/>
      </c>
      <c r="J3873" s="5">
        <f>HYPERLINK("https://map.naver.com/p/search/장군면 금암리 119", "지도Link")</f>
        <v/>
      </c>
      <c r="K3873" s="5">
        <f>HYPERLINK("http://www.eum.go.kr/web/ar/lu/luLandDet.jsp?pnu=3611035025101190000&amp;isNoScr=script&amp;mode=search", "토지이음")</f>
        <v/>
      </c>
      <c r="L3873" s="3" t="inlineStr">
        <is>
          <t>세종동인</t>
        </is>
      </c>
      <c r="M3873" s="3" t="n">
        <v>1</v>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3" t="inlineStr">
        <is>
          <t>진입로가 우수하며, 민원 걱정 없는 매물임.</t>
        </is>
      </c>
      <c r="I3874" s="5">
        <f>HYPERLINK("https://fin.land.naver.com/articles/2644230673", "매물Link")</f>
        <v/>
      </c>
      <c r="J3874" s="5">
        <f>HYPERLINK("https://map.naver.com/p/search/장군면 금암리 119", "지도Link")</f>
        <v/>
      </c>
      <c r="K3874" s="5">
        <f>HYPERLINK("http://www.eum.go.kr/web/ar/lu/luLandDet.jsp?pnu=3611035025101190000&amp;isNoScr=script&amp;mode=search", "토지이음")</f>
        <v/>
      </c>
      <c r="L3874" s="3" t="inlineStr">
        <is>
          <t>세종제일</t>
        </is>
      </c>
      <c r="M3874" s="3" t="n">
        <v>1</v>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3" t="inlineStr">
        <is>
          <t>금강조망, 접근성 및 향좋은 계획관리지역 토지매매</t>
        </is>
      </c>
      <c r="I3875" s="5">
        <f>HYPERLINK("https://fin.land.naver.com/articles/2649505862", "매물Link")</f>
        <v/>
      </c>
      <c r="J3875" s="5">
        <f>HYPERLINK("https://map.naver.com/p/search/장군면 금암리 120", "지도Link")</f>
        <v/>
      </c>
      <c r="K3875" s="5">
        <f>HYPERLINK("http://www.eum.go.kr/web/ar/lu/luLandDet.jsp?pnu=3611035025101200000&amp;isNoScr=script&amp;mode=search", "토지이음")</f>
        <v/>
      </c>
      <c r="L3875" s="3" t="inlineStr">
        <is>
          <t>금화랜드</t>
        </is>
      </c>
      <c r="M3875" s="3" t="n">
        <v>1</v>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3" t="inlineStr">
        <is>
          <t>금강의 물줄기를 바로 눈앞에서 즐길 수 있는 귀한 매물</t>
        </is>
      </c>
      <c r="I3876" s="5">
        <f>HYPERLINK("https://fin.land.naver.com/articles/2645526664", "매물Link")</f>
        <v/>
      </c>
      <c r="J3876" s="5">
        <f>HYPERLINK("https://map.naver.com/p/search/장군면 금암리 132-45", "지도Link")</f>
        <v/>
      </c>
      <c r="K3876" s="5">
        <f>HYPERLINK("http://www.eum.go.kr/web/ar/lu/luLandDet.jsp?pnu=3611035025101320045&amp;isNoScr=script&amp;mode=search", "토지이음")</f>
        <v/>
      </c>
      <c r="L3876" s="3" t="inlineStr">
        <is>
          <t>세종제일</t>
        </is>
      </c>
      <c r="M3876" s="3" t="n">
        <v>1</v>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3" t="inlineStr">
        <is>
          <t>계획관리지역 접근성 및 주차장 넓은 근린생활시설용 건물매매</t>
        </is>
      </c>
      <c r="I3877" s="5">
        <f>HYPERLINK("https://fin.land.naver.com/articles/2648955409", "매물Link")</f>
        <v/>
      </c>
      <c r="J3877" s="5">
        <f>HYPERLINK("https://map.naver.com/p/search/장군면 금암리 136-1", "지도Link")</f>
        <v/>
      </c>
      <c r="K3877" s="5">
        <f>HYPERLINK("http://www.eum.go.kr/web/ar/lu/luLandDet.jsp?pnu=3611035025101360001&amp;isNoScr=script&amp;mode=search", "토지이음")</f>
        <v/>
      </c>
      <c r="L3877" s="3" t="inlineStr">
        <is>
          <t>금화랜드</t>
        </is>
      </c>
      <c r="M3877" s="3" t="n">
        <v>1</v>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3" t="inlineStr">
        <is>
          <t>세종시 장군면 공공시설복합단지 인접 계획관리 토지</t>
        </is>
      </c>
      <c r="I3878" s="5">
        <f>HYPERLINK("https://fin.land.naver.com/articles/2648506513", "매물Link")</f>
        <v/>
      </c>
      <c r="J3878" s="5">
        <f>HYPERLINK("https://map.naver.com/p/search/장군면 금암리 150-1", "지도Link")</f>
        <v/>
      </c>
      <c r="K3878" s="5">
        <f>HYPERLINK("http://www.eum.go.kr/web/ar/lu/luLandDet.jsp?pnu=3611035025101500001&amp;isNoScr=script&amp;mode=search", "토지이음")</f>
        <v/>
      </c>
      <c r="L3878" s="3" t="inlineStr">
        <is>
          <t>나우골드</t>
        </is>
      </c>
      <c r="M3878" s="3" t="n">
        <v>1</v>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3" t="inlineStr">
        <is>
          <t>계획관리지역, 도로지분포함 , 세종시10분이내 추천매매</t>
        </is>
      </c>
      <c r="I3879" s="5">
        <f>HYPERLINK("https://fin.land.naver.com/articles/2646161811", "매물Link")</f>
        <v/>
      </c>
      <c r="J3879" s="5">
        <f>HYPERLINK("https://map.naver.com/p/search/장군면 금암리 151-5", "지도Link")</f>
        <v/>
      </c>
      <c r="K3879" s="5">
        <f>HYPERLINK("http://www.eum.go.kr/web/ar/lu/luLandDet.jsp?pnu=3611035025101510005&amp;isNoScr=script&amp;mode=search", "토지이음")</f>
        <v/>
      </c>
      <c r="L3879" s="3" t="inlineStr">
        <is>
          <t>Home</t>
        </is>
      </c>
      <c r="M3879" s="3" t="n">
        <v>1</v>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3" t="inlineStr">
        <is>
          <t>세종특별자치 장군면 금암리 토지</t>
        </is>
      </c>
      <c r="I3880" s="5">
        <f>HYPERLINK("https://fin.land.naver.com/articles/2649027967", "매물Link")</f>
        <v/>
      </c>
      <c r="J3880" s="5">
        <f>HYPERLINK("https://map.naver.com/p/search/장군면 금암리 169", "지도Link")</f>
        <v/>
      </c>
      <c r="K3880" s="5">
        <f>HYPERLINK("http://www.eum.go.kr/web/ar/lu/luLandDet.jsp?pnu=3611035025101690000&amp;isNoScr=script&amp;mode=search", "토지이음")</f>
        <v/>
      </c>
      <c r="L3880" s="3" t="inlineStr">
        <is>
          <t>마스터</t>
        </is>
      </c>
      <c r="M3880" s="3" t="n">
        <v>1</v>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3" t="inlineStr">
        <is>
          <t>금액 조절 돼요 관심있으시면 전화주세요</t>
        </is>
      </c>
      <c r="I3881" s="5">
        <f>HYPERLINK("https://fin.land.naver.com/articles/2645704769", "매물Link")</f>
        <v/>
      </c>
      <c r="J3881" s="5">
        <f>HYPERLINK("https://map.naver.com/p/search/장군면 금암리 231", "지도Link")</f>
        <v/>
      </c>
      <c r="K3881" s="5">
        <f>HYPERLINK("http://www.eum.go.kr/web/ar/lu/luLandDet.jsp?pnu=3611035025102310000&amp;isNoScr=script&amp;mode=search", "토지이음")</f>
        <v/>
      </c>
      <c r="L3881" s="3" t="inlineStr">
        <is>
          <t>행복한푸르지오</t>
        </is>
      </c>
      <c r="M3881" s="3" t="n">
        <v>1</v>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3" t="inlineStr">
        <is>
          <t>세종시 공공시설복합단지 인근 최고의 조망을 자랑하는 임야</t>
        </is>
      </c>
      <c r="I3882" s="5">
        <f>HYPERLINK("https://fin.land.naver.com/articles/2644232600", "매물Link")</f>
        <v/>
      </c>
      <c r="J3882" s="5">
        <f>HYPERLINK("https://map.naver.com/p/search/장군면 금암리 274-23", "지도Link")</f>
        <v/>
      </c>
      <c r="K3882" s="5">
        <f>HYPERLINK("http://www.eum.go.kr/web/ar/lu/luLandDet.jsp?pnu=3611035025102740023&amp;isNoScr=script&amp;mode=search", "토지이음")</f>
        <v/>
      </c>
      <c r="L3882" s="3" t="inlineStr">
        <is>
          <t>세종제일</t>
        </is>
      </c>
      <c r="M3882" s="3" t="n">
        <v>1</v>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3" t="inlineStr">
        <is>
          <t>공공시설복합단지에 접.  정남향의 금강 조망 최고.</t>
        </is>
      </c>
      <c r="I3883" s="5">
        <f>HYPERLINK("https://fin.land.naver.com/articles/2647723804", "매물Link")</f>
        <v/>
      </c>
      <c r="J3883" s="5">
        <f>HYPERLINK("https://map.naver.com/p/search/장군면 금암리 274-29", "지도Link")</f>
        <v/>
      </c>
      <c r="K3883" s="5">
        <f>HYPERLINK("http://www.eum.go.kr/web/ar/lu/luLandDet.jsp?pnu=3611035025102740029&amp;isNoScr=script&amp;mode=search", "토지이음")</f>
        <v/>
      </c>
      <c r="L3883" s="3" t="inlineStr">
        <is>
          <t>세종제일</t>
        </is>
      </c>
      <c r="M3883" s="3" t="n">
        <v>1</v>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3" t="inlineStr">
        <is>
          <t>공공시설복합단지에 바로 접한 최고의 조망이 보장되는 자리</t>
        </is>
      </c>
      <c r="I3884" s="5">
        <f>HYPERLINK("https://fin.land.naver.com/articles/2648077906", "매물Link")</f>
        <v/>
      </c>
      <c r="J3884" s="5">
        <f>HYPERLINK("https://map.naver.com/p/search/장군면 금암리 274-31", "지도Link")</f>
        <v/>
      </c>
      <c r="K3884" s="5">
        <f>HYPERLINK("http://www.eum.go.kr/web/ar/lu/luLandDet.jsp?pnu=3611035025102740031&amp;isNoScr=script&amp;mode=search", "토지이음")</f>
        <v/>
      </c>
      <c r="L3884" s="3" t="inlineStr">
        <is>
          <t>세종제일</t>
        </is>
      </c>
      <c r="M3884" s="3" t="n">
        <v>1</v>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3" t="inlineStr">
        <is>
          <t>공공시설복합단지 바로 인접.  약간 높은 지대로 금강 조망 좋음.</t>
        </is>
      </c>
      <c r="I3885" s="5">
        <f>HYPERLINK("https://fin.land.naver.com/articles/2644225248", "매물Link")</f>
        <v/>
      </c>
      <c r="J3885" s="5">
        <f>HYPERLINK("https://map.naver.com/p/search/장군면 금암리 274-35", "지도Link")</f>
        <v/>
      </c>
      <c r="K3885" s="5">
        <f>HYPERLINK("http://www.eum.go.kr/web/ar/lu/luLandDet.jsp?pnu=3611035025102740035&amp;isNoScr=script&amp;mode=search", "토지이음")</f>
        <v/>
      </c>
      <c r="L3885" s="3" t="inlineStr">
        <is>
          <t>세종제일</t>
        </is>
      </c>
      <c r="M3885" s="3" t="n">
        <v>1</v>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3" t="inlineStr">
        <is>
          <t>공공시설복합단지에 접한 정남향 부지.</t>
        </is>
      </c>
      <c r="I3886" s="5">
        <f>HYPERLINK("https://fin.land.naver.com/articles/2647725105", "매물Link")</f>
        <v/>
      </c>
      <c r="J3886" s="5">
        <f>HYPERLINK("https://map.naver.com/p/search/장군면 금암리 274-5", "지도Link")</f>
        <v/>
      </c>
      <c r="K3886" s="5">
        <f>HYPERLINK("http://www.eum.go.kr/web/ar/lu/luLandDet.jsp?pnu=3611035025102740005&amp;isNoScr=script&amp;mode=search", "토지이음")</f>
        <v/>
      </c>
      <c r="L3886" s="3" t="inlineStr">
        <is>
          <t>세종제일</t>
        </is>
      </c>
      <c r="M3886" s="3" t="n">
        <v>1</v>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3" t="inlineStr">
        <is>
          <t>금강, 산림박물관 등이 한눈에 내려다보이는 최고의 조망</t>
        </is>
      </c>
      <c r="I3887" s="5">
        <f>HYPERLINK("https://fin.land.naver.com/articles/2648077859", "매물Link")</f>
        <v/>
      </c>
      <c r="J3887" s="5">
        <f>HYPERLINK("https://map.naver.com/p/search/장군면 금암리 274-54", "지도Link")</f>
        <v/>
      </c>
      <c r="K3887" s="5">
        <f>HYPERLINK("http://www.eum.go.kr/web/ar/lu/luLandDet.jsp?pnu=3611035025102740054&amp;isNoScr=script&amp;mode=search", "토지이음")</f>
        <v/>
      </c>
      <c r="L3887" s="3" t="inlineStr">
        <is>
          <t>세종제일</t>
        </is>
      </c>
      <c r="M3887" s="3" t="n">
        <v>1</v>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3" t="inlineStr">
        <is>
          <t>공공시설복합단지 도로에 바로 접한 근생 최적지</t>
        </is>
      </c>
      <c r="I3888" s="5">
        <f>HYPERLINK("https://fin.land.naver.com/articles/2647721904", "매물Link")</f>
        <v/>
      </c>
      <c r="J3888" s="5">
        <f>HYPERLINK("https://map.naver.com/p/search/장군면 금암리 275-2", "지도Link")</f>
        <v/>
      </c>
      <c r="K3888" s="5">
        <f>HYPERLINK("http://www.eum.go.kr/web/ar/lu/luLandDet.jsp?pnu=3611035025102750002&amp;isNoScr=script&amp;mode=search", "토지이음")</f>
        <v/>
      </c>
      <c r="L3888" s="3" t="inlineStr">
        <is>
          <t>세종제일</t>
        </is>
      </c>
      <c r="M3888" s="3" t="n">
        <v>1</v>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3" t="inlineStr">
        <is>
          <t>금강, 산림박물관, 공공시설복합단지가 한눈에 내려다 보이는 최고 조망</t>
        </is>
      </c>
      <c r="I3889" s="5">
        <f>HYPERLINK("https://fin.land.naver.com/articles/2644231087", "매물Link")</f>
        <v/>
      </c>
      <c r="J3889" s="5">
        <f>HYPERLINK("https://map.naver.com/p/search/장군면 금암리 280", "지도Link")</f>
        <v/>
      </c>
      <c r="K3889" s="5">
        <f>HYPERLINK("http://www.eum.go.kr/web/ar/lu/luLandDet.jsp?pnu=3611035025102800000&amp;isNoScr=script&amp;mode=search", "토지이음")</f>
        <v/>
      </c>
      <c r="L3889" s="3" t="inlineStr">
        <is>
          <t>세종제일</t>
        </is>
      </c>
      <c r="M3889" s="3" t="n">
        <v>1</v>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3" t="inlineStr">
        <is>
          <t>금강, 불티교, 산림박물관의 조망이 한 눈에 들어오는 최고의 자리</t>
        </is>
      </c>
      <c r="I3890" s="5">
        <f>HYPERLINK("https://fin.land.naver.com/articles/2644226769", "매물Link")</f>
        <v/>
      </c>
      <c r="J3890" s="5">
        <f>HYPERLINK("https://map.naver.com/p/search/장군면 금암리 281-15", "지도Link")</f>
        <v/>
      </c>
      <c r="K3890" s="5">
        <f>HYPERLINK("http://www.eum.go.kr/web/ar/lu/luLandDet.jsp?pnu=3611035025102810015&amp;isNoScr=script&amp;mode=search", "토지이음")</f>
        <v/>
      </c>
      <c r="L3890" s="3" t="inlineStr">
        <is>
          <t>세종제일</t>
        </is>
      </c>
      <c r="M3890" s="3" t="n">
        <v>1</v>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3" t="inlineStr">
        <is>
          <t>급매, 334p, 불티교 인접, 건물 별도, 토지 통매</t>
        </is>
      </c>
      <c r="I3891" s="5">
        <f>HYPERLINK("https://fin.land.naver.com/articles/2646853255", "매물Link")</f>
        <v/>
      </c>
      <c r="J3891" s="5">
        <f>HYPERLINK("https://map.naver.com/p/search/장군면 금암리 281-15", "지도Link")</f>
        <v/>
      </c>
      <c r="K3891" s="5">
        <f>HYPERLINK("http://www.eum.go.kr/web/ar/lu/luLandDet.jsp?pnu=3611035025102810015&amp;isNoScr=script&amp;mode=search", "토지이음")</f>
        <v/>
      </c>
      <c r="L3891" s="3" t="inlineStr">
        <is>
          <t>지금힐스</t>
        </is>
      </c>
      <c r="M3891" s="3" t="n">
        <v>1</v>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3" t="inlineStr">
        <is>
          <t>금강조망 가능한 근생부지</t>
        </is>
      </c>
      <c r="I3892" s="5">
        <f>HYPERLINK("https://fin.land.naver.com/articles/2647725389", "매물Link")</f>
        <v/>
      </c>
      <c r="J3892" s="5">
        <f>HYPERLINK("https://map.naver.com/p/search/장군면 금암리 281-23", "지도Link")</f>
        <v/>
      </c>
      <c r="K3892" s="5">
        <f>HYPERLINK("http://www.eum.go.kr/web/ar/lu/luLandDet.jsp?pnu=3611035025102810023&amp;isNoScr=script&amp;mode=search", "토지이음")</f>
        <v/>
      </c>
      <c r="L3892" s="3" t="inlineStr">
        <is>
          <t>세종제일</t>
        </is>
      </c>
      <c r="M3892" s="3" t="n">
        <v>1</v>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3" t="inlineStr">
        <is>
          <t>세종시 공공시설복합단지 정문 바로 앞</t>
        </is>
      </c>
      <c r="I3893" s="5">
        <f>HYPERLINK("https://fin.land.naver.com/articles/2645929629", "매물Link")</f>
        <v/>
      </c>
      <c r="J3893" s="5">
        <f>HYPERLINK("https://map.naver.com/p/search/장군면 금암리 281-33", "지도Link")</f>
        <v/>
      </c>
      <c r="K3893" s="5">
        <f>HYPERLINK("http://www.eum.go.kr/web/ar/lu/luLandDet.jsp?pnu=3611035025102810033&amp;isNoScr=script&amp;mode=search", "토지이음")</f>
        <v/>
      </c>
      <c r="L3893" s="3" t="inlineStr">
        <is>
          <t>세종제일</t>
        </is>
      </c>
      <c r="M3893" s="3" t="n">
        <v>1</v>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3" t="inlineStr">
        <is>
          <t>nan</t>
        </is>
      </c>
      <c r="I3894" s="5">
        <f>HYPERLINK("https://fin.land.naver.com/articles/2645418213", "매물Link")</f>
        <v/>
      </c>
      <c r="J3894" s="5">
        <f>HYPERLINK("https://map.naver.com/p/search/장군면 금암리 283-115", "지도Link")</f>
        <v/>
      </c>
      <c r="K3894" s="5">
        <f>HYPERLINK("http://www.eum.go.kr/web/ar/lu/luLandDet.jsp?pnu=3611035025102830115&amp;isNoScr=script&amp;mode=search", "토지이음")</f>
        <v/>
      </c>
      <c r="L3894" s="3" t="inlineStr">
        <is>
          <t>그래그</t>
        </is>
      </c>
      <c r="M3894" s="3" t="n">
        <v>1</v>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3" t="inlineStr">
        <is>
          <t>nan</t>
        </is>
      </c>
      <c r="I3895" s="5">
        <f>HYPERLINK("https://fin.land.naver.com/articles/2645408714", "매물Link")</f>
        <v/>
      </c>
      <c r="J3895" s="5">
        <f>HYPERLINK("https://map.naver.com/p/search/장군면 금암리 283-116", "지도Link")</f>
        <v/>
      </c>
      <c r="K3895" s="5">
        <f>HYPERLINK("http://www.eum.go.kr/web/ar/lu/luLandDet.jsp?pnu=3611035025102830116&amp;isNoScr=script&amp;mode=search", "토지이음")</f>
        <v/>
      </c>
      <c r="L3895" s="3" t="inlineStr">
        <is>
          <t>그래그</t>
        </is>
      </c>
      <c r="M3895" s="3" t="n">
        <v>1</v>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3" t="inlineStr">
        <is>
          <t>금암리 청벽마을에 있는 조망 좋은 계획관리지역의 신축 전원주택입니다</t>
        </is>
      </c>
      <c r="I3896" s="5">
        <f>HYPERLINK("https://fin.land.naver.com/articles/2645862501", "매물Link")</f>
        <v/>
      </c>
      <c r="J3896" s="5">
        <f>HYPERLINK("https://map.naver.com/p/search/장군면 금암리 283-138", "지도Link")</f>
        <v/>
      </c>
      <c r="K3896" s="5">
        <f>HYPERLINK("http://www.eum.go.kr/web/ar/lu/luLandDet.jsp?pnu=3611035025102830138&amp;isNoScr=script&amp;mode=search", "토지이음")</f>
        <v/>
      </c>
      <c r="L3896" s="3" t="inlineStr">
        <is>
          <t>스마일세종</t>
        </is>
      </c>
      <c r="M3896" s="3" t="n">
        <v>1</v>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3" t="inlineStr">
        <is>
          <t>첫마을에서 들어오는 금강의 물줄기가 한눈에 보이는 최고의 조망</t>
        </is>
      </c>
      <c r="I3897" s="5">
        <f>HYPERLINK("https://fin.land.naver.com/articles/2647724244", "매물Link")</f>
        <v/>
      </c>
      <c r="J3897" s="5">
        <f>HYPERLINK("https://map.naver.com/p/search/장군면 금암리 283-154", "지도Link")</f>
        <v/>
      </c>
      <c r="K3897" s="5">
        <f>HYPERLINK("http://www.eum.go.kr/web/ar/lu/luLandDet.jsp?pnu=3611035025102830154&amp;isNoScr=script&amp;mode=search", "토지이음")</f>
        <v/>
      </c>
      <c r="L3897" s="3" t="inlineStr">
        <is>
          <t>세종제일</t>
        </is>
      </c>
      <c r="M3897" s="3" t="n">
        <v>1</v>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3" t="inlineStr">
        <is>
          <t>금강이 내려다보이는 안정적인 조망</t>
        </is>
      </c>
      <c r="I3898" s="5">
        <f>HYPERLINK("https://fin.land.naver.com/articles/2647721512", "매물Link")</f>
        <v/>
      </c>
      <c r="J3898" s="5">
        <f>HYPERLINK("https://map.naver.com/p/search/장군면 금암리 283-18", "지도Link")</f>
        <v/>
      </c>
      <c r="K3898" s="5">
        <f>HYPERLINK("http://www.eum.go.kr/web/ar/lu/luLandDet.jsp?pnu=3611035025102830018&amp;isNoScr=script&amp;mode=search", "토지이음")</f>
        <v/>
      </c>
      <c r="L3898" s="3" t="inlineStr">
        <is>
          <t>세종제일</t>
        </is>
      </c>
      <c r="M3898" s="3" t="n">
        <v>1</v>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3" t="inlineStr">
        <is>
          <t>nan</t>
        </is>
      </c>
      <c r="I3899" s="5">
        <f>HYPERLINK("https://fin.land.naver.com/articles/2645417313", "매물Link")</f>
        <v/>
      </c>
      <c r="J3899" s="5">
        <f>HYPERLINK("https://map.naver.com/p/search/장군면 금암리 283-18", "지도Link")</f>
        <v/>
      </c>
      <c r="K3899" s="5">
        <f>HYPERLINK("http://www.eum.go.kr/web/ar/lu/luLandDet.jsp?pnu=3611035025102830018&amp;isNoScr=script&amp;mode=search", "토지이음")</f>
        <v/>
      </c>
      <c r="L3899" s="3" t="inlineStr">
        <is>
          <t>그래그</t>
        </is>
      </c>
      <c r="M3899" s="3" t="n">
        <v>1</v>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3" t="inlineStr">
        <is>
          <t>공공시설복합단지에 가깝고, 금강 조망 가능함.</t>
        </is>
      </c>
      <c r="I3900" s="5">
        <f>HYPERLINK("https://fin.land.naver.com/articles/2647722995", "매물Link")</f>
        <v/>
      </c>
      <c r="J3900" s="5">
        <f>HYPERLINK("https://map.naver.com/p/search/장군면 금암리 283-5", "지도Link")</f>
        <v/>
      </c>
      <c r="K3900" s="5">
        <f>HYPERLINK("http://www.eum.go.kr/web/ar/lu/luLandDet.jsp?pnu=3611035025102830005&amp;isNoScr=script&amp;mode=search", "토지이음")</f>
        <v/>
      </c>
      <c r="L3900" s="3" t="inlineStr">
        <is>
          <t>세종제일</t>
        </is>
      </c>
      <c r="M3900" s="3" t="n">
        <v>1</v>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3" t="inlineStr">
        <is>
          <t>세종시 공공시설복합단지 정문 바로 앞</t>
        </is>
      </c>
      <c r="I3901" s="5">
        <f>HYPERLINK("https://fin.land.naver.com/articles/2644225788", "매물Link")</f>
        <v/>
      </c>
      <c r="J3901" s="5">
        <f>HYPERLINK("https://map.naver.com/p/search/장군면 금암리 288-2", "지도Link")</f>
        <v/>
      </c>
      <c r="K3901" s="5">
        <f>HYPERLINK("http://www.eum.go.kr/web/ar/lu/luLandDet.jsp?pnu=3611035025102880002&amp;isNoScr=script&amp;mode=search", "토지이음")</f>
        <v/>
      </c>
      <c r="L3901" s="3" t="inlineStr">
        <is>
          <t>세종제일</t>
        </is>
      </c>
      <c r="M3901" s="3" t="n">
        <v>1</v>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3" t="inlineStr">
        <is>
          <t>금강뷰 대로변 앞 위치좋은 농협교육원 바로옆 카페 식당 근생 건축</t>
        </is>
      </c>
      <c r="I3902" s="5">
        <f>HYPERLINK("https://fin.land.naver.com/articles/2644190735", "매물Link")</f>
        <v/>
      </c>
      <c r="J3902" s="5">
        <f>HYPERLINK("https://map.naver.com/p/search/장군면 금암리 300-13", "지도Link")</f>
        <v/>
      </c>
      <c r="K3902" s="5">
        <f>HYPERLINK("http://www.eum.go.kr/web/ar/lu/luLandDet.jsp?pnu=3611035025103000013&amp;isNoScr=script&amp;mode=search", "토지이음")</f>
        <v/>
      </c>
      <c r="L3902" s="3" t="inlineStr">
        <is>
          <t>나침반</t>
        </is>
      </c>
      <c r="M3902" s="3" t="n">
        <v>1</v>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3" t="inlineStr">
        <is>
          <t>공공시설복합단지 인접.  금강 조망</t>
        </is>
      </c>
      <c r="I3903" s="5">
        <f>HYPERLINK("https://fin.land.naver.com/articles/2647722122", "매물Link")</f>
        <v/>
      </c>
      <c r="J3903" s="5">
        <f>HYPERLINK("https://map.naver.com/p/search/장군면 금암리 300-2", "지도Link")</f>
        <v/>
      </c>
      <c r="K3903" s="5">
        <f>HYPERLINK("http://www.eum.go.kr/web/ar/lu/luLandDet.jsp?pnu=3611035025103000002&amp;isNoScr=script&amp;mode=search", "토지이음")</f>
        <v/>
      </c>
      <c r="L3903" s="3" t="inlineStr">
        <is>
          <t>세종제일</t>
        </is>
      </c>
      <c r="M3903" s="3" t="n">
        <v>1</v>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3" t="inlineStr">
        <is>
          <t>세종시에서 금강이 내려다 보이는 단독주택단지 내 위치</t>
        </is>
      </c>
      <c r="I3904" s="5">
        <f>HYPERLINK("https://fin.land.naver.com/articles/2647295862", "매물Link")</f>
        <v/>
      </c>
      <c r="J3904" s="5">
        <f>HYPERLINK("https://map.naver.com/p/search/장군면 금암리 300-23", "지도Link")</f>
        <v/>
      </c>
      <c r="K3904" s="5">
        <f>HYPERLINK("http://www.eum.go.kr/web/ar/lu/luLandDet.jsp?pnu=3611035025103000023&amp;isNoScr=script&amp;mode=search", "토지이음")</f>
        <v/>
      </c>
      <c r="L3904" s="3" t="inlineStr">
        <is>
          <t>정직한한국</t>
        </is>
      </c>
      <c r="M3904" s="3" t="n">
        <v>1</v>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3" t="inlineStr">
        <is>
          <t>금강뷰 대로변 전원 주택지 매매 추천</t>
        </is>
      </c>
      <c r="I3905" s="5">
        <f>HYPERLINK("https://fin.land.naver.com/articles/2649140770", "매물Link")</f>
        <v/>
      </c>
      <c r="J3905" s="5">
        <f>HYPERLINK("https://map.naver.com/p/search/장군면 금암리 302-15", "지도Link")</f>
        <v/>
      </c>
      <c r="K3905" s="5">
        <f>HYPERLINK("http://www.eum.go.kr/web/ar/lu/luLandDet.jsp?pnu=3611035025103020015&amp;isNoScr=script&amp;mode=search", "토지이음")</f>
        <v/>
      </c>
      <c r="L3905" s="3" t="inlineStr">
        <is>
          <t>광장(프라자)</t>
        </is>
      </c>
      <c r="M3905" s="3" t="n">
        <v>1</v>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3" t="inlineStr">
        <is>
          <t>전망좋은 전원주택 단지 배산임수</t>
        </is>
      </c>
      <c r="I3906" s="5">
        <f>HYPERLINK("https://fin.land.naver.com/articles/2650128502", "매물Link")</f>
        <v/>
      </c>
      <c r="J3906" s="5">
        <f>HYPERLINK("https://map.naver.com/p/search/장군면 금암리 302-52", "지도Link")</f>
        <v/>
      </c>
      <c r="K3906" s="5">
        <f>HYPERLINK("http://www.eum.go.kr/web/ar/lu/luLandDet.jsp?pnu=3611035025103020052&amp;isNoScr=script&amp;mode=search", "토지이음")</f>
        <v/>
      </c>
      <c r="L3906" s="3" t="inlineStr">
        <is>
          <t>나릿재OK</t>
        </is>
      </c>
      <c r="M3906" s="3" t="n">
        <v>1</v>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3" t="inlineStr">
        <is>
          <t>세공시 공공시설복합단지와 농협연수원인접, 금강조망의 배산임수지역</t>
        </is>
      </c>
      <c r="I3907" s="5">
        <f>HYPERLINK("https://fin.land.naver.com/articles/2648578959", "매물Link")</f>
        <v/>
      </c>
      <c r="J3907" s="5">
        <f>HYPERLINK("https://map.naver.com/p/search/장군면 금암리 310", "지도Link")</f>
        <v/>
      </c>
      <c r="K3907" s="5">
        <f>HYPERLINK("http://www.eum.go.kr/web/ar/lu/luLandDet.jsp?pnu=3611035025103100000&amp;isNoScr=script&amp;mode=search", "토지이음")</f>
        <v/>
      </c>
      <c r="L3907" s="3" t="inlineStr">
        <is>
          <t>세종어울림</t>
        </is>
      </c>
      <c r="M3907" s="3" t="n">
        <v>1</v>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3" t="inlineStr">
        <is>
          <t>청벽전원마을 금강보이는토지</t>
        </is>
      </c>
      <c r="I3908" s="5">
        <f>HYPERLINK("https://fin.land.naver.com/articles/2647242741", "매물Link")</f>
        <v/>
      </c>
      <c r="J3908" s="5">
        <f>HYPERLINK("https://map.naver.com/p/search/장군면 금암리 314-113", "지도Link")</f>
        <v/>
      </c>
      <c r="K3908" s="5">
        <f>HYPERLINK("http://www.eum.go.kr/web/ar/lu/luLandDet.jsp?pnu=3611035025103140113&amp;isNoScr=script&amp;mode=search", "토지이음")</f>
        <v/>
      </c>
      <c r="L3908" s="3" t="inlineStr">
        <is>
          <t>테크노미소</t>
        </is>
      </c>
      <c r="M3908" s="3" t="n">
        <v>1</v>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3" t="inlineStr">
        <is>
          <t>급매,청벽마을 단독전원주택지, 청벽의 절경과 금강 뷰가 좋은 전원주택지</t>
        </is>
      </c>
      <c r="I3909" s="5">
        <f>HYPERLINK("https://fin.land.naver.com/articles/2646539366", "매물Link")</f>
        <v/>
      </c>
      <c r="J3909" s="5">
        <f>HYPERLINK("https://map.naver.com/p/search/장군면 금암리 314-113", "지도Link")</f>
        <v/>
      </c>
      <c r="K3909" s="5">
        <f>HYPERLINK("http://www.eum.go.kr/web/ar/lu/luLandDet.jsp?pnu=3611035025103140113&amp;isNoScr=script&amp;mode=search", "토지이음")</f>
        <v/>
      </c>
      <c r="L3909" s="3" t="inlineStr">
        <is>
          <t>고운맘</t>
        </is>
      </c>
      <c r="M3909" s="3" t="n">
        <v>1</v>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3" t="inlineStr">
        <is>
          <t>세종시에서 금강이 내려다 보이는 전원주택단지에 위치한 2층 단독주택</t>
        </is>
      </c>
      <c r="I3910" s="5">
        <f>HYPERLINK("https://fin.land.naver.com/articles/2647297546", "매물Link")</f>
        <v/>
      </c>
      <c r="J3910" s="5">
        <f>HYPERLINK("https://map.naver.com/p/search/장군면 금암리 314-59", "지도Link")</f>
        <v/>
      </c>
      <c r="K3910" s="5">
        <f>HYPERLINK("http://www.eum.go.kr/web/ar/lu/luLandDet.jsp?pnu=3611035025103140059&amp;isNoScr=script&amp;mode=search", "토지이음")</f>
        <v/>
      </c>
      <c r="L3910" s="3" t="inlineStr">
        <is>
          <t>정직한한국</t>
        </is>
      </c>
      <c r="M3910" s="3" t="n">
        <v>1</v>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3" t="inlineStr">
        <is>
          <t>금암리 전원마을 모양좋은 전원주택지, 전망좋아요</t>
        </is>
      </c>
      <c r="I3911" s="5">
        <f>HYPERLINK("https://fin.land.naver.com/articles/2645278372", "매물Link")</f>
        <v/>
      </c>
      <c r="J3911" s="5">
        <f>HYPERLINK("https://map.naver.com/p/search/장군면 금암리 314-64", "지도Link")</f>
        <v/>
      </c>
      <c r="K3911" s="5">
        <f>HYPERLINK("http://www.eum.go.kr/web/ar/lu/luLandDet.jsp?pnu=3611035025103140064&amp;isNoScr=script&amp;mode=search", "토지이음")</f>
        <v/>
      </c>
      <c r="L3911" s="3" t="inlineStr">
        <is>
          <t>부엉이</t>
        </is>
      </c>
      <c r="M3911" s="3" t="n">
        <v>1</v>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3" t="inlineStr">
        <is>
          <t>세종시 장군면 금암리 대형평수 위치 좋은 계획관리 토지</t>
        </is>
      </c>
      <c r="I3912" s="5">
        <f>HYPERLINK("https://fin.land.naver.com/articles/2646832723", "매물Link")</f>
        <v/>
      </c>
      <c r="J3912" s="5">
        <f>HYPERLINK("https://map.naver.com/p/search/장군면 금암리 331", "지도Link")</f>
        <v/>
      </c>
      <c r="K3912" s="5">
        <f>HYPERLINK("http://www.eum.go.kr/web/ar/lu/luLandDet.jsp?pnu=3611035025103310000&amp;isNoScr=script&amp;mode=search", "토지이음")</f>
        <v/>
      </c>
      <c r="L3912" s="3" t="inlineStr">
        <is>
          <t>뉴스카이</t>
        </is>
      </c>
      <c r="M3912" s="3" t="n">
        <v>1</v>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3" t="inlineStr">
        <is>
          <t>금암리 청벽마을 입구로 금강이 보이는 배산임수지역</t>
        </is>
      </c>
      <c r="I3913" s="5">
        <f>HYPERLINK("https://fin.land.naver.com/articles/2648579111", "매물Link")</f>
        <v/>
      </c>
      <c r="J3913" s="5">
        <f>HYPERLINK("https://map.naver.com/p/search/장군면 금암리 340-1", "지도Link")</f>
        <v/>
      </c>
      <c r="K3913" s="5">
        <f>HYPERLINK("http://www.eum.go.kr/web/ar/lu/luLandDet.jsp?pnu=3611035025103400001&amp;isNoScr=script&amp;mode=search", "토지이음")</f>
        <v/>
      </c>
      <c r="L3913" s="3" t="inlineStr">
        <is>
          <t>세종어울림</t>
        </is>
      </c>
      <c r="M3913" s="3" t="n">
        <v>1</v>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3" t="inlineStr">
        <is>
          <t>금암리 전원 마을, 금강 조망권 좋은 토지, 배산임수 , 투자 적합,</t>
        </is>
      </c>
      <c r="I3914" s="5">
        <f>HYPERLINK("https://fin.land.naver.com/articles/2648449744", "매물Link")</f>
        <v/>
      </c>
      <c r="J3914" s="5">
        <f>HYPERLINK("https://map.naver.com/p/search/장군면 금암리 367-3", "지도Link")</f>
        <v/>
      </c>
      <c r="K3914" s="5">
        <f>HYPERLINK("http://www.eum.go.kr/web/ar/lu/luLandDet.jsp?pnu=3611035025103670003&amp;isNoScr=script&amp;mode=search", "토지이음")</f>
        <v/>
      </c>
      <c r="L3914" s="3" t="inlineStr">
        <is>
          <t>세종</t>
        </is>
      </c>
      <c r="M3914" s="3" t="n">
        <v>1</v>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3" t="inlineStr">
        <is>
          <t>계획관리지역, 전원주택지, 도로연접, 세종시15분이내</t>
        </is>
      </c>
      <c r="I3915" s="5">
        <f>HYPERLINK("https://fin.land.naver.com/articles/2646242650", "매물Link")</f>
        <v/>
      </c>
      <c r="J3915" s="5">
        <f>HYPERLINK("https://map.naver.com/p/search/장군면 금암리 378-28", "지도Link")</f>
        <v/>
      </c>
      <c r="K3915" s="5">
        <f>HYPERLINK("http://www.eum.go.kr/web/ar/lu/luLandDet.jsp?pnu=3611035025103780028&amp;isNoScr=script&amp;mode=search", "토지이음")</f>
        <v/>
      </c>
      <c r="L3915" s="3" t="inlineStr">
        <is>
          <t>Home</t>
        </is>
      </c>
      <c r="M3915" s="3" t="n">
        <v>2</v>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3" t="inlineStr">
        <is>
          <t>공주가는길농협연수원근처,전원주택즉시건축가능,첫마을에서10분지대가높고좋아요</t>
        </is>
      </c>
      <c r="I3916" s="5">
        <f>HYPERLINK("https://fin.land.naver.com/articles/2648101409", "매물Link")</f>
        <v/>
      </c>
      <c r="J3916" s="5">
        <f>HYPERLINK("https://map.naver.com/p/search/장군면 금암리 378-28", "지도Link")</f>
        <v/>
      </c>
      <c r="K3916" s="5">
        <f>HYPERLINK("http://www.eum.go.kr/web/ar/lu/luLandDet.jsp?pnu=3611035025103780028&amp;isNoScr=script&amp;mode=search", "토지이음")</f>
        <v/>
      </c>
      <c r="L3916" s="3" t="inlineStr">
        <is>
          <t>신대륙</t>
        </is>
      </c>
      <c r="M3916" s="3" t="n">
        <v>1</v>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3" t="inlineStr">
        <is>
          <t>장군면 풍경채마을, 시야가 탁 트인 명품 필지 매매</t>
        </is>
      </c>
      <c r="I3917" s="5">
        <f>HYPERLINK("https://fin.land.naver.com/articles/2648349009", "매물Link")</f>
        <v/>
      </c>
      <c r="J3917" s="5">
        <f>HYPERLINK("https://map.naver.com/p/search/장군면 금암리 378-35", "지도Link")</f>
        <v/>
      </c>
      <c r="K3917" s="5">
        <f>HYPERLINK("http://www.eum.go.kr/web/ar/lu/luLandDet.jsp?pnu=3611035025103780035&amp;isNoScr=script&amp;mode=search", "토지이음")</f>
        <v/>
      </c>
      <c r="L3917" s="3" t="inlineStr">
        <is>
          <t>미스터홈즈강남지사</t>
        </is>
      </c>
      <c r="M3917" s="3" t="n">
        <v>1</v>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3" t="inlineStr">
        <is>
          <t>풍경채 마을 금강 뷰 최상</t>
        </is>
      </c>
      <c r="I3918" s="5">
        <f>HYPERLINK("https://fin.land.naver.com/articles/2649458319", "매물Link")</f>
        <v/>
      </c>
      <c r="J3918" s="5">
        <f>HYPERLINK("https://map.naver.com/p/search/장군면 금암리 378-38", "지도Link")</f>
        <v/>
      </c>
      <c r="K3918" s="5">
        <f>HYPERLINK("http://www.eum.go.kr/web/ar/lu/luLandDet.jsp?pnu=3611035025103780038&amp;isNoScr=script&amp;mode=search", "토지이음")</f>
        <v/>
      </c>
      <c r="L3918" s="3" t="inlineStr">
        <is>
          <t>세종삼촌</t>
        </is>
      </c>
      <c r="M3918" s="3" t="n">
        <v>1</v>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3" t="inlineStr">
        <is>
          <t>금강이 잘 보이는 청벽 전원주택부지로 택지개발 완료한 급매물입니다.</t>
        </is>
      </c>
      <c r="I3919" s="5">
        <f>HYPERLINK("https://fin.land.naver.com/articles/2645393431", "매물Link")</f>
        <v/>
      </c>
      <c r="J3919" s="5">
        <f>HYPERLINK("https://map.naver.com/p/search/장군면 금암리 378-44", "지도Link")</f>
        <v/>
      </c>
      <c r="K3919" s="5">
        <f>HYPERLINK("http://www.eum.go.kr/web/ar/lu/luLandDet.jsp?pnu=3611035025103780044&amp;isNoScr=script&amp;mode=search", "토지이음")</f>
        <v/>
      </c>
      <c r="L3919" s="3" t="inlineStr">
        <is>
          <t>스마일세종</t>
        </is>
      </c>
      <c r="M3919" s="3" t="n">
        <v>1</v>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3" t="inlineStr">
        <is>
          <t>세종시초입 전원주택 또는 요양원개발에 적합 총11필지</t>
        </is>
      </c>
      <c r="I3920" s="5">
        <f>HYPERLINK("https://fin.land.naver.com/articles/2649471515", "매물Link")</f>
        <v/>
      </c>
      <c r="J3920" s="5">
        <f>HYPERLINK("https://map.naver.com/p/search/장군면 금암리 40", "지도Link")</f>
        <v/>
      </c>
      <c r="K3920" s="5">
        <f>HYPERLINK("http://www.eum.go.kr/web/ar/lu/luLandDet.jsp?pnu=3611035025100400000&amp;isNoScr=script&amp;mode=search", "토지이음")</f>
        <v/>
      </c>
      <c r="L3920" s="3" t="inlineStr">
        <is>
          <t>바다하리</t>
        </is>
      </c>
      <c r="M3920" s="3" t="n">
        <v>1</v>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3" t="inlineStr">
        <is>
          <t>금강뷰 토지 급매</t>
        </is>
      </c>
      <c r="I3921" s="5">
        <f>HYPERLINK("https://fin.land.naver.com/articles/2649552026", "매물Link")</f>
        <v/>
      </c>
      <c r="J3921" s="5">
        <f>HYPERLINK("https://map.naver.com/p/search/장군면 금암리 467", "지도Link")</f>
        <v/>
      </c>
      <c r="K3921" s="5">
        <f>HYPERLINK("http://www.eum.go.kr/web/ar/lu/luLandDet.jsp?pnu=3611035025104670000&amp;isNoScr=script&amp;mode=search", "토지이음")</f>
        <v/>
      </c>
      <c r="L3921" s="3" t="inlineStr">
        <is>
          <t>현</t>
        </is>
      </c>
      <c r="M3921" s="3" t="n">
        <v>1</v>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3" t="inlineStr">
        <is>
          <t>조용하고 한적한 전원 주택지.</t>
        </is>
      </c>
      <c r="I3922" s="5">
        <f>HYPERLINK("https://fin.land.naver.com/articles/2649295353", "매물Link")</f>
        <v/>
      </c>
      <c r="J3922" s="5">
        <f>HYPERLINK("https://map.naver.com/p/search/장군면 금암리 500-1", "지도Link")</f>
        <v/>
      </c>
      <c r="K3922" s="5">
        <f>HYPERLINK("http://www.eum.go.kr/web/ar/lu/luLandDet.jsp?pnu=3611035025105000001&amp;isNoScr=script&amp;mode=search", "토지이음")</f>
        <v/>
      </c>
      <c r="L3922" s="3" t="inlineStr">
        <is>
          <t>진흥채</t>
        </is>
      </c>
      <c r="M3922" s="3" t="n">
        <v>2</v>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3" t="inlineStr">
        <is>
          <t>대전에서  가까운 주말농장이나 전원주택  국유지 사용가능</t>
        </is>
      </c>
      <c r="I3923" s="5">
        <f>HYPERLINK("https://fin.land.naver.com/articles/2645932595", "매물Link")</f>
        <v/>
      </c>
      <c r="J3923" s="5">
        <f>HYPERLINK("https://map.naver.com/p/search/장군면 금암리 86", "지도Link")</f>
        <v/>
      </c>
      <c r="K3923" s="5">
        <f>HYPERLINK("http://www.eum.go.kr/web/ar/lu/luLandDet.jsp?pnu=3611035025100860000&amp;isNoScr=script&amp;mode=search", "토지이음")</f>
        <v/>
      </c>
      <c r="L3923" s="3" t="inlineStr">
        <is>
          <t>엔터수진</t>
        </is>
      </c>
      <c r="M3923" s="3" t="n">
        <v>1</v>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3" t="inlineStr">
        <is>
          <t>장군면 대교리 개발된 계획관리 토지, 장군면소재지, 신도시 인근, 건축용</t>
        </is>
      </c>
      <c r="I3924" s="5">
        <f>HYPERLINK("https://fin.land.naver.com/articles/2645609568", "매물Link")</f>
        <v/>
      </c>
      <c r="J3924" s="5">
        <f>HYPERLINK("https://map.naver.com/p/search/장군면 대교리 113-51", "지도Link")</f>
        <v/>
      </c>
      <c r="K3924" s="5">
        <f>HYPERLINK("http://www.eum.go.kr/web/ar/lu/luLandDet.jsp?pnu=3611035023101130051&amp;isNoScr=script&amp;mode=search", "토지이음")</f>
        <v/>
      </c>
      <c r="L3924" s="3" t="inlineStr">
        <is>
          <t>스카이</t>
        </is>
      </c>
      <c r="M3924" s="3" t="n">
        <v>1</v>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3" t="inlineStr">
        <is>
          <t>장군면 대교리 개발된 계획관리 토지, 장군면소재지, 신도시 인근, 건축용</t>
        </is>
      </c>
      <c r="I3925" s="5">
        <f>HYPERLINK("https://fin.land.naver.com/articles/2645609562", "매물Link")</f>
        <v/>
      </c>
      <c r="J3925" s="5">
        <f>HYPERLINK("https://map.naver.com/p/search/장군면 대교리 113-57", "지도Link")</f>
        <v/>
      </c>
      <c r="K3925" s="5">
        <f>HYPERLINK("http://www.eum.go.kr/web/ar/lu/luLandDet.jsp?pnu=3611035023101130057&amp;isNoScr=script&amp;mode=search", "토지이음")</f>
        <v/>
      </c>
      <c r="L3925" s="3" t="inlineStr">
        <is>
          <t>스카이</t>
        </is>
      </c>
      <c r="M3925" s="3" t="n">
        <v>1</v>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3" t="inlineStr">
        <is>
          <t>추천 명당 더숲전원주택지 ,남향에 공원이 토지앞에 있어 더욱 좋은땅</t>
        </is>
      </c>
      <c r="I3926" s="5">
        <f>HYPERLINK("https://fin.land.naver.com/articles/2647836418", "매물Link")</f>
        <v/>
      </c>
      <c r="J3926" s="5">
        <f>HYPERLINK("https://map.naver.com/p/search/장군면 대교리 125-54", "지도Link")</f>
        <v/>
      </c>
      <c r="K3926" s="5">
        <f>HYPERLINK("http://www.eum.go.kr/web/ar/lu/luLandDet.jsp?pnu=3611035023101250054&amp;isNoScr=script&amp;mode=search", "토지이음")</f>
        <v/>
      </c>
      <c r="L3926" s="3" t="inlineStr">
        <is>
          <t>세종대승</t>
        </is>
      </c>
      <c r="M3926" s="3" t="n">
        <v>1</v>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3" t="inlineStr">
        <is>
          <t>장군면 전원주택지 ,위치좋고 뷰가 최상,가락마을 9단지 근처.가격조율가.</t>
        </is>
      </c>
      <c r="I3927" s="5">
        <f>HYPERLINK("https://fin.land.naver.com/articles/2644988696", "매물Link")</f>
        <v/>
      </c>
      <c r="J3927" s="5">
        <f>HYPERLINK("https://map.naver.com/p/search/장군면 대교리 125-54", "지도Link")</f>
        <v/>
      </c>
      <c r="K3927" s="5">
        <f>HYPERLINK("http://www.eum.go.kr/web/ar/lu/luLandDet.jsp?pnu=3611035023101250054&amp;isNoScr=script&amp;mode=search", "토지이음")</f>
        <v/>
      </c>
      <c r="L3927" s="3" t="inlineStr">
        <is>
          <t>우미</t>
        </is>
      </c>
      <c r="M3927" s="3" t="n">
        <v>1</v>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3" t="inlineStr">
        <is>
          <t>nan</t>
        </is>
      </c>
      <c r="I3928" s="5">
        <f>HYPERLINK("https://fin.land.naver.com/articles/2649977943", "매물Link")</f>
        <v/>
      </c>
      <c r="J3928" s="5">
        <f>HYPERLINK("https://map.naver.com/p/search/장군면 대교리 125-57", "지도Link")</f>
        <v/>
      </c>
      <c r="K3928" s="5">
        <f>HYPERLINK("http://www.eum.go.kr/web/ar/lu/luLandDet.jsp?pnu=3611035023101250057&amp;isNoScr=script&amp;mode=search", "토지이음")</f>
        <v/>
      </c>
      <c r="L3928" s="3" t="inlineStr">
        <is>
          <t>현대엠코</t>
        </is>
      </c>
      <c r="M3928" s="3" t="n">
        <v>2</v>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3" t="inlineStr">
        <is>
          <t>조망좋은 행복도시인접 전원주택부지</t>
        </is>
      </c>
      <c r="I3929" s="5">
        <f>HYPERLINK("https://fin.land.naver.com/articles/2649378840", "매물Link")</f>
        <v/>
      </c>
      <c r="J3929" s="5">
        <f>HYPERLINK("https://map.naver.com/p/search/장군면 대교리 126-12", "지도Link")</f>
        <v/>
      </c>
      <c r="K3929" s="5">
        <f>HYPERLINK("http://www.eum.go.kr/web/ar/lu/luLandDet.jsp?pnu=3611035023101260012&amp;isNoScr=script&amp;mode=search", "토지이음")</f>
        <v/>
      </c>
      <c r="L3929" s="3" t="inlineStr">
        <is>
          <t>인서</t>
        </is>
      </c>
      <c r="M3929" s="3" t="n">
        <v>1</v>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3" t="inlineStr">
        <is>
          <t>잘 조성된 전원주택부지 편의시설 바로 옆 행복도시생활권</t>
        </is>
      </c>
      <c r="I3930" s="5">
        <f>HYPERLINK("https://fin.land.naver.com/articles/2648939610", "매물Link")</f>
        <v/>
      </c>
      <c r="J3930" s="5">
        <f>HYPERLINK("https://map.naver.com/p/search/장군면 대교리 126-40", "지도Link")</f>
        <v/>
      </c>
      <c r="K3930" s="5">
        <f>HYPERLINK("http://www.eum.go.kr/web/ar/lu/luLandDet.jsp?pnu=3611035023101260040&amp;isNoScr=script&amp;mode=search", "토지이음")</f>
        <v/>
      </c>
      <c r="L3930" s="3" t="inlineStr">
        <is>
          <t>하임</t>
        </is>
      </c>
      <c r="M3930" s="3" t="n">
        <v>1</v>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3" t="inlineStr">
        <is>
          <t>세종시 고운동 9단지 신동아아파트 인근 2차선 도로에 접한 계획관리 토지</t>
        </is>
      </c>
      <c r="I3931" s="5">
        <f>HYPERLINK("https://fin.land.naver.com/articles/2650049002", "매물Link")</f>
        <v/>
      </c>
      <c r="J3931" s="5">
        <f>HYPERLINK("https://map.naver.com/p/search/장군면 대교리 132", "지도Link")</f>
        <v/>
      </c>
      <c r="K3931" s="5">
        <f>HYPERLINK("http://www.eum.go.kr/web/ar/lu/luLandDet.jsp?pnu=3611035023101320000&amp;isNoScr=script&amp;mode=search", "토지이음")</f>
        <v/>
      </c>
      <c r="L3931" s="3" t="inlineStr">
        <is>
          <t>하이엔드</t>
        </is>
      </c>
      <c r="M3931" s="3" t="n">
        <v>3</v>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3" t="inlineStr">
        <is>
          <t>고운동 경계 마지막 대형 상업용지</t>
        </is>
      </c>
      <c r="I3932" s="5">
        <f>HYPERLINK("https://fin.land.naver.com/articles/2649483378", "매물Link")</f>
        <v/>
      </c>
      <c r="J3932" s="5">
        <f>HYPERLINK("https://map.naver.com/p/search/장군면 대교리 132", "지도Link")</f>
        <v/>
      </c>
      <c r="K3932" s="5">
        <f>HYPERLINK("http://www.eum.go.kr/web/ar/lu/luLandDet.jsp?pnu=3611035023101320000&amp;isNoScr=script&amp;mode=search", "토지이음")</f>
        <v/>
      </c>
      <c r="L3932" s="3" t="inlineStr">
        <is>
          <t>대박</t>
        </is>
      </c>
      <c r="M3932" s="3" t="n">
        <v>1</v>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3" t="inlineStr">
        <is>
          <t>고운동 접근성 좋은 대지</t>
        </is>
      </c>
      <c r="I3933" s="5">
        <f>HYPERLINK("https://fin.land.naver.com/articles/2646908926", "매물Link")</f>
        <v/>
      </c>
      <c r="J3933" s="5">
        <f>HYPERLINK("https://map.naver.com/p/search/장군면 대교리 147-39", "지도Link")</f>
        <v/>
      </c>
      <c r="K3933" s="5">
        <f>HYPERLINK("http://www.eum.go.kr/web/ar/lu/luLandDet.jsp?pnu=3611035023101470039&amp;isNoScr=script&amp;mode=search", "토지이음")</f>
        <v/>
      </c>
      <c r="L3933" s="3" t="inlineStr">
        <is>
          <t>세종로또</t>
        </is>
      </c>
      <c r="M3933" s="3" t="n">
        <v>1</v>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3" t="inlineStr">
        <is>
          <t>고운풍경채마을 위치 좋은 전원 주택지 입니다</t>
        </is>
      </c>
      <c r="I3934" s="5">
        <f>HYPERLINK("https://fin.land.naver.com/articles/2644175276", "매물Link")</f>
        <v/>
      </c>
      <c r="J3934" s="5">
        <f>HYPERLINK("https://map.naver.com/p/search/장군면 대교리 147-53", "지도Link")</f>
        <v/>
      </c>
      <c r="K3934" s="5">
        <f>HYPERLINK("http://www.eum.go.kr/web/ar/lu/luLandDet.jsp?pnu=3611035023101470053&amp;isNoScr=script&amp;mode=search", "토지이음")</f>
        <v/>
      </c>
      <c r="L3934" s="3" t="inlineStr">
        <is>
          <t>세종공주원탑</t>
        </is>
      </c>
      <c r="M3934" s="3" t="n">
        <v>1</v>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3" t="inlineStr">
        <is>
          <t>행복도시 최인접대지로 인기좋은땅</t>
        </is>
      </c>
      <c r="I3935" s="5">
        <f>HYPERLINK("https://fin.land.naver.com/articles/2646639528", "매물Link")</f>
        <v/>
      </c>
      <c r="J3935" s="5">
        <f>HYPERLINK("https://map.naver.com/p/search/장군면 대교리 169-21", "지도Link")</f>
        <v/>
      </c>
      <c r="K3935" s="5">
        <f>HYPERLINK("http://www.eum.go.kr/web/ar/lu/luLandDet.jsp?pnu=3611035023101690021&amp;isNoScr=script&amp;mode=search", "토지이음")</f>
        <v/>
      </c>
      <c r="L3935" s="3" t="inlineStr">
        <is>
          <t>모닝스타</t>
        </is>
      </c>
      <c r="M3935" s="3" t="n">
        <v>1</v>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3" t="inlineStr">
        <is>
          <t>대교리전원주택지,서세종IC,세종시5분내진입가능,총4필지</t>
        </is>
      </c>
      <c r="I3936" s="5">
        <f>HYPERLINK("https://fin.land.naver.com/articles/2649539857", "매물Link")</f>
        <v/>
      </c>
      <c r="J3936" s="5">
        <f>HYPERLINK("https://map.naver.com/p/search/장군면 대교리 172-24", "지도Link")</f>
        <v/>
      </c>
      <c r="K3936" s="5">
        <f>HYPERLINK("http://www.eum.go.kr/web/ar/lu/luLandDet.jsp?pnu=3611035023101720024&amp;isNoScr=script&amp;mode=search", "토지이음")</f>
        <v/>
      </c>
      <c r="L3936" s="3" t="inlineStr">
        <is>
          <t>부자마을</t>
        </is>
      </c>
      <c r="M3936" s="3" t="n">
        <v>1</v>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3" t="inlineStr">
        <is>
          <t>도심인근전원주택지,서세종ic5분,정부청사15분,도로접</t>
        </is>
      </c>
      <c r="I3937" s="5">
        <f>HYPERLINK("https://fin.land.naver.com/articles/2644050970", "매물Link")</f>
        <v/>
      </c>
      <c r="J3937" s="5">
        <f>HYPERLINK("https://map.naver.com/p/search/장군면 대교리 172-28", "지도Link")</f>
        <v/>
      </c>
      <c r="K3937" s="5">
        <f>HYPERLINK("http://www.eum.go.kr/web/ar/lu/luLandDet.jsp?pnu=3611035023101720028&amp;isNoScr=script&amp;mode=search", "토지이음")</f>
        <v/>
      </c>
      <c r="L3937" s="3" t="inlineStr">
        <is>
          <t>힐스테이트행복</t>
        </is>
      </c>
      <c r="M3937" s="3" t="n">
        <v>1</v>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3" t="inlineStr">
        <is>
          <t>가격네고가능,2차선도로접,세종시근접,건축허가 난토지.단독주택지로 추천</t>
        </is>
      </c>
      <c r="I3938" s="5">
        <f>HYPERLINK("https://fin.land.naver.com/articles/2646791304", "매물Link")</f>
        <v/>
      </c>
      <c r="J3938" s="5">
        <f>HYPERLINK("https://map.naver.com/p/search/장군면 대교리 227-16", "지도Link")</f>
        <v/>
      </c>
      <c r="K3938" s="5">
        <f>HYPERLINK("http://www.eum.go.kr/web/ar/lu/luLandDet.jsp?pnu=3611035023102270016&amp;isNoScr=script&amp;mode=search", "토지이음")</f>
        <v/>
      </c>
      <c r="L3938" s="3" t="inlineStr">
        <is>
          <t>담뜰</t>
        </is>
      </c>
      <c r="M3938" s="3" t="n">
        <v>1</v>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3" t="inlineStr">
        <is>
          <t>신도시 1km 거리 명품택지 이니지오, 넓은평수에 상단 위치 최상 전망</t>
        </is>
      </c>
      <c r="I3939" s="5">
        <f>HYPERLINK("https://fin.land.naver.com/articles/2644847753", "매물Link")</f>
        <v/>
      </c>
      <c r="J3939" s="5">
        <f>HYPERLINK("https://map.naver.com/p/search/장군면 대교리 227-16", "지도Link")</f>
        <v/>
      </c>
      <c r="K3939" s="5">
        <f>HYPERLINK("http://www.eum.go.kr/web/ar/lu/luLandDet.jsp?pnu=3611035023102270016&amp;isNoScr=script&amp;mode=search", "토지이음")</f>
        <v/>
      </c>
      <c r="L3939" s="3" t="inlineStr">
        <is>
          <t>온뜰</t>
        </is>
      </c>
      <c r="M3939" s="3" t="n">
        <v>1</v>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3" t="inlineStr">
        <is>
          <t>nan</t>
        </is>
      </c>
      <c r="I3940" s="5">
        <f>HYPERLINK("https://fin.land.naver.com/articles/2646835566", "매물Link")</f>
        <v/>
      </c>
      <c r="J3940" s="5">
        <f>HYPERLINK("https://map.naver.com/p/search/장군면 대교리 227-7", "지도Link")</f>
        <v/>
      </c>
      <c r="K3940" s="5">
        <f>HYPERLINK("http://www.eum.go.kr/web/ar/lu/luLandDet.jsp?pnu=3611035023102270007&amp;isNoScr=script&amp;mode=search", "토지이음")</f>
        <v/>
      </c>
      <c r="L3940" s="3" t="inlineStr">
        <is>
          <t>세종몽땅</t>
        </is>
      </c>
      <c r="M3940" s="3" t="n">
        <v>1</v>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3" t="inlineStr">
        <is>
          <t>2차선 도로접한 대지  매매,세종시 고운동 근접</t>
        </is>
      </c>
      <c r="I3941" s="5">
        <f>HYPERLINK("https://fin.land.naver.com/articles/2648915659", "매물Link")</f>
        <v/>
      </c>
      <c r="J3941" s="5">
        <f>HYPERLINK("https://map.naver.com/p/search/장군면 대교리 228-17", "지도Link")</f>
        <v/>
      </c>
      <c r="K3941" s="5">
        <f>HYPERLINK("http://www.eum.go.kr/web/ar/lu/luLandDet.jsp?pnu=3611035023102280017&amp;isNoScr=script&amp;mode=search", "토지이음")</f>
        <v/>
      </c>
      <c r="L3941" s="3" t="inlineStr">
        <is>
          <t>담뜰</t>
        </is>
      </c>
      <c r="M3941" s="3" t="n">
        <v>1</v>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3" t="inlineStr">
        <is>
          <t>지대가 높은 막힘없는 조망권뷰 최상,벙커형 넓은평수,명품 이니지오 택지</t>
        </is>
      </c>
      <c r="I3942" s="5">
        <f>HYPERLINK("https://fin.land.naver.com/articles/2648069989", "매물Link")</f>
        <v/>
      </c>
      <c r="J3942" s="5">
        <f>HYPERLINK("https://map.naver.com/p/search/장군면 대교리 228-19", "지도Link")</f>
        <v/>
      </c>
      <c r="K3942" s="5">
        <f>HYPERLINK("http://www.eum.go.kr/web/ar/lu/luLandDet.jsp?pnu=3611035023102280019&amp;isNoScr=script&amp;mode=search", "토지이음")</f>
        <v/>
      </c>
      <c r="L3942" s="3" t="inlineStr">
        <is>
          <t>고운맘</t>
        </is>
      </c>
      <c r="M3942" s="3" t="n">
        <v>1</v>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3" t="inlineStr">
        <is>
          <t>이니지오 단독주택지 전원주택 단독주택 찾는분</t>
        </is>
      </c>
      <c r="I3943" s="5">
        <f>HYPERLINK("https://fin.land.naver.com/articles/2649734063", "매물Link")</f>
        <v/>
      </c>
      <c r="J3943" s="5">
        <f>HYPERLINK("https://map.naver.com/p/search/장군면 대교리 228-20", "지도Link")</f>
        <v/>
      </c>
      <c r="K3943" s="5">
        <f>HYPERLINK("http://www.eum.go.kr/web/ar/lu/luLandDet.jsp?pnu=3611035023102280020&amp;isNoScr=script&amp;mode=search", "토지이음")</f>
        <v/>
      </c>
      <c r="L3943" s="3" t="inlineStr">
        <is>
          <t>세종몽땅</t>
        </is>
      </c>
      <c r="M3943" s="3" t="n">
        <v>1</v>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3" t="inlineStr">
        <is>
          <t>막힘없는 조망권뷰 최상,넓은평수,명품 이니지오 택지,가격조정가능</t>
        </is>
      </c>
      <c r="I3944" s="5">
        <f>HYPERLINK("https://fin.land.naver.com/articles/2646725821", "매물Link")</f>
        <v/>
      </c>
      <c r="J3944" s="5">
        <f>HYPERLINK("https://map.naver.com/p/search/장군면 대교리 228-20", "지도Link")</f>
        <v/>
      </c>
      <c r="K3944" s="5">
        <f>HYPERLINK("http://www.eum.go.kr/web/ar/lu/luLandDet.jsp?pnu=3611035023102280020&amp;isNoScr=script&amp;mode=search", "토지이음")</f>
        <v/>
      </c>
      <c r="L3944" s="3" t="inlineStr">
        <is>
          <t>고운맘</t>
        </is>
      </c>
      <c r="M3944" s="3" t="n">
        <v>1</v>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3" t="inlineStr">
        <is>
          <t>전원주택지 이니지오 입구에 위치한 모양 좋은 땅  전용 면적 기준</t>
        </is>
      </c>
      <c r="I3945" s="5">
        <f>HYPERLINK("https://fin.land.naver.com/articles/2644175191", "매물Link")</f>
        <v/>
      </c>
      <c r="J3945" s="5">
        <f>HYPERLINK("https://map.naver.com/p/search/장군면 대교리 228-24", "지도Link")</f>
        <v/>
      </c>
      <c r="K3945" s="5">
        <f>HYPERLINK("http://www.eum.go.kr/web/ar/lu/luLandDet.jsp?pnu=3611035023102280024&amp;isNoScr=script&amp;mode=search", "토지이음")</f>
        <v/>
      </c>
      <c r="L3945" s="3" t="inlineStr">
        <is>
          <t>세종공주원탑</t>
        </is>
      </c>
      <c r="M3945" s="3" t="n">
        <v>1</v>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3" t="inlineStr">
        <is>
          <t>급매,도로접 보전관리지역, 지대 높아 막힘없는 조망권뷰 최상,넓은평수</t>
        </is>
      </c>
      <c r="I3946" s="5">
        <f>HYPERLINK("https://fin.land.naver.com/articles/2645375571", "매물Link")</f>
        <v/>
      </c>
      <c r="J3946" s="5">
        <f>HYPERLINK("https://map.naver.com/p/search/장군면 대교리 228-26", "지도Link")</f>
        <v/>
      </c>
      <c r="K3946" s="5">
        <f>HYPERLINK("http://www.eum.go.kr/web/ar/lu/luLandDet.jsp?pnu=3611035023102280026&amp;isNoScr=script&amp;mode=search", "토지이음")</f>
        <v/>
      </c>
      <c r="L3946" s="3" t="inlineStr">
        <is>
          <t>고운맘</t>
        </is>
      </c>
      <c r="M3946" s="3" t="n">
        <v>1</v>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3" t="inlineStr">
        <is>
          <t>초급매,지대가 높은 공원연접 조망권뷰최상,넓은평수,명품이니지오 택지</t>
        </is>
      </c>
      <c r="I3947" s="5">
        <f>HYPERLINK("https://fin.land.naver.com/articles/2648069971", "매물Link")</f>
        <v/>
      </c>
      <c r="J3947" s="5">
        <f>HYPERLINK("https://map.naver.com/p/search/장군면 대교리 228-32", "지도Link")</f>
        <v/>
      </c>
      <c r="K3947" s="5">
        <f>HYPERLINK("http://www.eum.go.kr/web/ar/lu/luLandDet.jsp?pnu=3611035023102280032&amp;isNoScr=script&amp;mode=search", "토지이음")</f>
        <v/>
      </c>
      <c r="L3947" s="3" t="inlineStr">
        <is>
          <t>고운맘</t>
        </is>
      </c>
      <c r="M3947" s="3" t="n">
        <v>1</v>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3" t="inlineStr">
        <is>
          <t>이니지오 단독주택지</t>
        </is>
      </c>
      <c r="I3948" s="5">
        <f>HYPERLINK("https://fin.land.naver.com/articles/2648751925", "매물Link")</f>
        <v/>
      </c>
      <c r="J3948" s="5">
        <f>HYPERLINK("https://map.naver.com/p/search/장군면 대교리 228-83", "지도Link")</f>
        <v/>
      </c>
      <c r="K3948" s="5">
        <f>HYPERLINK("http://www.eum.go.kr/web/ar/lu/luLandDet.jsp?pnu=3611035023102280083&amp;isNoScr=script&amp;mode=search", "토지이음")</f>
        <v/>
      </c>
      <c r="L3948" s="3" t="inlineStr">
        <is>
          <t>세종몽땅</t>
        </is>
      </c>
      <c r="M3948" s="3" t="n">
        <v>1</v>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3" t="inlineStr">
        <is>
          <t>급매,코너각지 막힘없는 조망권뷰최상,넓은평수,명품이니지오 택지</t>
        </is>
      </c>
      <c r="I3949" s="5">
        <f>HYPERLINK("https://fin.land.naver.com/articles/2645847547", "매물Link")</f>
        <v/>
      </c>
      <c r="J3949" s="5">
        <f>HYPERLINK("https://map.naver.com/p/search/장군면 대교리 228-83", "지도Link")</f>
        <v/>
      </c>
      <c r="K3949" s="5">
        <f>HYPERLINK("http://www.eum.go.kr/web/ar/lu/luLandDet.jsp?pnu=3611035023102280083&amp;isNoScr=script&amp;mode=search", "토지이음")</f>
        <v/>
      </c>
      <c r="L3949" s="3" t="inlineStr">
        <is>
          <t>고운맘</t>
        </is>
      </c>
      <c r="M3949" s="3" t="n">
        <v>1</v>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3" t="inlineStr">
        <is>
          <t>임야 , 면적 5,130P, 단독주택, 노유자시설 가능</t>
        </is>
      </c>
      <c r="I3950" s="5">
        <f>HYPERLINK("https://fin.land.naver.com/articles/2644050292", "매물Link")</f>
        <v/>
      </c>
      <c r="J3950" s="5">
        <f>HYPERLINK("https://map.naver.com/p/search/장군면 대교리 253-1", "지도Link")</f>
        <v/>
      </c>
      <c r="K3950" s="5">
        <f>HYPERLINK("http://www.eum.go.kr/web/ar/lu/luLandDet.jsp?pnu=3611035023102530001&amp;isNoScr=script&amp;mode=search", "토지이음")</f>
        <v/>
      </c>
      <c r="L3950" s="3" t="inlineStr">
        <is>
          <t>승리</t>
        </is>
      </c>
      <c r="M3950" s="3" t="n">
        <v>1</v>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3" t="inlineStr">
        <is>
          <t>세종시 임야를 찾으시면 추천해요</t>
        </is>
      </c>
      <c r="I3951" s="5">
        <f>HYPERLINK("https://fin.land.naver.com/articles/2644646753", "매물Link")</f>
        <v/>
      </c>
      <c r="J3951" s="5">
        <f>HYPERLINK("https://map.naver.com/p/search/장군면 대교리 253-3", "지도Link")</f>
        <v/>
      </c>
      <c r="K3951" s="5">
        <f>HYPERLINK("http://www.eum.go.kr/web/ar/lu/luLandDet.jsp?pnu=3611035023102530003&amp;isNoScr=script&amp;mode=search", "토지이음")</f>
        <v/>
      </c>
      <c r="L3951" s="3" t="inlineStr">
        <is>
          <t>숭어리탑</t>
        </is>
      </c>
      <c r="M3951" s="3" t="n">
        <v>1</v>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3" t="inlineStr">
        <is>
          <t>김종서장군 역사테마공원 입구, 도로옆</t>
        </is>
      </c>
      <c r="I3952" s="5">
        <f>HYPERLINK("https://fin.land.naver.com/articles/2649909074", "매물Link")</f>
        <v/>
      </c>
      <c r="J3952" s="5">
        <f>HYPERLINK("https://map.naver.com/p/search/장군면 대교리 302-1", "지도Link")</f>
        <v/>
      </c>
      <c r="K3952" s="5">
        <f>HYPERLINK("http://www.eum.go.kr/web/ar/lu/luLandDet.jsp?pnu=3611035023103020001&amp;isNoScr=script&amp;mode=search", "토지이음")</f>
        <v/>
      </c>
      <c r="L3952" s="3" t="inlineStr">
        <is>
          <t>미스터홈즈강남지사</t>
        </is>
      </c>
      <c r="M3952" s="3" t="n">
        <v>1</v>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3" t="inlineStr">
        <is>
          <t>nan</t>
        </is>
      </c>
      <c r="I3953" s="5">
        <f>HYPERLINK("https://fin.land.naver.com/articles/2647835918", "매물Link")</f>
        <v/>
      </c>
      <c r="J3953" s="5">
        <f>HYPERLINK("https://map.naver.com/p/search/장군면 대교리 317-3", "지도Link")</f>
        <v/>
      </c>
      <c r="K3953" s="5">
        <f>HYPERLINK("http://www.eum.go.kr/web/ar/lu/luLandDet.jsp?pnu=3611035023103170003&amp;isNoScr=script&amp;mode=search", "토지이음")</f>
        <v/>
      </c>
      <c r="L3953" s="3" t="inlineStr">
        <is>
          <t>세종대승</t>
        </is>
      </c>
      <c r="M3953" s="3" t="n">
        <v>1</v>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3" t="inlineStr">
        <is>
          <t>전원주택 단지 조성된 곳</t>
        </is>
      </c>
      <c r="I3954" s="5">
        <f>HYPERLINK("https://fin.land.naver.com/articles/2650150442", "매물Link")</f>
        <v/>
      </c>
      <c r="J3954" s="5">
        <f>HYPERLINK("https://map.naver.com/p/search/장군면 대교리 323-10", "지도Link")</f>
        <v/>
      </c>
      <c r="K3954" s="5">
        <f>HYPERLINK("http://www.eum.go.kr/web/ar/lu/luLandDet.jsp?pnu=3611035023103230010&amp;isNoScr=script&amp;mode=search", "토지이음")</f>
        <v/>
      </c>
      <c r="L3954" s="3" t="inlineStr">
        <is>
          <t>나릿재OK</t>
        </is>
      </c>
      <c r="M3954" s="3" t="n">
        <v>1</v>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3" t="inlineStr">
        <is>
          <t>급매,지대가 높아 막힘없는 조망권뷰 최상, 김종서장군묘소 인접</t>
        </is>
      </c>
      <c r="I3955" s="5">
        <f>HYPERLINK("https://fin.land.naver.com/articles/2647277955", "매물Link")</f>
        <v/>
      </c>
      <c r="J3955" s="5">
        <f>HYPERLINK("https://map.naver.com/p/search/장군면 대교리 335-71", "지도Link")</f>
        <v/>
      </c>
      <c r="K3955" s="5">
        <f>HYPERLINK("http://www.eum.go.kr/web/ar/lu/luLandDet.jsp?pnu=3611035023103350071&amp;isNoScr=script&amp;mode=search", "토지이음")</f>
        <v/>
      </c>
      <c r="L3955" s="3" t="inlineStr">
        <is>
          <t>고운맘</t>
        </is>
      </c>
      <c r="M3955" s="3" t="n">
        <v>1</v>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3" t="inlineStr">
        <is>
          <t>투자가치높은 지역 . 전기,수도 시설 건축허가되어있음,</t>
        </is>
      </c>
      <c r="I3956" s="5">
        <f>HYPERLINK("https://fin.land.naver.com/articles/2644499932", "매물Link")</f>
        <v/>
      </c>
      <c r="J3956" s="5">
        <f>HYPERLINK("https://map.naver.com/p/search/장군면 대교리 335-8", "지도Link")</f>
        <v/>
      </c>
      <c r="K3956" s="5">
        <f>HYPERLINK("http://www.eum.go.kr/web/ar/lu/luLandDet.jsp?pnu=3611035023103350008&amp;isNoScr=script&amp;mode=search", "토지이음")</f>
        <v/>
      </c>
      <c r="L3956" s="3" t="inlineStr">
        <is>
          <t>보람뜰</t>
        </is>
      </c>
      <c r="M3956" s="3" t="n">
        <v>1</v>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3" t="inlineStr">
        <is>
          <t>허가된 가설 건축물 수도 이입 텃 밭으로 이용 해누리 마을 초입</t>
        </is>
      </c>
      <c r="I3957" s="5">
        <f>HYPERLINK("https://fin.land.naver.com/articles/2646025594", "매물Link")</f>
        <v/>
      </c>
      <c r="J3957" s="5">
        <f>HYPERLINK("https://map.naver.com/p/search/장군면 대교리 335-8", "지도Link")</f>
        <v/>
      </c>
      <c r="K3957" s="5">
        <f>HYPERLINK("http://www.eum.go.kr/web/ar/lu/luLandDet.jsp?pnu=3611035023103350008&amp;isNoScr=script&amp;mode=search", "토지이음")</f>
        <v/>
      </c>
      <c r="L3957" s="3" t="inlineStr">
        <is>
          <t>세종공주원탑</t>
        </is>
      </c>
      <c r="M3957" s="3" t="n">
        <v>1</v>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3" t="inlineStr">
        <is>
          <t>김종서장군묘지인근 개발및투자하기 좋은토지</t>
        </is>
      </c>
      <c r="I3958" s="5">
        <f>HYPERLINK("https://fin.land.naver.com/articles/2646383937", "매물Link")</f>
        <v/>
      </c>
      <c r="J3958" s="5">
        <f>HYPERLINK("https://map.naver.com/p/search/장군면 대교리 336", "지도Link")</f>
        <v/>
      </c>
      <c r="K3958" s="5">
        <f>HYPERLINK("http://www.eum.go.kr/web/ar/lu/luLandDet.jsp?pnu=3611035023103360000&amp;isNoScr=script&amp;mode=search", "토지이음")</f>
        <v/>
      </c>
      <c r="L3958" s="3" t="inlineStr">
        <is>
          <t>세종강남</t>
        </is>
      </c>
      <c r="M3958" s="3" t="n">
        <v>1</v>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3" t="inlineStr">
        <is>
          <t>해누리 전원마을 입구 계획관리 토지매매</t>
        </is>
      </c>
      <c r="I3959" s="5">
        <f>HYPERLINK("https://fin.land.naver.com/articles/2646415862", "매물Link")</f>
        <v/>
      </c>
      <c r="J3959" s="5">
        <f>HYPERLINK("https://map.naver.com/p/search/장군면 대교리 338-3", "지도Link")</f>
        <v/>
      </c>
      <c r="K3959" s="5">
        <f>HYPERLINK("http://www.eum.go.kr/web/ar/lu/luLandDet.jsp?pnu=3611035023103380003&amp;isNoScr=script&amp;mode=search", "토지이음")</f>
        <v/>
      </c>
      <c r="L3959" s="3" t="inlineStr">
        <is>
          <t>에이스</t>
        </is>
      </c>
      <c r="M3959" s="3" t="n">
        <v>1</v>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3" t="inlineStr">
        <is>
          <t>대교리 잘조성된 전원주택지</t>
        </is>
      </c>
      <c r="I3960" s="5">
        <f>HYPERLINK("https://fin.land.naver.com/articles/2648119609", "매물Link")</f>
        <v/>
      </c>
      <c r="J3960" s="5">
        <f>HYPERLINK("https://map.naver.com/p/search/장군면 대교리 338-6", "지도Link")</f>
        <v/>
      </c>
      <c r="K3960" s="5">
        <f>HYPERLINK("http://www.eum.go.kr/web/ar/lu/luLandDet.jsp?pnu=3611035023103380006&amp;isNoScr=script&amp;mode=search", "토지이음")</f>
        <v/>
      </c>
      <c r="L3960" s="3" t="inlineStr">
        <is>
          <t>세종천지</t>
        </is>
      </c>
      <c r="M3960" s="3" t="n">
        <v>1</v>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3" t="inlineStr">
        <is>
          <t>신도시인접 주말농장 등등 인접지 토지 같이 매매가능</t>
        </is>
      </c>
      <c r="I3961" s="5">
        <f>HYPERLINK("https://fin.land.naver.com/articles/2647073543", "매물Link")</f>
        <v/>
      </c>
      <c r="J3961" s="5">
        <f>HYPERLINK("https://map.naver.com/p/search/장군면 대교리 347", "지도Link")</f>
        <v/>
      </c>
      <c r="K3961" s="5">
        <f>HYPERLINK("http://www.eum.go.kr/web/ar/lu/luLandDet.jsp?pnu=3611035023103470000&amp;isNoScr=script&amp;mode=search", "토지이음")</f>
        <v/>
      </c>
      <c r="L3961" s="3" t="inlineStr">
        <is>
          <t>세종강남</t>
        </is>
      </c>
      <c r="M3961" s="3" t="n">
        <v>1</v>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3" t="inlineStr">
        <is>
          <t>건축허가 된 토지,대교리 토지 매매</t>
        </is>
      </c>
      <c r="I3962" s="5">
        <f>HYPERLINK("https://fin.land.naver.com/articles/2647184244", "매물Link")</f>
        <v/>
      </c>
      <c r="J3962" s="5">
        <f>HYPERLINK("https://map.naver.com/p/search/장군면 대교리 348", "지도Link")</f>
        <v/>
      </c>
      <c r="K3962" s="5">
        <f>HYPERLINK("http://www.eum.go.kr/web/ar/lu/luLandDet.jsp?pnu=3611035023103480000&amp;isNoScr=script&amp;mode=search", "토지이음")</f>
        <v/>
      </c>
      <c r="L3962" s="3" t="inlineStr">
        <is>
          <t>만촌서한</t>
        </is>
      </c>
      <c r="M3962" s="3" t="n">
        <v>2</v>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3" t="inlineStr">
        <is>
          <t>지대가 높아 뷰가 좋은 위치,한옥주택 및 김종서장군묘소 인접,4필지 매매</t>
        </is>
      </c>
      <c r="I3963" s="5">
        <f>HYPERLINK("https://fin.land.naver.com/articles/2649566486", "매물Link")</f>
        <v/>
      </c>
      <c r="J3963" s="5">
        <f>HYPERLINK("https://map.naver.com/p/search/장군면 대교리 348", "지도Link")</f>
        <v/>
      </c>
      <c r="K3963" s="5">
        <f>HYPERLINK("http://www.eum.go.kr/web/ar/lu/luLandDet.jsp?pnu=3611035023103480000&amp;isNoScr=script&amp;mode=search", "토지이음")</f>
        <v/>
      </c>
      <c r="L3963" s="3" t="inlineStr">
        <is>
          <t>고운맘</t>
        </is>
      </c>
      <c r="M3963" s="3" t="n">
        <v>1</v>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3" t="inlineStr">
        <is>
          <t>근생부지허가난 토지,가격조율</t>
        </is>
      </c>
      <c r="I3964" s="5">
        <f>HYPERLINK("https://fin.land.naver.com/articles/2649029875", "매물Link")</f>
        <v/>
      </c>
      <c r="J3964" s="5">
        <f>HYPERLINK("https://map.naver.com/p/search/장군면 대교리 348-1", "지도Link")</f>
        <v/>
      </c>
      <c r="K3964" s="5">
        <f>HYPERLINK("http://www.eum.go.kr/web/ar/lu/luLandDet.jsp?pnu=3611035023103480001&amp;isNoScr=script&amp;mode=search", "토지이음")</f>
        <v/>
      </c>
      <c r="L3964" s="3" t="inlineStr">
        <is>
          <t>담뜰</t>
        </is>
      </c>
      <c r="M3964" s="3" t="n">
        <v>3</v>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3" t="inlineStr">
        <is>
          <t>가격조정가능</t>
        </is>
      </c>
      <c r="I3965" s="5">
        <f>HYPERLINK("https://fin.land.naver.com/articles/2649177360", "매물Link")</f>
        <v/>
      </c>
      <c r="J3965" s="5">
        <f>HYPERLINK("https://map.naver.com/p/search/장군면 대교리 348-4", "지도Link")</f>
        <v/>
      </c>
      <c r="K3965" s="5">
        <f>HYPERLINK("http://www.eum.go.kr/web/ar/lu/luLandDet.jsp?pnu=3611035023103480004&amp;isNoScr=script&amp;mode=search", "토지이음")</f>
        <v/>
      </c>
      <c r="L3965" s="3" t="inlineStr">
        <is>
          <t>그래그</t>
        </is>
      </c>
      <c r="M3965" s="3" t="n">
        <v>1</v>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3" t="inlineStr">
        <is>
          <t>가격조정가능</t>
        </is>
      </c>
      <c r="I3966" s="5">
        <f>HYPERLINK("https://fin.land.naver.com/articles/2647098218", "매물Link")</f>
        <v/>
      </c>
      <c r="J3966" s="5">
        <f>HYPERLINK("https://map.naver.com/p/search/장군면 대교리 348-6", "지도Link")</f>
        <v/>
      </c>
      <c r="K3966" s="5">
        <f>HYPERLINK("http://www.eum.go.kr/web/ar/lu/luLandDet.jsp?pnu=3611035023103480006&amp;isNoScr=script&amp;mode=search", "토지이음")</f>
        <v/>
      </c>
      <c r="L3966" s="3" t="inlineStr">
        <is>
          <t>그래그</t>
        </is>
      </c>
      <c r="M3966" s="3" t="n">
        <v>1</v>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3" t="inlineStr">
        <is>
          <t>공유지분포함216P 목장용지 진입도로유 투자가치최고 적극조율</t>
        </is>
      </c>
      <c r="I3967" s="5">
        <f>HYPERLINK("https://fin.land.naver.com/articles/2645279735", "매물Link")</f>
        <v/>
      </c>
      <c r="J3967" s="5">
        <f>HYPERLINK("https://map.naver.com/p/search/장군면 대교리 349-1", "지도Link")</f>
        <v/>
      </c>
      <c r="K3967" s="5">
        <f>HYPERLINK("http://www.eum.go.kr/web/ar/lu/luLandDet.jsp?pnu=3611035023103490001&amp;isNoScr=script&amp;mode=search", "토지이음")</f>
        <v/>
      </c>
      <c r="L3967" s="3" t="inlineStr">
        <is>
          <t>세종대왕</t>
        </is>
      </c>
      <c r="M3967" s="3" t="n">
        <v>1</v>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3" t="inlineStr">
        <is>
          <t>공유지분포함224P 목장용지 진입도로유 투자가치최고 적극조율</t>
        </is>
      </c>
      <c r="I3968" s="5">
        <f>HYPERLINK("https://fin.land.naver.com/articles/2645279515", "매물Link")</f>
        <v/>
      </c>
      <c r="J3968" s="5">
        <f>HYPERLINK("https://map.naver.com/p/search/장군면 대교리 349-5", "지도Link")</f>
        <v/>
      </c>
      <c r="K3968" s="5">
        <f>HYPERLINK("http://www.eum.go.kr/web/ar/lu/luLandDet.jsp?pnu=3611035023103490005&amp;isNoScr=script&amp;mode=search", "토지이음")</f>
        <v/>
      </c>
      <c r="L3968" s="3" t="inlineStr">
        <is>
          <t>세종대왕</t>
        </is>
      </c>
      <c r="M3968" s="3" t="n">
        <v>1</v>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3" t="inlineStr">
        <is>
          <t>nan</t>
        </is>
      </c>
      <c r="I3969" s="5">
        <f>HYPERLINK("https://fin.land.naver.com/articles/2644125193", "매물Link")</f>
        <v/>
      </c>
      <c r="J3969" s="5">
        <f>HYPERLINK("https://map.naver.com/p/search/장군면 대교리 354", "지도Link")</f>
        <v/>
      </c>
      <c r="K3969" s="5">
        <f>HYPERLINK("http://www.eum.go.kr/web/ar/lu/luLandDet.jsp?pnu=3611035023103540000&amp;isNoScr=script&amp;mode=search", "토지이음")</f>
        <v/>
      </c>
      <c r="L3969" s="3" t="inlineStr">
        <is>
          <t>다온</t>
        </is>
      </c>
      <c r="M3969" s="3" t="n">
        <v>1</v>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3" t="inlineStr">
        <is>
          <t>급매,지대가 높아 조망권뷰 최상 뷰가 좋은 위치,김종서장군묘소 인접</t>
        </is>
      </c>
      <c r="I3970" s="5">
        <f>HYPERLINK("https://fin.land.naver.com/articles/2647929470", "매물Link")</f>
        <v/>
      </c>
      <c r="J3970" s="5">
        <f>HYPERLINK("https://map.naver.com/p/search/장군면 대교리 370-20", "지도Link")</f>
        <v/>
      </c>
      <c r="K3970" s="5">
        <f>HYPERLINK("http://www.eum.go.kr/web/ar/lu/luLandDet.jsp?pnu=3611035023103700020&amp;isNoScr=script&amp;mode=search", "토지이음")</f>
        <v/>
      </c>
      <c r="L3970" s="3" t="inlineStr">
        <is>
          <t>고운맘</t>
        </is>
      </c>
      <c r="M3970" s="3" t="n">
        <v>1</v>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3" t="inlineStr">
        <is>
          <t>분양가이하 급매,정남향 지대가 높아 조망권뷰 최상,김종서장군묘소인접</t>
        </is>
      </c>
      <c r="I3971" s="5">
        <f>HYPERLINK("https://fin.land.naver.com/articles/2647930876", "매물Link")</f>
        <v/>
      </c>
      <c r="J3971" s="5">
        <f>HYPERLINK("https://map.naver.com/p/search/장군면 대교리 370-21", "지도Link")</f>
        <v/>
      </c>
      <c r="K3971" s="5">
        <f>HYPERLINK("http://www.eum.go.kr/web/ar/lu/luLandDet.jsp?pnu=3611035023103700021&amp;isNoScr=script&amp;mode=search", "토지이음")</f>
        <v/>
      </c>
      <c r="L3971" s="3" t="inlineStr">
        <is>
          <t>고운맘</t>
        </is>
      </c>
      <c r="M3971" s="3" t="n">
        <v>1</v>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3" t="inlineStr">
        <is>
          <t>급매,코너각지,조망권뷰 최상,김종서장군묘소 인접,가격조정가능</t>
        </is>
      </c>
      <c r="I3972" s="5">
        <f>HYPERLINK("https://fin.land.naver.com/articles/2648862756", "매물Link")</f>
        <v/>
      </c>
      <c r="J3972" s="5">
        <f>HYPERLINK("https://map.naver.com/p/search/장군면 대교리 370-22", "지도Link")</f>
        <v/>
      </c>
      <c r="K3972" s="5">
        <f>HYPERLINK("http://www.eum.go.kr/web/ar/lu/luLandDet.jsp?pnu=3611035023103700022&amp;isNoScr=script&amp;mode=search", "토지이음")</f>
        <v/>
      </c>
      <c r="L3972" s="3" t="inlineStr">
        <is>
          <t>고운맘</t>
        </is>
      </c>
      <c r="M3972" s="3" t="n">
        <v>1</v>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3" t="inlineStr">
        <is>
          <t>nan</t>
        </is>
      </c>
      <c r="I3973" s="5">
        <f>HYPERLINK("https://fin.land.naver.com/articles/2644592400", "매물Link")</f>
        <v/>
      </c>
      <c r="J3973" s="5">
        <f>HYPERLINK("https://map.naver.com/p/search/장군면 대교리 370-23", "지도Link")</f>
        <v/>
      </c>
      <c r="K3973" s="5">
        <f>HYPERLINK("http://www.eum.go.kr/web/ar/lu/luLandDet.jsp?pnu=3611035023103700023&amp;isNoScr=script&amp;mode=search", "토지이음")</f>
        <v/>
      </c>
      <c r="L3973" s="3" t="inlineStr">
        <is>
          <t>세종몽땅</t>
        </is>
      </c>
      <c r="M3973" s="3" t="n">
        <v>1</v>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3" t="inlineStr">
        <is>
          <t>초급매,지대가 높아 뷰가 좋은 위치,김종서장군묘소인접,코너</t>
        </is>
      </c>
      <c r="I3974" s="5">
        <f>HYPERLINK("https://fin.land.naver.com/articles/2647930351", "매물Link")</f>
        <v/>
      </c>
      <c r="J3974" s="5">
        <f>HYPERLINK("https://map.naver.com/p/search/장군면 대교리 370-23", "지도Link")</f>
        <v/>
      </c>
      <c r="K3974" s="5">
        <f>HYPERLINK("http://www.eum.go.kr/web/ar/lu/luLandDet.jsp?pnu=3611035023103700023&amp;isNoScr=script&amp;mode=search", "토지이음")</f>
        <v/>
      </c>
      <c r="L3974" s="3" t="inlineStr">
        <is>
          <t>고운맘</t>
        </is>
      </c>
      <c r="M3974" s="3" t="n">
        <v>1</v>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3" t="inlineStr">
        <is>
          <t>세종그르노블 단독주택지</t>
        </is>
      </c>
      <c r="I3975" s="5">
        <f>HYPERLINK("https://fin.land.naver.com/articles/2645752486", "매물Link")</f>
        <v/>
      </c>
      <c r="J3975" s="5">
        <f>HYPERLINK("https://map.naver.com/p/search/장군면 대교리 370-56", "지도Link")</f>
        <v/>
      </c>
      <c r="K3975" s="5">
        <f>HYPERLINK("http://www.eum.go.kr/web/ar/lu/luLandDet.jsp?pnu=3611035023103700056&amp;isNoScr=script&amp;mode=search", "토지이음")</f>
        <v/>
      </c>
      <c r="L3975" s="3" t="inlineStr">
        <is>
          <t>세종몽땅</t>
        </is>
      </c>
      <c r="M3975" s="3" t="n">
        <v>1</v>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3" t="inlineStr">
        <is>
          <t>nan</t>
        </is>
      </c>
      <c r="I3976" s="5">
        <f>HYPERLINK("https://fin.land.naver.com/articles/2647098577", "매물Link")</f>
        <v/>
      </c>
      <c r="J3976" s="5">
        <f>HYPERLINK("https://map.naver.com/p/search/장군면 대교리 370-56", "지도Link")</f>
        <v/>
      </c>
      <c r="K3976" s="5">
        <f>HYPERLINK("http://www.eum.go.kr/web/ar/lu/luLandDet.jsp?pnu=3611035023103700056&amp;isNoScr=script&amp;mode=search", "토지이음")</f>
        <v/>
      </c>
      <c r="L3976" s="3" t="inlineStr">
        <is>
          <t>그래그</t>
        </is>
      </c>
      <c r="M3976" s="3" t="n">
        <v>2</v>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3" t="inlineStr">
        <is>
          <t>급매,지대가 높아 뷰가 좋은 위치,김종서장군묘소인접,코너각지</t>
        </is>
      </c>
      <c r="I3977" s="5">
        <f>HYPERLINK("https://fin.land.naver.com/articles/2644218172", "매물Link")</f>
        <v/>
      </c>
      <c r="J3977" s="5">
        <f>HYPERLINK("https://map.naver.com/p/search/장군면 대교리 370-56", "지도Link")</f>
        <v/>
      </c>
      <c r="K3977" s="5">
        <f>HYPERLINK("http://www.eum.go.kr/web/ar/lu/luLandDet.jsp?pnu=3611035023103700056&amp;isNoScr=script&amp;mode=search", "토지이음")</f>
        <v/>
      </c>
      <c r="L3977" s="3" t="inlineStr">
        <is>
          <t>고운맘</t>
        </is>
      </c>
      <c r="M3977" s="3" t="n">
        <v>1</v>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3" t="inlineStr">
        <is>
          <t>카페 등 근생 강추 다양한 용도로 가능(김종서 테마공원 입구)</t>
        </is>
      </c>
      <c r="I3978" s="5">
        <f>HYPERLINK("https://fin.land.naver.com/articles/2647383538", "매물Link")</f>
        <v/>
      </c>
      <c r="J3978" s="5">
        <f>HYPERLINK("https://map.naver.com/p/search/장군면 대교리 379-1", "지도Link")</f>
        <v/>
      </c>
      <c r="K3978" s="5">
        <f>HYPERLINK("http://www.eum.go.kr/web/ar/lu/luLandDet.jsp?pnu=3611035023103790001&amp;isNoScr=script&amp;mode=search", "토지이음")</f>
        <v/>
      </c>
      <c r="L3978" s="3" t="inlineStr">
        <is>
          <t>상상</t>
        </is>
      </c>
      <c r="M3978" s="3" t="n">
        <v>1</v>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3" t="inlineStr">
        <is>
          <t>세종시 인접한 전원주택지</t>
        </is>
      </c>
      <c r="I3979" s="5">
        <f>HYPERLINK("https://fin.land.naver.com/articles/2649305987", "매물Link")</f>
        <v/>
      </c>
      <c r="J3979" s="5">
        <f>HYPERLINK("https://map.naver.com/p/search/장군면 대교리 403-10", "지도Link")</f>
        <v/>
      </c>
      <c r="K3979" s="5">
        <f>HYPERLINK("http://www.eum.go.kr/web/ar/lu/luLandDet.jsp?pnu=3611035023104030010&amp;isNoScr=script&amp;mode=search", "토지이음")</f>
        <v/>
      </c>
      <c r="L3979" s="3" t="inlineStr">
        <is>
          <t>바다하리</t>
        </is>
      </c>
      <c r="M3979" s="3" t="n">
        <v>1</v>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3" t="inlineStr">
        <is>
          <t>급매.세종 생활권 가까워 투자가치와 활용도 높은 토지</t>
        </is>
      </c>
      <c r="I3980" s="5">
        <f>HYPERLINK("https://fin.land.naver.com/articles/2649629284", "매물Link")</f>
        <v/>
      </c>
      <c r="J3980" s="5">
        <f>HYPERLINK("https://map.naver.com/p/search/장군면 대교리 403-13", "지도Link")</f>
        <v/>
      </c>
      <c r="K3980" s="5">
        <f>HYPERLINK("http://www.eum.go.kr/web/ar/lu/luLandDet.jsp?pnu=3611035023104030013&amp;isNoScr=script&amp;mode=search", "토지이음")</f>
        <v/>
      </c>
      <c r="L3980" s="3" t="inlineStr">
        <is>
          <t>가치잇는</t>
        </is>
      </c>
      <c r="M3980" s="3" t="n">
        <v>1</v>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3" t="inlineStr">
        <is>
          <t>주말농장 으로 활용하셔도 되요</t>
        </is>
      </c>
      <c r="I3981" s="5">
        <f>HYPERLINK("https://fin.land.naver.com/articles/2645776159", "매물Link")</f>
        <v/>
      </c>
      <c r="J3981" s="5">
        <f>HYPERLINK("https://map.naver.com/p/search/장군면 대교리 406-2", "지도Link")</f>
        <v/>
      </c>
      <c r="K3981" s="5">
        <f>HYPERLINK("http://www.eum.go.kr/web/ar/lu/luLandDet.jsp?pnu=3611035023104060002&amp;isNoScr=script&amp;mode=search", "토지이음")</f>
        <v/>
      </c>
      <c r="L3981" s="3" t="inlineStr">
        <is>
          <t>지호주식회사</t>
        </is>
      </c>
      <c r="M3981" s="3" t="n">
        <v>1</v>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3" t="inlineStr">
        <is>
          <t>세종시 인근 투자 가치 높은 토지</t>
        </is>
      </c>
      <c r="I3982" s="5">
        <f>HYPERLINK("https://fin.land.naver.com/articles/2648079816", "매물Link")</f>
        <v/>
      </c>
      <c r="J3982" s="5">
        <f>HYPERLINK("https://map.naver.com/p/search/장군면 대교리 420-10", "지도Link")</f>
        <v/>
      </c>
      <c r="K3982" s="5">
        <f>HYPERLINK("http://www.eum.go.kr/web/ar/lu/luLandDet.jsp?pnu=3611035023104200010&amp;isNoScr=script&amp;mode=search", "토지이음")</f>
        <v/>
      </c>
      <c r="L3982" s="3" t="inlineStr">
        <is>
          <t>상상</t>
        </is>
      </c>
      <c r="M3982" s="3" t="n">
        <v>1</v>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3" t="inlineStr">
        <is>
          <t>대교리 도로에접한 농림지 답</t>
        </is>
      </c>
      <c r="I3983" s="5">
        <f>HYPERLINK("https://fin.land.naver.com/articles/2650047620", "매물Link")</f>
        <v/>
      </c>
      <c r="J3983" s="5">
        <f>HYPERLINK("https://map.naver.com/p/search/장군면 대교리 420-11", "지도Link")</f>
        <v/>
      </c>
      <c r="K3983" s="5">
        <f>HYPERLINK("http://www.eum.go.kr/web/ar/lu/luLandDet.jsp?pnu=3611035023104200011&amp;isNoScr=script&amp;mode=search", "토지이음")</f>
        <v/>
      </c>
      <c r="L3983" s="3" t="inlineStr">
        <is>
          <t>세종천지</t>
        </is>
      </c>
      <c r="M3983" s="3" t="n">
        <v>1</v>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3" t="inlineStr">
        <is>
          <t>농지원부용 면적 충족, 2차선접</t>
        </is>
      </c>
      <c r="I3984" s="5">
        <f>HYPERLINK("https://fin.land.naver.com/articles/2647773525", "매물Link")</f>
        <v/>
      </c>
      <c r="J3984" s="5">
        <f>HYPERLINK("https://map.naver.com/p/search/장군면 대교리 420-6", "지도Link")</f>
        <v/>
      </c>
      <c r="K3984" s="5">
        <f>HYPERLINK("http://www.eum.go.kr/web/ar/lu/luLandDet.jsp?pnu=3611035023104200006&amp;isNoScr=script&amp;mode=search", "토지이음")</f>
        <v/>
      </c>
      <c r="L3984" s="3" t="inlineStr">
        <is>
          <t>대박</t>
        </is>
      </c>
      <c r="M3984" s="3" t="n">
        <v>1</v>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3" t="inlineStr">
        <is>
          <t>김종서장군 역사테마공원 가는길 도로변 농림지역 토지</t>
        </is>
      </c>
      <c r="I3985" s="5">
        <f>HYPERLINK("https://fin.land.naver.com/articles/2649980696", "매물Link")</f>
        <v/>
      </c>
      <c r="J3985" s="5">
        <f>HYPERLINK("https://map.naver.com/p/search/장군면 대교리 433-13", "지도Link")</f>
        <v/>
      </c>
      <c r="K3985" s="5">
        <f>HYPERLINK("http://www.eum.go.kr/web/ar/lu/luLandDet.jsp?pnu=3611035023104330013&amp;isNoScr=script&amp;mode=search", "토지이음")</f>
        <v/>
      </c>
      <c r="L3985" s="3" t="inlineStr">
        <is>
          <t>온뜰</t>
        </is>
      </c>
      <c r="M3985" s="3" t="n">
        <v>1</v>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3" t="inlineStr">
        <is>
          <t>김종서장군 역사테마공원 인근 도로에 2면 접한 토지</t>
        </is>
      </c>
      <c r="I3986" s="5">
        <f>HYPERLINK("https://fin.land.naver.com/articles/2645605382", "매물Link")</f>
        <v/>
      </c>
      <c r="J3986" s="5">
        <f>HYPERLINK("https://map.naver.com/p/search/장군면 대교리 433-13", "지도Link")</f>
        <v/>
      </c>
      <c r="K3986" s="5">
        <f>HYPERLINK("http://www.eum.go.kr/web/ar/lu/luLandDet.jsp?pnu=3611035023104330013&amp;isNoScr=script&amp;mode=search", "토지이음")</f>
        <v/>
      </c>
      <c r="L3986" s="3" t="inlineStr">
        <is>
          <t>미스터홈즈강남지사</t>
        </is>
      </c>
      <c r="M3986" s="3" t="n">
        <v>1</v>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3" t="inlineStr">
        <is>
          <t>대형베이커리카페 음식점 전원주택등 추천</t>
        </is>
      </c>
      <c r="I3987" s="5">
        <f>HYPERLINK("https://fin.land.naver.com/articles/2648880923", "매물Link")</f>
        <v/>
      </c>
      <c r="J3987" s="5">
        <f>HYPERLINK("https://map.naver.com/p/search/장군면 대교리 437", "지도Link")</f>
        <v/>
      </c>
      <c r="K3987" s="5">
        <f>HYPERLINK("http://www.eum.go.kr/web/ar/lu/luLandDet.jsp?pnu=3611035023104370000&amp;isNoScr=script&amp;mode=search", "토지이음")</f>
        <v/>
      </c>
      <c r="L3987" s="3" t="inlineStr">
        <is>
          <t>경민</t>
        </is>
      </c>
      <c r="M3987" s="3" t="n">
        <v>2</v>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3" t="inlineStr">
        <is>
          <t>지가상승및 투자가치 있는 장군면 김종서장군묘역인근 토지 매매</t>
        </is>
      </c>
      <c r="I3988" s="5">
        <f>HYPERLINK("https://fin.land.naver.com/articles/2648041800", "매물Link")</f>
        <v/>
      </c>
      <c r="J3988" s="5">
        <f>HYPERLINK("https://map.naver.com/p/search/장군면 대교리 437", "지도Link")</f>
        <v/>
      </c>
      <c r="K3988" s="5">
        <f>HYPERLINK("http://www.eum.go.kr/web/ar/lu/luLandDet.jsp?pnu=3611035023104370000&amp;isNoScr=script&amp;mode=search", "토지이음")</f>
        <v/>
      </c>
      <c r="L3988" s="3" t="inlineStr">
        <is>
          <t>리슈빌대주</t>
        </is>
      </c>
      <c r="M3988" s="3" t="n">
        <v>1</v>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3" t="inlineStr">
        <is>
          <t>nan</t>
        </is>
      </c>
      <c r="I3989" s="5">
        <f>HYPERLINK("https://fin.land.naver.com/articles/2646828889", "매물Link")</f>
        <v/>
      </c>
      <c r="J3989" s="5">
        <f>HYPERLINK("https://map.naver.com/p/search/장군면 대교리 462-9", "지도Link")</f>
        <v/>
      </c>
      <c r="K3989" s="5">
        <f>HYPERLINK("http://www.eum.go.kr/web/ar/lu/luLandDet.jsp?pnu=3611035023104620009&amp;isNoScr=script&amp;mode=search", "토지이음")</f>
        <v/>
      </c>
      <c r="L3989" s="3" t="inlineStr">
        <is>
          <t>세종대평</t>
        </is>
      </c>
      <c r="M3989" s="3" t="n">
        <v>1</v>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3" t="inlineStr">
        <is>
          <t>2면도로접함 개발호재많음 농가주택가능</t>
        </is>
      </c>
      <c r="I3990" s="5">
        <f>HYPERLINK("https://fin.land.naver.com/articles/2648885943", "매물Link")</f>
        <v/>
      </c>
      <c r="J3990" s="5">
        <f>HYPERLINK("https://map.naver.com/p/search/장군면 대교리 478-2", "지도Link")</f>
        <v/>
      </c>
      <c r="K3990" s="5">
        <f>HYPERLINK("http://www.eum.go.kr/web/ar/lu/luLandDet.jsp?pnu=3611035023104780002&amp;isNoScr=script&amp;mode=search", "토지이음")</f>
        <v/>
      </c>
      <c r="L3990" s="3" t="inlineStr">
        <is>
          <t>세종마당</t>
        </is>
      </c>
      <c r="M3990" s="3" t="n">
        <v>1</v>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3" t="inlineStr">
        <is>
          <t>농림지역 농가주택가능 개발호재지역</t>
        </is>
      </c>
      <c r="I3991" s="5">
        <f>HYPERLINK("https://fin.land.naver.com/articles/2646105876", "매물Link")</f>
        <v/>
      </c>
      <c r="J3991" s="5">
        <f>HYPERLINK("https://map.naver.com/p/search/장군면 대교리 478-3", "지도Link")</f>
        <v/>
      </c>
      <c r="K3991" s="5">
        <f>HYPERLINK("http://www.eum.go.kr/web/ar/lu/luLandDet.jsp?pnu=3611035023104780003&amp;isNoScr=script&amp;mode=search", "토지이음")</f>
        <v/>
      </c>
      <c r="L3991" s="3" t="inlineStr">
        <is>
          <t>세종마당</t>
        </is>
      </c>
      <c r="M3991" s="3" t="n">
        <v>2</v>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3" t="inlineStr">
        <is>
          <t>전원주택 및 투자, 대토, 다용도</t>
        </is>
      </c>
      <c r="I3992" s="5">
        <f>HYPERLINK("https://fin.land.naver.com/articles/2646630847", "매물Link")</f>
        <v/>
      </c>
      <c r="J3992" s="5">
        <f>HYPERLINK("https://map.naver.com/p/search/장군면 대교리 479-3", "지도Link")</f>
        <v/>
      </c>
      <c r="K3992" s="5">
        <f>HYPERLINK("http://www.eum.go.kr/web/ar/lu/luLandDet.jsp?pnu=3611035023104790003&amp;isNoScr=script&amp;mode=search", "토지이음")</f>
        <v/>
      </c>
      <c r="L3992" s="3" t="inlineStr">
        <is>
          <t>새땅</t>
        </is>
      </c>
      <c r="M3992" s="3" t="n">
        <v>1</v>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3" t="inlineStr">
        <is>
          <t>추천. 세종시 인근 농림지역</t>
        </is>
      </c>
      <c r="I3993" s="5">
        <f>HYPERLINK("https://fin.land.naver.com/articles/2645464433", "매물Link")</f>
        <v/>
      </c>
      <c r="J3993" s="5">
        <f>HYPERLINK("https://map.naver.com/p/search/장군면 대교리 480-3", "지도Link")</f>
        <v/>
      </c>
      <c r="K3993" s="5">
        <f>HYPERLINK("http://www.eum.go.kr/web/ar/lu/luLandDet.jsp?pnu=3611035023104800003&amp;isNoScr=script&amp;mode=search", "토지이음")</f>
        <v/>
      </c>
      <c r="L3993" s="3" t="inlineStr">
        <is>
          <t>강아지풀</t>
        </is>
      </c>
      <c r="M3993" s="3" t="n">
        <v>1</v>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3" t="inlineStr">
        <is>
          <t>대교리 계획관리지역 토지매매</t>
        </is>
      </c>
      <c r="I3994" s="5">
        <f>HYPERLINK("https://fin.land.naver.com/articles/2646415109", "매물Link")</f>
        <v/>
      </c>
      <c r="J3994" s="5">
        <f>HYPERLINK("https://map.naver.com/p/search/장군면 대교리 483", "지도Link")</f>
        <v/>
      </c>
      <c r="K3994" s="5">
        <f>HYPERLINK("http://www.eum.go.kr/web/ar/lu/luLandDet.jsp?pnu=3611035023104830000&amp;isNoScr=script&amp;mode=search", "토지이음")</f>
        <v/>
      </c>
      <c r="L3994" s="3" t="inlineStr">
        <is>
          <t>에이스</t>
        </is>
      </c>
      <c r="M3994" s="3" t="n">
        <v>1</v>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3" t="inlineStr">
        <is>
          <t>명성공인, 대교리 계획관리 추천 매물</t>
        </is>
      </c>
      <c r="I3995" s="5">
        <f>HYPERLINK("https://fin.land.naver.com/articles/2648044826", "매물Link")</f>
        <v/>
      </c>
      <c r="J3995" s="5">
        <f>HYPERLINK("https://map.naver.com/p/search/장군면 대교리 507-1", "지도Link")</f>
        <v/>
      </c>
      <c r="K3995" s="5">
        <f>HYPERLINK("http://www.eum.go.kr/web/ar/lu/luLandDet.jsp?pnu=3611035023105070001&amp;isNoScr=script&amp;mode=search", "토지이음")</f>
        <v/>
      </c>
      <c r="L3995" s="3" t="inlineStr">
        <is>
          <t>명성</t>
        </is>
      </c>
      <c r="M3995" s="3" t="n">
        <v>1</v>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3" t="inlineStr">
        <is>
          <t>인접6필지일괄매도,분리매도가능,계획관리지역 투자가치 최고</t>
        </is>
      </c>
      <c r="I3996" s="5">
        <f>HYPERLINK("https://fin.land.naver.com/articles/2647407778", "매물Link")</f>
        <v/>
      </c>
      <c r="J3996" s="5">
        <f>HYPERLINK("https://map.naver.com/p/search/장군면 대교리 507-1", "지도Link")</f>
        <v/>
      </c>
      <c r="K3996" s="5">
        <f>HYPERLINK("http://www.eum.go.kr/web/ar/lu/luLandDet.jsp?pnu=3611035023105070001&amp;isNoScr=script&amp;mode=search", "토지이음")</f>
        <v/>
      </c>
      <c r="L3996" s="3" t="inlineStr">
        <is>
          <t>생생</t>
        </is>
      </c>
      <c r="M3996" s="3" t="n">
        <v>1</v>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3" t="inlineStr">
        <is>
          <t>생명나무,행복도시인접.세종정부청사 15분거리</t>
        </is>
      </c>
      <c r="I3997" s="5">
        <f>HYPERLINK("https://fin.land.naver.com/articles/2644319398", "매물Link")</f>
        <v/>
      </c>
      <c r="J3997" s="5">
        <f>HYPERLINK("https://map.naver.com/p/search/장군면 대교리 508", "지도Link")</f>
        <v/>
      </c>
      <c r="K3997" s="5">
        <f>HYPERLINK("http://www.eum.go.kr/web/ar/lu/luLandDet.jsp?pnu=3611035023105080000&amp;isNoScr=script&amp;mode=search", "토지이음")</f>
        <v/>
      </c>
      <c r="L3997" s="3" t="inlineStr">
        <is>
          <t>생명나무</t>
        </is>
      </c>
      <c r="M3997" s="3" t="n">
        <v>1</v>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3" t="inlineStr">
        <is>
          <t>돈이 필요 하셔서 급매도를 원하십니다  정말 좋은 땅</t>
        </is>
      </c>
      <c r="I3998" s="5">
        <f>HYPERLINK("https://fin.land.naver.com/articles/2645346608", "매물Link")</f>
        <v/>
      </c>
      <c r="J3998" s="5">
        <f>HYPERLINK("https://map.naver.com/p/search/장군면 대교리 510", "지도Link")</f>
        <v/>
      </c>
      <c r="K3998" s="5">
        <f>HYPERLINK("http://www.eum.go.kr/web/ar/lu/luLandDet.jsp?pnu=3611035023105100000&amp;isNoScr=script&amp;mode=search", "토지이음")</f>
        <v/>
      </c>
      <c r="L3998" s="3" t="inlineStr">
        <is>
          <t>세종골드삼성</t>
        </is>
      </c>
      <c r="M3998" s="3" t="n">
        <v>2</v>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3" t="inlineStr">
        <is>
          <t>급매 금액내림 대토강추 꼭 매도하려고 하는 농지입니다. 농업진흥구역.</t>
        </is>
      </c>
      <c r="I3999" s="5">
        <f>HYPERLINK("https://fin.land.naver.com/articles/2645131681", "매물Link")</f>
        <v/>
      </c>
      <c r="J3999" s="5">
        <f>HYPERLINK("https://map.naver.com/p/search/장군면 대교리 524-2", "지도Link")</f>
        <v/>
      </c>
      <c r="K3999" s="5">
        <f>HYPERLINK("http://www.eum.go.kr/web/ar/lu/luLandDet.jsp?pnu=3611035023105240002&amp;isNoScr=script&amp;mode=search", "토지이음")</f>
        <v/>
      </c>
      <c r="L3999" s="3" t="inlineStr">
        <is>
          <t>미스터홈즈강남지사</t>
        </is>
      </c>
      <c r="M3999" s="3" t="n">
        <v>1</v>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3" t="inlineStr">
        <is>
          <t>대교천변 토지</t>
        </is>
      </c>
      <c r="I4000" s="5">
        <f>HYPERLINK("https://fin.land.naver.com/articles/2646630611", "매물Link")</f>
        <v/>
      </c>
      <c r="J4000" s="5">
        <f>HYPERLINK("https://map.naver.com/p/search/장군면 대교리 634-7", "지도Link")</f>
        <v/>
      </c>
      <c r="K4000" s="5">
        <f>HYPERLINK("http://www.eum.go.kr/web/ar/lu/luLandDet.jsp?pnu=3611035023106340007&amp;isNoScr=script&amp;mode=search", "토지이음")</f>
        <v/>
      </c>
      <c r="L4000" s="3" t="inlineStr">
        <is>
          <t>새땅</t>
        </is>
      </c>
      <c r="M4000" s="3" t="n">
        <v>1</v>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3" t="inlineStr">
        <is>
          <t>신도시가 내려다 보이는 국사봉마을 전원주택단지 마천루 토지</t>
        </is>
      </c>
      <c r="I4001" s="5">
        <f>HYPERLINK("https://fin.land.naver.com/articles/2647792727", "매물Link")</f>
        <v/>
      </c>
      <c r="J4001" s="5">
        <f>HYPERLINK("https://map.naver.com/p/search/장군면 대교리 74-25", "지도Link")</f>
        <v/>
      </c>
      <c r="K4001" s="5">
        <f>HYPERLINK("http://www.eum.go.kr/web/ar/lu/luLandDet.jsp?pnu=3611035023100740025&amp;isNoScr=script&amp;mode=search", "토지이음")</f>
        <v/>
      </c>
      <c r="L4001" s="3" t="inlineStr">
        <is>
          <t>온뜰</t>
        </is>
      </c>
      <c r="M4001" s="3" t="n">
        <v>2</v>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3" t="inlineStr">
        <is>
          <t>국사봉마을 전원주택단지,계룡산 자락보이는 조망권 뷰 최상</t>
        </is>
      </c>
      <c r="I4002" s="5">
        <f>HYPERLINK("https://fin.land.naver.com/articles/2647781012", "매물Link")</f>
        <v/>
      </c>
      <c r="J4002" s="5">
        <f>HYPERLINK("https://map.naver.com/p/search/장군면 대교리 74-27", "지도Link")</f>
        <v/>
      </c>
      <c r="K4002" s="5">
        <f>HYPERLINK("http://www.eum.go.kr/web/ar/lu/luLandDet.jsp?pnu=3611035023100740027&amp;isNoScr=script&amp;mode=search", "토지이음")</f>
        <v/>
      </c>
      <c r="L4002" s="3" t="inlineStr">
        <is>
          <t>고운맘</t>
        </is>
      </c>
      <c r="M4002" s="3" t="n">
        <v>2</v>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3" t="inlineStr">
        <is>
          <t>세종신도시 고운동과  1.2km 떨어진 토지매매</t>
        </is>
      </c>
      <c r="I4003" s="5">
        <f>HYPERLINK("https://fin.land.naver.com/articles/2648408028", "매물Link")</f>
        <v/>
      </c>
      <c r="J4003" s="5">
        <f>HYPERLINK("https://map.naver.com/p/search/장군면 대교리 74-42", "지도Link")</f>
        <v/>
      </c>
      <c r="K4003" s="5">
        <f>HYPERLINK("http://www.eum.go.kr/web/ar/lu/luLandDet.jsp?pnu=3611035023100740042&amp;isNoScr=script&amp;mode=search", "토지이음")</f>
        <v/>
      </c>
      <c r="L4003" s="3" t="inlineStr">
        <is>
          <t>비전</t>
        </is>
      </c>
      <c r="M4003" s="3" t="n">
        <v>1</v>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3" t="inlineStr">
        <is>
          <t>세종시 고운동 근접 단독주택지 급매,주변에 단독주택 마을 있음</t>
        </is>
      </c>
      <c r="I4004" s="5">
        <f>HYPERLINK("https://fin.land.naver.com/articles/2648916072", "매물Link")</f>
        <v/>
      </c>
      <c r="J4004" s="5">
        <f>HYPERLINK("https://map.naver.com/p/search/장군면 대교리 74-53", "지도Link")</f>
        <v/>
      </c>
      <c r="K4004" s="5">
        <f>HYPERLINK("http://www.eum.go.kr/web/ar/lu/luLandDet.jsp?pnu=3611035023100740053&amp;isNoScr=script&amp;mode=search", "토지이음")</f>
        <v/>
      </c>
      <c r="L4004" s="3" t="inlineStr">
        <is>
          <t>담뜰</t>
        </is>
      </c>
      <c r="M4004" s="3" t="n">
        <v>1</v>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3" t="inlineStr">
        <is>
          <t>장군면 대교리 전망 좋은 남향 전원주택부지 매매</t>
        </is>
      </c>
      <c r="I4005" s="5">
        <f>HYPERLINK("https://fin.land.naver.com/articles/2649219987", "매물Link")</f>
        <v/>
      </c>
      <c r="J4005" s="5">
        <f>HYPERLINK("https://map.naver.com/p/search/장군면 대교리 79-139", "지도Link")</f>
        <v/>
      </c>
      <c r="K4005" s="5">
        <f>HYPERLINK("http://www.eum.go.kr/web/ar/lu/luLandDet.jsp?pnu=3611035023100790139&amp;isNoScr=script&amp;mode=search", "토지이음")</f>
        <v/>
      </c>
      <c r="L4005" s="3" t="inlineStr">
        <is>
          <t>비전</t>
        </is>
      </c>
      <c r="M4005" s="3" t="n">
        <v>1</v>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3" t="inlineStr">
        <is>
          <t>조망권 뷰 최상, 지대가 높은 전원주택지 즉시 건축가능,가격조정가능</t>
        </is>
      </c>
      <c r="I4006" s="5">
        <f>HYPERLINK("https://fin.land.naver.com/articles/2645374714", "매물Link")</f>
        <v/>
      </c>
      <c r="J4006" s="5">
        <f>HYPERLINK("https://map.naver.com/p/search/장군면 대교리 79-158", "지도Link")</f>
        <v/>
      </c>
      <c r="K4006" s="5">
        <f>HYPERLINK("http://www.eum.go.kr/web/ar/lu/luLandDet.jsp?pnu=3611035023100790158&amp;isNoScr=script&amp;mode=search", "토지이음")</f>
        <v/>
      </c>
      <c r="L4006" s="3" t="inlineStr">
        <is>
          <t>고운맘</t>
        </is>
      </c>
      <c r="M4006" s="3" t="n">
        <v>1</v>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3" t="inlineStr">
        <is>
          <t>급매, 전망 뷰 최상, 안정감 있는 대교리 전원주택지 즉시 건축가능</t>
        </is>
      </c>
      <c r="I4007" s="5">
        <f>HYPERLINK("https://fin.land.naver.com/articles/2647521662", "매물Link")</f>
        <v/>
      </c>
      <c r="J4007" s="5">
        <f>HYPERLINK("https://map.naver.com/p/search/장군면 대교리 79-163", "지도Link")</f>
        <v/>
      </c>
      <c r="K4007" s="5">
        <f>HYPERLINK("http://www.eum.go.kr/web/ar/lu/luLandDet.jsp?pnu=3611035023100790163&amp;isNoScr=script&amp;mode=search", "토지이음")</f>
        <v/>
      </c>
      <c r="L4007" s="3" t="inlineStr">
        <is>
          <t>고운맘</t>
        </is>
      </c>
      <c r="M4007" s="3" t="n">
        <v>1</v>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3" t="inlineStr">
        <is>
          <t>장군면 전원주택지 조망권 최상 탁트인 전경최고</t>
        </is>
      </c>
      <c r="I4008" s="5">
        <f>HYPERLINK("https://fin.land.naver.com/articles/2647840002", "매물Link")</f>
        <v/>
      </c>
      <c r="J4008" s="5">
        <f>HYPERLINK("https://map.naver.com/p/search/장군면 대교리 79-173", "지도Link")</f>
        <v/>
      </c>
      <c r="K4008" s="5">
        <f>HYPERLINK("http://www.eum.go.kr/web/ar/lu/luLandDet.jsp?pnu=3611035023100790173&amp;isNoScr=script&amp;mode=search", "토지이음")</f>
        <v/>
      </c>
      <c r="L4008" s="3" t="inlineStr">
        <is>
          <t>굿모닝</t>
        </is>
      </c>
      <c r="M4008" s="3" t="n">
        <v>1</v>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3" t="inlineStr">
        <is>
          <t>전망 최고 대교리 전원주택부지 사두실분 추후건축 가능</t>
        </is>
      </c>
      <c r="I4009" s="5">
        <f>HYPERLINK("https://fin.land.naver.com/articles/2646674375", "매물Link")</f>
        <v/>
      </c>
      <c r="J4009" s="5">
        <f>HYPERLINK("https://map.naver.com/p/search/장군면 대교리 79-38", "지도Link")</f>
        <v/>
      </c>
      <c r="K4009" s="5">
        <f>HYPERLINK("http://www.eum.go.kr/web/ar/lu/luLandDet.jsp?pnu=3611035023100790038&amp;isNoScr=script&amp;mode=search", "토지이음")</f>
        <v/>
      </c>
      <c r="L4009" s="3" t="inlineStr">
        <is>
          <t>로데오상가</t>
        </is>
      </c>
      <c r="M4009" s="3" t="n">
        <v>1</v>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3" t="inlineStr">
        <is>
          <t>토목공사 완료된 전원주택단지,건축가능</t>
        </is>
      </c>
      <c r="I4010" s="5">
        <f>HYPERLINK("https://fin.land.naver.com/articles/2648813379", "매물Link")</f>
        <v/>
      </c>
      <c r="J4010" s="5">
        <f>HYPERLINK("https://map.naver.com/p/search/장군면 대교리 79-38", "지도Link")</f>
        <v/>
      </c>
      <c r="K4010" s="5">
        <f>HYPERLINK("http://www.eum.go.kr/web/ar/lu/luLandDet.jsp?pnu=3611035023100790038&amp;isNoScr=script&amp;mode=search", "토지이음")</f>
        <v/>
      </c>
      <c r="L4010" s="3" t="inlineStr">
        <is>
          <t>세종대박</t>
        </is>
      </c>
      <c r="M4010" s="3" t="n">
        <v>1</v>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3" t="inlineStr">
        <is>
          <t>초초급매,조망권뷰 최상,지대가 높은 전원주택지 즉시 건축가능</t>
        </is>
      </c>
      <c r="I4011" s="5">
        <f>HYPERLINK("https://fin.land.naver.com/articles/2644947121", "매물Link")</f>
        <v/>
      </c>
      <c r="J4011" s="5">
        <f>HYPERLINK("https://map.naver.com/p/search/장군면 대교리 79-38", "지도Link")</f>
        <v/>
      </c>
      <c r="K4011" s="5">
        <f>HYPERLINK("http://www.eum.go.kr/web/ar/lu/luLandDet.jsp?pnu=3611035023100790038&amp;isNoScr=script&amp;mode=search", "토지이음")</f>
        <v/>
      </c>
      <c r="L4011" s="3" t="inlineStr">
        <is>
          <t>고운맘</t>
        </is>
      </c>
      <c r="M4011" s="3" t="n">
        <v>1</v>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3" t="inlineStr">
        <is>
          <t>초급매,계룡산조망권뷰 최상,지대가 높은 택지 즉시 건축가능,투자용추천</t>
        </is>
      </c>
      <c r="I4012" s="5">
        <f>HYPERLINK("https://fin.land.naver.com/articles/2644752043", "매물Link")</f>
        <v/>
      </c>
      <c r="J4012" s="5">
        <f>HYPERLINK("https://map.naver.com/p/search/장군면 대교리 79-49", "지도Link")</f>
        <v/>
      </c>
      <c r="K4012" s="5">
        <f>HYPERLINK("http://www.eum.go.kr/web/ar/lu/luLandDet.jsp?pnu=3611035023100790049&amp;isNoScr=script&amp;mode=search", "토지이음")</f>
        <v/>
      </c>
      <c r="L4012" s="3" t="inlineStr">
        <is>
          <t>고운맘</t>
        </is>
      </c>
      <c r="M4012" s="3" t="n">
        <v>1</v>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3" t="inlineStr">
        <is>
          <t>조율가능추천매물  바로 집지으실수있는 정남향 전원주택지</t>
        </is>
      </c>
      <c r="I4013" s="5">
        <f>HYPERLINK("https://fin.land.naver.com/articles/2645772322", "매물Link")</f>
        <v/>
      </c>
      <c r="J4013" s="5">
        <f>HYPERLINK("https://map.naver.com/p/search/장군면 대교리 79-52", "지도Link")</f>
        <v/>
      </c>
      <c r="K4013" s="5">
        <f>HYPERLINK("http://www.eum.go.kr/web/ar/lu/luLandDet.jsp?pnu=3611035023100790052&amp;isNoScr=script&amp;mode=search", "토지이음")</f>
        <v/>
      </c>
      <c r="L4013" s="3" t="inlineStr">
        <is>
          <t>세종대승</t>
        </is>
      </c>
      <c r="M4013" s="3" t="n">
        <v>1</v>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3" t="inlineStr">
        <is>
          <t>세종신도시 인접한 대교리 생산관리 3필지 급매, 투자가치 최상</t>
        </is>
      </c>
      <c r="I4014" s="5">
        <f>HYPERLINK("https://fin.land.naver.com/articles/2644835607", "매물Link")</f>
        <v/>
      </c>
      <c r="J4014" s="5">
        <f>HYPERLINK("https://map.naver.com/p/search/장군면 대교리 89-1", "지도Link")</f>
        <v/>
      </c>
      <c r="K4014" s="5">
        <f>HYPERLINK("http://www.eum.go.kr/web/ar/lu/luLandDet.jsp?pnu=3611035023100890001&amp;isNoScr=script&amp;mode=search", "토지이음")</f>
        <v/>
      </c>
      <c r="L4014" s="3" t="inlineStr">
        <is>
          <t>온뜰</t>
        </is>
      </c>
      <c r="M4014" s="3" t="n">
        <v>1</v>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3" t="inlineStr">
        <is>
          <t>계획관리지역으로서 투자하기 좋은땅입니다</t>
        </is>
      </c>
      <c r="I4015" s="5">
        <f>HYPERLINK("https://fin.land.naver.com/articles/2644270263", "매물Link")</f>
        <v/>
      </c>
      <c r="J4015" s="5">
        <f>HYPERLINK("https://map.naver.com/p/search/장군면 대교리 산12-6", "지도Link")</f>
        <v/>
      </c>
      <c r="K4015" s="5">
        <f>HYPERLINK("http://www.eum.go.kr/web/ar/lu/luLandDet.jsp?pnu=3611035023200120006&amp;isNoScr=script&amp;mode=search", "토지이음")</f>
        <v/>
      </c>
      <c r="L4015" s="3" t="inlineStr">
        <is>
          <t>스마일</t>
        </is>
      </c>
      <c r="M4015" s="3" t="n">
        <v>1</v>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3" t="inlineStr">
        <is>
          <t>해누리 전원마을 입구 계획관리지역 토지 급매</t>
        </is>
      </c>
      <c r="I4016" s="5">
        <f>HYPERLINK("https://fin.land.naver.com/articles/2646416107", "매물Link")</f>
        <v/>
      </c>
      <c r="J4016" s="5">
        <f>HYPERLINK("https://map.naver.com/p/search/장군면 대교리 산34-1", "지도Link")</f>
        <v/>
      </c>
      <c r="K4016" s="5">
        <f>HYPERLINK("http://www.eum.go.kr/web/ar/lu/luLandDet.jsp?pnu=3611035023200340001&amp;isNoScr=script&amp;mode=search", "토지이음")</f>
        <v/>
      </c>
      <c r="L4016" s="3" t="inlineStr">
        <is>
          <t>에이스</t>
        </is>
      </c>
      <c r="M4016" s="3" t="n">
        <v>1</v>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3" t="inlineStr">
        <is>
          <t>국유지 구거와 도로 접한 주거지 개발용 임야</t>
        </is>
      </c>
      <c r="I4017" s="5">
        <f>HYPERLINK("https://fin.land.naver.com/articles/2644335475", "매물Link")</f>
        <v/>
      </c>
      <c r="J4017" s="5">
        <f>HYPERLINK("https://map.naver.com/p/search/장군면 대교리 산46-19", "지도Link")</f>
        <v/>
      </c>
      <c r="K4017" s="5">
        <f>HYPERLINK("http://www.eum.go.kr/web/ar/lu/luLandDet.jsp?pnu=3611035023200460019&amp;isNoScr=script&amp;mode=search", "토지이음")</f>
        <v/>
      </c>
      <c r="L4017" s="3" t="inlineStr">
        <is>
          <t>신와촌</t>
        </is>
      </c>
      <c r="M4017" s="3" t="n">
        <v>2</v>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3" t="inlineStr">
        <is>
          <t>김종서장군 테마공원 인근 낮은 야산 도로 접 위치 최상 전원주택지 등</t>
        </is>
      </c>
      <c r="I4018" s="5">
        <f>HYPERLINK("https://fin.land.naver.com/articles/2649141013", "매물Link")</f>
        <v/>
      </c>
      <c r="J4018" s="5">
        <f>HYPERLINK("https://map.naver.com/p/search/장군면 대교리 산46-45", "지도Link")</f>
        <v/>
      </c>
      <c r="K4018" s="5">
        <f>HYPERLINK("http://www.eum.go.kr/web/ar/lu/luLandDet.jsp?pnu=3611035023200460045&amp;isNoScr=script&amp;mode=search", "토지이음")</f>
        <v/>
      </c>
      <c r="L4018" s="3" t="inlineStr">
        <is>
          <t>세종시해냄</t>
        </is>
      </c>
      <c r="M4018" s="3" t="n">
        <v>1</v>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3" t="inlineStr">
        <is>
          <t>전원주택체류형쉼터단지 개발 최적 토지임야</t>
        </is>
      </c>
      <c r="I4019" s="5">
        <f>HYPERLINK("https://fin.land.naver.com/articles/2646825642", "매물Link")</f>
        <v/>
      </c>
      <c r="J4019" s="5">
        <f>HYPERLINK("https://map.naver.com/p/search/장군면 대교리 산50-1", "지도Link")</f>
        <v/>
      </c>
      <c r="K4019" s="5">
        <f>HYPERLINK("http://www.eum.go.kr/web/ar/lu/luLandDet.jsp?pnu=3611035023200500001&amp;isNoScr=script&amp;mode=search", "토지이음")</f>
        <v/>
      </c>
      <c r="L4019" s="3" t="inlineStr">
        <is>
          <t>랜드맥스</t>
        </is>
      </c>
      <c r="M4019" s="3" t="n">
        <v>1</v>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3" t="inlineStr">
        <is>
          <t>다가구 빌라 짓기에 좋은 토지입니다.</t>
        </is>
      </c>
      <c r="I4020" s="5">
        <f>HYPERLINK("https://fin.land.naver.com/articles/2645605698", "매물Link")</f>
        <v/>
      </c>
      <c r="J4020" s="5">
        <f>HYPERLINK("https://map.naver.com/p/search/장군면 도계리 149-3", "지도Link")</f>
        <v/>
      </c>
      <c r="K4020" s="5">
        <f>HYPERLINK("http://www.eum.go.kr/web/ar/lu/luLandDet.jsp?pnu=3611035021101490003&amp;isNoScr=script&amp;mode=search", "토지이음")</f>
        <v/>
      </c>
      <c r="L4020" s="3" t="inlineStr">
        <is>
          <t>미스터홈즈강남지사</t>
        </is>
      </c>
      <c r="M4020" s="3" t="n">
        <v>1</v>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3" t="inlineStr">
        <is>
          <t>건축가능한 토지 지구단위계획구역 4필지일괄매매</t>
        </is>
      </c>
      <c r="I4021" s="5">
        <f>HYPERLINK("https://fin.land.naver.com/articles/2649791292", "매물Link")</f>
        <v/>
      </c>
      <c r="J4021" s="5">
        <f>HYPERLINK("https://map.naver.com/p/search/장군면 도계리 173-3", "지도Link")</f>
        <v/>
      </c>
      <c r="K4021" s="5">
        <f>HYPERLINK("http://www.eum.go.kr/web/ar/lu/luLandDet.jsp?pnu=3611035021101730003&amp;isNoScr=script&amp;mode=search", "토지이음")</f>
        <v/>
      </c>
      <c r="L4021" s="3" t="inlineStr">
        <is>
          <t>샘터아이파크시티</t>
        </is>
      </c>
      <c r="M4021" s="3" t="n">
        <v>1</v>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3" t="inlineStr">
        <is>
          <t>다목적 토지</t>
        </is>
      </c>
      <c r="I4022" s="5">
        <f>HYPERLINK("https://fin.land.naver.com/articles/2646837534", "매물Link")</f>
        <v/>
      </c>
      <c r="J4022" s="5">
        <f>HYPERLINK("https://map.naver.com/p/search/장군면 도계리 188", "지도Link")</f>
        <v/>
      </c>
      <c r="K4022" s="5">
        <f>HYPERLINK("http://www.eum.go.kr/web/ar/lu/luLandDet.jsp?pnu=3611035021101880000&amp;isNoScr=script&amp;mode=search", "토지이음")</f>
        <v/>
      </c>
      <c r="L4022" s="3" t="inlineStr">
        <is>
          <t>새땅</t>
        </is>
      </c>
      <c r="M4022" s="3" t="n">
        <v>1</v>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3" t="inlineStr">
        <is>
          <t>장군면 요지에 위치 발전 가능성 매우 높은 땅 저렴한 가격</t>
        </is>
      </c>
      <c r="I4023" s="5">
        <f>HYPERLINK("https://fin.land.naver.com/articles/2647420060", "매물Link")</f>
        <v/>
      </c>
      <c r="J4023" s="5">
        <f>HYPERLINK("https://map.naver.com/p/search/장군면 도계리 201", "지도Link")</f>
        <v/>
      </c>
      <c r="K4023" s="5">
        <f>HYPERLINK("http://www.eum.go.kr/web/ar/lu/luLandDet.jsp?pnu=3611035021102010000&amp;isNoScr=script&amp;mode=search", "토지이음")</f>
        <v/>
      </c>
      <c r="L4023" s="3" t="inlineStr">
        <is>
          <t>세종공주원탑</t>
        </is>
      </c>
      <c r="M4023" s="3" t="n">
        <v>2</v>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3" t="inlineStr">
        <is>
          <t>지구단위계획구역의 도로와 현황상 도로에 접한 계획관리지역의 전입니다</t>
        </is>
      </c>
      <c r="I4024" s="5">
        <f>HYPERLINK("https://fin.land.naver.com/articles/2648870498", "매물Link")</f>
        <v/>
      </c>
      <c r="J4024" s="5">
        <f>HYPERLINK("https://map.naver.com/p/search/장군면 도계리 218-1", "지도Link")</f>
        <v/>
      </c>
      <c r="K4024" s="5">
        <f>HYPERLINK("http://www.eum.go.kr/web/ar/lu/luLandDet.jsp?pnu=3611035021102180001&amp;isNoScr=script&amp;mode=search", "토지이음")</f>
        <v/>
      </c>
      <c r="L4024" s="3" t="inlineStr">
        <is>
          <t>스마일세종</t>
        </is>
      </c>
      <c r="M4024" s="3" t="n">
        <v>1</v>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3" t="inlineStr">
        <is>
          <t>정말 좋은 입지 주변 환경 좋습니다 미래 가치는 현장을 보시면 느껴집니다</t>
        </is>
      </c>
      <c r="I4025" s="5">
        <f>HYPERLINK("https://fin.land.naver.com/articles/2647589755", "매물Link")</f>
        <v/>
      </c>
      <c r="J4025" s="5">
        <f>HYPERLINK("https://map.naver.com/p/search/장군면 도계리 226-2", "지도Link")</f>
        <v/>
      </c>
      <c r="K4025" s="5">
        <f>HYPERLINK("http://www.eum.go.kr/web/ar/lu/luLandDet.jsp?pnu=3611035021102260002&amp;isNoScr=script&amp;mode=search", "토지이음")</f>
        <v/>
      </c>
      <c r="L4025" s="3" t="inlineStr">
        <is>
          <t>세종시삼성래미안</t>
        </is>
      </c>
      <c r="M4025" s="3" t="n">
        <v>2</v>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3" t="inlineStr">
        <is>
          <t>2필지, 계획관리, 자연취락지구</t>
        </is>
      </c>
      <c r="I4026" s="5">
        <f>HYPERLINK("https://fin.land.naver.com/articles/2649728156", "매물Link")</f>
        <v/>
      </c>
      <c r="J4026" s="5">
        <f>HYPERLINK("https://map.naver.com/p/search/장군면 도계리 280-1", "지도Link")</f>
        <v/>
      </c>
      <c r="K4026" s="5">
        <f>HYPERLINK("http://www.eum.go.kr/web/ar/lu/luLandDet.jsp?pnu=3611035021102800001&amp;isNoScr=script&amp;mode=search", "토지이음")</f>
        <v/>
      </c>
      <c r="L4026" s="3" t="inlineStr">
        <is>
          <t>세종몽땅</t>
        </is>
      </c>
      <c r="M4026" s="3" t="n">
        <v>1</v>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3" t="inlineStr">
        <is>
          <t>도시근교 전원 주택지</t>
        </is>
      </c>
      <c r="I4027" s="5">
        <f>HYPERLINK("https://fin.land.naver.com/articles/2648080725", "매물Link")</f>
        <v/>
      </c>
      <c r="J4027" s="5">
        <f>HYPERLINK("https://map.naver.com/p/search/장군면 도계리 282-28", "지도Link")</f>
        <v/>
      </c>
      <c r="K4027" s="5">
        <f>HYPERLINK("http://www.eum.go.kr/web/ar/lu/luLandDet.jsp?pnu=3611035021102820028&amp;isNoScr=script&amp;mode=search", "토지이음")</f>
        <v/>
      </c>
      <c r="L4027" s="3" t="inlineStr">
        <is>
          <t>상상</t>
        </is>
      </c>
      <c r="M4027" s="3" t="n">
        <v>1</v>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3" t="inlineStr">
        <is>
          <t>도시근교 전원 주택지</t>
        </is>
      </c>
      <c r="I4028" s="5">
        <f>HYPERLINK("https://fin.land.naver.com/articles/2648081772", "매물Link")</f>
        <v/>
      </c>
      <c r="J4028" s="5">
        <f>HYPERLINK("https://map.naver.com/p/search/장군면 도계리 282-29", "지도Link")</f>
        <v/>
      </c>
      <c r="K4028" s="5">
        <f>HYPERLINK("http://www.eum.go.kr/web/ar/lu/luLandDet.jsp?pnu=3611035021102820029&amp;isNoScr=script&amp;mode=search", "토지이음")</f>
        <v/>
      </c>
      <c r="L4028" s="3" t="inlineStr">
        <is>
          <t>상상</t>
        </is>
      </c>
      <c r="M4028" s="3" t="n">
        <v>2</v>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3" t="inlineStr">
        <is>
          <t>전원주택용지로 좋음</t>
        </is>
      </c>
      <c r="I4029" s="5">
        <f>HYPERLINK("https://fin.land.naver.com/articles/2648680958", "매물Link")</f>
        <v/>
      </c>
      <c r="J4029" s="5">
        <f>HYPERLINK("https://map.naver.com/p/search/장군면 도계리 282-32", "지도Link")</f>
        <v/>
      </c>
      <c r="K4029" s="5">
        <f>HYPERLINK("http://www.eum.go.kr/web/ar/lu/luLandDet.jsp?pnu=3611035021102820032&amp;isNoScr=script&amp;mode=search", "토지이음")</f>
        <v/>
      </c>
      <c r="L4029" s="3" t="inlineStr">
        <is>
          <t>링크</t>
        </is>
      </c>
      <c r="M4029" s="3" t="n">
        <v>2</v>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3" t="inlineStr">
        <is>
          <t>급매,도계리  도로접 조망권 뷰 최상 파인빌리지  전원주택지 투자용 추천</t>
        </is>
      </c>
      <c r="I4030" s="5">
        <f>HYPERLINK("https://fin.land.naver.com/articles/2643961863", "매물Link")</f>
        <v/>
      </c>
      <c r="J4030" s="5">
        <f>HYPERLINK("https://map.naver.com/p/search/장군면 도계리 282-32", "지도Link")</f>
        <v/>
      </c>
      <c r="K4030" s="5">
        <f>HYPERLINK("http://www.eum.go.kr/web/ar/lu/luLandDet.jsp?pnu=3611035021102820032&amp;isNoScr=script&amp;mode=search", "토지이음")</f>
        <v/>
      </c>
      <c r="L4030" s="3" t="inlineStr">
        <is>
          <t>고운맘</t>
        </is>
      </c>
      <c r="M4030" s="3" t="n">
        <v>1</v>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3" t="inlineStr">
        <is>
          <t>도계지구 12m계획 도로에 접하고 있고 계획관리 대지로 미래가치 최상</t>
        </is>
      </c>
      <c r="I4031" s="5">
        <f>HYPERLINK("https://fin.land.naver.com/articles/2649696784", "매물Link")</f>
        <v/>
      </c>
      <c r="J4031" s="5">
        <f>HYPERLINK("https://map.naver.com/p/search/장군면 도계리 29-4", "지도Link")</f>
        <v/>
      </c>
      <c r="K4031" s="5">
        <f>HYPERLINK("http://www.eum.go.kr/web/ar/lu/luLandDet.jsp?pnu=3611035021100290004&amp;isNoScr=script&amp;mode=search", "토지이음")</f>
        <v/>
      </c>
      <c r="L4031" s="3" t="inlineStr">
        <is>
          <t>온뜰</t>
        </is>
      </c>
      <c r="M4031" s="3" t="n">
        <v>1</v>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3" t="inlineStr">
        <is>
          <t>투자 가치 높은 도계리 땅</t>
        </is>
      </c>
      <c r="I4032" s="5">
        <f>HYPERLINK("https://fin.land.naver.com/articles/2647849176", "매물Link")</f>
        <v/>
      </c>
      <c r="J4032" s="5">
        <f>HYPERLINK("https://map.naver.com/p/search/장군면 도계리 326-1", "지도Link")</f>
        <v/>
      </c>
      <c r="K4032" s="5">
        <f>HYPERLINK("http://www.eum.go.kr/web/ar/lu/luLandDet.jsp?pnu=3611035021103260001&amp;isNoScr=script&amp;mode=search", "토지이음")</f>
        <v/>
      </c>
      <c r="L4032" s="3" t="inlineStr">
        <is>
          <t>원조대박</t>
        </is>
      </c>
      <c r="M4032" s="3" t="n">
        <v>2</v>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3" t="inlineStr">
        <is>
          <t>도계리 농업진흥구역 내 영농용 토지</t>
        </is>
      </c>
      <c r="I4033" s="5">
        <f>HYPERLINK("https://fin.land.naver.com/articles/2648731440", "매물Link")</f>
        <v/>
      </c>
      <c r="J4033" s="5">
        <f>HYPERLINK("https://map.naver.com/p/search/장군면 도계리 326-1", "지도Link")</f>
        <v/>
      </c>
      <c r="K4033" s="5">
        <f>HYPERLINK("http://www.eum.go.kr/web/ar/lu/luLandDet.jsp?pnu=3611035021103260001&amp;isNoScr=script&amp;mode=search", "토지이음")</f>
        <v/>
      </c>
      <c r="L4033" s="3" t="inlineStr">
        <is>
          <t>세종몽땅</t>
        </is>
      </c>
      <c r="M4033" s="3" t="n">
        <v>1</v>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3" t="inlineStr">
        <is>
          <t>농업진흥구역 내 규모 있는 토지 매매</t>
        </is>
      </c>
      <c r="I4034" s="5">
        <f>HYPERLINK("https://fin.land.naver.com/articles/2648734499", "매물Link")</f>
        <v/>
      </c>
      <c r="J4034" s="5">
        <f>HYPERLINK("https://map.naver.com/p/search/장군면 도계리 346-1", "지도Link")</f>
        <v/>
      </c>
      <c r="K4034" s="5">
        <f>HYPERLINK("http://www.eum.go.kr/web/ar/lu/luLandDet.jsp?pnu=3611035021103460001&amp;isNoScr=script&amp;mode=search", "토지이음")</f>
        <v/>
      </c>
      <c r="L4034" s="3" t="inlineStr">
        <is>
          <t>세종몽땅</t>
        </is>
      </c>
      <c r="M4034" s="3" t="n">
        <v>1</v>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3" t="inlineStr">
        <is>
          <t>세종시 저렴한 농지</t>
        </is>
      </c>
      <c r="I4035" s="5">
        <f>HYPERLINK("https://fin.land.naver.com/articles/2647824811", "매물Link")</f>
        <v/>
      </c>
      <c r="J4035" s="5">
        <f>HYPERLINK("https://map.naver.com/p/search/장군면 도계리 346-1", "지도Link")</f>
        <v/>
      </c>
      <c r="K4035" s="5">
        <f>HYPERLINK("http://www.eum.go.kr/web/ar/lu/luLandDet.jsp?pnu=3611035021103460001&amp;isNoScr=script&amp;mode=search", "토지이음")</f>
        <v/>
      </c>
      <c r="L4035" s="3" t="inlineStr">
        <is>
          <t>상상</t>
        </is>
      </c>
      <c r="M4035" s="3" t="n">
        <v>2</v>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3" t="inlineStr">
        <is>
          <t>급매 연계필지와함께가능</t>
        </is>
      </c>
      <c r="I4036" s="5">
        <f>HYPERLINK("https://fin.land.naver.com/articles/2645067066", "매물Link")</f>
        <v/>
      </c>
      <c r="J4036" s="5">
        <f>HYPERLINK("https://map.naver.com/p/search/장군면 도계리 349-2", "지도Link")</f>
        <v/>
      </c>
      <c r="K4036" s="5">
        <f>HYPERLINK("http://www.eum.go.kr/web/ar/lu/luLandDet.jsp?pnu=3611035021103490002&amp;isNoScr=script&amp;mode=search", "토지이음")</f>
        <v/>
      </c>
      <c r="L4036" s="3" t="inlineStr">
        <is>
          <t>세종중흥S클래스</t>
        </is>
      </c>
      <c r="M4036" s="3" t="n">
        <v>1</v>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3" t="inlineStr">
        <is>
          <t>급매 세종포천고속도로인접 토지</t>
        </is>
      </c>
      <c r="I4037" s="5">
        <f>HYPERLINK("https://fin.land.naver.com/articles/2645067199", "매물Link")</f>
        <v/>
      </c>
      <c r="J4037" s="5">
        <f>HYPERLINK("https://map.naver.com/p/search/장군면 도계리 349-3", "지도Link")</f>
        <v/>
      </c>
      <c r="K4037" s="5">
        <f>HYPERLINK("http://www.eum.go.kr/web/ar/lu/luLandDet.jsp?pnu=3611035021103490003&amp;isNoScr=script&amp;mode=search", "토지이음")</f>
        <v/>
      </c>
      <c r="L4037" s="3" t="inlineStr">
        <is>
          <t>세종중흥S클래스</t>
        </is>
      </c>
      <c r="M4037" s="3" t="n">
        <v>1</v>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3" t="inlineStr">
        <is>
          <t>현임야상태, 토목공상완료후인도</t>
        </is>
      </c>
      <c r="I4038" s="5">
        <f>HYPERLINK("https://fin.land.naver.com/articles/2646001426", "매물Link")</f>
        <v/>
      </c>
      <c r="J4038" s="5">
        <f>HYPERLINK("https://map.naver.com/p/search/장군면 도계리 351-6", "지도Link")</f>
        <v/>
      </c>
      <c r="K4038" s="5">
        <f>HYPERLINK("http://www.eum.go.kr/web/ar/lu/luLandDet.jsp?pnu=3611035021103510006&amp;isNoScr=script&amp;mode=search", "토지이음")</f>
        <v/>
      </c>
      <c r="L4038" s="3" t="inlineStr">
        <is>
          <t>대박</t>
        </is>
      </c>
      <c r="M4038" s="3" t="n">
        <v>1</v>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3" t="inlineStr">
        <is>
          <t>장군면 도계리 전원주택 짓기 좋은 모양 예쁜 토지</t>
        </is>
      </c>
      <c r="I4039" s="5">
        <f>HYPERLINK("https://fin.land.naver.com/articles/2649459637", "매물Link")</f>
        <v/>
      </c>
      <c r="J4039" s="5">
        <f>HYPERLINK("https://map.naver.com/p/search/장군면 도계리 355-18", "지도Link")</f>
        <v/>
      </c>
      <c r="K4039" s="5">
        <f>HYPERLINK("http://www.eum.go.kr/web/ar/lu/luLandDet.jsp?pnu=3611035021103550018&amp;isNoScr=script&amp;mode=search", "토지이음")</f>
        <v/>
      </c>
      <c r="L4039" s="3" t="inlineStr">
        <is>
          <t>은주</t>
        </is>
      </c>
      <c r="M4039" s="3" t="n">
        <v>1</v>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3" t="inlineStr">
        <is>
          <t>장군면 2차선변 상업용지, 식자재마트등 상업시설  최고부지</t>
        </is>
      </c>
      <c r="I4040" s="5">
        <f>HYPERLINK("https://fin.land.naver.com/articles/2649475338", "매물Link")</f>
        <v/>
      </c>
      <c r="J4040" s="5">
        <f>HYPERLINK("https://map.naver.com/p/search/장군면 도계리 356-30", "지도Link")</f>
        <v/>
      </c>
      <c r="K4040" s="5">
        <f>HYPERLINK("http://www.eum.go.kr/web/ar/lu/luLandDet.jsp?pnu=3611035021103560030&amp;isNoScr=script&amp;mode=search", "토지이음")</f>
        <v/>
      </c>
      <c r="L4040" s="3" t="inlineStr">
        <is>
          <t>대박</t>
        </is>
      </c>
      <c r="M4040" s="3" t="n">
        <v>1</v>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3" t="inlineStr">
        <is>
          <t>nan</t>
        </is>
      </c>
      <c r="I4041" s="5">
        <f>HYPERLINK("https://fin.land.naver.com/articles/2646825613", "매물Link")</f>
        <v/>
      </c>
      <c r="J4041" s="5">
        <f>HYPERLINK("https://map.naver.com/p/search/장군면 도계리 391-5", "지도Link")</f>
        <v/>
      </c>
      <c r="K4041" s="5">
        <f>HYPERLINK("http://www.eum.go.kr/web/ar/lu/luLandDet.jsp?pnu=3611035021103910005&amp;isNoScr=script&amp;mode=search", "토지이음")</f>
        <v/>
      </c>
      <c r="L4041" s="3" t="inlineStr">
        <is>
          <t>새땅</t>
        </is>
      </c>
      <c r="M4041" s="3" t="n">
        <v>1</v>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3" t="inlineStr">
        <is>
          <t>상가. 카페 건축 최적</t>
        </is>
      </c>
      <c r="I4042" s="5">
        <f>HYPERLINK("https://fin.land.naver.com/articles/2646821388", "매물Link")</f>
        <v/>
      </c>
      <c r="J4042" s="5">
        <f>HYPERLINK("https://map.naver.com/p/search/장군면 도계리 44-5", "지도Link")</f>
        <v/>
      </c>
      <c r="K4042" s="5">
        <f>HYPERLINK("http://www.eum.go.kr/web/ar/lu/luLandDet.jsp?pnu=3611035021100440005&amp;isNoScr=script&amp;mode=search", "토지이음")</f>
        <v/>
      </c>
      <c r="L4042" s="3" t="inlineStr">
        <is>
          <t>새땅</t>
        </is>
      </c>
      <c r="M4042" s="3" t="n">
        <v>1</v>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3" t="inlineStr">
        <is>
          <t>nan</t>
        </is>
      </c>
      <c r="I4043" s="5">
        <f>HYPERLINK("https://fin.land.naver.com/articles/2647783460", "매물Link")</f>
        <v/>
      </c>
      <c r="J4043" s="5">
        <f>HYPERLINK("https://map.naver.com/p/search/장군면 도계리 85-3", "지도Link")</f>
        <v/>
      </c>
      <c r="K4043" s="5">
        <f>HYPERLINK("http://www.eum.go.kr/web/ar/lu/luLandDet.jsp?pnu=3611035021100850003&amp;isNoScr=script&amp;mode=search", "토지이음")</f>
        <v/>
      </c>
      <c r="L4043" s="3" t="inlineStr">
        <is>
          <t>강변</t>
        </is>
      </c>
      <c r="M4043" s="3" t="n">
        <v>1</v>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3" t="inlineStr">
        <is>
          <t>도계지구단위계획구역 2차선도로 중로3류접 계획관리</t>
        </is>
      </c>
      <c r="I4044" s="5">
        <f>HYPERLINK("https://fin.land.naver.com/articles/2645503882", "매물Link")</f>
        <v/>
      </c>
      <c r="J4044" s="5">
        <f>HYPERLINK("https://map.naver.com/p/search/장군면 도계리 90-1", "지도Link")</f>
        <v/>
      </c>
      <c r="K4044" s="5">
        <f>HYPERLINK("http://www.eum.go.kr/web/ar/lu/luLandDet.jsp?pnu=3611035021100900001&amp;isNoScr=script&amp;mode=search", "토지이음")</f>
        <v/>
      </c>
      <c r="L4044" s="3" t="inlineStr">
        <is>
          <t>세종이룸</t>
        </is>
      </c>
      <c r="M4044" s="3" t="n">
        <v>2</v>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3" t="inlineStr">
        <is>
          <t>2차선변, 보기드믄 상업용 작은평수 토지</t>
        </is>
      </c>
      <c r="I4045" s="5">
        <f>HYPERLINK("https://fin.land.naver.com/articles/2649464858", "매물Link")</f>
        <v/>
      </c>
      <c r="J4045" s="5">
        <f>HYPERLINK("https://map.naver.com/p/search/장군면 도계리 90-1", "지도Link")</f>
        <v/>
      </c>
      <c r="K4045" s="5">
        <f>HYPERLINK("http://www.eum.go.kr/web/ar/lu/luLandDet.jsp?pnu=3611035021100900001&amp;isNoScr=script&amp;mode=search", "토지이음")</f>
        <v/>
      </c>
      <c r="L4045" s="3" t="inlineStr">
        <is>
          <t>대박</t>
        </is>
      </c>
      <c r="M4045" s="3" t="n">
        <v>1</v>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3" t="inlineStr">
        <is>
          <t>지구단위계획구역 2차선도로 계획관리지역 알토란토지,다용도사용가능</t>
        </is>
      </c>
      <c r="I4046" s="5">
        <f>HYPERLINK("https://fin.land.naver.com/articles/2649493677", "매물Link")</f>
        <v/>
      </c>
      <c r="J4046" s="5">
        <f>HYPERLINK("https://map.naver.com/p/search/장군면 도계리 90-1", "지도Link")</f>
        <v/>
      </c>
      <c r="K4046" s="5">
        <f>HYPERLINK("http://www.eum.go.kr/web/ar/lu/luLandDet.jsp?pnu=3611035021100900001&amp;isNoScr=script&amp;mode=search", "토지이음")</f>
        <v/>
      </c>
      <c r="L4046" s="3" t="inlineStr">
        <is>
          <t>고운맘</t>
        </is>
      </c>
      <c r="M4046" s="3" t="n">
        <v>1</v>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3" t="inlineStr">
        <is>
          <t>장군면 2차선변 메인 상업용지, 식자재마트등 대형마트 추천</t>
        </is>
      </c>
      <c r="I4047" s="5">
        <f>HYPERLINK("https://fin.land.naver.com/articles/2649478293", "매물Link")</f>
        <v/>
      </c>
      <c r="J4047" s="5">
        <f>HYPERLINK("https://map.naver.com/p/search/장군면 도계리 90-8", "지도Link")</f>
        <v/>
      </c>
      <c r="K4047" s="5">
        <f>HYPERLINK("http://www.eum.go.kr/web/ar/lu/luLandDet.jsp?pnu=3611035021100900008&amp;isNoScr=script&amp;mode=search", "토지이음")</f>
        <v/>
      </c>
      <c r="L4047" s="3" t="inlineStr">
        <is>
          <t>대박</t>
        </is>
      </c>
      <c r="M4047" s="3" t="n">
        <v>1</v>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3" t="inlineStr">
        <is>
          <t>세종시 최고의 투자처,대형 커피숍,대형 음식점 ,회사사옥건축 추천</t>
        </is>
      </c>
      <c r="I4048" s="5">
        <f>HYPERLINK("https://fin.land.naver.com/articles/2647985253", "매물Link")</f>
        <v/>
      </c>
      <c r="J4048" s="5">
        <f>HYPERLINK("https://map.naver.com/p/search/장군면 도계리 90-8", "지도Link")</f>
        <v/>
      </c>
      <c r="K4048" s="5">
        <f>HYPERLINK("http://www.eum.go.kr/web/ar/lu/luLandDet.jsp?pnu=3611035021100900008&amp;isNoScr=script&amp;mode=search", "토지이음")</f>
        <v/>
      </c>
      <c r="L4048" s="3" t="inlineStr">
        <is>
          <t>세종공주제일</t>
        </is>
      </c>
      <c r="M4048" s="3" t="n">
        <v>1</v>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3" t="inlineStr">
        <is>
          <t>I서세종IC행복도시 인접 높은 투자가치 갖춘 보전관리지역 토지</t>
        </is>
      </c>
      <c r="I4049" s="5">
        <f>HYPERLINK("https://fin.land.naver.com/articles/2647204333", "매물Link")</f>
        <v/>
      </c>
      <c r="J4049" s="5">
        <f>HYPERLINK("https://map.naver.com/p/search/장군면 도계리 산 2-9", "지도Link")</f>
        <v/>
      </c>
      <c r="K4049" s="5">
        <f>HYPERLINK("http://www.eum.go.kr/web/ar/lu/luLandDet.jsp?pnu=3611035021200020009&amp;isNoScr=script&amp;mode=search", "토지이음")</f>
        <v/>
      </c>
      <c r="L4049" s="3" t="inlineStr">
        <is>
          <t>세종신한</t>
        </is>
      </c>
      <c r="M4049" s="3" t="n">
        <v>2</v>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3" t="inlineStr">
        <is>
          <t>세종신도시 5분거리, 창고,전원주택 등 추천</t>
        </is>
      </c>
      <c r="I4050" s="5">
        <f>HYPERLINK("https://fin.land.naver.com/articles/2645255427", "매물Link")</f>
        <v/>
      </c>
      <c r="J4050" s="5">
        <f>HYPERLINK("https://map.naver.com/p/search/장군면 봉안리 114", "지도Link")</f>
        <v/>
      </c>
      <c r="K4050" s="5">
        <f>HYPERLINK("http://www.eum.go.kr/web/ar/lu/luLandDet.jsp?pnu=3611035024101140000&amp;isNoScr=script&amp;mode=search", "토지이음")</f>
        <v/>
      </c>
      <c r="L4050" s="3" t="inlineStr">
        <is>
          <t>바로그</t>
        </is>
      </c>
      <c r="M4050" s="3" t="n">
        <v>1</v>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3" t="inlineStr">
        <is>
          <t>계획관리토지</t>
        </is>
      </c>
      <c r="I4051" s="5">
        <f>HYPERLINK("https://fin.land.naver.com/articles/2645750796", "매물Link")</f>
        <v/>
      </c>
      <c r="J4051" s="5">
        <f>HYPERLINK("https://map.naver.com/p/search/장군면 봉안리 12", "지도Link")</f>
        <v/>
      </c>
      <c r="K4051" s="5">
        <f>HYPERLINK("http://www.eum.go.kr/web/ar/lu/luLandDet.jsp?pnu=3611035024100120000&amp;isNoScr=script&amp;mode=search", "토지이음")</f>
        <v/>
      </c>
      <c r="L4051" s="3" t="inlineStr">
        <is>
          <t>형제</t>
        </is>
      </c>
      <c r="M4051" s="3" t="n">
        <v>1</v>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3" t="inlineStr">
        <is>
          <t>nan</t>
        </is>
      </c>
      <c r="I4052" s="5">
        <f>HYPERLINK("https://fin.land.naver.com/articles/2649892107", "매물Link")</f>
        <v/>
      </c>
      <c r="J4052" s="5">
        <f>HYPERLINK("https://map.naver.com/p/search/장군면 봉안리 123", "지도Link")</f>
        <v/>
      </c>
      <c r="K4052" s="5">
        <f>HYPERLINK("http://www.eum.go.kr/web/ar/lu/luLandDet.jsp?pnu=3611035024101230000&amp;isNoScr=script&amp;mode=search", "토지이음")</f>
        <v/>
      </c>
      <c r="L4052" s="3" t="inlineStr">
        <is>
          <t>미스터홈즈강남지사</t>
        </is>
      </c>
      <c r="M4052" s="3" t="n">
        <v>1</v>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3" t="inlineStr">
        <is>
          <t>nan</t>
        </is>
      </c>
      <c r="I4053" s="5">
        <f>HYPERLINK("https://fin.land.naver.com/articles/2648238782", "매물Link")</f>
        <v/>
      </c>
      <c r="J4053" s="5">
        <f>HYPERLINK("https://map.naver.com/p/search/장군면 봉안리 198", "지도Link")</f>
        <v/>
      </c>
      <c r="K4053" s="5">
        <f>HYPERLINK("http://www.eum.go.kr/web/ar/lu/luLandDet.jsp?pnu=3611035024101980000&amp;isNoScr=script&amp;mode=search", "토지이음")</f>
        <v/>
      </c>
      <c r="L4053" s="3" t="inlineStr">
        <is>
          <t>다온</t>
        </is>
      </c>
      <c r="M4053" s="3" t="n">
        <v>1</v>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3" t="inlineStr">
        <is>
          <t>도심 경계의 상가신축 최적지 최저가 방출</t>
        </is>
      </c>
      <c r="I4054" s="5">
        <f>HYPERLINK("https://fin.land.naver.com/articles/2644529970", "매물Link")</f>
        <v/>
      </c>
      <c r="J4054" s="5">
        <f>HYPERLINK("https://map.naver.com/p/search/장군면 봉안리 201-10", "지도Link")</f>
        <v/>
      </c>
      <c r="K4054" s="5">
        <f>HYPERLINK("http://www.eum.go.kr/web/ar/lu/luLandDet.jsp?pnu=3611035024102010010&amp;isNoScr=script&amp;mode=search", "토지이음")</f>
        <v/>
      </c>
      <c r="L4054" s="3" t="inlineStr">
        <is>
          <t>용궁</t>
        </is>
      </c>
      <c r="M4054" s="3" t="n">
        <v>1</v>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3" t="inlineStr">
        <is>
          <t>nan</t>
        </is>
      </c>
      <c r="I4055" s="5">
        <f>HYPERLINK("https://fin.land.naver.com/articles/2646823778", "매물Link")</f>
        <v/>
      </c>
      <c r="J4055" s="5">
        <f>HYPERLINK("https://map.naver.com/p/search/장군면 봉안리 201-41", "지도Link")</f>
        <v/>
      </c>
      <c r="K4055" s="5">
        <f>HYPERLINK("http://www.eum.go.kr/web/ar/lu/luLandDet.jsp?pnu=3611035024102010041&amp;isNoScr=script&amp;mode=search", "토지이음")</f>
        <v/>
      </c>
      <c r="L4055" s="3" t="inlineStr">
        <is>
          <t>강아지풀</t>
        </is>
      </c>
      <c r="M4055" s="3" t="n">
        <v>2</v>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3" t="inlineStr">
        <is>
          <t>초급매,계획관리,단독주택,사무실,카페,식당,물류택배창고 등 다목적용도가능</t>
        </is>
      </c>
      <c r="I4056" s="5">
        <f>HYPERLINK("https://fin.land.naver.com/articles/2647280232", "매물Link")</f>
        <v/>
      </c>
      <c r="J4056" s="5">
        <f>HYPERLINK("https://map.naver.com/p/search/장군면 봉안리 201-41", "지도Link")</f>
        <v/>
      </c>
      <c r="K4056" s="5">
        <f>HYPERLINK("http://www.eum.go.kr/web/ar/lu/luLandDet.jsp?pnu=3611035024102010041&amp;isNoScr=script&amp;mode=search", "토지이음")</f>
        <v/>
      </c>
      <c r="L4056" s="3" t="inlineStr">
        <is>
          <t>고운맘</t>
        </is>
      </c>
      <c r="M4056" s="3" t="n">
        <v>1</v>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3" t="inlineStr">
        <is>
          <t>급매,신도시 최단거리푸드타운 접, 건축인허가 득한 토지,조율가</t>
        </is>
      </c>
      <c r="I4057" s="5">
        <f>HYPERLINK("https://fin.land.naver.com/articles/2648961376", "매물Link")</f>
        <v/>
      </c>
      <c r="J4057" s="5">
        <f>HYPERLINK("https://map.naver.com/p/search/장군면 봉안리 201-60", "지도Link")</f>
        <v/>
      </c>
      <c r="K4057" s="5">
        <f>HYPERLINK("http://www.eum.go.kr/web/ar/lu/luLandDet.jsp?pnu=3611035024102010060&amp;isNoScr=script&amp;mode=search", "토지이음")</f>
        <v/>
      </c>
      <c r="L4057" s="3" t="inlineStr">
        <is>
          <t>바로그</t>
        </is>
      </c>
      <c r="M4057" s="3" t="n">
        <v>1</v>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3" t="inlineStr">
        <is>
          <t>가격조율 가능,세종시 근접, 다세대 주택 부지,전원주택부지 추천</t>
        </is>
      </c>
      <c r="I4058" s="5">
        <f>HYPERLINK("https://fin.land.naver.com/articles/2648920645", "매물Link")</f>
        <v/>
      </c>
      <c r="J4058" s="5">
        <f>HYPERLINK("https://map.naver.com/p/search/장군면 봉안리 202-1", "지도Link")</f>
        <v/>
      </c>
      <c r="K4058" s="5">
        <f>HYPERLINK("http://www.eum.go.kr/web/ar/lu/luLandDet.jsp?pnu=3611035024102020001&amp;isNoScr=script&amp;mode=search", "토지이음")</f>
        <v/>
      </c>
      <c r="L4058" s="3" t="inlineStr">
        <is>
          <t>담뜰</t>
        </is>
      </c>
      <c r="M4058" s="3" t="n">
        <v>1</v>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3" t="inlineStr">
        <is>
          <t>전원주택. 식당,커피숍등 가능</t>
        </is>
      </c>
      <c r="I4059" s="5">
        <f>HYPERLINK("https://fin.land.naver.com/articles/2647883294", "매물Link")</f>
        <v/>
      </c>
      <c r="J4059" s="5">
        <f>HYPERLINK("https://map.naver.com/p/search/장군면 봉안리 209-6", "지도Link")</f>
        <v/>
      </c>
      <c r="K4059" s="5">
        <f>HYPERLINK("http://www.eum.go.kr/web/ar/lu/luLandDet.jsp?pnu=3611035024102090006&amp;isNoScr=script&amp;mode=search", "토지이음")</f>
        <v/>
      </c>
      <c r="L4059" s="3" t="inlineStr">
        <is>
          <t>노은밸리</t>
        </is>
      </c>
      <c r="M4059" s="3" t="n">
        <v>1</v>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3" t="inlineStr">
        <is>
          <t>계획관리지역 .커피숍,식당등 2종근린생활시설 가능함.</t>
        </is>
      </c>
      <c r="I4060" s="5">
        <f>HYPERLINK("https://fin.land.naver.com/articles/2648707357", "매물Link")</f>
        <v/>
      </c>
      <c r="J4060" s="5">
        <f>HYPERLINK("https://map.naver.com/p/search/장군면 봉안리 209-6", "지도Link")</f>
        <v/>
      </c>
      <c r="K4060" s="5">
        <f>HYPERLINK("http://www.eum.go.kr/web/ar/lu/luLandDet.jsp?pnu=3611035024102090006&amp;isNoScr=script&amp;mode=search", "토지이음")</f>
        <v/>
      </c>
      <c r="L4060" s="3" t="inlineStr">
        <is>
          <t>노은밸리</t>
        </is>
      </c>
      <c r="M4060" s="3" t="n">
        <v>1</v>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3" t="inlineStr">
        <is>
          <t>세종정부청사 차량으로 10분거리  2종근생가능.</t>
        </is>
      </c>
      <c r="I4061" s="5">
        <f>HYPERLINK("https://fin.land.naver.com/articles/2648706805", "매물Link")</f>
        <v/>
      </c>
      <c r="J4061" s="5">
        <f>HYPERLINK("https://map.naver.com/p/search/장군면 봉안리 209-7", "지도Link")</f>
        <v/>
      </c>
      <c r="K4061" s="5">
        <f>HYPERLINK("http://www.eum.go.kr/web/ar/lu/luLandDet.jsp?pnu=3611035024102090007&amp;isNoScr=script&amp;mode=search", "토지이음")</f>
        <v/>
      </c>
      <c r="L4061" s="3" t="inlineStr">
        <is>
          <t>노은밸리</t>
        </is>
      </c>
      <c r="M4061" s="3" t="n">
        <v>1</v>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3" t="inlineStr">
        <is>
          <t>봉안리 아담한 주택지</t>
        </is>
      </c>
      <c r="I4062" s="5">
        <f>HYPERLINK("https://fin.land.naver.com/articles/2646035187", "매물Link")</f>
        <v/>
      </c>
      <c r="J4062" s="5">
        <f>HYPERLINK("https://map.naver.com/p/search/장군면 봉안리 213-3", "지도Link")</f>
        <v/>
      </c>
      <c r="K4062" s="5">
        <f>HYPERLINK("http://www.eum.go.kr/web/ar/lu/luLandDet.jsp?pnu=3611035024102130003&amp;isNoScr=script&amp;mode=search", "토지이음")</f>
        <v/>
      </c>
      <c r="L4062" s="3" t="inlineStr">
        <is>
          <t>세종천지</t>
        </is>
      </c>
      <c r="M4062" s="3" t="n">
        <v>1</v>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3" t="inlineStr">
        <is>
          <t>급매,건축허가 득한 조망좋은 계획관리 토지,카페자리로 추천</t>
        </is>
      </c>
      <c r="I4063" s="5">
        <f>HYPERLINK("https://fin.land.naver.com/articles/2649308775", "매물Link")</f>
        <v/>
      </c>
      <c r="J4063" s="5">
        <f>HYPERLINK("https://map.naver.com/p/search/장군면 봉안리 216-12", "지도Link")</f>
        <v/>
      </c>
      <c r="K4063" s="5">
        <f>HYPERLINK("http://www.eum.go.kr/web/ar/lu/luLandDet.jsp?pnu=3611035024102160012&amp;isNoScr=script&amp;mode=search", "토지이음")</f>
        <v/>
      </c>
      <c r="L4063" s="3" t="inlineStr">
        <is>
          <t>가치잇는</t>
        </is>
      </c>
      <c r="M4063" s="3" t="n">
        <v>4</v>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3" t="inlineStr">
        <is>
          <t>급매,도로접한 계획관리,지대 높은 전원주택지,투자가치 상승 기대되는 토지</t>
        </is>
      </c>
      <c r="I4064" s="5">
        <f>HYPERLINK("https://fin.land.naver.com/articles/2645310796", "매물Link")</f>
        <v/>
      </c>
      <c r="J4064" s="5">
        <f>HYPERLINK("https://map.naver.com/p/search/장군면 봉안리 216-12", "지도Link")</f>
        <v/>
      </c>
      <c r="K4064" s="5">
        <f>HYPERLINK("http://www.eum.go.kr/web/ar/lu/luLandDet.jsp?pnu=3611035024102160012&amp;isNoScr=script&amp;mode=search", "토지이음")</f>
        <v/>
      </c>
      <c r="L4064" s="3" t="inlineStr">
        <is>
          <t>고운맘</t>
        </is>
      </c>
      <c r="M4064" s="3" t="n">
        <v>1</v>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3" t="inlineStr">
        <is>
          <t>도로접한 입지좋은 계획관리 토지로 단독주택,식당,카페등 추천.</t>
        </is>
      </c>
      <c r="I4065" s="5">
        <f>HYPERLINK("https://fin.land.naver.com/articles/2649019320", "매물Link")</f>
        <v/>
      </c>
      <c r="J4065" s="5">
        <f>HYPERLINK("https://map.naver.com/p/search/장군면 봉안리 216-12", "지도Link")</f>
        <v/>
      </c>
      <c r="K4065" s="5">
        <f>HYPERLINK("http://www.eum.go.kr/web/ar/lu/luLandDet.jsp?pnu=3611035024102160012&amp;isNoScr=script&amp;mode=search", "토지이음")</f>
        <v/>
      </c>
      <c r="L4065" s="3" t="inlineStr">
        <is>
          <t>다정현대</t>
        </is>
      </c>
      <c r="M4065" s="3" t="n">
        <v>2</v>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3" t="inlineStr">
        <is>
          <t>사진0, 신도심권과  가깝고 개발이 진행되고 있는 세종시 택지용도 매매</t>
        </is>
      </c>
      <c r="I4066" s="5">
        <f>HYPERLINK("https://fin.land.naver.com/articles/2644528287", "매물Link")</f>
        <v/>
      </c>
      <c r="J4066" s="5">
        <f>HYPERLINK("https://map.naver.com/p/search/장군면 봉안리 216-20", "지도Link")</f>
        <v/>
      </c>
      <c r="K4066" s="5">
        <f>HYPERLINK("http://www.eum.go.kr/web/ar/lu/luLandDet.jsp?pnu=3611035024102160020&amp;isNoScr=script&amp;mode=search", "토지이음")</f>
        <v/>
      </c>
      <c r="L4066" s="3" t="inlineStr">
        <is>
          <t>비전</t>
        </is>
      </c>
      <c r="M4066" s="3" t="n">
        <v>1</v>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3" t="inlineStr">
        <is>
          <t>지대 높은 조망권뷰최상 전원주택지,고운.다정동5분거리,투자가치상승</t>
        </is>
      </c>
      <c r="I4067" s="5">
        <f>HYPERLINK("https://fin.land.naver.com/articles/2649569378", "매물Link")</f>
        <v/>
      </c>
      <c r="J4067" s="5">
        <f>HYPERLINK("https://map.naver.com/p/search/장군면 봉안리 216-24", "지도Link")</f>
        <v/>
      </c>
      <c r="K4067" s="5">
        <f>HYPERLINK("http://www.eum.go.kr/web/ar/lu/luLandDet.jsp?pnu=3611035024102160024&amp;isNoScr=script&amp;mode=search", "토지이음")</f>
        <v/>
      </c>
      <c r="L4067" s="3" t="inlineStr">
        <is>
          <t>고운맘</t>
        </is>
      </c>
      <c r="M4067" s="3" t="n">
        <v>1</v>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3" t="inlineStr">
        <is>
          <t>지대 높은 조망권뷰 최상 계획관리지역,성장관리계획구역,투자가치상승</t>
        </is>
      </c>
      <c r="I4068" s="5">
        <f>HYPERLINK("https://fin.land.naver.com/articles/2647781824", "매물Link")</f>
        <v/>
      </c>
      <c r="J4068" s="5">
        <f>HYPERLINK("https://map.naver.com/p/search/장군면 봉안리 216-31", "지도Link")</f>
        <v/>
      </c>
      <c r="K4068" s="5">
        <f>HYPERLINK("http://www.eum.go.kr/web/ar/lu/luLandDet.jsp?pnu=3611035024102160031&amp;isNoScr=script&amp;mode=search", "토지이음")</f>
        <v/>
      </c>
      <c r="L4068" s="3" t="inlineStr">
        <is>
          <t>고운맘</t>
        </is>
      </c>
      <c r="M4068" s="3" t="n">
        <v>1</v>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3" t="inlineStr">
        <is>
          <t>nan</t>
        </is>
      </c>
      <c r="I4069" s="5">
        <f>HYPERLINK("https://fin.land.naver.com/articles/2645823467", "매물Link")</f>
        <v/>
      </c>
      <c r="J4069" s="5">
        <f>HYPERLINK("https://map.naver.com/p/search/장군면 봉안리 22", "지도Link")</f>
        <v/>
      </c>
      <c r="K4069" s="5">
        <f>HYPERLINK("http://www.eum.go.kr/web/ar/lu/luLandDet.jsp?pnu=3611035024100220000&amp;isNoScr=script&amp;mode=search", "토지이음")</f>
        <v/>
      </c>
      <c r="L4069" s="3" t="inlineStr">
        <is>
          <t>청설</t>
        </is>
      </c>
      <c r="M4069" s="3" t="n">
        <v>1</v>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3" t="inlineStr">
        <is>
          <t>세종시 접한 전원주택지 , 기반시설 완</t>
        </is>
      </c>
      <c r="I4070" s="5">
        <f>HYPERLINK("https://fin.land.naver.com/articles/2645341986", "매물Link")</f>
        <v/>
      </c>
      <c r="J4070" s="5">
        <f>HYPERLINK("https://map.naver.com/p/search/장군면 봉안리 22-112", "지도Link")</f>
        <v/>
      </c>
      <c r="K4070" s="5">
        <f>HYPERLINK("http://www.eum.go.kr/web/ar/lu/luLandDet.jsp?pnu=3611035024100220112&amp;isNoScr=script&amp;mode=search", "토지이음")</f>
        <v/>
      </c>
      <c r="L4070" s="3" t="inlineStr">
        <is>
          <t>세종태양</t>
        </is>
      </c>
      <c r="M4070" s="3" t="n">
        <v>1</v>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3" t="inlineStr">
        <is>
          <t>다정동인접하고 6m도로 생활편리 전원주택지로 최싱.</t>
        </is>
      </c>
      <c r="I4071" s="5">
        <f>HYPERLINK("https://fin.land.naver.com/articles/2646534294", "매물Link")</f>
        <v/>
      </c>
      <c r="J4071" s="5">
        <f>HYPERLINK("https://map.naver.com/p/search/장군면 봉안리 22-121", "지도Link")</f>
        <v/>
      </c>
      <c r="K4071" s="5">
        <f>HYPERLINK("http://www.eum.go.kr/web/ar/lu/luLandDet.jsp?pnu=3611035024100220121&amp;isNoScr=script&amp;mode=search", "토지이음")</f>
        <v/>
      </c>
      <c r="L4071" s="3" t="inlineStr">
        <is>
          <t>신가람</t>
        </is>
      </c>
      <c r="M4071" s="3" t="n">
        <v>1</v>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3" t="inlineStr">
        <is>
          <t>전원주택부지로 도로에 접하여 있으며,다정동 아파트에 인접해 있어요</t>
        </is>
      </c>
      <c r="I4072" s="5">
        <f>HYPERLINK("https://fin.land.naver.com/articles/2649805375", "매물Link")</f>
        <v/>
      </c>
      <c r="J4072" s="5">
        <f>HYPERLINK("https://map.naver.com/p/search/장군면 봉안리 22-171", "지도Link")</f>
        <v/>
      </c>
      <c r="K4072" s="5">
        <f>HYPERLINK("http://www.eum.go.kr/web/ar/lu/luLandDet.jsp?pnu=3611035024100220171&amp;isNoScr=script&amp;mode=search", "토지이음")</f>
        <v/>
      </c>
      <c r="L4072" s="3" t="inlineStr">
        <is>
          <t>송림탑</t>
        </is>
      </c>
      <c r="M4072" s="3" t="n">
        <v>1</v>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3" t="inlineStr">
        <is>
          <t>nan</t>
        </is>
      </c>
      <c r="I4073" s="5">
        <f>HYPERLINK("https://fin.land.naver.com/articles/2647808221", "매물Link")</f>
        <v/>
      </c>
      <c r="J4073" s="5">
        <f>HYPERLINK("https://map.naver.com/p/search/장군면 봉안리 22-215", "지도Link")</f>
        <v/>
      </c>
      <c r="K4073" s="5">
        <f>HYPERLINK("http://www.eum.go.kr/web/ar/lu/luLandDet.jsp?pnu=3611035024100220215&amp;isNoScr=script&amp;mode=search", "토지이음")</f>
        <v/>
      </c>
      <c r="L4073" s="3" t="inlineStr">
        <is>
          <t>다정가온아리</t>
        </is>
      </c>
      <c r="M4073" s="3" t="n">
        <v>1</v>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3" t="inlineStr">
        <is>
          <t>nan</t>
        </is>
      </c>
      <c r="I4074" s="5">
        <f>HYPERLINK("https://fin.land.naver.com/articles/2647583027", "매물Link")</f>
        <v/>
      </c>
      <c r="J4074" s="5">
        <f>HYPERLINK("https://map.naver.com/p/search/장군면 봉안리 22-245", "지도Link")</f>
        <v/>
      </c>
      <c r="K4074" s="5">
        <f>HYPERLINK("http://www.eum.go.kr/web/ar/lu/luLandDet.jsp?pnu=3611035024100220245&amp;isNoScr=script&amp;mode=search", "토지이음")</f>
        <v/>
      </c>
      <c r="L4074" s="3" t="inlineStr">
        <is>
          <t>세종몽땅</t>
        </is>
      </c>
      <c r="M4074" s="3" t="n">
        <v>1</v>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3" t="inlineStr">
        <is>
          <t>장군면 프라우드힐 위치 좋은 코너 단독주택지, 주변 시세대비 급매</t>
        </is>
      </c>
      <c r="I4075" s="5">
        <f>HYPERLINK("https://fin.land.naver.com/articles/2647358378", "매물Link")</f>
        <v/>
      </c>
      <c r="J4075" s="5">
        <f>HYPERLINK("https://map.naver.com/p/search/장군면 봉안리 22-53", "지도Link")</f>
        <v/>
      </c>
      <c r="K4075" s="5">
        <f>HYPERLINK("http://www.eum.go.kr/web/ar/lu/luLandDet.jsp?pnu=3611035024100220053&amp;isNoScr=script&amp;mode=search", "토지이음")</f>
        <v/>
      </c>
      <c r="L4075" s="3" t="inlineStr">
        <is>
          <t>스카이</t>
        </is>
      </c>
      <c r="M4075" s="3" t="n">
        <v>1</v>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3" t="inlineStr">
        <is>
          <t>nan</t>
        </is>
      </c>
      <c r="I4076" s="5">
        <f>HYPERLINK("https://fin.land.naver.com/articles/2644396397", "매물Link")</f>
        <v/>
      </c>
      <c r="J4076" s="5">
        <f>HYPERLINK("https://map.naver.com/p/search/장군면 봉안리 22-67", "지도Link")</f>
        <v/>
      </c>
      <c r="K4076" s="5">
        <f>HYPERLINK("http://www.eum.go.kr/web/ar/lu/luLandDet.jsp?pnu=3611035024100220067&amp;isNoScr=script&amp;mode=search", "토지이음")</f>
        <v/>
      </c>
      <c r="L4076" s="3" t="inlineStr">
        <is>
          <t>세종몽땅</t>
        </is>
      </c>
      <c r="M4076" s="3" t="n">
        <v>1</v>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3" t="inlineStr">
        <is>
          <t>프라우드힐 단독주택지</t>
        </is>
      </c>
      <c r="I4077" s="5">
        <f>HYPERLINK("https://fin.land.naver.com/articles/2645746910", "매물Link")</f>
        <v/>
      </c>
      <c r="J4077" s="5">
        <f>HYPERLINK("https://map.naver.com/p/search/장군면 봉안리 22-71", "지도Link")</f>
        <v/>
      </c>
      <c r="K4077" s="5">
        <f>HYPERLINK("http://www.eum.go.kr/web/ar/lu/luLandDet.jsp?pnu=3611035024100220071&amp;isNoScr=script&amp;mode=search", "토지이음")</f>
        <v/>
      </c>
      <c r="L4077" s="3" t="inlineStr">
        <is>
          <t>세종몽땅</t>
        </is>
      </c>
      <c r="M4077" s="3" t="n">
        <v>1</v>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3" t="inlineStr">
        <is>
          <t>생명나무,장군면 프라우드힐 타운하우스 .행복도시 근접거리있어요</t>
        </is>
      </c>
      <c r="I4078" s="5">
        <f>HYPERLINK("https://fin.land.naver.com/articles/2649359994", "매물Link")</f>
        <v/>
      </c>
      <c r="J4078" s="5">
        <f>HYPERLINK("https://map.naver.com/p/search/장군면 봉안리 22-71", "지도Link")</f>
        <v/>
      </c>
      <c r="K4078" s="5">
        <f>HYPERLINK("http://www.eum.go.kr/web/ar/lu/luLandDet.jsp?pnu=3611035024100220071&amp;isNoScr=script&amp;mode=search", "토지이음")</f>
        <v/>
      </c>
      <c r="L4078" s="3" t="inlineStr">
        <is>
          <t>생명나무</t>
        </is>
      </c>
      <c r="M4078" s="3" t="n">
        <v>3</v>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3" t="inlineStr">
        <is>
          <t>급매,행복마을 프라우드힐,다정동 인접,벙커형 주차장가능,저렴한 택지</t>
        </is>
      </c>
      <c r="I4079" s="5">
        <f>HYPERLINK("https://fin.land.naver.com/articles/2644746545", "매물Link")</f>
        <v/>
      </c>
      <c r="J4079" s="5">
        <f>HYPERLINK("https://map.naver.com/p/search/장군면 봉안리 22-71", "지도Link")</f>
        <v/>
      </c>
      <c r="K4079" s="5">
        <f>HYPERLINK("http://www.eum.go.kr/web/ar/lu/luLandDet.jsp?pnu=3611035024100220071&amp;isNoScr=script&amp;mode=search", "토지이음")</f>
        <v/>
      </c>
      <c r="L4079" s="3" t="inlineStr">
        <is>
          <t>고운맘</t>
        </is>
      </c>
      <c r="M4079" s="3" t="n">
        <v>1</v>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3" t="inlineStr">
        <is>
          <t>계획관리지역, 급매</t>
        </is>
      </c>
      <c r="I4080" s="5">
        <f>HYPERLINK("https://fin.land.naver.com/articles/2649633201", "매물Link")</f>
        <v/>
      </c>
      <c r="J4080" s="5">
        <f>HYPERLINK("https://map.naver.com/p/search/장군면 봉안리 233", "지도Link")</f>
        <v/>
      </c>
      <c r="K4080" s="5">
        <f>HYPERLINK("http://www.eum.go.kr/web/ar/lu/luLandDet.jsp?pnu=3611035024102330000&amp;isNoScr=script&amp;mode=search", "토지이음")</f>
        <v/>
      </c>
      <c r="L4080" s="3" t="inlineStr">
        <is>
          <t>세종엘리트</t>
        </is>
      </c>
      <c r="M4080" s="3" t="n">
        <v>1</v>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3" t="inlineStr">
        <is>
          <t>행복도시 5분거리 , 조용한전원주택지추천 .  세종시 인기많은지역,투자굿</t>
        </is>
      </c>
      <c r="I4081" s="5">
        <f>HYPERLINK("https://fin.land.naver.com/articles/2649593607", "매물Link")</f>
        <v/>
      </c>
      <c r="J4081" s="5">
        <f>HYPERLINK("https://map.naver.com/p/search/장군면 봉안리 248-1", "지도Link")</f>
        <v/>
      </c>
      <c r="K4081" s="5">
        <f>HYPERLINK("http://www.eum.go.kr/web/ar/lu/luLandDet.jsp?pnu=3611035024102480001&amp;isNoScr=script&amp;mode=search", "토지이음")</f>
        <v/>
      </c>
      <c r="L4081" s="3" t="inlineStr">
        <is>
          <t>세종특별시</t>
        </is>
      </c>
      <c r="M4081" s="3" t="n">
        <v>1</v>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3" t="inlineStr">
        <is>
          <t>세종시2생활권 바로옆 계획관리지역 전</t>
        </is>
      </c>
      <c r="I4082" s="5">
        <f>HYPERLINK("https://fin.land.naver.com/articles/2645366572", "매물Link")</f>
        <v/>
      </c>
      <c r="J4082" s="5">
        <f>HYPERLINK("https://map.naver.com/p/search/장군면 봉안리 25-5", "지도Link")</f>
        <v/>
      </c>
      <c r="K4082" s="5">
        <f>HYPERLINK("http://www.eum.go.kr/web/ar/lu/luLandDet.jsp?pnu=3611035024100250005&amp;isNoScr=script&amp;mode=search", "토지이음")</f>
        <v/>
      </c>
      <c r="L4082" s="3" t="inlineStr">
        <is>
          <t>세종천지</t>
        </is>
      </c>
      <c r="M4082" s="3" t="n">
        <v>2</v>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3" t="inlineStr">
        <is>
          <t>카페.사무실등 다용도 활용이 가능한 넉넉한 부지. 전망 굿</t>
        </is>
      </c>
      <c r="I4083" s="5">
        <f>HYPERLINK("https://fin.land.naver.com/articles/2645054945", "매물Link")</f>
        <v/>
      </c>
      <c r="J4083" s="5">
        <f>HYPERLINK("https://map.naver.com/p/search/장군면 봉안리 25-5", "지도Link")</f>
        <v/>
      </c>
      <c r="K4083" s="5">
        <f>HYPERLINK("http://www.eum.go.kr/web/ar/lu/luLandDet.jsp?pnu=3611035024100250005&amp;isNoScr=script&amp;mode=search", "토지이음")</f>
        <v/>
      </c>
      <c r="L4083" s="3" t="inlineStr">
        <is>
          <t>해마루</t>
        </is>
      </c>
      <c r="M4083" s="3" t="n">
        <v>1</v>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3" t="inlineStr">
        <is>
          <t>신도시 인접한 계획관리지역으로 모양좋은 토지</t>
        </is>
      </c>
      <c r="I4084" s="5">
        <f>HYPERLINK("https://fin.land.naver.com/articles/2647407718", "매물Link")</f>
        <v/>
      </c>
      <c r="J4084" s="5">
        <f>HYPERLINK("https://map.naver.com/p/search/장군면 봉안리 25-6", "지도Link")</f>
        <v/>
      </c>
      <c r="K4084" s="5">
        <f>HYPERLINK("http://www.eum.go.kr/web/ar/lu/luLandDet.jsp?pnu=3611035024100250006&amp;isNoScr=script&amp;mode=search", "토지이음")</f>
        <v/>
      </c>
      <c r="L4084" s="3" t="inlineStr">
        <is>
          <t>생생</t>
        </is>
      </c>
      <c r="M4084" s="3" t="n">
        <v>2</v>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3" t="inlineStr">
        <is>
          <t>초저렴한 계확관리지역 토지, 다목적용도 가능,투자용 추천</t>
        </is>
      </c>
      <c r="I4085" s="5">
        <f>HYPERLINK("https://fin.land.naver.com/articles/2647780407", "매물Link")</f>
        <v/>
      </c>
      <c r="J4085" s="5">
        <f>HYPERLINK("https://map.naver.com/p/search/장군면 봉안리 250", "지도Link")</f>
        <v/>
      </c>
      <c r="K4085" s="5">
        <f>HYPERLINK("http://www.eum.go.kr/web/ar/lu/luLandDet.jsp?pnu=3611035024102500000&amp;isNoScr=script&amp;mode=search", "토지이음")</f>
        <v/>
      </c>
      <c r="L4085" s="3" t="inlineStr">
        <is>
          <t>고운맘</t>
        </is>
      </c>
      <c r="M4085" s="3" t="n">
        <v>1</v>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3" t="inlineStr">
        <is>
          <t>급매 장군면 봉안리 계획관리지역의 투자용 토지입니다</t>
        </is>
      </c>
      <c r="I4086" s="5">
        <f>HYPERLINK("https://fin.land.naver.com/articles/2644488968", "매물Link")</f>
        <v/>
      </c>
      <c r="J4086" s="5">
        <f>HYPERLINK("https://map.naver.com/p/search/장군면 봉안리 250", "지도Link")</f>
        <v/>
      </c>
      <c r="K4086" s="5">
        <f>HYPERLINK("http://www.eum.go.kr/web/ar/lu/luLandDet.jsp?pnu=3611035024102500000&amp;isNoScr=script&amp;mode=search", "토지이음")</f>
        <v/>
      </c>
      <c r="L4086" s="3" t="inlineStr">
        <is>
          <t>스마일세종</t>
        </is>
      </c>
      <c r="M4086" s="3" t="n">
        <v>1</v>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3" t="inlineStr">
        <is>
          <t>장군면 봉안리 6m도로접한 근린상가적지</t>
        </is>
      </c>
      <c r="I4087" s="5">
        <f>HYPERLINK("https://fin.land.naver.com/articles/2647436879", "매물Link")</f>
        <v/>
      </c>
      <c r="J4087" s="5">
        <f>HYPERLINK("https://map.naver.com/p/search/장군면 봉안리 255-2", "지도Link")</f>
        <v/>
      </c>
      <c r="K4087" s="5">
        <f>HYPERLINK("http://www.eum.go.kr/web/ar/lu/luLandDet.jsp?pnu=3611035024102550002&amp;isNoScr=script&amp;mode=search", "토지이음")</f>
        <v/>
      </c>
      <c r="L4087" s="3" t="inlineStr">
        <is>
          <t>세종천지</t>
        </is>
      </c>
      <c r="M4087" s="3" t="n">
        <v>1</v>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3" t="inlineStr">
        <is>
          <t>세종 행복도시 바로 옆 계획관리 목장용지.대지와 같은 토지</t>
        </is>
      </c>
      <c r="I4088" s="5">
        <f>HYPERLINK("https://fin.land.naver.com/articles/2646616229", "매물Link")</f>
        <v/>
      </c>
      <c r="J4088" s="5">
        <f>HYPERLINK("https://map.naver.com/p/search/장군면 봉안리 266-3", "지도Link")</f>
        <v/>
      </c>
      <c r="K4088" s="5">
        <f>HYPERLINK("http://www.eum.go.kr/web/ar/lu/luLandDet.jsp?pnu=3611035024102660003&amp;isNoScr=script&amp;mode=search", "토지이음")</f>
        <v/>
      </c>
      <c r="L4088" s="3" t="inlineStr">
        <is>
          <t>노은탑</t>
        </is>
      </c>
      <c r="M4088" s="3" t="n">
        <v>1</v>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3" t="inlineStr">
        <is>
          <t>2차선접,나즈막한 야산,세종시인접</t>
        </is>
      </c>
      <c r="I4089" s="5">
        <f>HYPERLINK("https://fin.land.naver.com/articles/2646788753", "매물Link")</f>
        <v/>
      </c>
      <c r="J4089" s="5">
        <f>HYPERLINK("https://map.naver.com/p/search/장군면 봉안리 269-1", "지도Link")</f>
        <v/>
      </c>
      <c r="K4089" s="5">
        <f>HYPERLINK("http://www.eum.go.kr/web/ar/lu/luLandDet.jsp?pnu=3611035024102690001&amp;isNoScr=script&amp;mode=search", "토지이음")</f>
        <v/>
      </c>
      <c r="L4089" s="3" t="inlineStr">
        <is>
          <t>좋은터</t>
        </is>
      </c>
      <c r="M4089" s="3" t="n">
        <v>1</v>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3" t="inlineStr">
        <is>
          <t>고운동 5분거리, 단층 건물 두동 임대중</t>
        </is>
      </c>
      <c r="I4090" s="5">
        <f>HYPERLINK("https://fin.land.naver.com/articles/2645132450", "매물Link")</f>
        <v/>
      </c>
      <c r="J4090" s="5">
        <f>HYPERLINK("https://map.naver.com/p/search/장군면 봉안리 269-6", "지도Link")</f>
        <v/>
      </c>
      <c r="K4090" s="5">
        <f>HYPERLINK("http://www.eum.go.kr/web/ar/lu/luLandDet.jsp?pnu=3611035024102690006&amp;isNoScr=script&amp;mode=search", "토지이음")</f>
        <v/>
      </c>
      <c r="L4090" s="3" t="inlineStr">
        <is>
          <t>미스터홈즈강남지사</t>
        </is>
      </c>
      <c r="M4090" s="3" t="n">
        <v>1</v>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3" t="inlineStr">
        <is>
          <t>급매,도로접 계획관리지역 조망권뷰 최상, 알토란 토지 매매,투자용 추천</t>
        </is>
      </c>
      <c r="I4091" s="5">
        <f>HYPERLINK("https://fin.land.naver.com/articles/2647772148", "매물Link")</f>
        <v/>
      </c>
      <c r="J4091" s="5">
        <f>HYPERLINK("https://map.naver.com/p/search/장군면 봉안리 28-2", "지도Link")</f>
        <v/>
      </c>
      <c r="K4091" s="5">
        <f>HYPERLINK("http://www.eum.go.kr/web/ar/lu/luLandDet.jsp?pnu=3611035024100280002&amp;isNoScr=script&amp;mode=search", "토지이음")</f>
        <v/>
      </c>
      <c r="L4091" s="3" t="inlineStr">
        <is>
          <t>고운맘</t>
        </is>
      </c>
      <c r="M4091" s="3" t="n">
        <v>1</v>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3" t="inlineStr">
        <is>
          <t>급매,도로접 계획관리지역, 알토란 토지 매매, 투자용 추천</t>
        </is>
      </c>
      <c r="I4092" s="5">
        <f>HYPERLINK("https://fin.land.naver.com/articles/2647773461", "매물Link")</f>
        <v/>
      </c>
      <c r="J4092" s="5">
        <f>HYPERLINK("https://map.naver.com/p/search/장군면 봉안리 28-3", "지도Link")</f>
        <v/>
      </c>
      <c r="K4092" s="5">
        <f>HYPERLINK("http://www.eum.go.kr/web/ar/lu/luLandDet.jsp?pnu=3611035024100280003&amp;isNoScr=script&amp;mode=search", "토지이음")</f>
        <v/>
      </c>
      <c r="L4092" s="3" t="inlineStr">
        <is>
          <t>고운맘</t>
        </is>
      </c>
      <c r="M4092" s="3" t="n">
        <v>1</v>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3" t="inlineStr">
        <is>
          <t>공시지가로 매매하는 장군면 봉안리 계획관리지역 잡종지 급매합니다</t>
        </is>
      </c>
      <c r="I4093" s="5">
        <f>HYPERLINK("https://fin.land.naver.com/articles/2649568241", "매물Link")</f>
        <v/>
      </c>
      <c r="J4093" s="5">
        <f>HYPERLINK("https://map.naver.com/p/search/장군면 봉안리 287-2", "지도Link")</f>
        <v/>
      </c>
      <c r="K4093" s="5">
        <f>HYPERLINK("http://www.eum.go.kr/web/ar/lu/luLandDet.jsp?pnu=3611035024102870002&amp;isNoScr=script&amp;mode=search", "토지이음")</f>
        <v/>
      </c>
      <c r="L4093" s="3" t="inlineStr">
        <is>
          <t>스마일세종</t>
        </is>
      </c>
      <c r="M4093" s="3" t="n">
        <v>1</v>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3" t="inlineStr">
        <is>
          <t>장군면 봉안리 잡종지 매매</t>
        </is>
      </c>
      <c r="I4094" s="5">
        <f>HYPERLINK("https://fin.land.naver.com/articles/2645238147", "매물Link")</f>
        <v/>
      </c>
      <c r="J4094" s="5">
        <f>HYPERLINK("https://map.naver.com/p/search/장군면 봉안리 287-2", "지도Link")</f>
        <v/>
      </c>
      <c r="K4094" s="5">
        <f>HYPERLINK("http://www.eum.go.kr/web/ar/lu/luLandDet.jsp?pnu=3611035024102870002&amp;isNoScr=script&amp;mode=search", "토지이음")</f>
        <v/>
      </c>
      <c r="L4094" s="3" t="inlineStr">
        <is>
          <t>비전</t>
        </is>
      </c>
      <c r="M4094" s="3" t="n">
        <v>1</v>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3" t="inlineStr">
        <is>
          <t>세종시 경계지역 계획관리지역 급매 저렴한 땅</t>
        </is>
      </c>
      <c r="I4095" s="5">
        <f>HYPERLINK("https://fin.land.naver.com/articles/2647772870", "매물Link")</f>
        <v/>
      </c>
      <c r="J4095" s="5">
        <f>HYPERLINK("https://map.naver.com/p/search/장군면 봉안리 295-11", "지도Link")</f>
        <v/>
      </c>
      <c r="K4095" s="5">
        <f>HYPERLINK("http://www.eum.go.kr/web/ar/lu/luLandDet.jsp?pnu=3611035024102950011&amp;isNoScr=script&amp;mode=search", "토지이음")</f>
        <v/>
      </c>
      <c r="L4095" s="3" t="inlineStr">
        <is>
          <t>상상</t>
        </is>
      </c>
      <c r="M4095" s="3" t="n">
        <v>1</v>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3" t="inlineStr">
        <is>
          <t>도로접 계획관리,다정동인접,세종시생활권,투자가치상승지,가격조정가능</t>
        </is>
      </c>
      <c r="I4096" s="5">
        <f>HYPERLINK("https://fin.land.naver.com/articles/2649119108", "매물Link")</f>
        <v/>
      </c>
      <c r="J4096" s="5">
        <f>HYPERLINK("https://map.naver.com/p/search/장군면 봉안리 30-3", "지도Link")</f>
        <v/>
      </c>
      <c r="K4096" s="5">
        <f>HYPERLINK("http://www.eum.go.kr/web/ar/lu/luLandDet.jsp?pnu=3611035024100300003&amp;isNoScr=script&amp;mode=search", "토지이음")</f>
        <v/>
      </c>
      <c r="L4096" s="3" t="inlineStr">
        <is>
          <t>고운맘</t>
        </is>
      </c>
      <c r="M4096" s="3" t="n">
        <v>1</v>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3" t="inlineStr">
        <is>
          <t>세종 건설지역 초인접 봉안리 상권 활성화된 토지</t>
        </is>
      </c>
      <c r="I4097" s="5">
        <f>HYPERLINK("https://fin.land.naver.com/articles/2646488671", "매물Link")</f>
        <v/>
      </c>
      <c r="J4097" s="5">
        <f>HYPERLINK("https://map.naver.com/p/search/장군면 봉안리 306-2", "지도Link")</f>
        <v/>
      </c>
      <c r="K4097" s="5">
        <f>HYPERLINK("http://www.eum.go.kr/web/ar/lu/luLandDet.jsp?pnu=3611035024103060002&amp;isNoScr=script&amp;mode=search", "토지이음")</f>
        <v/>
      </c>
      <c r="L4097" s="3" t="inlineStr">
        <is>
          <t>강나루</t>
        </is>
      </c>
      <c r="M4097" s="3" t="n">
        <v>1</v>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3" t="inlineStr">
        <is>
          <t>지대가 높아 전망이 좋고, 도로 접면도 70m 이상 나오는 계획관리지역</t>
        </is>
      </c>
      <c r="I4098" s="5">
        <f>HYPERLINK("https://fin.land.naver.com/articles/2647037270", "매물Link")</f>
        <v/>
      </c>
      <c r="J4098" s="5">
        <f>HYPERLINK("https://map.naver.com/p/search/장군면 봉안리 324-4", "지도Link")</f>
        <v/>
      </c>
      <c r="K4098" s="5">
        <f>HYPERLINK("http://www.eum.go.kr/web/ar/lu/luLandDet.jsp?pnu=3611035024103240004&amp;isNoScr=script&amp;mode=search", "토지이음")</f>
        <v/>
      </c>
      <c r="L4098" s="3" t="inlineStr">
        <is>
          <t>스마일세종</t>
        </is>
      </c>
      <c r="M4098" s="3" t="n">
        <v>1</v>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3" t="inlineStr">
        <is>
          <t>대형상가 개발부지 I 주변 개발에 따른 향후 투자 기대</t>
        </is>
      </c>
      <c r="I4099" s="5">
        <f>HYPERLINK("https://fin.land.naver.com/articles/2649521913", "매물Link")</f>
        <v/>
      </c>
      <c r="J4099" s="5">
        <f>HYPERLINK("https://map.naver.com/p/search/장군면 봉안리 329", "지도Link")</f>
        <v/>
      </c>
      <c r="K4099" s="5">
        <f>HYPERLINK("http://www.eum.go.kr/web/ar/lu/luLandDet.jsp?pnu=3611035024103290000&amp;isNoScr=script&amp;mode=search", "토지이음")</f>
        <v/>
      </c>
      <c r="L4099" s="3" t="inlineStr">
        <is>
          <t>다복  사무소</t>
        </is>
      </c>
      <c r="M4099" s="3" t="n">
        <v>1</v>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3" t="inlineStr">
        <is>
          <t>nan</t>
        </is>
      </c>
      <c r="I4100" s="5">
        <f>HYPERLINK("https://fin.land.naver.com/articles/2649694005", "매물Link")</f>
        <v/>
      </c>
      <c r="J4100" s="5">
        <f>HYPERLINK("https://map.naver.com/p/search/장군면 봉안리 329", "지도Link")</f>
        <v/>
      </c>
      <c r="K4100" s="5">
        <f>HYPERLINK("http://www.eum.go.kr/web/ar/lu/luLandDet.jsp?pnu=3611035024103290000&amp;isNoScr=script&amp;mode=search", "토지이음")</f>
        <v/>
      </c>
      <c r="L4100" s="3" t="inlineStr">
        <is>
          <t>생명나무</t>
        </is>
      </c>
      <c r="M4100" s="3" t="n">
        <v>1</v>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3" t="inlineStr">
        <is>
          <t>장군면 봉안교차로 인근 현재  밭으로 사용중 창고추천</t>
        </is>
      </c>
      <c r="I4101" s="5">
        <f>HYPERLINK("https://fin.land.naver.com/articles/2648193667", "매물Link")</f>
        <v/>
      </c>
      <c r="J4101" s="5">
        <f>HYPERLINK("https://map.naver.com/p/search/장군면 봉안리 358-1", "지도Link")</f>
        <v/>
      </c>
      <c r="K4101" s="5">
        <f>HYPERLINK("http://www.eum.go.kr/web/ar/lu/luLandDet.jsp?pnu=3611035024103580001&amp;isNoScr=script&amp;mode=search", "토지이음")</f>
        <v/>
      </c>
      <c r="L4101" s="3" t="inlineStr">
        <is>
          <t>플러스자이합동</t>
        </is>
      </c>
      <c r="M4101" s="3" t="n">
        <v>1</v>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3" t="inlineStr">
        <is>
          <t>nan</t>
        </is>
      </c>
      <c r="I4102" s="5">
        <f>HYPERLINK("https://fin.land.naver.com/articles/2644642143", "매물Link")</f>
        <v/>
      </c>
      <c r="J4102" s="5">
        <f>HYPERLINK("https://map.naver.com/p/search/장군면 봉안리 363-2", "지도Link")</f>
        <v/>
      </c>
      <c r="K4102" s="5">
        <f>HYPERLINK("http://www.eum.go.kr/web/ar/lu/luLandDet.jsp?pnu=3611035024103630002&amp;isNoScr=script&amp;mode=search", "토지이음")</f>
        <v/>
      </c>
      <c r="L4102" s="3" t="inlineStr">
        <is>
          <t>이루다</t>
        </is>
      </c>
      <c r="M4102" s="3" t="n">
        <v>1</v>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3" t="inlineStr">
        <is>
          <t>nan</t>
        </is>
      </c>
      <c r="I4103" s="5">
        <f>HYPERLINK("https://fin.land.naver.com/articles/2649692568", "매물Link")</f>
        <v/>
      </c>
      <c r="J4103" s="5">
        <f>HYPERLINK("https://map.naver.com/p/search/장군면 봉안리 363-2", "지도Link")</f>
        <v/>
      </c>
      <c r="K4103" s="5">
        <f>HYPERLINK("http://www.eum.go.kr/web/ar/lu/luLandDet.jsp?pnu=3611035024103630002&amp;isNoScr=script&amp;mode=search", "토지이음")</f>
        <v/>
      </c>
      <c r="L4103" s="3" t="inlineStr">
        <is>
          <t>생명나무</t>
        </is>
      </c>
      <c r="M4103" s="3" t="n">
        <v>3</v>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3" t="inlineStr">
        <is>
          <t>세종 신도시 접근성과 뷰가 좋은 택지조성지 매매</t>
        </is>
      </c>
      <c r="I4104" s="5">
        <f>HYPERLINK("https://fin.land.naver.com/articles/2650189060", "매물Link")</f>
        <v/>
      </c>
      <c r="J4104" s="5">
        <f>HYPERLINK("https://map.naver.com/p/search/장군면 봉안리 4-15", "지도Link")</f>
        <v/>
      </c>
      <c r="K4104" s="5">
        <f>HYPERLINK("http://www.eum.go.kr/web/ar/lu/luLandDet.jsp?pnu=3611035024100040015&amp;isNoScr=script&amp;mode=search", "토지이음")</f>
        <v/>
      </c>
      <c r="L4104" s="3" t="inlineStr">
        <is>
          <t>세종비전행정사</t>
        </is>
      </c>
      <c r="M4104" s="3" t="n">
        <v>1</v>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3" t="inlineStr">
        <is>
          <t>급매 , 분할매매, 120만원p, 도로지분 12p 포함, 주말농장 추천</t>
        </is>
      </c>
      <c r="I4105" s="5">
        <f>HYPERLINK("https://fin.land.naver.com/articles/2644740416", "매물Link")</f>
        <v/>
      </c>
      <c r="J4105" s="5">
        <f>HYPERLINK("https://map.naver.com/p/search/장군면 봉안리 4-20", "지도Link")</f>
        <v/>
      </c>
      <c r="K4105" s="5">
        <f>HYPERLINK("http://www.eum.go.kr/web/ar/lu/luLandDet.jsp?pnu=3611035024100040020&amp;isNoScr=script&amp;mode=search", "토지이음")</f>
        <v/>
      </c>
      <c r="L4105" s="3" t="inlineStr">
        <is>
          <t>수자인시티</t>
        </is>
      </c>
      <c r="M4105" s="3" t="n">
        <v>2</v>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3" t="inlineStr">
        <is>
          <t>급매 행복도시인접한전원주택지 분할매매가능 도로지분포함</t>
        </is>
      </c>
      <c r="I4106" s="5">
        <f>HYPERLINK("https://fin.land.naver.com/articles/2649305897", "매물Link")</f>
        <v/>
      </c>
      <c r="J4106" s="5">
        <f>HYPERLINK("https://map.naver.com/p/search/장군면 봉안리 4-20", "지도Link")</f>
        <v/>
      </c>
      <c r="K4106" s="5">
        <f>HYPERLINK("http://www.eum.go.kr/web/ar/lu/luLandDet.jsp?pnu=3611035024100040020&amp;isNoScr=script&amp;mode=search", "토지이음")</f>
        <v/>
      </c>
      <c r="L4106" s="3" t="inlineStr">
        <is>
          <t>레몬</t>
        </is>
      </c>
      <c r="M4106" s="3" t="n">
        <v>1</v>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3" t="inlineStr">
        <is>
          <t>nan</t>
        </is>
      </c>
      <c r="I4107" s="5">
        <f>HYPERLINK("https://fin.land.naver.com/articles/2648497604", "매물Link")</f>
        <v/>
      </c>
      <c r="J4107" s="5">
        <f>HYPERLINK("https://map.naver.com/p/search/장군면 봉안리 4-20", "지도Link")</f>
        <v/>
      </c>
      <c r="K4107" s="5">
        <f>HYPERLINK("http://www.eum.go.kr/web/ar/lu/luLandDet.jsp?pnu=3611035024100040020&amp;isNoScr=script&amp;mode=search", "토지이음")</f>
        <v/>
      </c>
      <c r="L4107" s="3" t="inlineStr">
        <is>
          <t>보람최고</t>
        </is>
      </c>
      <c r="M4107" s="3" t="n">
        <v>1</v>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3" t="inlineStr">
        <is>
          <t>세종 도심 10분대, 하천 조망 갗춘 진입로 지분 포함 자연형 토지</t>
        </is>
      </c>
      <c r="I4108" s="5">
        <f>HYPERLINK("https://fin.land.naver.com/articles/2649343271", "매물Link")</f>
        <v/>
      </c>
      <c r="J4108" s="5">
        <f>HYPERLINK("https://map.naver.com/p/search/장군면 봉안리 4-21", "지도Link")</f>
        <v/>
      </c>
      <c r="K4108" s="5">
        <f>HYPERLINK("http://www.eum.go.kr/web/ar/lu/luLandDet.jsp?pnu=3611035024100040021&amp;isNoScr=script&amp;mode=search", "토지이음")</f>
        <v/>
      </c>
      <c r="L4108" s="3" t="inlineStr">
        <is>
          <t>세종소담황금</t>
        </is>
      </c>
      <c r="M4108" s="3" t="n">
        <v>1</v>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3" t="inlineStr">
        <is>
          <t>세종 이마트와 코스트코가 인근에 있는 전원주택 부지매매</t>
        </is>
      </c>
      <c r="I4109" s="5">
        <f>HYPERLINK("https://fin.land.naver.com/articles/2646189895", "매물Link")</f>
        <v/>
      </c>
      <c r="J4109" s="5">
        <f>HYPERLINK("https://map.naver.com/p/search/장군면 봉안리 4-21", "지도Link")</f>
        <v/>
      </c>
      <c r="K4109" s="5">
        <f>HYPERLINK("http://www.eum.go.kr/web/ar/lu/luLandDet.jsp?pnu=3611035024100040021&amp;isNoScr=script&amp;mode=search", "토지이음")</f>
        <v/>
      </c>
      <c r="L4109" s="3" t="inlineStr">
        <is>
          <t>비전</t>
        </is>
      </c>
      <c r="M4109" s="3" t="n">
        <v>1</v>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3" t="inlineStr">
        <is>
          <t>세종 신도시 인접 대교천 뷰가 있는 전원주택지 매매</t>
        </is>
      </c>
      <c r="I4110" s="5">
        <f>HYPERLINK("https://fin.land.naver.com/articles/2650189284", "매물Link")</f>
        <v/>
      </c>
      <c r="J4110" s="5">
        <f>HYPERLINK("https://map.naver.com/p/search/장군면 봉안리 4-38", "지도Link")</f>
        <v/>
      </c>
      <c r="K4110" s="5">
        <f>HYPERLINK("http://www.eum.go.kr/web/ar/lu/luLandDet.jsp?pnu=3611035024100040038&amp;isNoScr=script&amp;mode=search", "토지이음")</f>
        <v/>
      </c>
      <c r="L4110" s="3" t="inlineStr">
        <is>
          <t>세종비전행정사</t>
        </is>
      </c>
      <c r="M4110" s="3" t="n">
        <v>1</v>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3" t="inlineStr">
        <is>
          <t>행복도시와 경계, 장기로 (6차선도로)에 접함,</t>
        </is>
      </c>
      <c r="I4111" s="5">
        <f>HYPERLINK("https://fin.land.naver.com/articles/2647677512", "매물Link")</f>
        <v/>
      </c>
      <c r="J4111" s="5">
        <f>HYPERLINK("https://map.naver.com/p/search/장군면 봉안리 43-8", "지도Link")</f>
        <v/>
      </c>
      <c r="K4111" s="5">
        <f>HYPERLINK("http://www.eum.go.kr/web/ar/lu/luLandDet.jsp?pnu=3611035024100430008&amp;isNoScr=script&amp;mode=search", "토지이음")</f>
        <v/>
      </c>
      <c r="L4111" s="3" t="inlineStr">
        <is>
          <t>황제</t>
        </is>
      </c>
      <c r="M4111" s="3" t="n">
        <v>1</v>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3" t="inlineStr">
        <is>
          <t>세종시 장군면 도로접한 대지</t>
        </is>
      </c>
      <c r="I4112" s="5">
        <f>HYPERLINK("https://fin.land.naver.com/articles/2646036266", "매물Link")</f>
        <v/>
      </c>
      <c r="J4112" s="5">
        <f>HYPERLINK("https://map.naver.com/p/search/장군면 봉안리 445-1", "지도Link")</f>
        <v/>
      </c>
      <c r="K4112" s="5">
        <f>HYPERLINK("http://www.eum.go.kr/web/ar/lu/luLandDet.jsp?pnu=3611035024104450001&amp;isNoScr=script&amp;mode=search", "토지이음")</f>
        <v/>
      </c>
      <c r="L4112" s="3" t="inlineStr">
        <is>
          <t>세종천지</t>
        </is>
      </c>
      <c r="M4112" s="3" t="n">
        <v>1</v>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3" t="inlineStr">
        <is>
          <t>성장관리계획구역 내 토지</t>
        </is>
      </c>
      <c r="I4113" s="5">
        <f>HYPERLINK("https://fin.land.naver.com/articles/2645779326", "매물Link")</f>
        <v/>
      </c>
      <c r="J4113" s="5">
        <f>HYPERLINK("https://map.naver.com/p/search/장군면 봉안리 447-15", "지도Link")</f>
        <v/>
      </c>
      <c r="K4113" s="5">
        <f>HYPERLINK("http://www.eum.go.kr/web/ar/lu/luLandDet.jsp?pnu=3611035024104470015&amp;isNoScr=script&amp;mode=search", "토지이음")</f>
        <v/>
      </c>
      <c r="L4113" s="3" t="inlineStr">
        <is>
          <t>세종몽땅</t>
        </is>
      </c>
      <c r="M4113" s="3" t="n">
        <v>1</v>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3" t="inlineStr">
        <is>
          <t>세종 장군면 일대에서 넓은 임야를 찾는 분</t>
        </is>
      </c>
      <c r="I4114" s="5">
        <f>HYPERLINK("https://fin.land.naver.com/articles/2645770708", "매물Link")</f>
        <v/>
      </c>
      <c r="J4114" s="5">
        <f>HYPERLINK("https://map.naver.com/p/search/장군면 봉안리 447-16", "지도Link")</f>
        <v/>
      </c>
      <c r="K4114" s="5">
        <f>HYPERLINK("http://www.eum.go.kr/web/ar/lu/luLandDet.jsp?pnu=3611035024104470016&amp;isNoScr=script&amp;mode=search", "토지이음")</f>
        <v/>
      </c>
      <c r="L4114" s="3" t="inlineStr">
        <is>
          <t>세종몽땅</t>
        </is>
      </c>
      <c r="M4114" s="3" t="n">
        <v>1</v>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3" t="inlineStr">
        <is>
          <t>세종시 장군면 토지 매매</t>
        </is>
      </c>
      <c r="I4115" s="5">
        <f>HYPERLINK("https://fin.land.naver.com/articles/2645774052", "매물Link")</f>
        <v/>
      </c>
      <c r="J4115" s="5">
        <f>HYPERLINK("https://map.naver.com/p/search/장군면 봉안리 447-6", "지도Link")</f>
        <v/>
      </c>
      <c r="K4115" s="5">
        <f>HYPERLINK("http://www.eum.go.kr/web/ar/lu/luLandDet.jsp?pnu=3611035024104470006&amp;isNoScr=script&amp;mode=search", "토지이음")</f>
        <v/>
      </c>
      <c r="L4115" s="3" t="inlineStr">
        <is>
          <t>세종몽땅</t>
        </is>
      </c>
      <c r="M4115" s="3" t="n">
        <v>1</v>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3" t="inlineStr">
        <is>
          <t>봉안리 잘조성된 전원주택지</t>
        </is>
      </c>
      <c r="I4116" s="5">
        <f>HYPERLINK("https://fin.land.naver.com/articles/2648121600", "매물Link")</f>
        <v/>
      </c>
      <c r="J4116" s="5">
        <f>HYPERLINK("https://map.naver.com/p/search/장군면 봉안리 451-26", "지도Link")</f>
        <v/>
      </c>
      <c r="K4116" s="5">
        <f>HYPERLINK("http://www.eum.go.kr/web/ar/lu/luLandDet.jsp?pnu=3611035024104510026&amp;isNoScr=script&amp;mode=search", "토지이음")</f>
        <v/>
      </c>
      <c r="L4116" s="3" t="inlineStr">
        <is>
          <t>세종천지</t>
        </is>
      </c>
      <c r="M4116" s="3" t="n">
        <v>1</v>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3" t="inlineStr">
        <is>
          <t>장군면 봉안리 위치좋은 계획관리 토지, 도로접, 높은 뷰, 상가 추천</t>
        </is>
      </c>
      <c r="I4117" s="5">
        <f>HYPERLINK("https://fin.land.naver.com/articles/2648737835", "매물Link")</f>
        <v/>
      </c>
      <c r="J4117" s="5">
        <f>HYPERLINK("https://map.naver.com/p/search/장군면 봉안리 456-3", "지도Link")</f>
        <v/>
      </c>
      <c r="K4117" s="5">
        <f>HYPERLINK("http://www.eum.go.kr/web/ar/lu/luLandDet.jsp?pnu=3611035024104560003&amp;isNoScr=script&amp;mode=search", "토지이음")</f>
        <v/>
      </c>
      <c r="L4117" s="3" t="inlineStr">
        <is>
          <t>스카이</t>
        </is>
      </c>
      <c r="M4117" s="3" t="n">
        <v>1</v>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3" t="inlineStr">
        <is>
          <t>봉안리 2차선 도로에 접한땅</t>
        </is>
      </c>
      <c r="I4118" s="5">
        <f>HYPERLINK("https://fin.land.naver.com/articles/2646713318", "매물Link")</f>
        <v/>
      </c>
      <c r="J4118" s="5">
        <f>HYPERLINK("https://map.naver.com/p/search/장군면 봉안리 465-7", "지도Link")</f>
        <v/>
      </c>
      <c r="K4118" s="5">
        <f>HYPERLINK("http://www.eum.go.kr/web/ar/lu/luLandDet.jsp?pnu=3611035024104650007&amp;isNoScr=script&amp;mode=search", "토지이음")</f>
        <v/>
      </c>
      <c r="L4118" s="3" t="inlineStr">
        <is>
          <t>세종천지</t>
        </is>
      </c>
      <c r="M4118" s="3" t="n">
        <v>1</v>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3" t="inlineStr">
        <is>
          <t>세종정부청사 5분거리 계획관리지역 전</t>
        </is>
      </c>
      <c r="I4119" s="5">
        <f>HYPERLINK("https://fin.land.naver.com/articles/2648638840", "매물Link")</f>
        <v/>
      </c>
      <c r="J4119" s="5">
        <f>HYPERLINK("https://map.naver.com/p/search/장군면 봉안리 48-1", "지도Link")</f>
        <v/>
      </c>
      <c r="K4119" s="5">
        <f>HYPERLINK("http://www.eum.go.kr/web/ar/lu/luLandDet.jsp?pnu=3611035024100480001&amp;isNoScr=script&amp;mode=search", "토지이음")</f>
        <v/>
      </c>
      <c r="L4119" s="3" t="inlineStr">
        <is>
          <t>세종천지</t>
        </is>
      </c>
      <c r="M4119" s="3" t="n">
        <v>2</v>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3" t="inlineStr">
        <is>
          <t>장군면 대교천 옆 뷰 좋은 계획관리 토지 매매, 옆 필지 추가, 국유지</t>
        </is>
      </c>
      <c r="I4120" s="5">
        <f>HYPERLINK("https://fin.land.naver.com/articles/2648394148", "매물Link")</f>
        <v/>
      </c>
      <c r="J4120" s="5">
        <f>HYPERLINK("https://map.naver.com/p/search/장군면 봉안리 485-34", "지도Link")</f>
        <v/>
      </c>
      <c r="K4120" s="5">
        <f>HYPERLINK("http://www.eum.go.kr/web/ar/lu/luLandDet.jsp?pnu=3611035024104850034&amp;isNoScr=script&amp;mode=search", "토지이음")</f>
        <v/>
      </c>
      <c r="L4120" s="3" t="inlineStr">
        <is>
          <t>스카이</t>
        </is>
      </c>
      <c r="M4120" s="3" t="n">
        <v>1</v>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3" t="inlineStr">
        <is>
          <t>nan</t>
        </is>
      </c>
      <c r="I4121" s="5">
        <f>HYPERLINK("https://fin.land.naver.com/articles/2649572832", "매물Link")</f>
        <v/>
      </c>
      <c r="J4121" s="5">
        <f>HYPERLINK("https://map.naver.com/p/search/장군면 봉안리 57-4", "지도Link")</f>
        <v/>
      </c>
      <c r="K4121" s="5">
        <f>HYPERLINK("http://www.eum.go.kr/web/ar/lu/luLandDet.jsp?pnu=3611035024100570004&amp;isNoScr=script&amp;mode=search", "토지이음")</f>
        <v/>
      </c>
      <c r="L4121" s="3" t="inlineStr">
        <is>
          <t>위례오늘</t>
        </is>
      </c>
      <c r="M4121" s="3" t="n">
        <v>1</v>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3" t="inlineStr">
        <is>
          <t>고운동 세종힐데스하임에서 직선 약 300m 떨어진 곳에 위치</t>
        </is>
      </c>
      <c r="I4122" s="5">
        <f>HYPERLINK("https://fin.land.naver.com/articles/2648143230", "매물Link")</f>
        <v/>
      </c>
      <c r="J4122" s="5">
        <f>HYPERLINK("https://map.naver.com/p/search/장군면 봉안리 575-3", "지도Link")</f>
        <v/>
      </c>
      <c r="K4122" s="5">
        <f>HYPERLINK("http://www.eum.go.kr/web/ar/lu/luLandDet.jsp?pnu=3611035024105750003&amp;isNoScr=script&amp;mode=search", "토지이음")</f>
        <v/>
      </c>
      <c r="L4122" s="3" t="inlineStr">
        <is>
          <t>태성</t>
        </is>
      </c>
      <c r="M4122" s="3" t="n">
        <v>2</v>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3" t="inlineStr">
        <is>
          <t>세종시내를 바라볼수 있는 높은지대의 조망이 좋은 계획관리지역 투자용 토지</t>
        </is>
      </c>
      <c r="I4123" s="5">
        <f>HYPERLINK("https://fin.land.naver.com/articles/2649860932", "매물Link")</f>
        <v/>
      </c>
      <c r="J4123" s="5">
        <f>HYPERLINK("https://map.naver.com/p/search/장군면 봉안리 575-9", "지도Link")</f>
        <v/>
      </c>
      <c r="K4123" s="5">
        <f>HYPERLINK("http://www.eum.go.kr/web/ar/lu/luLandDet.jsp?pnu=3611035024105750009&amp;isNoScr=script&amp;mode=search", "토지이음")</f>
        <v/>
      </c>
      <c r="L4123" s="3" t="inlineStr">
        <is>
          <t>스마일세종</t>
        </is>
      </c>
      <c r="M4123" s="3" t="n">
        <v>3</v>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3" t="inlineStr">
        <is>
          <t>계획관리,단독주택,사무실,카페,식당,물류택배창고 등 다목적용도 가능</t>
        </is>
      </c>
      <c r="I4124" s="5">
        <f>HYPERLINK("https://fin.land.naver.com/articles/2647777339", "매물Link")</f>
        <v/>
      </c>
      <c r="J4124" s="5">
        <f>HYPERLINK("https://map.naver.com/p/search/장군면 봉안리 575-9", "지도Link")</f>
        <v/>
      </c>
      <c r="K4124" s="5">
        <f>HYPERLINK("http://www.eum.go.kr/web/ar/lu/luLandDet.jsp?pnu=3611035024105750009&amp;isNoScr=script&amp;mode=search", "토지이음")</f>
        <v/>
      </c>
      <c r="L4124" s="3" t="inlineStr">
        <is>
          <t>고운맘</t>
        </is>
      </c>
      <c r="M4124" s="3" t="n">
        <v>1</v>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3" t="inlineStr">
        <is>
          <t>도로접 투자용 전원주택부지 생활형체험농장 부지 지목 임야</t>
        </is>
      </c>
      <c r="I4125" s="5">
        <f>HYPERLINK("https://fin.land.naver.com/articles/2646799351", "매물Link")</f>
        <v/>
      </c>
      <c r="J4125" s="5">
        <f>HYPERLINK("https://map.naver.com/p/search/장군면 봉안리 575-9", "지도Link")</f>
        <v/>
      </c>
      <c r="K4125" s="5">
        <f>HYPERLINK("http://www.eum.go.kr/web/ar/lu/luLandDet.jsp?pnu=3611035024105750009&amp;isNoScr=script&amp;mode=search", "토지이음")</f>
        <v/>
      </c>
      <c r="L4125" s="3" t="inlineStr">
        <is>
          <t>세종이룸</t>
        </is>
      </c>
      <c r="M4125" s="3" t="n">
        <v>1</v>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3" t="inlineStr">
        <is>
          <t>봉안리 도로접한 토지매매</t>
        </is>
      </c>
      <c r="I4126" s="5">
        <f>HYPERLINK("https://fin.land.naver.com/articles/2644932053", "매물Link")</f>
        <v/>
      </c>
      <c r="J4126" s="5">
        <f>HYPERLINK("https://map.naver.com/p/search/장군면 봉안리 65", "지도Link")</f>
        <v/>
      </c>
      <c r="K4126" s="5">
        <f>HYPERLINK("http://www.eum.go.kr/web/ar/lu/luLandDet.jsp?pnu=3611035024100650000&amp;isNoScr=script&amp;mode=search", "토지이음")</f>
        <v/>
      </c>
      <c r="L4126" s="3" t="inlineStr">
        <is>
          <t>연합</t>
        </is>
      </c>
      <c r="M4126" s="3" t="n">
        <v>1</v>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3" t="inlineStr">
        <is>
          <t>행정복합도시에 인접한 부근에 위치한 전원주택지임</t>
        </is>
      </c>
      <c r="I4127" s="5">
        <f>HYPERLINK("https://fin.land.naver.com/articles/2646030851", "매물Link")</f>
        <v/>
      </c>
      <c r="J4127" s="5">
        <f>HYPERLINK("https://map.naver.com/p/search/장군면 봉안리 66-9", "지도Link")</f>
        <v/>
      </c>
      <c r="K4127" s="5">
        <f>HYPERLINK("http://www.eum.go.kr/web/ar/lu/luLandDet.jsp?pnu=3611035024100660009&amp;isNoScr=script&amp;mode=search", "토지이음")</f>
        <v/>
      </c>
      <c r="L4127" s="3" t="inlineStr">
        <is>
          <t>교차로</t>
        </is>
      </c>
      <c r="M4127" s="3" t="n">
        <v>1</v>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3" t="inlineStr">
        <is>
          <t>장군면 전,답으로 구성된 계획관리토지,도로접함,</t>
        </is>
      </c>
      <c r="I4128" s="5">
        <f>HYPERLINK("https://fin.land.naver.com/articles/2644755843", "매물Link")</f>
        <v/>
      </c>
      <c r="J4128" s="5">
        <f>HYPERLINK("https://map.naver.com/p/search/장군면 봉안리 84", "지도Link")</f>
        <v/>
      </c>
      <c r="K4128" s="5">
        <f>HYPERLINK("http://www.eum.go.kr/web/ar/lu/luLandDet.jsp?pnu=3611035024100840000&amp;isNoScr=script&amp;mode=search", "토지이음")</f>
        <v/>
      </c>
      <c r="L4128" s="3" t="inlineStr">
        <is>
          <t>담뜰</t>
        </is>
      </c>
      <c r="M4128" s="3" t="n">
        <v>1</v>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3" t="inlineStr">
        <is>
          <t>세종시내가 한눈에 보이는 봉안리 마을포장도로에 접한 계획관리지역의 야산</t>
        </is>
      </c>
      <c r="I4129" s="5">
        <f>HYPERLINK("https://fin.land.naver.com/articles/2646619195", "매물Link")</f>
        <v/>
      </c>
      <c r="J4129" s="5">
        <f>HYPERLINK("https://map.naver.com/p/search/장군면 봉안리 산20", "지도Link")</f>
        <v/>
      </c>
      <c r="K4129" s="5">
        <f>HYPERLINK("http://www.eum.go.kr/web/ar/lu/luLandDet.jsp?pnu=3611035024200200000&amp;isNoScr=script&amp;mode=search", "토지이음")</f>
        <v/>
      </c>
      <c r="L4129" s="3" t="inlineStr">
        <is>
          <t>스마일세종</t>
        </is>
      </c>
      <c r="M4129" s="3" t="n">
        <v>1</v>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3" t="inlineStr">
        <is>
          <t>임야와전으로 완만한 토지로 전망굿  계획관리지역으로 2종근생 가능해요</t>
        </is>
      </c>
      <c r="I4130" s="5">
        <f>HYPERLINK("https://fin.land.naver.com/articles/2648708749", "매물Link")</f>
        <v/>
      </c>
      <c r="J4130" s="5">
        <f>HYPERLINK("https://map.naver.com/p/search/장군면 봉안리 산27-4", "지도Link")</f>
        <v/>
      </c>
      <c r="K4130" s="5">
        <f>HYPERLINK("http://www.eum.go.kr/web/ar/lu/luLandDet.jsp?pnu=3611035024200270004&amp;isNoScr=script&amp;mode=search", "토지이음")</f>
        <v/>
      </c>
      <c r="L4130" s="3" t="inlineStr">
        <is>
          <t>노은밸리</t>
        </is>
      </c>
      <c r="M4130" s="3" t="n">
        <v>1</v>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3" t="inlineStr">
        <is>
          <t>모양좋은 계획관리 토지,6m도로접, 행복도시 반경 15분이내거리</t>
        </is>
      </c>
      <c r="I4131" s="5">
        <f>HYPERLINK("https://fin.land.naver.com/articles/2647575217", "매물Link")</f>
        <v/>
      </c>
      <c r="J4131" s="5">
        <f>HYPERLINK("https://map.naver.com/p/search/장군면 산학리 105-1", "지도Link")</f>
        <v/>
      </c>
      <c r="K4131" s="5">
        <f>HYPERLINK("http://www.eum.go.kr/web/ar/lu/luLandDet.jsp?pnu=3611035028101050001&amp;isNoScr=script&amp;mode=search", "토지이음")</f>
        <v/>
      </c>
      <c r="L4131" s="3" t="inlineStr">
        <is>
          <t>세종복댕이</t>
        </is>
      </c>
      <c r="M4131" s="3" t="n">
        <v>1</v>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3" t="inlineStr">
        <is>
          <t>급매,근생단독건물,월세나오는 건물</t>
        </is>
      </c>
      <c r="I4132" s="5">
        <f>HYPERLINK("https://fin.land.naver.com/articles/2644978389", "매물Link")</f>
        <v/>
      </c>
      <c r="J4132" s="5">
        <f>HYPERLINK("https://map.naver.com/p/search/장군면 산학리 105-4", "지도Link")</f>
        <v/>
      </c>
      <c r="K4132" s="5">
        <f>HYPERLINK("http://www.eum.go.kr/web/ar/lu/luLandDet.jsp?pnu=3611035028101050004&amp;isNoScr=script&amp;mode=search", "토지이음")</f>
        <v/>
      </c>
      <c r="L4132" s="3" t="inlineStr">
        <is>
          <t>세종복댕이</t>
        </is>
      </c>
      <c r="M4132" s="3" t="n">
        <v>1</v>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3" t="inlineStr">
        <is>
          <t>장군면 산학리 대지272.8p 계획관리,자연취락, 주택,근생 추천</t>
        </is>
      </c>
      <c r="I4133" s="5">
        <f>HYPERLINK("https://fin.land.naver.com/articles/2649594998", "매물Link")</f>
        <v/>
      </c>
      <c r="J4133" s="5">
        <f>HYPERLINK("https://map.naver.com/p/search/장군면 산학리 115", "지도Link")</f>
        <v/>
      </c>
      <c r="K4133" s="5">
        <f>HYPERLINK("http://www.eum.go.kr/web/ar/lu/luLandDet.jsp?pnu=3611035028101150000&amp;isNoScr=script&amp;mode=search", "토지이음")</f>
        <v/>
      </c>
      <c r="L4133" s="3" t="inlineStr">
        <is>
          <t>큰손매교역</t>
        </is>
      </c>
      <c r="M4133" s="3" t="n">
        <v>1</v>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3" t="inlineStr">
        <is>
          <t>도로접해 있고 지대가 높아 단독 주택지로 추천</t>
        </is>
      </c>
      <c r="I4134" s="5">
        <f>HYPERLINK("https://fin.land.naver.com/articles/2647511699", "매물Link")</f>
        <v/>
      </c>
      <c r="J4134" s="5">
        <f>HYPERLINK("https://map.naver.com/p/search/장군면 산학리 118", "지도Link")</f>
        <v/>
      </c>
      <c r="K4134" s="5">
        <f>HYPERLINK("http://www.eum.go.kr/web/ar/lu/luLandDet.jsp?pnu=3611035028101180000&amp;isNoScr=script&amp;mode=search", "토지이음")</f>
        <v/>
      </c>
      <c r="L4134" s="3" t="inlineStr">
        <is>
          <t>담뜰</t>
        </is>
      </c>
      <c r="M4134" s="3" t="n">
        <v>1</v>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3" t="inlineStr">
        <is>
          <t>도로접 주차공간 갖춘 2층 근생 일괄매매</t>
        </is>
      </c>
      <c r="I4135" s="5">
        <f>HYPERLINK("https://fin.land.naver.com/articles/2648864744", "매물Link")</f>
        <v/>
      </c>
      <c r="J4135" s="5">
        <f>HYPERLINK("https://map.naver.com/p/search/장군면 산학리 139", "지도Link")</f>
        <v/>
      </c>
      <c r="K4135" s="5">
        <f>HYPERLINK("http://www.eum.go.kr/web/ar/lu/luLandDet.jsp?pnu=3611035028101390000&amp;isNoScr=script&amp;mode=search", "토지이음")</f>
        <v/>
      </c>
      <c r="L4135" s="3" t="inlineStr">
        <is>
          <t>세종소담황금</t>
        </is>
      </c>
      <c r="M4135" s="3" t="n">
        <v>1</v>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3" t="inlineStr">
        <is>
          <t>26개 필지로 구성</t>
        </is>
      </c>
      <c r="I4136" s="5">
        <f>HYPERLINK("https://fin.land.naver.com/articles/2647424392", "매물Link")</f>
        <v/>
      </c>
      <c r="J4136" s="5">
        <f>HYPERLINK("https://map.naver.com/p/search/장군면 산학리 140-12", "지도Link")</f>
        <v/>
      </c>
      <c r="K4136" s="5">
        <f>HYPERLINK("http://www.eum.go.kr/web/ar/lu/luLandDet.jsp?pnu=3611035028101400012&amp;isNoScr=script&amp;mode=search", "토지이음")</f>
        <v/>
      </c>
      <c r="L4136" s="3" t="inlineStr">
        <is>
          <t>황제</t>
        </is>
      </c>
      <c r="M4136" s="3" t="n">
        <v>1</v>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3" t="inlineStr">
        <is>
          <t>2차선 현재 수영장,팬션이용중,종교,의료,대형판매시설 가능,</t>
        </is>
      </c>
      <c r="I4137" s="5">
        <f>HYPERLINK("https://fin.land.naver.com/articles/2645799285", "매물Link")</f>
        <v/>
      </c>
      <c r="J4137" s="5">
        <f>HYPERLINK("https://map.naver.com/p/search/장군면 산학리 142", "지도Link")</f>
        <v/>
      </c>
      <c r="K4137" s="5">
        <f>HYPERLINK("http://www.eum.go.kr/web/ar/lu/luLandDet.jsp?pnu=3611035028101420000&amp;isNoScr=script&amp;mode=search", "토지이음")</f>
        <v/>
      </c>
      <c r="L4137" s="3" t="inlineStr">
        <is>
          <t>새시대</t>
        </is>
      </c>
      <c r="M4137" s="3" t="n">
        <v>1</v>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3" t="inlineStr">
        <is>
          <t>잡종지,서세종ic인접.세종청사4km.농업진흥구역.농업관련판매시설 가능</t>
        </is>
      </c>
      <c r="I4138" s="5">
        <f>HYPERLINK("https://fin.land.naver.com/articles/2645900913", "매물Link")</f>
        <v/>
      </c>
      <c r="J4138" s="5">
        <f>HYPERLINK("https://map.naver.com/p/search/장군면 산학리 173-4", "지도Link")</f>
        <v/>
      </c>
      <c r="K4138" s="5">
        <f>HYPERLINK("http://www.eum.go.kr/web/ar/lu/luLandDet.jsp?pnu=3611035028101730004&amp;isNoScr=script&amp;mode=search", "토지이음")</f>
        <v/>
      </c>
      <c r="L4138" s="3" t="inlineStr">
        <is>
          <t>온담</t>
        </is>
      </c>
      <c r="M4138" s="3" t="n">
        <v>1</v>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3" t="inlineStr">
        <is>
          <t>대토로 추천하는 포장도로 접한 농림지역 농지입니다.</t>
        </is>
      </c>
      <c r="I4139" s="5">
        <f>HYPERLINK("https://fin.land.naver.com/articles/2645605420", "매물Link")</f>
        <v/>
      </c>
      <c r="J4139" s="5">
        <f>HYPERLINK("https://map.naver.com/p/search/장군면 산학리 192-2", "지도Link")</f>
        <v/>
      </c>
      <c r="K4139" s="5">
        <f>HYPERLINK("http://www.eum.go.kr/web/ar/lu/luLandDet.jsp?pnu=3611035028101920002&amp;isNoScr=script&amp;mode=search", "토지이음")</f>
        <v/>
      </c>
      <c r="L4139" s="3" t="inlineStr">
        <is>
          <t>미스터홈즈강남지사</t>
        </is>
      </c>
      <c r="M4139" s="3" t="n">
        <v>1</v>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3" t="inlineStr">
        <is>
          <t>대토 추천. 농림지역. 행복도시 5분거리</t>
        </is>
      </c>
      <c r="I4140" s="5">
        <f>HYPERLINK("https://fin.land.naver.com/articles/2645606826", "매물Link")</f>
        <v/>
      </c>
      <c r="J4140" s="5">
        <f>HYPERLINK("https://map.naver.com/p/search/장군면 산학리 192-3", "지도Link")</f>
        <v/>
      </c>
      <c r="K4140" s="5">
        <f>HYPERLINK("http://www.eum.go.kr/web/ar/lu/luLandDet.jsp?pnu=3611035028101920003&amp;isNoScr=script&amp;mode=search", "토지이음")</f>
        <v/>
      </c>
      <c r="L4140" s="3" t="inlineStr">
        <is>
          <t>미스터홈즈강남지사</t>
        </is>
      </c>
      <c r="M4140" s="3" t="n">
        <v>1</v>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3" t="inlineStr">
        <is>
          <t>세종시 농지매매</t>
        </is>
      </c>
      <c r="I4141" s="5">
        <f>HYPERLINK("https://fin.land.naver.com/articles/2646854158", "매물Link")</f>
        <v/>
      </c>
      <c r="J4141" s="5">
        <f>HYPERLINK("https://map.naver.com/p/search/장군면 산학리 196-2", "지도Link")</f>
        <v/>
      </c>
      <c r="K4141" s="5">
        <f>HYPERLINK("http://www.eum.go.kr/web/ar/lu/luLandDet.jsp?pnu=3611035028101960002&amp;isNoScr=script&amp;mode=search", "토지이음")</f>
        <v/>
      </c>
      <c r="L4141" s="3" t="inlineStr">
        <is>
          <t>에이스</t>
        </is>
      </c>
      <c r="M4141" s="3" t="n">
        <v>1</v>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3" t="inlineStr">
        <is>
          <t>대토 추천. 적극 조율</t>
        </is>
      </c>
      <c r="I4142" s="5">
        <f>HYPERLINK("https://fin.land.naver.com/articles/2648511001", "매물Link")</f>
        <v/>
      </c>
      <c r="J4142" s="5">
        <f>HYPERLINK("https://map.naver.com/p/search/장군면 산학리 200-2", "지도Link")</f>
        <v/>
      </c>
      <c r="K4142" s="5">
        <f>HYPERLINK("http://www.eum.go.kr/web/ar/lu/luLandDet.jsp?pnu=3611035028102000002&amp;isNoScr=script&amp;mode=search", "토지이음")</f>
        <v/>
      </c>
      <c r="L4142" s="3" t="inlineStr">
        <is>
          <t>세종금밭</t>
        </is>
      </c>
      <c r="M4142" s="3" t="n">
        <v>1</v>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3" t="inlineStr">
        <is>
          <t>행복도시 인접 금액좋은 농림지역 답.</t>
        </is>
      </c>
      <c r="I4143" s="5">
        <f>HYPERLINK("https://fin.land.naver.com/articles/2647381905", "매물Link")</f>
        <v/>
      </c>
      <c r="J4143" s="5">
        <f>HYPERLINK("https://map.naver.com/p/search/장군면 산학리 200-2", "지도Link")</f>
        <v/>
      </c>
      <c r="K4143" s="5">
        <f>HYPERLINK("http://www.eum.go.kr/web/ar/lu/luLandDet.jsp?pnu=3611035028102000002&amp;isNoScr=script&amp;mode=search", "토지이음")</f>
        <v/>
      </c>
      <c r="L4143" s="3" t="inlineStr">
        <is>
          <t>미스터홈즈강남지사</t>
        </is>
      </c>
      <c r="M4143" s="3" t="n">
        <v>3</v>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3" t="inlineStr">
        <is>
          <t>세종시에 연접한 급매물건</t>
        </is>
      </c>
      <c r="I4144" s="5">
        <f>HYPERLINK("https://fin.land.naver.com/articles/2644231636", "매물Link")</f>
        <v/>
      </c>
      <c r="J4144" s="5">
        <f>HYPERLINK("https://map.naver.com/p/search/장군면 산학리 228-2", "지도Link")</f>
        <v/>
      </c>
      <c r="K4144" s="5">
        <f>HYPERLINK("http://www.eum.go.kr/web/ar/lu/luLandDet.jsp?pnu=3611035028102280002&amp;isNoScr=script&amp;mode=search", "토지이음")</f>
        <v/>
      </c>
      <c r="L4144" s="3" t="inlineStr">
        <is>
          <t>상상</t>
        </is>
      </c>
      <c r="M4144" s="3" t="n">
        <v>2</v>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3" t="inlineStr">
        <is>
          <t>나대지상태</t>
        </is>
      </c>
      <c r="I4145" s="5">
        <f>HYPERLINK("https://fin.land.naver.com/articles/2649506062", "매물Link")</f>
        <v/>
      </c>
      <c r="J4145" s="5">
        <f>HYPERLINK("https://map.naver.com/p/search/장군면 산학리 256-4", "지도Link")</f>
        <v/>
      </c>
      <c r="K4145" s="5">
        <f>HYPERLINK("http://www.eum.go.kr/web/ar/lu/luLandDet.jsp?pnu=3611035028102560004&amp;isNoScr=script&amp;mode=search", "토지이음")</f>
        <v/>
      </c>
      <c r="L4145" s="3" t="inlineStr">
        <is>
          <t>대박</t>
        </is>
      </c>
      <c r="M4145" s="3" t="n">
        <v>1</v>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3" t="inlineStr">
        <is>
          <t>2차선 도로접한 토지매매</t>
        </is>
      </c>
      <c r="I4146" s="5">
        <f>HYPERLINK("https://fin.land.naver.com/articles/2646854823", "매물Link")</f>
        <v/>
      </c>
      <c r="J4146" s="5">
        <f>HYPERLINK("https://map.naver.com/p/search/장군면 산학리 289-2", "지도Link")</f>
        <v/>
      </c>
      <c r="K4146" s="5">
        <f>HYPERLINK("http://www.eum.go.kr/web/ar/lu/luLandDet.jsp?pnu=3611035028102890002&amp;isNoScr=script&amp;mode=search", "토지이음")</f>
        <v/>
      </c>
      <c r="L4146" s="3" t="inlineStr">
        <is>
          <t>에이스</t>
        </is>
      </c>
      <c r="M4146" s="3" t="n">
        <v>1</v>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3" t="inlineStr">
        <is>
          <t>소액투자 단독주택지</t>
        </is>
      </c>
      <c r="I4147" s="5">
        <f>HYPERLINK("https://fin.land.naver.com/articles/2649505950", "매물Link")</f>
        <v/>
      </c>
      <c r="J4147" s="5">
        <f>HYPERLINK("https://map.naver.com/p/search/장군면 산학리 305-6", "지도Link")</f>
        <v/>
      </c>
      <c r="K4147" s="5">
        <f>HYPERLINK("http://www.eum.go.kr/web/ar/lu/luLandDet.jsp?pnu=3611035028103050006&amp;isNoScr=script&amp;mode=search", "토지이음")</f>
        <v/>
      </c>
      <c r="L4147" s="3" t="inlineStr">
        <is>
          <t>대박</t>
        </is>
      </c>
      <c r="M4147" s="3" t="n">
        <v>1</v>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3" t="inlineStr">
        <is>
          <t>nan</t>
        </is>
      </c>
      <c r="I4148" s="5">
        <f>HYPERLINK("https://fin.land.naver.com/articles/2647986494", "매물Link")</f>
        <v/>
      </c>
      <c r="J4148" s="5">
        <f>HYPERLINK("https://map.naver.com/p/search/장군면 산학리 314", "지도Link")</f>
        <v/>
      </c>
      <c r="K4148" s="5">
        <f>HYPERLINK("http://www.eum.go.kr/web/ar/lu/luLandDet.jsp?pnu=3611035028103140000&amp;isNoScr=script&amp;mode=search", "토지이음")</f>
        <v/>
      </c>
      <c r="L4148" s="3" t="inlineStr">
        <is>
          <t>세종공주제일</t>
        </is>
      </c>
      <c r="M4148" s="3" t="n">
        <v>1</v>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3" t="inlineStr">
        <is>
          <t>자연속 풍광 단독주택지, 마당앞 실개천, 농막 전우너주택을 한번에 해결</t>
        </is>
      </c>
      <c r="I4149" s="5">
        <f>HYPERLINK("https://fin.land.naver.com/articles/2649505207", "매물Link")</f>
        <v/>
      </c>
      <c r="J4149" s="5">
        <f>HYPERLINK("https://map.naver.com/p/search/장군면 산학리 314", "지도Link")</f>
        <v/>
      </c>
      <c r="K4149" s="5">
        <f>HYPERLINK("http://www.eum.go.kr/web/ar/lu/luLandDet.jsp?pnu=3611035028103140000&amp;isNoScr=script&amp;mode=search", "토지이음")</f>
        <v/>
      </c>
      <c r="L4149" s="3" t="inlineStr">
        <is>
          <t>대박</t>
        </is>
      </c>
      <c r="M4149" s="3" t="n">
        <v>1</v>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3" t="inlineStr">
        <is>
          <t>세종시 인근 계획관리 토지로 근린상가, 창고, 식당부지로 개발가능한 땅</t>
        </is>
      </c>
      <c r="I4150" s="5">
        <f>HYPERLINK("https://fin.land.naver.com/articles/2648235601", "매물Link")</f>
        <v/>
      </c>
      <c r="J4150" s="5">
        <f>HYPERLINK("https://map.naver.com/p/search/장군면 산학리 348-1", "지도Link")</f>
        <v/>
      </c>
      <c r="K4150" s="5">
        <f>HYPERLINK("http://www.eum.go.kr/web/ar/lu/luLandDet.jsp?pnu=3611035028103480001&amp;isNoScr=script&amp;mode=search", "토지이음")</f>
        <v/>
      </c>
      <c r="L4150" s="3" t="inlineStr">
        <is>
          <t>신한국</t>
        </is>
      </c>
      <c r="M4150" s="3" t="n">
        <v>1</v>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3" t="inlineStr">
        <is>
          <t>세종시 최인접 토지</t>
        </is>
      </c>
      <c r="I4151" s="5">
        <f>HYPERLINK("https://fin.land.naver.com/articles/2646626860", "매물Link")</f>
        <v/>
      </c>
      <c r="J4151" s="5">
        <f>HYPERLINK("https://map.naver.com/p/search/장군면 산학리 351", "지도Link")</f>
        <v/>
      </c>
      <c r="K4151" s="5">
        <f>HYPERLINK("http://www.eum.go.kr/web/ar/lu/luLandDet.jsp?pnu=3611035028103510000&amp;isNoScr=script&amp;mode=search", "토지이음")</f>
        <v/>
      </c>
      <c r="L4151" s="3" t="inlineStr">
        <is>
          <t>새땅</t>
        </is>
      </c>
      <c r="M4151" s="3" t="n">
        <v>1</v>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3" t="inlineStr">
        <is>
          <t>장군면 산학리 도로에길게접한 전</t>
        </is>
      </c>
      <c r="I4152" s="5">
        <f>HYPERLINK("https://fin.land.naver.com/articles/2648118604", "매물Link")</f>
        <v/>
      </c>
      <c r="J4152" s="5">
        <f>HYPERLINK("https://map.naver.com/p/search/장군면 산학리 393", "지도Link")</f>
        <v/>
      </c>
      <c r="K4152" s="5">
        <f>HYPERLINK("http://www.eum.go.kr/web/ar/lu/luLandDet.jsp?pnu=3611035028103930000&amp;isNoScr=script&amp;mode=search", "토지이음")</f>
        <v/>
      </c>
      <c r="L4152" s="3" t="inlineStr">
        <is>
          <t>세종천지</t>
        </is>
      </c>
      <c r="M4152" s="3" t="n">
        <v>1</v>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3" t="inlineStr">
        <is>
          <t>도심과 가까우면서도 조용, 청정지역</t>
        </is>
      </c>
      <c r="I4153" s="5">
        <f>HYPERLINK("https://fin.land.naver.com/articles/2646830924", "매물Link")</f>
        <v/>
      </c>
      <c r="J4153" s="5">
        <f>HYPERLINK("https://map.naver.com/p/search/장군면 산학리 397", "지도Link")</f>
        <v/>
      </c>
      <c r="K4153" s="5">
        <f>HYPERLINK("http://www.eum.go.kr/web/ar/lu/luLandDet.jsp?pnu=3611035028103970000&amp;isNoScr=script&amp;mode=search", "토지이음")</f>
        <v/>
      </c>
      <c r="L4153" s="3" t="inlineStr">
        <is>
          <t>새땅</t>
        </is>
      </c>
      <c r="M4153" s="3" t="n">
        <v>1</v>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3" t="inlineStr">
        <is>
          <t>nan</t>
        </is>
      </c>
      <c r="I4154" s="5">
        <f>HYPERLINK("https://fin.land.naver.com/articles/2644857002", "매물Link")</f>
        <v/>
      </c>
      <c r="J4154" s="5">
        <f>HYPERLINK("https://map.naver.com/p/search/장군면 산학리 456-1", "지도Link")</f>
        <v/>
      </c>
      <c r="K4154" s="5">
        <f>HYPERLINK("http://www.eum.go.kr/web/ar/lu/luLandDet.jsp?pnu=3611035028104560001&amp;isNoScr=script&amp;mode=search", "토지이음")</f>
        <v/>
      </c>
      <c r="L4154" s="3" t="inlineStr">
        <is>
          <t>새시대</t>
        </is>
      </c>
      <c r="M4154" s="3" t="n">
        <v>1</v>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3" t="inlineStr">
        <is>
          <t>도로 접한 예쁜 토지 매매,영평사 근처로 카페나 상가 추천 드려요</t>
        </is>
      </c>
      <c r="I4155" s="5">
        <f>HYPERLINK("https://fin.land.naver.com/articles/2649532842", "매물Link")</f>
        <v/>
      </c>
      <c r="J4155" s="5">
        <f>HYPERLINK("https://map.naver.com/p/search/장군면 산학리 48-4", "지도Link")</f>
        <v/>
      </c>
      <c r="K4155" s="5">
        <f>HYPERLINK("http://www.eum.go.kr/web/ar/lu/luLandDet.jsp?pnu=3611035028100480004&amp;isNoScr=script&amp;mode=search", "토지이음")</f>
        <v/>
      </c>
      <c r="L4155" s="3" t="inlineStr">
        <is>
          <t>태양투</t>
        </is>
      </c>
      <c r="M4155" s="3" t="n">
        <v>1</v>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3" t="inlineStr">
        <is>
          <t>영평사 인근 계획관리지역 토지매매</t>
        </is>
      </c>
      <c r="I4156" s="5">
        <f>HYPERLINK("https://fin.land.naver.com/articles/2646853588", "매물Link")</f>
        <v/>
      </c>
      <c r="J4156" s="5">
        <f>HYPERLINK("https://map.naver.com/p/search/장군면 산학리 61", "지도Link")</f>
        <v/>
      </c>
      <c r="K4156" s="5">
        <f>HYPERLINK("http://www.eum.go.kr/web/ar/lu/luLandDet.jsp?pnu=3611035028100610000&amp;isNoScr=script&amp;mode=search", "토지이음")</f>
        <v/>
      </c>
      <c r="L4156" s="3" t="inlineStr">
        <is>
          <t>에이스</t>
        </is>
      </c>
      <c r="M4156" s="3" t="n">
        <v>1</v>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3" t="inlineStr">
        <is>
          <t>영평사 인근 계획관리지역 토지매매</t>
        </is>
      </c>
      <c r="I4157" s="5">
        <f>HYPERLINK("https://fin.land.naver.com/articles/2646853905", "매물Link")</f>
        <v/>
      </c>
      <c r="J4157" s="5">
        <f>HYPERLINK("https://map.naver.com/p/search/장군면 산학리 62", "지도Link")</f>
        <v/>
      </c>
      <c r="K4157" s="5">
        <f>HYPERLINK("http://www.eum.go.kr/web/ar/lu/luLandDet.jsp?pnu=3611035028100620000&amp;isNoScr=script&amp;mode=search", "토지이음")</f>
        <v/>
      </c>
      <c r="L4157" s="3" t="inlineStr">
        <is>
          <t>에이스</t>
        </is>
      </c>
      <c r="M4157" s="3" t="n">
        <v>1</v>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3" t="inlineStr">
        <is>
          <t>영평사인근 조망권뷰최상,계획관리지역 급매,가격조정가능,두필지 합매</t>
        </is>
      </c>
      <c r="I4158" s="5">
        <f>HYPERLINK("https://fin.land.naver.com/articles/2647781600", "매물Link")</f>
        <v/>
      </c>
      <c r="J4158" s="5">
        <f>HYPERLINK("https://map.naver.com/p/search/장군면 산학리 62", "지도Link")</f>
        <v/>
      </c>
      <c r="K4158" s="5">
        <f>HYPERLINK("http://www.eum.go.kr/web/ar/lu/luLandDet.jsp?pnu=3611035028100620000&amp;isNoScr=script&amp;mode=search", "토지이음")</f>
        <v/>
      </c>
      <c r="L4158" s="3" t="inlineStr">
        <is>
          <t>고운맘</t>
        </is>
      </c>
      <c r="M4158" s="3" t="n">
        <v>1</v>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3" t="inlineStr">
        <is>
          <t>영평사 인근, 뷰 좋은 남향 택지</t>
        </is>
      </c>
      <c r="I4159" s="5">
        <f>HYPERLINK("https://fin.land.naver.com/articles/2648015381", "매물Link")</f>
        <v/>
      </c>
      <c r="J4159" s="5">
        <f>HYPERLINK("https://map.naver.com/p/search/장군면 산학리 66-28", "지도Link")</f>
        <v/>
      </c>
      <c r="K4159" s="5">
        <f>HYPERLINK("http://www.eum.go.kr/web/ar/lu/luLandDet.jsp?pnu=3611035028100660028&amp;isNoScr=script&amp;mode=search", "토지이음")</f>
        <v/>
      </c>
      <c r="L4159" s="3" t="inlineStr">
        <is>
          <t>어반나래</t>
        </is>
      </c>
      <c r="M4159" s="3" t="n">
        <v>1</v>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3" t="inlineStr">
        <is>
          <t>대지조성완료토지, 영평사인접, 세종시 인접</t>
        </is>
      </c>
      <c r="I4160" s="5">
        <f>HYPERLINK("https://fin.land.naver.com/articles/2645514814", "매물Link")</f>
        <v/>
      </c>
      <c r="J4160" s="5">
        <f>HYPERLINK("https://map.naver.com/p/search/장군면 산학리 66-68", "지도Link")</f>
        <v/>
      </c>
      <c r="K4160" s="5">
        <f>HYPERLINK("http://www.eum.go.kr/web/ar/lu/luLandDet.jsp?pnu=3611035028100660068&amp;isNoScr=script&amp;mode=search", "토지이음")</f>
        <v/>
      </c>
      <c r="L4160" s="3" t="inlineStr">
        <is>
          <t>프라임</t>
        </is>
      </c>
      <c r="M4160" s="3" t="n">
        <v>1</v>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3" t="inlineStr">
        <is>
          <t>급매,도로접한 저렴한 투자용 토지,생산.성장관리지역,가격조정가능</t>
        </is>
      </c>
      <c r="I4161" s="5">
        <f>HYPERLINK("https://fin.land.naver.com/articles/2647777131", "매물Link")</f>
        <v/>
      </c>
      <c r="J4161" s="5">
        <f>HYPERLINK("https://map.naver.com/p/search/장군면 산학리 96", "지도Link")</f>
        <v/>
      </c>
      <c r="K4161" s="5">
        <f>HYPERLINK("http://www.eum.go.kr/web/ar/lu/luLandDet.jsp?pnu=3611035028100960000&amp;isNoScr=script&amp;mode=search", "토지이음")</f>
        <v/>
      </c>
      <c r="L4161" s="3" t="inlineStr">
        <is>
          <t>고운맘</t>
        </is>
      </c>
      <c r="M4161" s="3" t="n">
        <v>1</v>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3" t="inlineStr">
        <is>
          <t>강추,급매,배산임수,계획관리.농림지역.보전관리가포함되어있음,</t>
        </is>
      </c>
      <c r="I4162" s="5">
        <f>HYPERLINK("https://fin.land.naver.com/articles/2647030281", "매물Link")</f>
        <v/>
      </c>
      <c r="J4162" s="5">
        <f>HYPERLINK("https://map.naver.com/p/search/장군면 산학리 산18", "지도Link")</f>
        <v/>
      </c>
      <c r="K4162" s="5">
        <f>HYPERLINK("http://www.eum.go.kr/web/ar/lu/luLandDet.jsp?pnu=3611035028200180000&amp;isNoScr=script&amp;mode=search", "토지이음")</f>
        <v/>
      </c>
      <c r="L4162" s="3" t="inlineStr">
        <is>
          <t>따뜻한</t>
        </is>
      </c>
      <c r="M4162" s="3" t="n">
        <v>3</v>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3" t="inlineStr">
        <is>
          <t>세종 영평사 인근 풍수 뛰어난 임야. 종중땅 추천</t>
        </is>
      </c>
      <c r="I4163" s="5">
        <f>HYPERLINK("https://fin.land.naver.com/articles/2648952882", "매물Link")</f>
        <v/>
      </c>
      <c r="J4163" s="5">
        <f>HYPERLINK("https://map.naver.com/p/search/장군면 산학리 산18", "지도Link")</f>
        <v/>
      </c>
      <c r="K4163" s="5">
        <f>HYPERLINK("http://www.eum.go.kr/web/ar/lu/luLandDet.jsp?pnu=3611035028200180000&amp;isNoScr=script&amp;mode=search", "토지이음")</f>
        <v/>
      </c>
      <c r="L4163" s="3" t="inlineStr">
        <is>
          <t>세종금밭</t>
        </is>
      </c>
      <c r="M4163" s="3" t="n">
        <v>1</v>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3" t="inlineStr">
        <is>
          <t>주변민가없는 계획관리토지로써 창고나 근생허가 좋은땅</t>
        </is>
      </c>
      <c r="I4164" s="5">
        <f>HYPERLINK("https://fin.land.naver.com/articles/2647834888", "매물Link")</f>
        <v/>
      </c>
      <c r="J4164" s="5">
        <f>HYPERLINK("https://map.naver.com/p/search/장군면 송문리 236-2", "지도Link")</f>
        <v/>
      </c>
      <c r="K4164" s="5">
        <f>HYPERLINK("http://www.eum.go.kr/web/ar/lu/luLandDet.jsp?pnu=3611035029102360002&amp;isNoScr=script&amp;mode=search", "토지이음")</f>
        <v/>
      </c>
      <c r="L4164" s="3" t="inlineStr">
        <is>
          <t>굿모닝</t>
        </is>
      </c>
      <c r="M4164" s="3" t="n">
        <v>1</v>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3" t="inlineStr">
        <is>
          <t>장군면 계획관리지역 토지매매</t>
        </is>
      </c>
      <c r="I4165" s="5">
        <f>HYPERLINK("https://fin.land.naver.com/articles/2646415619", "매물Link")</f>
        <v/>
      </c>
      <c r="J4165" s="5">
        <f>HYPERLINK("https://map.naver.com/p/search/장군면 송문리 236-3", "지도Link")</f>
        <v/>
      </c>
      <c r="K4165" s="5">
        <f>HYPERLINK("http://www.eum.go.kr/web/ar/lu/luLandDet.jsp?pnu=3611035029102360003&amp;isNoScr=script&amp;mode=search", "토지이음")</f>
        <v/>
      </c>
      <c r="L4165" s="3" t="inlineStr">
        <is>
          <t>에이스</t>
        </is>
      </c>
      <c r="M4165" s="3" t="n">
        <v>1</v>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3" t="inlineStr">
        <is>
          <t>nan</t>
        </is>
      </c>
      <c r="I4166" s="5">
        <f>HYPERLINK("https://fin.land.naver.com/articles/2645066686", "매물Link")</f>
        <v/>
      </c>
      <c r="J4166" s="5">
        <f>HYPERLINK("https://map.naver.com/p/search/장군면 송문리 248-1", "지도Link")</f>
        <v/>
      </c>
      <c r="K4166" s="5">
        <f>HYPERLINK("http://www.eum.go.kr/web/ar/lu/luLandDet.jsp?pnu=3611035029102480001&amp;isNoScr=script&amp;mode=search", "토지이음")</f>
        <v/>
      </c>
      <c r="L4166" s="3" t="inlineStr">
        <is>
          <t>세종지평</t>
        </is>
      </c>
      <c r="M4166" s="3" t="n">
        <v>1</v>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3" t="inlineStr">
        <is>
          <t>추천 급매 토지 투자로 추천드려요. 전원주택및 투자용</t>
        </is>
      </c>
      <c r="I4167" s="5">
        <f>HYPERLINK("https://fin.land.naver.com/articles/2645236227", "매물Link")</f>
        <v/>
      </c>
      <c r="J4167" s="5">
        <f>HYPERLINK("https://map.naver.com/p/search/장군면 송문리 26-3", "지도Link")</f>
        <v/>
      </c>
      <c r="K4167" s="5">
        <f>HYPERLINK("http://www.eum.go.kr/web/ar/lu/luLandDet.jsp?pnu=3611035029100260003&amp;isNoScr=script&amp;mode=search", "토지이음")</f>
        <v/>
      </c>
      <c r="L4167" s="3" t="inlineStr">
        <is>
          <t>심플</t>
        </is>
      </c>
      <c r="M4167" s="3" t="n">
        <v>1</v>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3" t="inlineStr">
        <is>
          <t>생명나무, 초급매 도로낀 계획관리 사각형모양 ,대교천 가까운 토지</t>
        </is>
      </c>
      <c r="I4168" s="5">
        <f>HYPERLINK("https://fin.land.naver.com/articles/2645200466", "매물Link")</f>
        <v/>
      </c>
      <c r="J4168" s="5">
        <f>HYPERLINK("https://map.naver.com/p/search/장군면 송문리 26-3", "지도Link")</f>
        <v/>
      </c>
      <c r="K4168" s="5">
        <f>HYPERLINK("http://www.eum.go.kr/web/ar/lu/luLandDet.jsp?pnu=3611035029100260003&amp;isNoScr=script&amp;mode=search", "토지이음")</f>
        <v/>
      </c>
      <c r="L4168" s="3" t="inlineStr">
        <is>
          <t>생명나무</t>
        </is>
      </c>
      <c r="M4168" s="3" t="n">
        <v>1</v>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3" t="inlineStr">
        <is>
          <t>막힘없는 조망권뷰 최상 전원주택지,가격조정가능</t>
        </is>
      </c>
      <c r="I4169" s="5">
        <f>HYPERLINK("https://fin.land.naver.com/articles/2648861230", "매물Link")</f>
        <v/>
      </c>
      <c r="J4169" s="5">
        <f>HYPERLINK("https://map.naver.com/p/search/장군면 송문리 281-1", "지도Link")</f>
        <v/>
      </c>
      <c r="K4169" s="5">
        <f>HYPERLINK("http://www.eum.go.kr/web/ar/lu/luLandDet.jsp?pnu=3611035029102810001&amp;isNoScr=script&amp;mode=search", "토지이음")</f>
        <v/>
      </c>
      <c r="L4169" s="3" t="inlineStr">
        <is>
          <t>고운맘</t>
        </is>
      </c>
      <c r="M4169" s="3" t="n">
        <v>1</v>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3" t="inlineStr">
        <is>
          <t>장래 유망한 토지</t>
        </is>
      </c>
      <c r="I4170" s="5">
        <f>HYPERLINK("https://fin.land.naver.com/articles/2646629841", "매물Link")</f>
        <v/>
      </c>
      <c r="J4170" s="5">
        <f>HYPERLINK("https://map.naver.com/p/search/장군면 송문리 281-32", "지도Link")</f>
        <v/>
      </c>
      <c r="K4170" s="5">
        <f>HYPERLINK("http://www.eum.go.kr/web/ar/lu/luLandDet.jsp?pnu=3611035029102810032&amp;isNoScr=script&amp;mode=search", "토지이음")</f>
        <v/>
      </c>
      <c r="L4170" s="3" t="inlineStr">
        <is>
          <t>새땅</t>
        </is>
      </c>
      <c r="M4170" s="3" t="n">
        <v>1</v>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3" t="inlineStr">
        <is>
          <t>계획관리, 정부청사 인접, 풍경 좋은  일조권 좋은토지입니다</t>
        </is>
      </c>
      <c r="I4171" s="5">
        <f>HYPERLINK("https://fin.land.naver.com/articles/2648994952", "매물Link")</f>
        <v/>
      </c>
      <c r="J4171" s="5">
        <f>HYPERLINK("https://map.naver.com/p/search/장군면 송문리 30-5", "지도Link")</f>
        <v/>
      </c>
      <c r="K4171" s="5">
        <f>HYPERLINK("http://www.eum.go.kr/web/ar/lu/luLandDet.jsp?pnu=3611035029100300005&amp;isNoScr=script&amp;mode=search", "토지이음")</f>
        <v/>
      </c>
      <c r="L4171" s="3" t="inlineStr">
        <is>
          <t>세종신동아</t>
        </is>
      </c>
      <c r="M4171" s="3" t="n">
        <v>2</v>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3" t="inlineStr">
        <is>
          <t>완만한 경사 높은 위치로 주변 풍광이 뛰어나고 최상의 전망, 계획관리</t>
        </is>
      </c>
      <c r="I4172" s="5">
        <f>HYPERLINK("https://fin.land.naver.com/articles/2650013081", "매물Link")</f>
        <v/>
      </c>
      <c r="J4172" s="5">
        <f>HYPERLINK("https://map.naver.com/p/search/장군면 송문리 30-5", "지도Link")</f>
        <v/>
      </c>
      <c r="K4172" s="5">
        <f>HYPERLINK("http://www.eum.go.kr/web/ar/lu/luLandDet.jsp?pnu=3611035029100300005&amp;isNoScr=script&amp;mode=search", "토지이음")</f>
        <v/>
      </c>
      <c r="L4172" s="3" t="inlineStr">
        <is>
          <t>온뜰</t>
        </is>
      </c>
      <c r="M4172" s="3" t="n">
        <v>1</v>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3" t="inlineStr">
        <is>
          <t>막힘없는 조망권을 자랑하는 남향의 계획관리 급매토지입니다.</t>
        </is>
      </c>
      <c r="I4173" s="5">
        <f>HYPERLINK("https://fin.land.naver.com/articles/2645606246", "매물Link")</f>
        <v/>
      </c>
      <c r="J4173" s="5">
        <f>HYPERLINK("https://map.naver.com/p/search/장군면 송문리 31-1", "지도Link")</f>
        <v/>
      </c>
      <c r="K4173" s="5">
        <f>HYPERLINK("http://www.eum.go.kr/web/ar/lu/luLandDet.jsp?pnu=3611035029100310001&amp;isNoScr=script&amp;mode=search", "토지이음")</f>
        <v/>
      </c>
      <c r="L4173" s="3" t="inlineStr">
        <is>
          <t>미스터홈즈강남지사</t>
        </is>
      </c>
      <c r="M4173" s="3" t="n">
        <v>1</v>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3" t="inlineStr">
        <is>
          <t>포장도로 접한 계획관리지역 답, 최상의 전망, 지인과 공동 매수 추천</t>
        </is>
      </c>
      <c r="I4174" s="5">
        <f>HYPERLINK("https://fin.land.naver.com/articles/2649696551", "매물Link")</f>
        <v/>
      </c>
      <c r="J4174" s="5">
        <f>HYPERLINK("https://map.naver.com/p/search/장군면 송문리 31-1", "지도Link")</f>
        <v/>
      </c>
      <c r="K4174" s="5">
        <f>HYPERLINK("http://www.eum.go.kr/web/ar/lu/luLandDet.jsp?pnu=3611035029100310001&amp;isNoScr=script&amp;mode=search", "토지이음")</f>
        <v/>
      </c>
      <c r="L4174" s="3" t="inlineStr">
        <is>
          <t>온뜰</t>
        </is>
      </c>
      <c r="M4174" s="3" t="n">
        <v>1</v>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3" t="inlineStr">
        <is>
          <t>조망과 개방감이 뛰어나 분할매각하거나 전원주택이나 교회 추천</t>
        </is>
      </c>
      <c r="I4175" s="5">
        <f>HYPERLINK("https://fin.land.naver.com/articles/2644521274", "매물Link")</f>
        <v/>
      </c>
      <c r="J4175" s="5">
        <f>HYPERLINK("https://map.naver.com/p/search/장군면 송문리 355", "지도Link")</f>
        <v/>
      </c>
      <c r="K4175" s="5">
        <f>HYPERLINK("http://www.eum.go.kr/web/ar/lu/luLandDet.jsp?pnu=3611035029103550000&amp;isNoScr=script&amp;mode=search", "토지이음")</f>
        <v/>
      </c>
      <c r="L4175" s="3" t="inlineStr">
        <is>
          <t>용궁</t>
        </is>
      </c>
      <c r="M4175" s="3" t="n">
        <v>1</v>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3" t="inlineStr">
        <is>
          <t>nan</t>
        </is>
      </c>
      <c r="I4176" s="5">
        <f>HYPERLINK("https://fin.land.naver.com/articles/2650047301", "매물Link")</f>
        <v/>
      </c>
      <c r="J4176" s="5">
        <f>HYPERLINK("https://map.naver.com/p/search/장군면 송문리 355", "지도Link")</f>
        <v/>
      </c>
      <c r="K4176" s="5">
        <f>HYPERLINK("http://www.eum.go.kr/web/ar/lu/luLandDet.jsp?pnu=3611035029103550000&amp;isNoScr=script&amp;mode=search", "토지이음")</f>
        <v/>
      </c>
      <c r="L4176" s="3" t="inlineStr">
        <is>
          <t>하이엔드</t>
        </is>
      </c>
      <c r="M4176" s="3" t="n">
        <v>1</v>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3" t="inlineStr">
        <is>
          <t>nan</t>
        </is>
      </c>
      <c r="I4177" s="5">
        <f>HYPERLINK("https://fin.land.naver.com/articles/2647467387", "매물Link")</f>
        <v/>
      </c>
      <c r="J4177" s="5">
        <f>HYPERLINK("https://map.naver.com/p/search/장군면 송문리 355-11", "지도Link")</f>
        <v/>
      </c>
      <c r="K4177" s="5">
        <f>HYPERLINK("http://www.eum.go.kr/web/ar/lu/luLandDet.jsp?pnu=3611035029103550011&amp;isNoScr=script&amp;mode=search", "토지이음")</f>
        <v/>
      </c>
      <c r="L4177" s="3" t="inlineStr">
        <is>
          <t>고운동리치세종</t>
        </is>
      </c>
      <c r="M4177" s="3" t="n">
        <v>1</v>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3" t="inlineStr">
        <is>
          <t>상하수도 전기 통신 가능. 매수해두셨다가 편할 때 주택 지으세요</t>
        </is>
      </c>
      <c r="I4178" s="5">
        <f>HYPERLINK("https://fin.land.naver.com/articles/2645573260", "매물Link")</f>
        <v/>
      </c>
      <c r="J4178" s="5">
        <f>HYPERLINK("https://map.naver.com/p/search/장군면 송문리 355-37", "지도Link")</f>
        <v/>
      </c>
      <c r="K4178" s="5">
        <f>HYPERLINK("http://www.eum.go.kr/web/ar/lu/luLandDet.jsp?pnu=3611035029103550037&amp;isNoScr=script&amp;mode=search", "토지이음")</f>
        <v/>
      </c>
      <c r="L4178" s="3" t="inlineStr">
        <is>
          <t>미스터홈즈강남지사</t>
        </is>
      </c>
      <c r="M4178" s="3" t="n">
        <v>1</v>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3" t="inlineStr">
        <is>
          <t>경사도 낮은 임야로 주택지로 좋은 곳입니다.</t>
        </is>
      </c>
      <c r="I4179" s="5">
        <f>HYPERLINK("https://fin.land.naver.com/articles/2645604010", "매물Link")</f>
        <v/>
      </c>
      <c r="J4179" s="5">
        <f>HYPERLINK("https://map.naver.com/p/search/장군면 송문리 365", "지도Link")</f>
        <v/>
      </c>
      <c r="K4179" s="5">
        <f>HYPERLINK("http://www.eum.go.kr/web/ar/lu/luLandDet.jsp?pnu=3611035029103650000&amp;isNoScr=script&amp;mode=search", "토지이음")</f>
        <v/>
      </c>
      <c r="L4179" s="3" t="inlineStr">
        <is>
          <t>미스터홈즈강남지사</t>
        </is>
      </c>
      <c r="M4179" s="3" t="n">
        <v>1</v>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3" t="inlineStr">
        <is>
          <t>송문리 마을내 구옥있는 토지매매</t>
        </is>
      </c>
      <c r="I4180" s="5">
        <f>HYPERLINK("https://fin.land.naver.com/articles/2646416270", "매물Link")</f>
        <v/>
      </c>
      <c r="J4180" s="5">
        <f>HYPERLINK("https://map.naver.com/p/search/장군면 송문리 377-3", "지도Link")</f>
        <v/>
      </c>
      <c r="K4180" s="5">
        <f>HYPERLINK("http://www.eum.go.kr/web/ar/lu/luLandDet.jsp?pnu=3611035029103770003&amp;isNoScr=script&amp;mode=search", "토지이음")</f>
        <v/>
      </c>
      <c r="L4180" s="3" t="inlineStr">
        <is>
          <t>에이스</t>
        </is>
      </c>
      <c r="M4180" s="3" t="n">
        <v>1</v>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3" t="inlineStr">
        <is>
          <t>서세종IC 5분거리. 행복도시 근거리 인접 세컨하우스 용 토지.근생가능</t>
        </is>
      </c>
      <c r="I4181" s="5">
        <f>HYPERLINK("https://fin.land.naver.com/articles/2646026240", "매물Link")</f>
        <v/>
      </c>
      <c r="J4181" s="5">
        <f>HYPERLINK("https://map.naver.com/p/search/장군면 송문리 387-15", "지도Link")</f>
        <v/>
      </c>
      <c r="K4181" s="5">
        <f>HYPERLINK("http://www.eum.go.kr/web/ar/lu/luLandDet.jsp?pnu=3611035029103870015&amp;isNoScr=script&amp;mode=search", "토지이음")</f>
        <v/>
      </c>
      <c r="L4181" s="3" t="inlineStr">
        <is>
          <t>세종올리브</t>
        </is>
      </c>
      <c r="M4181" s="3" t="n">
        <v>1</v>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3" t="inlineStr">
        <is>
          <t>기반시설 완료한 전원주택지 급매추천</t>
        </is>
      </c>
      <c r="I4182" s="5">
        <f>HYPERLINK("https://fin.land.naver.com/articles/2648109640", "매물Link")</f>
        <v/>
      </c>
      <c r="J4182" s="5">
        <f>HYPERLINK("https://map.naver.com/p/search/장군면 송문리 387-19", "지도Link")</f>
        <v/>
      </c>
      <c r="K4182" s="5">
        <f>HYPERLINK("http://www.eum.go.kr/web/ar/lu/luLandDet.jsp?pnu=3611035029103870019&amp;isNoScr=script&amp;mode=search", "토지이음")</f>
        <v/>
      </c>
      <c r="L4182" s="3" t="inlineStr">
        <is>
          <t>세종소담114</t>
        </is>
      </c>
      <c r="M4182" s="3" t="n">
        <v>1</v>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3" t="inlineStr">
        <is>
          <t>가격조정가.도로접한코너각지.전원주택최적지.송문리마을회관인근.완경사주거나지</t>
        </is>
      </c>
      <c r="I4183" s="5">
        <f>HYPERLINK("https://fin.land.naver.com/articles/2649640641", "매물Link")</f>
        <v/>
      </c>
      <c r="J4183" s="5">
        <f>HYPERLINK("https://map.naver.com/p/search/장군면 송문리 387-19", "지도Link")</f>
        <v/>
      </c>
      <c r="K4183" s="5">
        <f>HYPERLINK("http://www.eum.go.kr/web/ar/lu/luLandDet.jsp?pnu=3611035029103870019&amp;isNoScr=script&amp;mode=search", "토지이음")</f>
        <v/>
      </c>
      <c r="L4183" s="3" t="inlineStr">
        <is>
          <t>돈방석</t>
        </is>
      </c>
      <c r="M4183" s="3" t="n">
        <v>2</v>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3" t="inlineStr">
        <is>
          <t>급매, 풍광이 뛰어난 전원주택지, 지목 대, 근생건물 있음</t>
        </is>
      </c>
      <c r="I4184" s="5">
        <f>HYPERLINK("https://fin.land.naver.com/articles/2647792541", "매물Link")</f>
        <v/>
      </c>
      <c r="J4184" s="5">
        <f>HYPERLINK("https://map.naver.com/p/search/장군면 송문리 387-22", "지도Link")</f>
        <v/>
      </c>
      <c r="K4184" s="5">
        <f>HYPERLINK("http://www.eum.go.kr/web/ar/lu/luLandDet.jsp?pnu=3611035029103870022&amp;isNoScr=script&amp;mode=search", "토지이음")</f>
        <v/>
      </c>
      <c r="L4184" s="3" t="inlineStr">
        <is>
          <t>온뜰</t>
        </is>
      </c>
      <c r="M4184" s="3" t="n">
        <v>1</v>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3" t="inlineStr">
        <is>
          <t>전원주택지 급하게 매도합니다</t>
        </is>
      </c>
      <c r="I4185" s="5">
        <f>HYPERLINK("https://fin.land.naver.com/articles/2645604952", "매물Link")</f>
        <v/>
      </c>
      <c r="J4185" s="5">
        <f>HYPERLINK("https://map.naver.com/p/search/장군면 송문리 387-25", "지도Link")</f>
        <v/>
      </c>
      <c r="K4185" s="5">
        <f>HYPERLINK("http://www.eum.go.kr/web/ar/lu/luLandDet.jsp?pnu=3611035029103870025&amp;isNoScr=script&amp;mode=search", "토지이음")</f>
        <v/>
      </c>
      <c r="L4185" s="3" t="inlineStr">
        <is>
          <t>미스터홈즈강남지사</t>
        </is>
      </c>
      <c r="M4185" s="3" t="n">
        <v>1</v>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3" t="inlineStr">
        <is>
          <t>급매, 전원주택지 남향 맨앞면 코너각지 탁 트인뷰</t>
        </is>
      </c>
      <c r="I4186" s="5">
        <f>HYPERLINK("https://fin.land.naver.com/articles/2647792101", "매물Link")</f>
        <v/>
      </c>
      <c r="J4186" s="5">
        <f>HYPERLINK("https://map.naver.com/p/search/장군면 송문리 387-30", "지도Link")</f>
        <v/>
      </c>
      <c r="K4186" s="5">
        <f>HYPERLINK("http://www.eum.go.kr/web/ar/lu/luLandDet.jsp?pnu=3611035029103870030&amp;isNoScr=script&amp;mode=search", "토지이음")</f>
        <v/>
      </c>
      <c r="L4186" s="3" t="inlineStr">
        <is>
          <t>온뜰</t>
        </is>
      </c>
      <c r="M4186" s="3" t="n">
        <v>1</v>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3" t="inlineStr">
        <is>
          <t>nan</t>
        </is>
      </c>
      <c r="I4187" s="5">
        <f>HYPERLINK("https://fin.land.naver.com/articles/2646026012", "매물Link")</f>
        <v/>
      </c>
      <c r="J4187" s="5">
        <f>HYPERLINK("https://map.naver.com/p/search/장군면 송문리 387-30", "지도Link")</f>
        <v/>
      </c>
      <c r="K4187" s="5">
        <f>HYPERLINK("http://www.eum.go.kr/web/ar/lu/luLandDet.jsp?pnu=3611035029103870030&amp;isNoScr=script&amp;mode=search", "토지이음")</f>
        <v/>
      </c>
      <c r="L4187" s="3" t="inlineStr">
        <is>
          <t>세종올리브</t>
        </is>
      </c>
      <c r="M4187" s="3" t="n">
        <v>2</v>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3" t="inlineStr">
        <is>
          <t>급매, 지목이 대, 정남향 최고의 전망</t>
        </is>
      </c>
      <c r="I4188" s="5">
        <f>HYPERLINK("https://fin.land.naver.com/articles/2644833239", "매물Link")</f>
        <v/>
      </c>
      <c r="J4188" s="5">
        <f>HYPERLINK("https://map.naver.com/p/search/장군면 송문리 387-5", "지도Link")</f>
        <v/>
      </c>
      <c r="K4188" s="5">
        <f>HYPERLINK("http://www.eum.go.kr/web/ar/lu/luLandDet.jsp?pnu=3611035029103870005&amp;isNoScr=script&amp;mode=search", "토지이음")</f>
        <v/>
      </c>
      <c r="L4188" s="3" t="inlineStr">
        <is>
          <t>온뜰</t>
        </is>
      </c>
      <c r="M4188" s="3" t="n">
        <v>1</v>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3" t="inlineStr">
        <is>
          <t>대전,세종,공주에서 가까운거리에 있는 송문리의 택지조성완료된 토지</t>
        </is>
      </c>
      <c r="I4189" s="5">
        <f>HYPERLINK("https://fin.land.naver.com/articles/2649275530", "매물Link")</f>
        <v/>
      </c>
      <c r="J4189" s="5">
        <f>HYPERLINK("https://map.naver.com/p/search/장군면 송문리 40-15", "지도Link")</f>
        <v/>
      </c>
      <c r="K4189" s="5">
        <f>HYPERLINK("http://www.eum.go.kr/web/ar/lu/luLandDet.jsp?pnu=3611035029100400015&amp;isNoScr=script&amp;mode=search", "토지이음")</f>
        <v/>
      </c>
      <c r="L4189" s="3" t="inlineStr">
        <is>
          <t>비타민무소</t>
        </is>
      </c>
      <c r="M4189" s="3" t="n">
        <v>1</v>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3" t="inlineStr">
        <is>
          <t>전원주택지이며,상하수도및 전기 기반시설이 되어있음.</t>
        </is>
      </c>
      <c r="I4190" s="5">
        <f>HYPERLINK("https://fin.land.naver.com/articles/2649428987", "매물Link")</f>
        <v/>
      </c>
      <c r="J4190" s="5">
        <f>HYPERLINK("https://map.naver.com/p/search/장군면 송문리 40-15", "지도Link")</f>
        <v/>
      </c>
      <c r="K4190" s="5">
        <f>HYPERLINK("http://www.eum.go.kr/web/ar/lu/luLandDet.jsp?pnu=3611035029100400015&amp;isNoScr=script&amp;mode=search", "토지이음")</f>
        <v/>
      </c>
      <c r="L4190" s="3" t="inlineStr">
        <is>
          <t>도마이편한</t>
        </is>
      </c>
      <c r="M4190" s="3" t="n">
        <v>1</v>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3" t="inlineStr">
        <is>
          <t>전원주택신축최고명당자리</t>
        </is>
      </c>
      <c r="I4191" s="5">
        <f>HYPERLINK("https://fin.land.naver.com/articles/2646616371", "매물Link")</f>
        <v/>
      </c>
      <c r="J4191" s="5">
        <f>HYPERLINK("https://map.naver.com/p/search/장군면 송문리 40-19", "지도Link")</f>
        <v/>
      </c>
      <c r="K4191" s="5">
        <f>HYPERLINK("http://www.eum.go.kr/web/ar/lu/luLandDet.jsp?pnu=3611035029100400019&amp;isNoScr=script&amp;mode=search", "토지이음")</f>
        <v/>
      </c>
      <c r="L4191" s="3" t="inlineStr">
        <is>
          <t>에바다</t>
        </is>
      </c>
      <c r="M4191" s="3" t="n">
        <v>2</v>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3" t="inlineStr">
        <is>
          <t>대교천이 보이는 조망권뷰 최상 전원주택지,필지 분할가능</t>
        </is>
      </c>
      <c r="I4192" s="5">
        <f>HYPERLINK("https://fin.land.naver.com/articles/2645376378", "매물Link")</f>
        <v/>
      </c>
      <c r="J4192" s="5">
        <f>HYPERLINK("https://map.naver.com/p/search/장군면 송문리 40-19", "지도Link")</f>
        <v/>
      </c>
      <c r="K4192" s="5">
        <f>HYPERLINK("http://www.eum.go.kr/web/ar/lu/luLandDet.jsp?pnu=3611035029100400019&amp;isNoScr=script&amp;mode=search", "토지이음")</f>
        <v/>
      </c>
      <c r="L4192" s="3" t="inlineStr">
        <is>
          <t>고운맘</t>
        </is>
      </c>
      <c r="M4192" s="3" t="n">
        <v>1</v>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3" t="inlineStr">
        <is>
          <t>장군면 송문리  택지개발한 전원주택지 시세보다 저렴한 급매입니다</t>
        </is>
      </c>
      <c r="I4193" s="5">
        <f>HYPERLINK("https://fin.land.naver.com/articles/2649205676", "매물Link")</f>
        <v/>
      </c>
      <c r="J4193" s="5">
        <f>HYPERLINK("https://map.naver.com/p/search/장군면 송문리 40-31", "지도Link")</f>
        <v/>
      </c>
      <c r="K4193" s="5">
        <f>HYPERLINK("http://www.eum.go.kr/web/ar/lu/luLandDet.jsp?pnu=3611035029100400031&amp;isNoScr=script&amp;mode=search", "토지이음")</f>
        <v/>
      </c>
      <c r="L4193" s="3" t="inlineStr">
        <is>
          <t>스마일세종</t>
        </is>
      </c>
      <c r="M4193" s="3" t="n">
        <v>1</v>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3" t="inlineStr">
        <is>
          <t>nan</t>
        </is>
      </c>
      <c r="I4194" s="5">
        <f>HYPERLINK("https://fin.land.naver.com/articles/2644947014", "매물Link")</f>
        <v/>
      </c>
      <c r="J4194" s="5">
        <f>HYPERLINK("https://map.naver.com/p/search/장군면 송문리 40-6", "지도Link")</f>
        <v/>
      </c>
      <c r="K4194" s="5">
        <f>HYPERLINK("http://www.eum.go.kr/web/ar/lu/luLandDet.jsp?pnu=3611035029100400006&amp;isNoScr=script&amp;mode=search", "토지이음")</f>
        <v/>
      </c>
      <c r="L4194" s="3" t="inlineStr">
        <is>
          <t>고운동리치세종</t>
        </is>
      </c>
      <c r="M4194" s="3" t="n">
        <v>1</v>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3" t="inlineStr">
        <is>
          <t>세종시 장군면 송문리 잘 형성된 전원주택지 시세 이하 급매</t>
        </is>
      </c>
      <c r="I4195" s="5">
        <f>HYPERLINK("https://fin.land.naver.com/articles/2649843772", "매물Link")</f>
        <v/>
      </c>
      <c r="J4195" s="5">
        <f>HYPERLINK("https://map.naver.com/p/search/장군면 송문리 40-7", "지도Link")</f>
        <v/>
      </c>
      <c r="K4195" s="5">
        <f>HYPERLINK("http://www.eum.go.kr/web/ar/lu/luLandDet.jsp?pnu=3611035029100400007&amp;isNoScr=script&amp;mode=search", "토지이음")</f>
        <v/>
      </c>
      <c r="L4195" s="3" t="inlineStr">
        <is>
          <t>나침반</t>
        </is>
      </c>
      <c r="M4195" s="3" t="n">
        <v>1</v>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3" t="inlineStr">
        <is>
          <t>장군면 계획관리 토지 매매</t>
        </is>
      </c>
      <c r="I4196" s="5">
        <f>HYPERLINK("https://fin.land.naver.com/articles/2645465602", "매물Link")</f>
        <v/>
      </c>
      <c r="J4196" s="5">
        <f>HYPERLINK("https://map.naver.com/p/search/장군면 송문리 40-7", "지도Link")</f>
        <v/>
      </c>
      <c r="K4196" s="5">
        <f>HYPERLINK("http://www.eum.go.kr/web/ar/lu/luLandDet.jsp?pnu=3611035029100400007&amp;isNoScr=script&amp;mode=search", "토지이음")</f>
        <v/>
      </c>
      <c r="L4196" s="3" t="inlineStr">
        <is>
          <t>강아지풀</t>
        </is>
      </c>
      <c r="M4196" s="3" t="n">
        <v>2</v>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3" t="inlineStr">
        <is>
          <t>가격저렴한 토임, 투자굿,송문침례교회 인근</t>
        </is>
      </c>
      <c r="I4197" s="5">
        <f>HYPERLINK("https://fin.land.naver.com/articles/2650042926", "매물Link")</f>
        <v/>
      </c>
      <c r="J4197" s="5">
        <f>HYPERLINK("https://map.naver.com/p/search/장군면 송문리 422-2", "지도Link")</f>
        <v/>
      </c>
      <c r="K4197" s="5">
        <f>HYPERLINK("http://www.eum.go.kr/web/ar/lu/luLandDet.jsp?pnu=3611035029104220002&amp;isNoScr=script&amp;mode=search", "토지이음")</f>
        <v/>
      </c>
      <c r="L4197" s="3" t="inlineStr">
        <is>
          <t>모두</t>
        </is>
      </c>
      <c r="M4197" s="3" t="n">
        <v>1</v>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3" t="inlineStr">
        <is>
          <t>계획관리 도로 접한 최고의 명당자리 토지 매도</t>
        </is>
      </c>
      <c r="I4198" s="5">
        <f>HYPERLINK("https://fin.land.naver.com/articles/2650017232", "매물Link")</f>
        <v/>
      </c>
      <c r="J4198" s="5">
        <f>HYPERLINK("https://map.naver.com/p/search/장군면 송문리 51-2", "지도Link")</f>
        <v/>
      </c>
      <c r="K4198" s="5">
        <f>HYPERLINK("http://www.eum.go.kr/web/ar/lu/luLandDet.jsp?pnu=3611035029100510002&amp;isNoScr=script&amp;mode=search", "토지이음")</f>
        <v/>
      </c>
      <c r="L4198" s="3" t="inlineStr">
        <is>
          <t>온뜰</t>
        </is>
      </c>
      <c r="M4198" s="3" t="n">
        <v>1</v>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3" t="inlineStr">
        <is>
          <t>계획관리, 주변 풍광이 뛰어나고 전망좋아 전원주택지로 최적, 하우스 포함</t>
        </is>
      </c>
      <c r="I4199" s="5">
        <f>HYPERLINK("https://fin.land.naver.com/articles/2644846538", "매물Link")</f>
        <v/>
      </c>
      <c r="J4199" s="5">
        <f>HYPERLINK("https://map.naver.com/p/search/장군면 송문리 57-6", "지도Link")</f>
        <v/>
      </c>
      <c r="K4199" s="5">
        <f>HYPERLINK("http://www.eum.go.kr/web/ar/lu/luLandDet.jsp?pnu=3611035029100570006&amp;isNoScr=script&amp;mode=search", "토지이음")</f>
        <v/>
      </c>
      <c r="L4199" s="3" t="inlineStr">
        <is>
          <t>온뜰</t>
        </is>
      </c>
      <c r="M4199" s="3" t="n">
        <v>1</v>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3" t="inlineStr">
        <is>
          <t>전원주택 및 다양한 용도로 사용가능</t>
        </is>
      </c>
      <c r="I4200" s="5">
        <f>HYPERLINK("https://fin.land.naver.com/articles/2649865365", "매물Link")</f>
        <v/>
      </c>
      <c r="J4200" s="5">
        <f>HYPERLINK("https://map.naver.com/p/search/장군면 송문리 57-6", "지도Link")</f>
        <v/>
      </c>
      <c r="K4200" s="5">
        <f>HYPERLINK("http://www.eum.go.kr/web/ar/lu/luLandDet.jsp?pnu=3611035029100570006&amp;isNoScr=script&amp;mode=search", "토지이음")</f>
        <v/>
      </c>
      <c r="L4200" s="3" t="inlineStr">
        <is>
          <t>상상</t>
        </is>
      </c>
      <c r="M4200" s="3" t="n">
        <v>1</v>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3" t="inlineStr">
        <is>
          <t>도로접 계획관리,지대가 높아 대교천 조망권 뷰,가격조정가능</t>
        </is>
      </c>
      <c r="I4201" s="5">
        <f>HYPERLINK("https://fin.land.naver.com/articles/2650059933", "매물Link")</f>
        <v/>
      </c>
      <c r="J4201" s="5">
        <f>HYPERLINK("https://map.naver.com/p/search/장군면 송문리 61", "지도Link")</f>
        <v/>
      </c>
      <c r="K4201" s="5">
        <f>HYPERLINK("http://www.eum.go.kr/web/ar/lu/luLandDet.jsp?pnu=3611035029100610000&amp;isNoScr=script&amp;mode=search", "토지이음")</f>
        <v/>
      </c>
      <c r="L4201" s="3" t="inlineStr">
        <is>
          <t>고운맘</t>
        </is>
      </c>
      <c r="M4201" s="3" t="n">
        <v>1</v>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3" t="inlineStr">
        <is>
          <t>계획관리지역, 배산임수 전망 최상, 금액조율가능</t>
        </is>
      </c>
      <c r="I4202" s="5">
        <f>HYPERLINK("https://fin.land.naver.com/articles/2649998809", "매물Link")</f>
        <v/>
      </c>
      <c r="J4202" s="5">
        <f>HYPERLINK("https://map.naver.com/p/search/장군면 송문리 61", "지도Link")</f>
        <v/>
      </c>
      <c r="K4202" s="5">
        <f>HYPERLINK("http://www.eum.go.kr/web/ar/lu/luLandDet.jsp?pnu=3611035029100610000&amp;isNoScr=script&amp;mode=search", "토지이음")</f>
        <v/>
      </c>
      <c r="L4202" s="3" t="inlineStr">
        <is>
          <t>온뜰</t>
        </is>
      </c>
      <c r="M4202" s="3" t="n">
        <v>2</v>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3" t="inlineStr">
        <is>
          <t>농림지역 농업진흥구역 도로접 투자용 농경지</t>
        </is>
      </c>
      <c r="I4203" s="5">
        <f>HYPERLINK("https://fin.land.naver.com/articles/2646796972", "매물Link")</f>
        <v/>
      </c>
      <c r="J4203" s="5">
        <f>HYPERLINK("https://map.naver.com/p/search/장군면 송문리 624-1", "지도Link")</f>
        <v/>
      </c>
      <c r="K4203" s="5">
        <f>HYPERLINK("http://www.eum.go.kr/web/ar/lu/luLandDet.jsp?pnu=3611035029106240001&amp;isNoScr=script&amp;mode=search", "토지이음")</f>
        <v/>
      </c>
      <c r="L4203" s="3" t="inlineStr">
        <is>
          <t>세종이룸</t>
        </is>
      </c>
      <c r="M4203" s="3" t="n">
        <v>1</v>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3" t="inlineStr">
        <is>
          <t>nan</t>
        </is>
      </c>
      <c r="I4204" s="5">
        <f>HYPERLINK("https://fin.land.naver.com/articles/2649479852", "매물Link")</f>
        <v/>
      </c>
      <c r="J4204" s="5">
        <f>HYPERLINK("https://map.naver.com/p/search/장군면 송문리 627-1", "지도Link")</f>
        <v/>
      </c>
      <c r="K4204" s="5">
        <f>HYPERLINK("http://www.eum.go.kr/web/ar/lu/luLandDet.jsp?pnu=3611035029106270001&amp;isNoScr=script&amp;mode=search", "토지이음")</f>
        <v/>
      </c>
      <c r="L4204" s="3" t="inlineStr">
        <is>
          <t>대박</t>
        </is>
      </c>
      <c r="M4204" s="3" t="n">
        <v>1</v>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3" t="inlineStr">
        <is>
          <t>급매, 저렴 대토용, 마을에 인접, 1Km 인근에 골프장 건설 예정</t>
        </is>
      </c>
      <c r="I4205" s="5">
        <f>HYPERLINK("https://fin.land.naver.com/articles/2647792271", "매물Link")</f>
        <v/>
      </c>
      <c r="J4205" s="5">
        <f>HYPERLINK("https://map.naver.com/p/search/장군면 송문리 631-2", "지도Link")</f>
        <v/>
      </c>
      <c r="K4205" s="5">
        <f>HYPERLINK("http://www.eum.go.kr/web/ar/lu/luLandDet.jsp?pnu=3611035029106310002&amp;isNoScr=script&amp;mode=search", "토지이음")</f>
        <v/>
      </c>
      <c r="L4205" s="3" t="inlineStr">
        <is>
          <t>온뜰</t>
        </is>
      </c>
      <c r="M4205" s="3" t="n">
        <v>1</v>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3" t="inlineStr">
        <is>
          <t>대토추천, 서울세종고속도로 인근</t>
        </is>
      </c>
      <c r="I4206" s="5">
        <f>HYPERLINK("https://fin.land.naver.com/articles/2645603793", "매물Link")</f>
        <v/>
      </c>
      <c r="J4206" s="5">
        <f>HYPERLINK("https://map.naver.com/p/search/장군면 송문리 638-2", "지도Link")</f>
        <v/>
      </c>
      <c r="K4206" s="5">
        <f>HYPERLINK("http://www.eum.go.kr/web/ar/lu/luLandDet.jsp?pnu=3611035029106380002&amp;isNoScr=script&amp;mode=search", "토지이음")</f>
        <v/>
      </c>
      <c r="L4206" s="3" t="inlineStr">
        <is>
          <t>미스터홈즈강남지사</t>
        </is>
      </c>
      <c r="M4206" s="3" t="n">
        <v>1</v>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3" t="inlineStr">
        <is>
          <t>농업 활용도 최상의 매물,주말 농장,농지필요한 농업인,장기투자용으로 추천</t>
        </is>
      </c>
      <c r="I4207" s="5">
        <f>HYPERLINK("https://fin.land.naver.com/articles/2648701323", "매물Link")</f>
        <v/>
      </c>
      <c r="J4207" s="5">
        <f>HYPERLINK("https://map.naver.com/p/search/장군면 송문리 638-8", "지도Link")</f>
        <v/>
      </c>
      <c r="K4207" s="5">
        <f>HYPERLINK("http://www.eum.go.kr/web/ar/lu/luLandDet.jsp?pnu=3611035029106380008&amp;isNoScr=script&amp;mode=search", "토지이음")</f>
        <v/>
      </c>
      <c r="L4207" s="3" t="inlineStr">
        <is>
          <t>짱</t>
        </is>
      </c>
      <c r="M4207" s="3" t="n">
        <v>1</v>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3" t="inlineStr">
        <is>
          <t>마을 6m도로 접하여 접근성 좋고 신도시 10분 가까운 거리 저렴 농지</t>
        </is>
      </c>
      <c r="I4208" s="5">
        <f>HYPERLINK("https://fin.land.naver.com/articles/2644847203", "매물Link")</f>
        <v/>
      </c>
      <c r="J4208" s="5">
        <f>HYPERLINK("https://map.naver.com/p/search/장군면 송문리 643-6", "지도Link")</f>
        <v/>
      </c>
      <c r="K4208" s="5">
        <f>HYPERLINK("http://www.eum.go.kr/web/ar/lu/luLandDet.jsp?pnu=3611035029106430006&amp;isNoScr=script&amp;mode=search", "토지이음")</f>
        <v/>
      </c>
      <c r="L4208" s="3" t="inlineStr">
        <is>
          <t>온뜰</t>
        </is>
      </c>
      <c r="M4208" s="3" t="n">
        <v>1</v>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3" t="inlineStr">
        <is>
          <t>소규모 농지 소액투자</t>
        </is>
      </c>
      <c r="I4209" s="5">
        <f>HYPERLINK("https://fin.land.naver.com/articles/2646241932", "매물Link")</f>
        <v/>
      </c>
      <c r="J4209" s="5">
        <f>HYPERLINK("https://map.naver.com/p/search/장군면 송문리 649-1", "지도Link")</f>
        <v/>
      </c>
      <c r="K4209" s="5">
        <f>HYPERLINK("http://www.eum.go.kr/web/ar/lu/luLandDet.jsp?pnu=3611035029106490001&amp;isNoScr=script&amp;mode=search", "토지이음")</f>
        <v/>
      </c>
      <c r="L4209" s="3" t="inlineStr">
        <is>
          <t>대박</t>
        </is>
      </c>
      <c r="M4209" s="3" t="n">
        <v>2</v>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3" t="inlineStr">
        <is>
          <t>nan</t>
        </is>
      </c>
      <c r="I4210" s="5">
        <f>HYPERLINK("https://fin.land.naver.com/articles/2644151037", "매물Link")</f>
        <v/>
      </c>
      <c r="J4210" s="5">
        <f>HYPERLINK("https://map.naver.com/p/search/장군면 송문리 654-12", "지도Link")</f>
        <v/>
      </c>
      <c r="K4210" s="5">
        <f>HYPERLINK("http://www.eum.go.kr/web/ar/lu/luLandDet.jsp?pnu=3611035029106540012&amp;isNoScr=script&amp;mode=search", "토지이음")</f>
        <v/>
      </c>
      <c r="L4210" s="3" t="inlineStr">
        <is>
          <t>고운동리치세종</t>
        </is>
      </c>
      <c r="M4210" s="3" t="n">
        <v>1</v>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3" t="inlineStr">
        <is>
          <t>대교천,천변도로에접한농지,절충가능</t>
        </is>
      </c>
      <c r="I4211" s="5">
        <f>HYPERLINK("https://fin.land.naver.com/articles/2644153331", "매물Link")</f>
        <v/>
      </c>
      <c r="J4211" s="5">
        <f>HYPERLINK("https://map.naver.com/p/search/장군면 송문리 656-8", "지도Link")</f>
        <v/>
      </c>
      <c r="K4211" s="5">
        <f>HYPERLINK("http://www.eum.go.kr/web/ar/lu/luLandDet.jsp?pnu=3611035029106560008&amp;isNoScr=script&amp;mode=search", "토지이음")</f>
        <v/>
      </c>
      <c r="L4211" s="3" t="inlineStr">
        <is>
          <t>이지</t>
        </is>
      </c>
      <c r="M4211" s="3" t="n">
        <v>1</v>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3" t="inlineStr">
        <is>
          <t>송문리 농림지역 토지매매</t>
        </is>
      </c>
      <c r="I4212" s="5">
        <f>HYPERLINK("https://fin.land.naver.com/articles/2646852934", "매물Link")</f>
        <v/>
      </c>
      <c r="J4212" s="5">
        <f>HYPERLINK("https://map.naver.com/p/search/장군면 송문리 662-3", "지도Link")</f>
        <v/>
      </c>
      <c r="K4212" s="5">
        <f>HYPERLINK("http://www.eum.go.kr/web/ar/lu/luLandDet.jsp?pnu=3611035029106620003&amp;isNoScr=script&amp;mode=search", "토지이음")</f>
        <v/>
      </c>
      <c r="L4212" s="3" t="inlineStr">
        <is>
          <t>에이스</t>
        </is>
      </c>
      <c r="M4212" s="3" t="n">
        <v>1</v>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3" t="inlineStr">
        <is>
          <t>대토추천  맹지</t>
        </is>
      </c>
      <c r="I4213" s="5">
        <f>HYPERLINK("https://fin.land.naver.com/articles/2645604251", "매물Link")</f>
        <v/>
      </c>
      <c r="J4213" s="5">
        <f>HYPERLINK("https://map.naver.com/p/search/장군면 송문리 68", "지도Link")</f>
        <v/>
      </c>
      <c r="K4213" s="5">
        <f>HYPERLINK("http://www.eum.go.kr/web/ar/lu/luLandDet.jsp?pnu=3611035029100680000&amp;isNoScr=script&amp;mode=search", "토지이음")</f>
        <v/>
      </c>
      <c r="L4213" s="3" t="inlineStr">
        <is>
          <t>미스터홈즈강남지사</t>
        </is>
      </c>
      <c r="M4213" s="3" t="n">
        <v>1</v>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3" t="inlineStr">
        <is>
          <t>송문리 문성1길 마을초입, 계획관리지역 지목 대, 구옥 있음</t>
        </is>
      </c>
      <c r="I4214" s="5">
        <f>HYPERLINK("https://fin.land.naver.com/articles/2649995097", "매물Link")</f>
        <v/>
      </c>
      <c r="J4214" s="5">
        <f>HYPERLINK("https://map.naver.com/p/search/장군면 송문리 70-4", "지도Link")</f>
        <v/>
      </c>
      <c r="K4214" s="5">
        <f>HYPERLINK("http://www.eum.go.kr/web/ar/lu/luLandDet.jsp?pnu=3611035029100700004&amp;isNoScr=script&amp;mode=search", "토지이음")</f>
        <v/>
      </c>
      <c r="L4214" s="3" t="inlineStr">
        <is>
          <t>온뜰</t>
        </is>
      </c>
      <c r="M4214" s="3" t="n">
        <v>1</v>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3" t="inlineStr">
        <is>
          <t>계획관리지역 토지매매</t>
        </is>
      </c>
      <c r="I4215" s="5">
        <f>HYPERLINK("https://fin.land.naver.com/articles/2646414471", "매물Link")</f>
        <v/>
      </c>
      <c r="J4215" s="5">
        <f>HYPERLINK("https://map.naver.com/p/search/장군면 송문리 86-2", "지도Link")</f>
        <v/>
      </c>
      <c r="K4215" s="5">
        <f>HYPERLINK("http://www.eum.go.kr/web/ar/lu/luLandDet.jsp?pnu=3611035029100860002&amp;isNoScr=script&amp;mode=search", "토지이음")</f>
        <v/>
      </c>
      <c r="L4215" s="3" t="inlineStr">
        <is>
          <t>에이스</t>
        </is>
      </c>
      <c r="M4215" s="3" t="n">
        <v>1</v>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3" t="inlineStr">
        <is>
          <t>땅 투자성 겸비한 양계장(수탁육계사육) 운영하실분 추천합니다</t>
        </is>
      </c>
      <c r="I4216" s="5">
        <f>HYPERLINK("https://fin.land.naver.com/articles/2647215832", "매물Link")</f>
        <v/>
      </c>
      <c r="J4216" s="5">
        <f>HYPERLINK("https://map.naver.com/p/search/장군면 송정리 469", "지도Link")</f>
        <v/>
      </c>
      <c r="K4216" s="5">
        <f>HYPERLINK("http://www.eum.go.kr/web/ar/lu/luLandDet.jsp?pnu=3611035030104690000&amp;isNoScr=script&amp;mode=search", "토지이음")</f>
        <v/>
      </c>
      <c r="L4216" s="3" t="inlineStr">
        <is>
          <t>KB</t>
        </is>
      </c>
      <c r="M4216" s="3" t="n">
        <v>1</v>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3" t="inlineStr">
        <is>
          <t>nan</t>
        </is>
      </c>
      <c r="I4217" s="5">
        <f>HYPERLINK("https://fin.land.naver.com/articles/2644110932", "매물Link")</f>
        <v/>
      </c>
      <c r="J4217" s="5">
        <f>HYPERLINK("https://map.naver.com/p/search/장군면 송정리 556-4", "지도Link")</f>
        <v/>
      </c>
      <c r="K4217" s="5">
        <f>HYPERLINK("http://www.eum.go.kr/web/ar/lu/luLandDet.jsp?pnu=3611035030105560004&amp;isNoScr=script&amp;mode=search", "토지이음")</f>
        <v/>
      </c>
      <c r="L4217" s="3" t="inlineStr">
        <is>
          <t>다온</t>
        </is>
      </c>
      <c r="M4217" s="3" t="n">
        <v>1</v>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3" t="inlineStr">
        <is>
          <t>계획관리지역 토지매매</t>
        </is>
      </c>
      <c r="I4218" s="5">
        <f>HYPERLINK("https://fin.land.naver.com/articles/2646852605", "매물Link")</f>
        <v/>
      </c>
      <c r="J4218" s="5">
        <f>HYPERLINK("https://map.naver.com/p/search/장군면 송정리 556-5", "지도Link")</f>
        <v/>
      </c>
      <c r="K4218" s="5">
        <f>HYPERLINK("http://www.eum.go.kr/web/ar/lu/luLandDet.jsp?pnu=3611035030105560005&amp;isNoScr=script&amp;mode=search", "토지이음")</f>
        <v/>
      </c>
      <c r="L4218" s="3" t="inlineStr">
        <is>
          <t>에이스</t>
        </is>
      </c>
      <c r="M4218" s="3" t="n">
        <v>1</v>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3" t="inlineStr">
        <is>
          <t>정부청사에서10분 계획관리지역</t>
        </is>
      </c>
      <c r="I4219" s="5">
        <f>HYPERLINK("https://fin.land.naver.com/articles/2649544439", "매물Link")</f>
        <v/>
      </c>
      <c r="J4219" s="5">
        <f>HYPERLINK("https://map.naver.com/p/search/장군면 송정리 556-5", "지도Link")</f>
        <v/>
      </c>
      <c r="K4219" s="5">
        <f>HYPERLINK("http://www.eum.go.kr/web/ar/lu/luLandDet.jsp?pnu=3611035030105560005&amp;isNoScr=script&amp;mode=search", "토지이음")</f>
        <v/>
      </c>
      <c r="L4219" s="3" t="inlineStr">
        <is>
          <t>세종천지</t>
        </is>
      </c>
      <c r="M4219" s="3" t="n">
        <v>1</v>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3" t="inlineStr">
        <is>
          <t>세세종IC 5분거리 계획관리지역</t>
        </is>
      </c>
      <c r="I4220" s="5">
        <f>HYPERLINK("https://fin.land.naver.com/articles/2644455039", "매물Link")</f>
        <v/>
      </c>
      <c r="J4220" s="5">
        <f>HYPERLINK("https://map.naver.com/p/search/장군면 송정리 556-5", "지도Link")</f>
        <v/>
      </c>
      <c r="K4220" s="5">
        <f>HYPERLINK("http://www.eum.go.kr/web/ar/lu/luLandDet.jsp?pnu=3611035030105560005&amp;isNoScr=script&amp;mode=search", "토지이음")</f>
        <v/>
      </c>
      <c r="L4220" s="3" t="inlineStr">
        <is>
          <t>해온</t>
        </is>
      </c>
      <c r="M4220" s="3" t="n">
        <v>1</v>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3" t="inlineStr">
        <is>
          <t>2. 송정리. 전원 주택 단지로 개발하기 좋은 자리</t>
        </is>
      </c>
      <c r="I4221" s="5">
        <f>HYPERLINK("https://fin.land.naver.com/articles/2646760284", "매물Link")</f>
        <v/>
      </c>
      <c r="J4221" s="5">
        <f>HYPERLINK("https://map.naver.com/p/search/장군면 송정리 580-2", "지도Link")</f>
        <v/>
      </c>
      <c r="K4221" s="5">
        <f>HYPERLINK("http://www.eum.go.kr/web/ar/lu/luLandDet.jsp?pnu=3611035030105800002&amp;isNoScr=script&amp;mode=search", "토지이음")</f>
        <v/>
      </c>
      <c r="L4221" s="3" t="inlineStr">
        <is>
          <t>내동굿모닝</t>
        </is>
      </c>
      <c r="M4221" s="3" t="n">
        <v>1</v>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3" t="inlineStr">
        <is>
          <t>3면이 국유도로에 물려있는 예쁜 토지매매</t>
        </is>
      </c>
      <c r="I4222" s="5">
        <f>HYPERLINK("https://fin.land.naver.com/articles/2646853245", "매물Link")</f>
        <v/>
      </c>
      <c r="J4222" s="5">
        <f>HYPERLINK("https://map.naver.com/p/search/장군면 송정리 638-9", "지도Link")</f>
        <v/>
      </c>
      <c r="K4222" s="5">
        <f>HYPERLINK("http://www.eum.go.kr/web/ar/lu/luLandDet.jsp?pnu=3611035030106380009&amp;isNoScr=script&amp;mode=search", "토지이음")</f>
        <v/>
      </c>
      <c r="L4222" s="3" t="inlineStr">
        <is>
          <t>에이스</t>
        </is>
      </c>
      <c r="M4222" s="3" t="n">
        <v>1</v>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3" t="inlineStr">
        <is>
          <t>세종시 인접 농지 투자추천</t>
        </is>
      </c>
      <c r="I4223" s="5">
        <f>HYPERLINK("https://fin.land.naver.com/articles/2645514562", "매물Link")</f>
        <v/>
      </c>
      <c r="J4223" s="5">
        <f>HYPERLINK("https://map.naver.com/p/search/장군면 송정리 640-9", "지도Link")</f>
        <v/>
      </c>
      <c r="K4223" s="5">
        <f>HYPERLINK("http://www.eum.go.kr/web/ar/lu/luLandDet.jsp?pnu=3611035030106400009&amp;isNoScr=script&amp;mode=search", "토지이음")</f>
        <v/>
      </c>
      <c r="L4223" s="3" t="inlineStr">
        <is>
          <t>프라임</t>
        </is>
      </c>
      <c r="M4223" s="3" t="n">
        <v>1</v>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3" t="inlineStr">
        <is>
          <t>투자가치 최상 넓은면적 저렴한 토지 매매</t>
        </is>
      </c>
      <c r="I4224" s="5">
        <f>HYPERLINK("https://fin.land.naver.com/articles/2646721990", "매물Link")</f>
        <v/>
      </c>
      <c r="J4224" s="5">
        <f>HYPERLINK("https://map.naver.com/p/search/장군면 송정리 산24-22", "지도Link")</f>
        <v/>
      </c>
      <c r="K4224" s="5">
        <f>HYPERLINK("http://www.eum.go.kr/web/ar/lu/luLandDet.jsp?pnu=3611035030200240022&amp;isNoScr=script&amp;mode=search", "토지이음")</f>
        <v/>
      </c>
      <c r="L4224" s="3" t="inlineStr">
        <is>
          <t>(주)정민근</t>
        </is>
      </c>
      <c r="M4224" s="3" t="n">
        <v>1</v>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3" t="inlineStr">
        <is>
          <t>3필지의 투자가치높은 대형평수 임야 매매입니다</t>
        </is>
      </c>
      <c r="I4225" s="5">
        <f>HYPERLINK("https://fin.land.naver.com/articles/2644893744", "매물Link")</f>
        <v/>
      </c>
      <c r="J4225" s="5">
        <f>HYPERLINK("https://map.naver.com/p/search/장군면 송정리 산24-22", "지도Link")</f>
        <v/>
      </c>
      <c r="K4225" s="5">
        <f>HYPERLINK("http://www.eum.go.kr/web/ar/lu/luLandDet.jsp?pnu=3611035030200240022&amp;isNoScr=script&amp;mode=search", "토지이음")</f>
        <v/>
      </c>
      <c r="L4225" s="3" t="inlineStr">
        <is>
          <t>정다운</t>
        </is>
      </c>
      <c r="M4225" s="3" t="n">
        <v>1</v>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3" t="inlineStr">
        <is>
          <t>6미터 도로에 접한 계획관리 토지</t>
        </is>
      </c>
      <c r="I4226" s="5">
        <f>HYPERLINK("https://fin.land.naver.com/articles/2646007791", "매물Link")</f>
        <v/>
      </c>
      <c r="J4226" s="5">
        <f>HYPERLINK("https://map.naver.com/p/search/장군면 송학리 126-11", "지도Link")</f>
        <v/>
      </c>
      <c r="K4226" s="5">
        <f>HYPERLINK("http://www.eum.go.kr/web/ar/lu/luLandDet.jsp?pnu=3611035031101260011&amp;isNoScr=script&amp;mode=search", "토지이음")</f>
        <v/>
      </c>
      <c r="L4226" s="3" t="inlineStr">
        <is>
          <t>세종대박</t>
        </is>
      </c>
      <c r="M4226" s="3" t="n">
        <v>1</v>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3" t="inlineStr">
        <is>
          <t>송학리 도로접한 계획관리 땅모양 예뻐요</t>
        </is>
      </c>
      <c r="I4227" s="5">
        <f>HYPERLINK("https://fin.land.naver.com/articles/2649359660", "매물Link")</f>
        <v/>
      </c>
      <c r="J4227" s="5">
        <f>HYPERLINK("https://map.naver.com/p/search/장군면 송학리 136", "지도Link")</f>
        <v/>
      </c>
      <c r="K4227" s="5">
        <f>HYPERLINK("http://www.eum.go.kr/web/ar/lu/luLandDet.jsp?pnu=3611035031101360000&amp;isNoScr=script&amp;mode=search", "토지이음")</f>
        <v/>
      </c>
      <c r="L4227" s="3" t="inlineStr">
        <is>
          <t>생명나무</t>
        </is>
      </c>
      <c r="M4227" s="3" t="n">
        <v>1</v>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3" t="inlineStr">
        <is>
          <t>생명나무, 계획관리지역 ,땅모양이뻐요</t>
        </is>
      </c>
      <c r="I4228" s="5">
        <f>HYPERLINK("https://fin.land.naver.com/articles/2644310285", "매물Link")</f>
        <v/>
      </c>
      <c r="J4228" s="5">
        <f>HYPERLINK("https://map.naver.com/p/search/장군면 송학리 156-2", "지도Link")</f>
        <v/>
      </c>
      <c r="K4228" s="5">
        <f>HYPERLINK("http://www.eum.go.kr/web/ar/lu/luLandDet.jsp?pnu=3611035031101560002&amp;isNoScr=script&amp;mode=search", "토지이음")</f>
        <v/>
      </c>
      <c r="L4228" s="3" t="inlineStr">
        <is>
          <t>생명나무</t>
        </is>
      </c>
      <c r="M4228" s="3" t="n">
        <v>1</v>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3" t="inlineStr">
        <is>
          <t>추후 지가상승 기대</t>
        </is>
      </c>
      <c r="I4229" s="5">
        <f>HYPERLINK("https://fin.land.naver.com/articles/2645051217", "매물Link")</f>
        <v/>
      </c>
      <c r="J4229" s="5">
        <f>HYPERLINK("https://map.naver.com/p/search/장군면 송학리 156-3", "지도Link")</f>
        <v/>
      </c>
      <c r="K4229" s="5">
        <f>HYPERLINK("http://www.eum.go.kr/web/ar/lu/luLandDet.jsp?pnu=3611035031101560003&amp;isNoScr=script&amp;mode=search", "토지이음")</f>
        <v/>
      </c>
      <c r="L4229" s="3" t="inlineStr">
        <is>
          <t>세종땅전문</t>
        </is>
      </c>
      <c r="M4229" s="3" t="n">
        <v>1</v>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3" t="inlineStr">
        <is>
          <t>마을인근 도로접한 전 계획관리지역 두 필지 매매</t>
        </is>
      </c>
      <c r="I4230" s="5">
        <f>HYPERLINK("https://fin.land.naver.com/articles/2648464932", "매물Link")</f>
        <v/>
      </c>
      <c r="J4230" s="5">
        <f>HYPERLINK("https://map.naver.com/p/search/장군면 송학리 182", "지도Link")</f>
        <v/>
      </c>
      <c r="K4230" s="5">
        <f>HYPERLINK("http://www.eum.go.kr/web/ar/lu/luLandDet.jsp?pnu=3611035031101820000&amp;isNoScr=script&amp;mode=search", "토지이음")</f>
        <v/>
      </c>
      <c r="L4230" s="3" t="inlineStr">
        <is>
          <t>제이파크</t>
        </is>
      </c>
      <c r="M4230" s="3" t="n">
        <v>1</v>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3" t="inlineStr">
        <is>
          <t>계획관리지역 도로접 2필지 일괄매매</t>
        </is>
      </c>
      <c r="I4231" s="5">
        <f>HYPERLINK("https://fin.land.naver.com/articles/2649499019", "매물Link")</f>
        <v/>
      </c>
      <c r="J4231" s="5">
        <f>HYPERLINK("https://map.naver.com/p/search/장군면 송학리 182", "지도Link")</f>
        <v/>
      </c>
      <c r="K4231" s="5">
        <f>HYPERLINK("http://www.eum.go.kr/web/ar/lu/luLandDet.jsp?pnu=3611035031101820000&amp;isNoScr=script&amp;mode=search", "토지이음")</f>
        <v/>
      </c>
      <c r="L4231" s="3" t="inlineStr">
        <is>
          <t>리슈빌대주</t>
        </is>
      </c>
      <c r="M4231" s="3" t="n">
        <v>3</v>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3" t="inlineStr">
        <is>
          <t>투자가치 높은 땅</t>
        </is>
      </c>
      <c r="I4232" s="5">
        <f>HYPERLINK("https://fin.land.naver.com/articles/2644852158", "매물Link")</f>
        <v/>
      </c>
      <c r="J4232" s="5">
        <f>HYPERLINK("https://map.naver.com/p/search/장군면 송학리 185-10", "지도Link")</f>
        <v/>
      </c>
      <c r="K4232" s="5">
        <f>HYPERLINK("http://www.eum.go.kr/web/ar/lu/luLandDet.jsp?pnu=3611035031101850010&amp;isNoScr=script&amp;mode=search", "토지이음")</f>
        <v/>
      </c>
      <c r="L4232" s="3" t="inlineStr">
        <is>
          <t>터</t>
        </is>
      </c>
      <c r="M4232" s="3" t="n">
        <v>1</v>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3" t="inlineStr">
        <is>
          <t>도로접한 계획관리지역 임야매매</t>
        </is>
      </c>
      <c r="I4233" s="5">
        <f>HYPERLINK("https://fin.land.naver.com/articles/2648786766", "매물Link")</f>
        <v/>
      </c>
      <c r="J4233" s="5">
        <f>HYPERLINK("https://map.naver.com/p/search/장군면 송학리 204-3", "지도Link")</f>
        <v/>
      </c>
      <c r="K4233" s="5">
        <f>HYPERLINK("http://www.eum.go.kr/web/ar/lu/luLandDet.jsp?pnu=3611035031102040003&amp;isNoScr=script&amp;mode=search", "토지이음")</f>
        <v/>
      </c>
      <c r="L4233" s="3" t="inlineStr">
        <is>
          <t>제이파크</t>
        </is>
      </c>
      <c r="M4233" s="3" t="n">
        <v>2</v>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3" t="inlineStr">
        <is>
          <t>바른 세컨하우스로 좋은 농가주택과 토지  매매합니다   조정가능</t>
        </is>
      </c>
      <c r="I4234" s="5">
        <f>HYPERLINK("https://fin.land.naver.com/articles/2649348295", "매물Link")</f>
        <v/>
      </c>
      <c r="J4234" s="5">
        <f>HYPERLINK("https://map.naver.com/p/search/장군면 송학리 211-2", "지도Link")</f>
        <v/>
      </c>
      <c r="K4234" s="5">
        <f>HYPERLINK("http://www.eum.go.kr/web/ar/lu/luLandDet.jsp?pnu=3611035031102110002&amp;isNoScr=script&amp;mode=search", "토지이음")</f>
        <v/>
      </c>
      <c r="L4234" s="3" t="inlineStr">
        <is>
          <t>검단예미지바른</t>
        </is>
      </c>
      <c r="M4234" s="3" t="n">
        <v>2</v>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3" t="inlineStr">
        <is>
          <t>바른 귀한 나대지 매매합니다</t>
        </is>
      </c>
      <c r="I4235" s="5">
        <f>HYPERLINK("https://fin.land.naver.com/articles/2645854085", "매물Link")</f>
        <v/>
      </c>
      <c r="J4235" s="5">
        <f>HYPERLINK("https://map.naver.com/p/search/장군면 송학리 211-5", "지도Link")</f>
        <v/>
      </c>
      <c r="K4235" s="5">
        <f>HYPERLINK("http://www.eum.go.kr/web/ar/lu/luLandDet.jsp?pnu=3611035031102110005&amp;isNoScr=script&amp;mode=search", "토지이음")</f>
        <v/>
      </c>
      <c r="L4235" s="3" t="inlineStr">
        <is>
          <t>검단예미지바른</t>
        </is>
      </c>
      <c r="M4235" s="3" t="n">
        <v>1</v>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3" t="inlineStr">
        <is>
          <t>계획관리지역 알토란 토지,실외 골프연습장,전원주택지조성,가격조정가능</t>
        </is>
      </c>
      <c r="I4236" s="5">
        <f>HYPERLINK("https://fin.land.naver.com/articles/2645310932", "매물Link")</f>
        <v/>
      </c>
      <c r="J4236" s="5">
        <f>HYPERLINK("https://map.naver.com/p/search/장군면 송학리 212", "지도Link")</f>
        <v/>
      </c>
      <c r="K4236" s="5">
        <f>HYPERLINK("http://www.eum.go.kr/web/ar/lu/luLandDet.jsp?pnu=3611035031102120000&amp;isNoScr=script&amp;mode=search", "토지이음")</f>
        <v/>
      </c>
      <c r="L4236" s="3" t="inlineStr">
        <is>
          <t>고운맘</t>
        </is>
      </c>
      <c r="M4236" s="3" t="n">
        <v>1</v>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3" t="inlineStr">
        <is>
          <t>계획관리지역 임야, 실외 골프연습장 설치, 전원주택지 개발 등 추천</t>
        </is>
      </c>
      <c r="I4237" s="5">
        <f>HYPERLINK("https://fin.land.naver.com/articles/2649697002", "매물Link")</f>
        <v/>
      </c>
      <c r="J4237" s="5">
        <f>HYPERLINK("https://map.naver.com/p/search/장군면 송학리 212-1", "지도Link")</f>
        <v/>
      </c>
      <c r="K4237" s="5">
        <f>HYPERLINK("http://www.eum.go.kr/web/ar/lu/luLandDet.jsp?pnu=3611035031102120001&amp;isNoScr=script&amp;mode=search", "토지이음")</f>
        <v/>
      </c>
      <c r="L4237" s="3" t="inlineStr">
        <is>
          <t>온뜰</t>
        </is>
      </c>
      <c r="M4237" s="3" t="n">
        <v>1</v>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3" t="inlineStr">
        <is>
          <t>세종시 장군면에 6m코너 도로접한 토지</t>
        </is>
      </c>
      <c r="I4238" s="5">
        <f>HYPERLINK("https://fin.land.naver.com/articles/2646182304", "매물Link")</f>
        <v/>
      </c>
      <c r="J4238" s="5">
        <f>HYPERLINK("https://map.naver.com/p/search/장군면 송학리 222", "지도Link")</f>
        <v/>
      </c>
      <c r="K4238" s="5">
        <f>HYPERLINK("http://www.eum.go.kr/web/ar/lu/luLandDet.jsp?pnu=3611035031102220000&amp;isNoScr=script&amp;mode=search", "토지이음")</f>
        <v/>
      </c>
      <c r="L4238" s="3" t="inlineStr">
        <is>
          <t>두원</t>
        </is>
      </c>
      <c r="M4238" s="3" t="n">
        <v>1</v>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3" t="inlineStr">
        <is>
          <t>IC인근 교통 요지에 위치, 개발 활용도 높은 계획관리 답, 카페 추천</t>
        </is>
      </c>
      <c r="I4239" s="5">
        <f>HYPERLINK("https://fin.land.naver.com/articles/2649693377", "매물Link")</f>
        <v/>
      </c>
      <c r="J4239" s="5">
        <f>HYPERLINK("https://map.naver.com/p/search/장군면 송학리 227", "지도Link")</f>
        <v/>
      </c>
      <c r="K4239" s="5">
        <f>HYPERLINK("http://www.eum.go.kr/web/ar/lu/luLandDet.jsp?pnu=3611035031102270000&amp;isNoScr=script&amp;mode=search", "토지이음")</f>
        <v/>
      </c>
      <c r="L4239" s="3" t="inlineStr">
        <is>
          <t>온뜰</t>
        </is>
      </c>
      <c r="M4239" s="3" t="n">
        <v>1</v>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3" t="inlineStr">
        <is>
          <t>용암교차로 인근 전원주택지 2차선도로 연접 급매 조정가능</t>
        </is>
      </c>
      <c r="I4240" s="5">
        <f>HYPERLINK("https://fin.land.naver.com/articles/2647832397", "매물Link")</f>
        <v/>
      </c>
      <c r="J4240" s="5">
        <f>HYPERLINK("https://map.naver.com/p/search/장군면 송학리 253-21", "지도Link")</f>
        <v/>
      </c>
      <c r="K4240" s="5">
        <f>HYPERLINK("http://www.eum.go.kr/web/ar/lu/luLandDet.jsp?pnu=3611035031102530021&amp;isNoScr=script&amp;mode=search", "토지이음")</f>
        <v/>
      </c>
      <c r="L4240" s="3" t="inlineStr">
        <is>
          <t>굿모닝</t>
        </is>
      </c>
      <c r="M4240" s="3" t="n">
        <v>1</v>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3" t="inlineStr">
        <is>
          <t>용암 IC 근처 대지로서 투자전망 좋음.</t>
        </is>
      </c>
      <c r="I4241" s="5">
        <f>HYPERLINK("https://fin.land.naver.com/articles/2647835493", "매물Link")</f>
        <v/>
      </c>
      <c r="J4241" s="5">
        <f>HYPERLINK("https://map.naver.com/p/search/장군면 송학리 372", "지도Link")</f>
        <v/>
      </c>
      <c r="K4241" s="5">
        <f>HYPERLINK("http://www.eum.go.kr/web/ar/lu/luLandDet.jsp?pnu=3611035031103720000&amp;isNoScr=script&amp;mode=search", "토지이음")</f>
        <v/>
      </c>
      <c r="L4241" s="3" t="inlineStr">
        <is>
          <t>굿모닝</t>
        </is>
      </c>
      <c r="M4241" s="3" t="n">
        <v>2</v>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3" t="inlineStr">
        <is>
          <t>현재 오래된 주택,하우스 농작물 재배중</t>
        </is>
      </c>
      <c r="I4242" s="5">
        <f>HYPERLINK("https://fin.land.naver.com/articles/2646076391", "매물Link")</f>
        <v/>
      </c>
      <c r="J4242" s="5">
        <f>HYPERLINK("https://map.naver.com/p/search/장군면 송학리 430", "지도Link")</f>
        <v/>
      </c>
      <c r="K4242" s="5">
        <f>HYPERLINK("http://www.eum.go.kr/web/ar/lu/luLandDet.jsp?pnu=3611035031104300000&amp;isNoScr=script&amp;mode=search", "토지이음")</f>
        <v/>
      </c>
      <c r="L4242" s="3" t="inlineStr">
        <is>
          <t>그린영광</t>
        </is>
      </c>
      <c r="M4242" s="3" t="n">
        <v>1</v>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3" t="inlineStr">
        <is>
          <t>예쁜 전원주택지, 남동향, 행복도시 15분</t>
        </is>
      </c>
      <c r="I4243" s="5">
        <f>HYPERLINK("https://fin.land.naver.com/articles/2645606630", "매물Link")</f>
        <v/>
      </c>
      <c r="J4243" s="5">
        <f>HYPERLINK("https://map.naver.com/p/search/장군면 송학리 440-18", "지도Link")</f>
        <v/>
      </c>
      <c r="K4243" s="5">
        <f>HYPERLINK("http://www.eum.go.kr/web/ar/lu/luLandDet.jsp?pnu=3611035031104400018&amp;isNoScr=script&amp;mode=search", "토지이음")</f>
        <v/>
      </c>
      <c r="L4243" s="3" t="inlineStr">
        <is>
          <t>미스터홈즈강남지사</t>
        </is>
      </c>
      <c r="M4243" s="3" t="n">
        <v>1</v>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3" t="inlineStr">
        <is>
          <t>계획관리지역 전으로서 2차선 인접지 용암IC 5분이내거리</t>
        </is>
      </c>
      <c r="I4244" s="5">
        <f>HYPERLINK("https://fin.land.naver.com/articles/2647832948", "매물Link")</f>
        <v/>
      </c>
      <c r="J4244" s="5">
        <f>HYPERLINK("https://map.naver.com/p/search/장군면 송학리 442-1", "지도Link")</f>
        <v/>
      </c>
      <c r="K4244" s="5">
        <f>HYPERLINK("http://www.eum.go.kr/web/ar/lu/luLandDet.jsp?pnu=3611035031104420001&amp;isNoScr=script&amp;mode=search", "토지이음")</f>
        <v/>
      </c>
      <c r="L4244" s="3" t="inlineStr">
        <is>
          <t>굿모닝</t>
        </is>
      </c>
      <c r="M4244" s="3" t="n">
        <v>1</v>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3" t="inlineStr">
        <is>
          <t>지방도 인접 송학전원주택지 앞 계획관리 전, 남쪽으로 트인 조망, 조정가</t>
        </is>
      </c>
      <c r="I4245" s="5">
        <f>HYPERLINK("https://fin.land.naver.com/articles/2649693259", "매물Link")</f>
        <v/>
      </c>
      <c r="J4245" s="5">
        <f>HYPERLINK("https://map.naver.com/p/search/장군면 송학리 442-1", "지도Link")</f>
        <v/>
      </c>
      <c r="K4245" s="5">
        <f>HYPERLINK("http://www.eum.go.kr/web/ar/lu/luLandDet.jsp?pnu=3611035031104420001&amp;isNoScr=script&amp;mode=search", "토지이음")</f>
        <v/>
      </c>
      <c r="L4245" s="3" t="inlineStr">
        <is>
          <t>온뜰</t>
        </is>
      </c>
      <c r="M4245" s="3" t="n">
        <v>1</v>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3" t="inlineStr">
        <is>
          <t>지방도 인접 송학전원주택지 앞 계획관리 전, 남쪽으로 트인 조망, 조정가</t>
        </is>
      </c>
      <c r="I4246" s="5">
        <f>HYPERLINK("https://fin.land.naver.com/articles/2649696371", "매물Link")</f>
        <v/>
      </c>
      <c r="J4246" s="5">
        <f>HYPERLINK("https://map.naver.com/p/search/장군면 송학리 442-2", "지도Link")</f>
        <v/>
      </c>
      <c r="K4246" s="5">
        <f>HYPERLINK("http://www.eum.go.kr/web/ar/lu/luLandDet.jsp?pnu=3611035031104420002&amp;isNoScr=script&amp;mode=search", "토지이음")</f>
        <v/>
      </c>
      <c r="L4246" s="3" t="inlineStr">
        <is>
          <t>온뜰</t>
        </is>
      </c>
      <c r="M4246" s="3" t="n">
        <v>1</v>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3" t="inlineStr">
        <is>
          <t>세종공주 생활권, 계획관리 토지와 정식 준공 단독주택 일괄매매</t>
        </is>
      </c>
      <c r="I4247" s="5">
        <f>HYPERLINK("https://fin.land.naver.com/articles/2648840811", "매물Link")</f>
        <v/>
      </c>
      <c r="J4247" s="5">
        <f>HYPERLINK("https://map.naver.com/p/search/장군면 송학리 445-2", "지도Link")</f>
        <v/>
      </c>
      <c r="K4247" s="5">
        <f>HYPERLINK("http://www.eum.go.kr/web/ar/lu/luLandDet.jsp?pnu=3611035031104450002&amp;isNoScr=script&amp;mode=search", "토지이음")</f>
        <v/>
      </c>
      <c r="L4247" s="3" t="inlineStr">
        <is>
          <t>세종소담황금</t>
        </is>
      </c>
      <c r="M4247" s="3" t="n">
        <v>1</v>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3" t="inlineStr">
        <is>
          <t>nan</t>
        </is>
      </c>
      <c r="I4248" s="5">
        <f>HYPERLINK("https://fin.land.naver.com/articles/2649097882", "매물Link")</f>
        <v/>
      </c>
      <c r="J4248" s="5">
        <f>HYPERLINK("https://map.naver.com/p/search/장군면 송학리 455-2", "지도Link")</f>
        <v/>
      </c>
      <c r="K4248" s="5">
        <f>HYPERLINK("http://www.eum.go.kr/web/ar/lu/luLandDet.jsp?pnu=3611035031104550002&amp;isNoScr=script&amp;mode=search", "토지이음")</f>
        <v/>
      </c>
      <c r="L4248" s="3" t="inlineStr">
        <is>
          <t>세종공주제일</t>
        </is>
      </c>
      <c r="M4248" s="3" t="n">
        <v>1</v>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3" t="inlineStr">
        <is>
          <t>농작물 재배중</t>
        </is>
      </c>
      <c r="I4249" s="5">
        <f>HYPERLINK("https://fin.land.naver.com/articles/2646149637", "매물Link")</f>
        <v/>
      </c>
      <c r="J4249" s="5">
        <f>HYPERLINK("https://map.naver.com/p/search/장군면 송학리 455-2", "지도Link")</f>
        <v/>
      </c>
      <c r="K4249" s="5">
        <f>HYPERLINK("http://www.eum.go.kr/web/ar/lu/luLandDet.jsp?pnu=3611035031104550002&amp;isNoScr=script&amp;mode=search", "토지이음")</f>
        <v/>
      </c>
      <c r="L4249" s="3" t="inlineStr">
        <is>
          <t>그린영광</t>
        </is>
      </c>
      <c r="M4249" s="3" t="n">
        <v>1</v>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3" t="inlineStr">
        <is>
          <t>2차선 도로옆 목좋은 토지, 계획관리지역, 가치 있는땅</t>
        </is>
      </c>
      <c r="I4250" s="5">
        <f>HYPERLINK("https://fin.land.naver.com/articles/2650153434", "매물Link")</f>
        <v/>
      </c>
      <c r="J4250" s="5">
        <f>HYPERLINK("https://map.naver.com/p/search/장군면 송학리 478-1", "지도Link")</f>
        <v/>
      </c>
      <c r="K4250" s="5">
        <f>HYPERLINK("http://www.eum.go.kr/web/ar/lu/luLandDet.jsp?pnu=3611035031104780001&amp;isNoScr=script&amp;mode=search", "토지이음")</f>
        <v/>
      </c>
      <c r="L4250" s="3" t="inlineStr">
        <is>
          <t>해랑숲</t>
        </is>
      </c>
      <c r="M4250" s="3" t="n">
        <v>2</v>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3" t="inlineStr">
        <is>
          <t>입지좋은 계획관리지역, 도로인접으로 전원주택활용 및 투자가치 높은 토지</t>
        </is>
      </c>
      <c r="I4251" s="5">
        <f>HYPERLINK("https://fin.land.naver.com/articles/2648577845", "매물Link")</f>
        <v/>
      </c>
      <c r="J4251" s="5">
        <f>HYPERLINK("https://map.naver.com/p/search/장군면 송학리 483-2", "지도Link")</f>
        <v/>
      </c>
      <c r="K4251" s="5">
        <f>HYPERLINK("http://www.eum.go.kr/web/ar/lu/luLandDet.jsp?pnu=3611035031104830002&amp;isNoScr=script&amp;mode=search", "토지이음")</f>
        <v/>
      </c>
      <c r="L4251" s="3" t="inlineStr">
        <is>
          <t>마곡9단지</t>
        </is>
      </c>
      <c r="M4251" s="3" t="n">
        <v>4</v>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3" t="inlineStr">
        <is>
          <t>계획관리지역 현황도로 접, 앞면 탁트이고 주변 풍광 뛰어나 전원주택 추천</t>
        </is>
      </c>
      <c r="I4252" s="5">
        <f>HYPERLINK("https://fin.land.naver.com/articles/2644833870", "매물Link")</f>
        <v/>
      </c>
      <c r="J4252" s="5">
        <f>HYPERLINK("https://map.naver.com/p/search/장군면 송학리 483-2", "지도Link")</f>
        <v/>
      </c>
      <c r="K4252" s="5">
        <f>HYPERLINK("http://www.eum.go.kr/web/ar/lu/luLandDet.jsp?pnu=3611035031104830002&amp;isNoScr=script&amp;mode=search", "토지이음")</f>
        <v/>
      </c>
      <c r="L4252" s="3" t="inlineStr">
        <is>
          <t>온뜰</t>
        </is>
      </c>
      <c r="M4252" s="3" t="n">
        <v>1</v>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3" t="inlineStr">
        <is>
          <t>서울세종고속도로 나들목 근처</t>
        </is>
      </c>
      <c r="I4253" s="5">
        <f>HYPERLINK("https://fin.land.naver.com/articles/2649471797", "매물Link")</f>
        <v/>
      </c>
      <c r="J4253" s="5">
        <f>HYPERLINK("https://map.naver.com/p/search/장군면 송학리 49-1", "지도Link")</f>
        <v/>
      </c>
      <c r="K4253" s="5">
        <f>HYPERLINK("http://www.eum.go.kr/web/ar/lu/luLandDet.jsp?pnu=3611035031100490001&amp;isNoScr=script&amp;mode=search", "토지이음")</f>
        <v/>
      </c>
      <c r="L4253" s="3" t="inlineStr">
        <is>
          <t>바다하리</t>
        </is>
      </c>
      <c r="M4253" s="3" t="n">
        <v>1</v>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3" t="inlineStr">
        <is>
          <t>도로접. 답  분할매매가능 ,대토가능</t>
        </is>
      </c>
      <c r="I4254" s="5">
        <f>HYPERLINK("https://fin.land.naver.com/articles/2645890809", "매물Link")</f>
        <v/>
      </c>
      <c r="J4254" s="5">
        <f>HYPERLINK("https://map.naver.com/p/search/장군면 송학리 578-4", "지도Link")</f>
        <v/>
      </c>
      <c r="K4254" s="5">
        <f>HYPERLINK("http://www.eum.go.kr/web/ar/lu/luLandDet.jsp?pnu=3611035031105780004&amp;isNoScr=script&amp;mode=search", "토지이음")</f>
        <v/>
      </c>
      <c r="L4254" s="3" t="inlineStr">
        <is>
          <t>제이파크</t>
        </is>
      </c>
      <c r="M4254" s="3" t="n">
        <v>1</v>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3" t="inlineStr">
        <is>
          <t>세종시인접하고 교통이편리함, 투자로 좋아요</t>
        </is>
      </c>
      <c r="I4255" s="5">
        <f>HYPERLINK("https://fin.land.naver.com/articles/2646092606", "매물Link")</f>
        <v/>
      </c>
      <c r="J4255" s="5">
        <f>HYPERLINK("https://map.naver.com/p/search/장군면 송학리 579-8", "지도Link")</f>
        <v/>
      </c>
      <c r="K4255" s="5">
        <f>HYPERLINK("http://www.eum.go.kr/web/ar/lu/luLandDet.jsp?pnu=3611035031105790008&amp;isNoScr=script&amp;mode=search", "토지이음")</f>
        <v/>
      </c>
      <c r="L4255" s="3" t="inlineStr">
        <is>
          <t>담뜰</t>
        </is>
      </c>
      <c r="M4255" s="3" t="n">
        <v>1</v>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3" t="inlineStr">
        <is>
          <t>왕복 2차선 도로 접, 세종ic 약 1.5킬로, 와룡산업단지 약 3키로</t>
        </is>
      </c>
      <c r="I4256" s="5">
        <f>HYPERLINK("https://fin.land.naver.com/articles/2646979367", "매물Link")</f>
        <v/>
      </c>
      <c r="J4256" s="5">
        <f>HYPERLINK("https://map.naver.com/p/search/장군면 송학리 90", "지도Link")</f>
        <v/>
      </c>
      <c r="K4256" s="5">
        <f>HYPERLINK("http://www.eum.go.kr/web/ar/lu/luLandDet.jsp?pnu=3611035031100900000&amp;isNoScr=script&amp;mode=search", "토지이음")</f>
        <v/>
      </c>
      <c r="L4256" s="3" t="inlineStr">
        <is>
          <t>행복한무소</t>
        </is>
      </c>
      <c r="M4256" s="3" t="n">
        <v>1</v>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3" t="inlineStr">
        <is>
          <t>세종시 장군면 물류부지, 데이터센터 부지 대형 계획관리지역 급매</t>
        </is>
      </c>
      <c r="I4257" s="5">
        <f>HYPERLINK("https://fin.land.naver.com/articles/2646486251", "매물Link")</f>
        <v/>
      </c>
      <c r="J4257" s="5">
        <f>HYPERLINK("https://map.naver.com/p/search/장군면 송학리 산 43-1", "지도Link")</f>
        <v/>
      </c>
      <c r="K4257" s="5">
        <f>HYPERLINK("http://www.eum.go.kr/web/ar/lu/luLandDet.jsp?pnu=3611035031200430001&amp;isNoScr=script&amp;mode=search", "토지이음")</f>
        <v/>
      </c>
      <c r="L4257" s="3" t="inlineStr">
        <is>
          <t>청담</t>
        </is>
      </c>
      <c r="M4257" s="3" t="n">
        <v>1</v>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3" t="inlineStr">
        <is>
          <t>게획관리지역 임야 2차선변 접.</t>
        </is>
      </c>
      <c r="I4258" s="5">
        <f>HYPERLINK("https://fin.land.naver.com/articles/2649820615", "매물Link")</f>
        <v/>
      </c>
      <c r="J4258" s="5">
        <f>HYPERLINK("https://map.naver.com/p/search/장군면 송학리 산38-11", "지도Link")</f>
        <v/>
      </c>
      <c r="K4258" s="5">
        <f>HYPERLINK("http://www.eum.go.kr/web/ar/lu/luLandDet.jsp?pnu=3611035031200380011&amp;isNoScr=script&amp;mode=search", "토지이음")</f>
        <v/>
      </c>
      <c r="L4258" s="3" t="inlineStr">
        <is>
          <t>로데오상가</t>
        </is>
      </c>
      <c r="M4258" s="3" t="n">
        <v>3</v>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3" t="inlineStr">
        <is>
          <t>2차선 도로접  경부고속도로 신설 북세종ic 3분거리 미래가치 좋은 토지</t>
        </is>
      </c>
      <c r="I4259" s="5">
        <f>HYPERLINK("https://fin.land.naver.com/articles/2649656320", "매물Link")</f>
        <v/>
      </c>
      <c r="J4259" s="5">
        <f>HYPERLINK("https://map.naver.com/p/search/장군면 송학리 산38-11", "지도Link")</f>
        <v/>
      </c>
      <c r="K4259" s="5">
        <f>HYPERLINK("http://www.eum.go.kr/web/ar/lu/luLandDet.jsp?pnu=3611035031200380011&amp;isNoScr=script&amp;mode=search", "토지이음")</f>
        <v/>
      </c>
      <c r="L4259" s="3" t="inlineStr">
        <is>
          <t>더원</t>
        </is>
      </c>
      <c r="M4259" s="3" t="n">
        <v>7</v>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3" t="inlineStr">
        <is>
          <t>2차선 의당전의로 접한 계획관리지역 임야, 음식점 또는 커피숍 추천</t>
        </is>
      </c>
      <c r="I4260" s="5">
        <f>HYPERLINK("https://fin.land.naver.com/articles/2644832153", "매물Link")</f>
        <v/>
      </c>
      <c r="J4260" s="5">
        <f>HYPERLINK("https://map.naver.com/p/search/장군면 송학리 산38-11", "지도Link")</f>
        <v/>
      </c>
      <c r="K4260" s="5">
        <f>HYPERLINK("http://www.eum.go.kr/web/ar/lu/luLandDet.jsp?pnu=3611035031200380011&amp;isNoScr=script&amp;mode=search", "토지이음")</f>
        <v/>
      </c>
      <c r="L4260" s="3" t="inlineStr">
        <is>
          <t>온뜰</t>
        </is>
      </c>
      <c r="M4260" s="3" t="n">
        <v>1</v>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3" t="inlineStr">
        <is>
          <t>nan</t>
        </is>
      </c>
      <c r="I4261" s="5">
        <f>HYPERLINK("https://fin.land.naver.com/articles/2647624128", "매물Link")</f>
        <v/>
      </c>
      <c r="J4261" s="5">
        <f>HYPERLINK("https://map.naver.com/p/search/장군면 송학리 산38-11", "지도Link")</f>
        <v/>
      </c>
      <c r="K4261" s="5">
        <f>HYPERLINK("http://www.eum.go.kr/web/ar/lu/luLandDet.jsp?pnu=3611035031200380011&amp;isNoScr=script&amp;mode=search", "토지이음")</f>
        <v/>
      </c>
      <c r="L4261" s="3" t="inlineStr">
        <is>
          <t>세종몽땅</t>
        </is>
      </c>
      <c r="M4261" s="3" t="n">
        <v>1</v>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3" t="inlineStr">
        <is>
          <t>계획관리2차선 도로변, 세종생활권 접근성과 개발잠재력을 갖춘 임야</t>
        </is>
      </c>
      <c r="I4262" s="5">
        <f>HYPERLINK("https://fin.land.naver.com/articles/2649345635", "매물Link")</f>
        <v/>
      </c>
      <c r="J4262" s="5">
        <f>HYPERLINK("https://map.naver.com/p/search/장군면 송학리 산38-11", "지도Link")</f>
        <v/>
      </c>
      <c r="K4262" s="5">
        <f>HYPERLINK("http://www.eum.go.kr/web/ar/lu/luLandDet.jsp?pnu=3611035031200380011&amp;isNoScr=script&amp;mode=search", "토지이음")</f>
        <v/>
      </c>
      <c r="L4262" s="3" t="inlineStr">
        <is>
          <t>세종소담황금</t>
        </is>
      </c>
      <c r="M4262" s="3" t="n">
        <v>1</v>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3" t="inlineStr">
        <is>
          <t>성장관리계획구역,  답, 충대병원 근거리, 국유지인접사용가능</t>
        </is>
      </c>
      <c r="I4263" s="5">
        <f>HYPERLINK("https://fin.land.naver.com/articles/2646809655", "매물Link")</f>
        <v/>
      </c>
      <c r="J4263" s="5">
        <f>HYPERLINK("https://map.naver.com/p/search/장군면 용암리 111-3", "지도Link")</f>
        <v/>
      </c>
      <c r="K4263" s="5">
        <f>HYPERLINK("http://www.eum.go.kr/web/ar/lu/luLandDet.jsp?pnu=3611035033101110003&amp;isNoScr=script&amp;mode=search", "토지이음")</f>
        <v/>
      </c>
      <c r="L4263" s="3" t="inlineStr">
        <is>
          <t>SK랜드</t>
        </is>
      </c>
      <c r="M4263" s="3" t="n">
        <v>1</v>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3" t="inlineStr">
        <is>
          <t>남향의 앞 조망 시원한 소액 토지</t>
        </is>
      </c>
      <c r="I4264" s="5">
        <f>HYPERLINK("https://fin.land.naver.com/articles/2648745864", "매물Link")</f>
        <v/>
      </c>
      <c r="J4264" s="5">
        <f>HYPERLINK("https://map.naver.com/p/search/장군면 용암리 146-3", "지도Link")</f>
        <v/>
      </c>
      <c r="K4264" s="5">
        <f>HYPERLINK("http://www.eum.go.kr/web/ar/lu/luLandDet.jsp?pnu=3611035033101460003&amp;isNoScr=script&amp;mode=search", "토지이음")</f>
        <v/>
      </c>
      <c r="L4264" s="3" t="inlineStr">
        <is>
          <t>용궁</t>
        </is>
      </c>
      <c r="M4264" s="3" t="n">
        <v>1</v>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3" t="inlineStr">
        <is>
          <t>제조업소, 창고, 주택, 농사용등 용도 다양한토지</t>
        </is>
      </c>
      <c r="I4265" s="5">
        <f>HYPERLINK("https://fin.land.naver.com/articles/2644665004", "매물Link")</f>
        <v/>
      </c>
      <c r="J4265" s="5">
        <f>HYPERLINK("https://map.naver.com/p/search/장군면 용암리 166", "지도Link")</f>
        <v/>
      </c>
      <c r="K4265" s="5">
        <f>HYPERLINK("http://www.eum.go.kr/web/ar/lu/luLandDet.jsp?pnu=3611035033101660000&amp;isNoScr=script&amp;mode=search", "토지이음")</f>
        <v/>
      </c>
      <c r="L4265" s="3" t="inlineStr">
        <is>
          <t>이은섭</t>
        </is>
      </c>
      <c r="M4265" s="3" t="n">
        <v>1</v>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3" t="inlineStr">
        <is>
          <t>보전관리지역. 성장관계획구역 .국유지 지목 하천등과 인접 토지 매도</t>
        </is>
      </c>
      <c r="I4266" s="5">
        <f>HYPERLINK("https://fin.land.naver.com/articles/2646143652", "매물Link")</f>
        <v/>
      </c>
      <c r="J4266" s="5">
        <f>HYPERLINK("https://map.naver.com/p/search/장군면 용암리 220", "지도Link")</f>
        <v/>
      </c>
      <c r="K4266" s="5">
        <f>HYPERLINK("http://www.eum.go.kr/web/ar/lu/luLandDet.jsp?pnu=3611035033102200000&amp;isNoScr=script&amp;mode=search", "토지이음")</f>
        <v/>
      </c>
      <c r="L4266" s="3" t="inlineStr">
        <is>
          <t>오송퍼스트영웅</t>
        </is>
      </c>
      <c r="M4266" s="3" t="n">
        <v>1</v>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3" t="inlineStr">
        <is>
          <t>대토투자, 낮은임야, 세종~포천고속도로예정지, 인근 스마트산업단지</t>
        </is>
      </c>
      <c r="I4267" s="5">
        <f>HYPERLINK("https://fin.land.naver.com/articles/2650179467", "매물Link")</f>
        <v/>
      </c>
      <c r="J4267" s="5">
        <f>HYPERLINK("https://map.naver.com/p/search/장군면 용암리 321-3", "지도Link")</f>
        <v/>
      </c>
      <c r="K4267" s="5">
        <f>HYPERLINK("http://www.eum.go.kr/web/ar/lu/luLandDet.jsp?pnu=3611035033103210003&amp;isNoScr=script&amp;mode=search", "토지이음")</f>
        <v/>
      </c>
      <c r="L4267" s="3" t="inlineStr">
        <is>
          <t>스타</t>
        </is>
      </c>
      <c r="M4267" s="3" t="n">
        <v>1</v>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3" t="inlineStr">
        <is>
          <t>지목이 대, 급매, 협의절충, 공시지가로 매매</t>
        </is>
      </c>
      <c r="I4268" s="5">
        <f>HYPERLINK("https://fin.land.naver.com/articles/2649020096", "매물Link")</f>
        <v/>
      </c>
      <c r="J4268" s="5">
        <f>HYPERLINK("https://map.naver.com/p/search/장군면 용암리 340", "지도Link")</f>
        <v/>
      </c>
      <c r="K4268" s="5">
        <f>HYPERLINK("http://www.eum.go.kr/web/ar/lu/luLandDet.jsp?pnu=3611035033103400000&amp;isNoScr=script&amp;mode=search", "토지이음")</f>
        <v/>
      </c>
      <c r="L4268" s="3" t="inlineStr">
        <is>
          <t>세종한울</t>
        </is>
      </c>
      <c r="M4268" s="3" t="n">
        <v>1</v>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3" t="inlineStr">
        <is>
          <t>nan</t>
        </is>
      </c>
      <c r="I4269" s="5">
        <f>HYPERLINK("https://fin.land.naver.com/articles/2649094772", "매물Link")</f>
        <v/>
      </c>
      <c r="J4269" s="5">
        <f>HYPERLINK("https://map.naver.com/p/search/장군면 용암리 359", "지도Link")</f>
        <v/>
      </c>
      <c r="K4269" s="5">
        <f>HYPERLINK("http://www.eum.go.kr/web/ar/lu/luLandDet.jsp?pnu=3611035033103590000&amp;isNoScr=script&amp;mode=search", "토지이음")</f>
        <v/>
      </c>
      <c r="L4269" s="3" t="inlineStr">
        <is>
          <t>JK</t>
        </is>
      </c>
      <c r="M4269" s="3" t="n">
        <v>1</v>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3" t="inlineStr">
        <is>
          <t>투자용으로 가능</t>
        </is>
      </c>
      <c r="I4270" s="5">
        <f>HYPERLINK("https://fin.land.naver.com/articles/2645685408", "매물Link")</f>
        <v/>
      </c>
      <c r="J4270" s="5">
        <f>HYPERLINK("https://map.naver.com/p/search/장군면 용암리 516", "지도Link")</f>
        <v/>
      </c>
      <c r="K4270" s="5">
        <f>HYPERLINK("http://www.eum.go.kr/web/ar/lu/luLandDet.jsp?pnu=3611035033105160000&amp;isNoScr=script&amp;mode=search", "토지이음")</f>
        <v/>
      </c>
      <c r="L4270" s="3" t="inlineStr">
        <is>
          <t>세종시토지</t>
        </is>
      </c>
      <c r="M4270" s="3" t="n">
        <v>1</v>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3" t="inlineStr">
        <is>
          <t>도로 접한 세종시 토지 매매</t>
        </is>
      </c>
      <c r="I4271" s="5">
        <f>HYPERLINK("https://fin.land.naver.com/articles/2649537335", "매물Link")</f>
        <v/>
      </c>
      <c r="J4271" s="5">
        <f>HYPERLINK("https://map.naver.com/p/search/장군면 용암리 662-1", "지도Link")</f>
        <v/>
      </c>
      <c r="K4271" s="5">
        <f>HYPERLINK("http://www.eum.go.kr/web/ar/lu/luLandDet.jsp?pnu=3611035033106620001&amp;isNoScr=script&amp;mode=search", "토지이음")</f>
        <v/>
      </c>
      <c r="L4271" s="3" t="inlineStr">
        <is>
          <t>태양</t>
        </is>
      </c>
      <c r="M4271" s="3" t="n">
        <v>4</v>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3" t="inlineStr">
        <is>
          <t>급,대토,절충,투자,산업단지근처 저렴한 농지로 버스도로 접함.</t>
        </is>
      </c>
      <c r="I4272" s="5">
        <f>HYPERLINK("https://fin.land.naver.com/articles/2644856536", "매물Link")</f>
        <v/>
      </c>
      <c r="J4272" s="5">
        <f>HYPERLINK("https://map.naver.com/p/search/장군면 용암리 662-9", "지도Link")</f>
        <v/>
      </c>
      <c r="K4272" s="5">
        <f>HYPERLINK("http://www.eum.go.kr/web/ar/lu/luLandDet.jsp?pnu=3611035033106620009&amp;isNoScr=script&amp;mode=search", "토지이음")</f>
        <v/>
      </c>
      <c r="L4272" s="3" t="inlineStr">
        <is>
          <t>새시대</t>
        </is>
      </c>
      <c r="M4272" s="3" t="n">
        <v>1</v>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3" t="inlineStr">
        <is>
          <t>2차선 접한 넓은 토지.</t>
        </is>
      </c>
      <c r="I4273" s="5">
        <f>HYPERLINK("https://fin.land.naver.com/articles/2645525598", "매물Link")</f>
        <v/>
      </c>
      <c r="J4273" s="5">
        <f>HYPERLINK("https://map.naver.com/p/search/장군면 용암리 668-1", "지도Link")</f>
        <v/>
      </c>
      <c r="K4273" s="5">
        <f>HYPERLINK("http://www.eum.go.kr/web/ar/lu/luLandDet.jsp?pnu=3611035033106680001&amp;isNoScr=script&amp;mode=search", "토지이음")</f>
        <v/>
      </c>
      <c r="L4273" s="3" t="inlineStr">
        <is>
          <t>세종소담114</t>
        </is>
      </c>
      <c r="M4273" s="3" t="n">
        <v>1</v>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3" t="inlineStr">
        <is>
          <t>서세종 ic  근접 토지, 세종시 확장, 미래가치기대 ,주말농장등</t>
        </is>
      </c>
      <c r="I4274" s="5">
        <f>HYPERLINK("https://fin.land.naver.com/articles/2646423263", "매물Link")</f>
        <v/>
      </c>
      <c r="J4274" s="5">
        <f>HYPERLINK("https://map.naver.com/p/search/장군면 용암리 668-1", "지도Link")</f>
        <v/>
      </c>
      <c r="K4274" s="5">
        <f>HYPERLINK("http://www.eum.go.kr/web/ar/lu/luLandDet.jsp?pnu=3611035033106680001&amp;isNoScr=script&amp;mode=search", "토지이음")</f>
        <v/>
      </c>
      <c r="L4274" s="3" t="inlineStr">
        <is>
          <t>세종특별시</t>
        </is>
      </c>
      <c r="M4274" s="3" t="n">
        <v>1</v>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3" t="inlineStr">
        <is>
          <t>분할매매 가능,2차선 도로접, 국가 산단예정지 근거리위치,</t>
        </is>
      </c>
      <c r="I4275" s="5">
        <f>HYPERLINK("https://fin.land.naver.com/articles/2644762698", "매물Link")</f>
        <v/>
      </c>
      <c r="J4275" s="5">
        <f>HYPERLINK("https://map.naver.com/p/search/장군면 용암리 79-3", "지도Link")</f>
        <v/>
      </c>
      <c r="K4275" s="5">
        <f>HYPERLINK("http://www.eum.go.kr/web/ar/lu/luLandDet.jsp?pnu=3611035033100790003&amp;isNoScr=script&amp;mode=search", "토지이음")</f>
        <v/>
      </c>
      <c r="L4275" s="3" t="inlineStr">
        <is>
          <t>담뜰</t>
        </is>
      </c>
      <c r="M4275" s="3" t="n">
        <v>1</v>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3" t="inlineStr">
        <is>
          <t>목장가능. 소 젖소 말 가능,</t>
        </is>
      </c>
      <c r="I4276" s="5">
        <f>HYPERLINK("https://fin.land.naver.com/articles/2648349988", "매물Link")</f>
        <v/>
      </c>
      <c r="J4276" s="5">
        <f>HYPERLINK("https://map.naver.com/p/search/장군면 용암리 99", "지도Link")</f>
        <v/>
      </c>
      <c r="K4276" s="5">
        <f>HYPERLINK("http://www.eum.go.kr/web/ar/lu/luLandDet.jsp?pnu=3611035033100990000&amp;isNoScr=script&amp;mode=search", "토지이음")</f>
        <v/>
      </c>
      <c r="L4276" s="3" t="inlineStr">
        <is>
          <t>미스터홈즈강남지사</t>
        </is>
      </c>
      <c r="M4276" s="3" t="n">
        <v>1</v>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3" t="inlineStr">
        <is>
          <t>세종IC인근,국가산단인접,투자가치,보전관리,성장관리구역,준보전산지,남향</t>
        </is>
      </c>
      <c r="I4277" s="5">
        <f>HYPERLINK("https://fin.land.naver.com/articles/2644856693", "매물Link")</f>
        <v/>
      </c>
      <c r="J4277" s="5">
        <f>HYPERLINK("https://map.naver.com/p/search/장군면 용암리 산79", "지도Link")</f>
        <v/>
      </c>
      <c r="K4277" s="5">
        <f>HYPERLINK("http://www.eum.go.kr/web/ar/lu/luLandDet.jsp?pnu=3611035033200790000&amp;isNoScr=script&amp;mode=search", "토지이음")</f>
        <v/>
      </c>
      <c r="L4277" s="3" t="inlineStr">
        <is>
          <t>새시대</t>
        </is>
      </c>
      <c r="M4277" s="3" t="n">
        <v>1</v>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3" t="inlineStr">
        <is>
          <t>세종ic인근,국가산단인근,저렴,투자가치,보전관리,성장관리,준보전산지,남향</t>
        </is>
      </c>
      <c r="I4278" s="5">
        <f>HYPERLINK("https://fin.land.naver.com/articles/2644856782", "매물Link")</f>
        <v/>
      </c>
      <c r="J4278" s="5">
        <f>HYPERLINK("https://map.naver.com/p/search/장군면 용암리 산99-3", "지도Link")</f>
        <v/>
      </c>
      <c r="K4278" s="5">
        <f>HYPERLINK("http://www.eum.go.kr/web/ar/lu/luLandDet.jsp?pnu=3611035033200990003&amp;isNoScr=script&amp;mode=search", "토지이음")</f>
        <v/>
      </c>
      <c r="L4278" s="3" t="inlineStr">
        <is>
          <t>새시대</t>
        </is>
      </c>
      <c r="M4278" s="3" t="n">
        <v>1</v>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3" t="inlineStr">
        <is>
          <t>장군면 용현리 농막용 생산관리 토지 매매, 용암JC, 세종도심 인근</t>
        </is>
      </c>
      <c r="I4279" s="5">
        <f>HYPERLINK("https://fin.land.naver.com/articles/2648738730", "매물Link")</f>
        <v/>
      </c>
      <c r="J4279" s="5">
        <f>HYPERLINK("https://map.naver.com/p/search/장군면 용현리 10", "지도Link")</f>
        <v/>
      </c>
      <c r="K4279" s="5">
        <f>HYPERLINK("http://www.eum.go.kr/web/ar/lu/luLandDet.jsp?pnu=3611035032100100000&amp;isNoScr=script&amp;mode=search", "토지이음")</f>
        <v/>
      </c>
      <c r="L4279" s="3" t="inlineStr">
        <is>
          <t>스카이</t>
        </is>
      </c>
      <c r="M4279" s="3" t="n">
        <v>1</v>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3" t="inlineStr">
        <is>
          <t>nan</t>
        </is>
      </c>
      <c r="I4280" s="5">
        <f>HYPERLINK("https://fin.land.naver.com/articles/2645085932", "매물Link")</f>
        <v/>
      </c>
      <c r="J4280" s="5">
        <f>HYPERLINK("https://map.naver.com/p/search/장군면 용현리 100", "지도Link")</f>
        <v/>
      </c>
      <c r="K4280" s="5">
        <f>HYPERLINK("http://www.eum.go.kr/web/ar/lu/luLandDet.jsp?pnu=3611035032101000000&amp;isNoScr=script&amp;mode=search", "토지이음")</f>
        <v/>
      </c>
      <c r="L4280" s="3" t="inlineStr">
        <is>
          <t>비타민무소</t>
        </is>
      </c>
      <c r="M4280" s="3" t="n">
        <v>1</v>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3" t="inlineStr">
        <is>
          <t>사정상급매 접근성좋아 위치좋음 입주가능한 농가구옥도있음 분할매매가능</t>
        </is>
      </c>
      <c r="I4281" s="5">
        <f>HYPERLINK("https://fin.land.naver.com/articles/2646962643", "매물Link")</f>
        <v/>
      </c>
      <c r="J4281" s="5">
        <f>HYPERLINK("https://map.naver.com/p/search/장군면 용현리 100", "지도Link")</f>
        <v/>
      </c>
      <c r="K4281" s="5">
        <f>HYPERLINK("http://www.eum.go.kr/web/ar/lu/luLandDet.jsp?pnu=3611035032101000000&amp;isNoScr=script&amp;mode=search", "토지이음")</f>
        <v/>
      </c>
      <c r="L4281" s="3" t="inlineStr">
        <is>
          <t>벽산마을</t>
        </is>
      </c>
      <c r="M4281" s="3" t="n">
        <v>1</v>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3" t="inlineStr">
        <is>
          <t>세종ic인근 토지</t>
        </is>
      </c>
      <c r="I4282" s="5">
        <f>HYPERLINK("https://fin.land.naver.com/articles/2645250220", "매물Link")</f>
        <v/>
      </c>
      <c r="J4282" s="5">
        <f>HYPERLINK("https://map.naver.com/p/search/장군면 용현리 234-1", "지도Link")</f>
        <v/>
      </c>
      <c r="K4282" s="5">
        <f>HYPERLINK("http://www.eum.go.kr/web/ar/lu/luLandDet.jsp?pnu=3611035032102340001&amp;isNoScr=script&amp;mode=search", "토지이음")</f>
        <v/>
      </c>
      <c r="L4282" s="3" t="inlineStr">
        <is>
          <t>드림</t>
        </is>
      </c>
      <c r="M4282" s="3" t="n">
        <v>1</v>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3" t="inlineStr">
        <is>
          <t>1187p 2차선접,18만평 골프장 개발예정지 및 세종IC 인근</t>
        </is>
      </c>
      <c r="I4283" s="5">
        <f>HYPERLINK("https://fin.land.naver.com/articles/2646083654", "매물Link")</f>
        <v/>
      </c>
      <c r="J4283" s="5">
        <f>HYPERLINK("https://map.naver.com/p/search/장군면 용현리 235-11", "지도Link")</f>
        <v/>
      </c>
      <c r="K4283" s="5">
        <f>HYPERLINK("http://www.eum.go.kr/web/ar/lu/luLandDet.jsp?pnu=3611035032102350011&amp;isNoScr=script&amp;mode=search", "토지이음")</f>
        <v/>
      </c>
      <c r="L4283" s="3" t="inlineStr">
        <is>
          <t>광장</t>
        </is>
      </c>
      <c r="M4283" s="3" t="n">
        <v>1</v>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3" t="inlineStr">
        <is>
          <t>대토추천. 구거접. 포장된 현황도로</t>
        </is>
      </c>
      <c r="I4284" s="5">
        <f>HYPERLINK("https://fin.land.naver.com/articles/2645606780", "매물Link")</f>
        <v/>
      </c>
      <c r="J4284" s="5">
        <f>HYPERLINK("https://map.naver.com/p/search/장군면 용현리 256-1", "지도Link")</f>
        <v/>
      </c>
      <c r="K4284" s="5">
        <f>HYPERLINK("http://www.eum.go.kr/web/ar/lu/luLandDet.jsp?pnu=3611035032102560001&amp;isNoScr=script&amp;mode=search", "토지이음")</f>
        <v/>
      </c>
      <c r="L4284" s="3" t="inlineStr">
        <is>
          <t>미스터홈즈강남지사</t>
        </is>
      </c>
      <c r="M4284" s="3" t="n">
        <v>1</v>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3" t="inlineStr">
        <is>
          <t>계획관리 대지 매매함</t>
        </is>
      </c>
      <c r="I4285" s="5">
        <f>HYPERLINK("https://fin.land.naver.com/articles/2646666547", "매물Link")</f>
        <v/>
      </c>
      <c r="J4285" s="5">
        <f>HYPERLINK("https://map.naver.com/p/search/장군면 용현리 84", "지도Link")</f>
        <v/>
      </c>
      <c r="K4285" s="5">
        <f>HYPERLINK("http://www.eum.go.kr/web/ar/lu/luLandDet.jsp?pnu=3611035032100840000&amp;isNoScr=script&amp;mode=search", "토지이음")</f>
        <v/>
      </c>
      <c r="L4285" s="3" t="inlineStr">
        <is>
          <t>강나루</t>
        </is>
      </c>
      <c r="M4285" s="3" t="n">
        <v>1</v>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3" t="inlineStr">
        <is>
          <t>4차선도로 진입로 옆 토지 서울세종고속도로와 세종IC 가까움</t>
        </is>
      </c>
      <c r="I4286" s="5">
        <f>HYPERLINK("https://fin.land.naver.com/articles/2644438873", "매물Link")</f>
        <v/>
      </c>
      <c r="J4286" s="5">
        <f>HYPERLINK("https://map.naver.com/p/search/장군면 용현리 86-1", "지도Link")</f>
        <v/>
      </c>
      <c r="K4286" s="5">
        <f>HYPERLINK("http://www.eum.go.kr/web/ar/lu/luLandDet.jsp?pnu=3611035032100860001&amp;isNoScr=script&amp;mode=search", "토지이음")</f>
        <v/>
      </c>
      <c r="L4286" s="3" t="inlineStr">
        <is>
          <t>바다하리</t>
        </is>
      </c>
      <c r="M4286" s="3" t="n">
        <v>1</v>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3" t="inlineStr">
        <is>
          <t>급매,도로접 계획관리지역,아늑한 마을 막힘없는 위치,세종시5분거리</t>
        </is>
      </c>
      <c r="I4287" s="5">
        <f>HYPERLINK("https://fin.land.naver.com/articles/2646089799", "매물Link")</f>
        <v/>
      </c>
      <c r="J4287" s="5">
        <f>HYPERLINK("https://map.naver.com/p/search/장군면 용현리 98", "지도Link")</f>
        <v/>
      </c>
      <c r="K4287" s="5">
        <f>HYPERLINK("http://www.eum.go.kr/web/ar/lu/luLandDet.jsp?pnu=3611035032100980000&amp;isNoScr=script&amp;mode=search", "토지이음")</f>
        <v/>
      </c>
      <c r="L4287" s="3" t="inlineStr">
        <is>
          <t>고운맘</t>
        </is>
      </c>
      <c r="M4287" s="3" t="n">
        <v>1</v>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3" t="inlineStr">
        <is>
          <t>도로인접한 계획관리지역입니다</t>
        </is>
      </c>
      <c r="I4288" s="5">
        <f>HYPERLINK("https://fin.land.naver.com/articles/2649305666", "매물Link")</f>
        <v/>
      </c>
      <c r="J4288" s="5">
        <f>HYPERLINK("https://map.naver.com/p/search/장군면 은용리 102-22", "지도Link")</f>
        <v/>
      </c>
      <c r="K4288" s="5">
        <f>HYPERLINK("http://www.eum.go.kr/web/ar/lu/luLandDet.jsp?pnu=3611035027101020022&amp;isNoScr=script&amp;mode=search", "토지이음")</f>
        <v/>
      </c>
      <c r="L4288" s="3" t="inlineStr">
        <is>
          <t>무지개</t>
        </is>
      </c>
      <c r="M4288" s="3" t="n">
        <v>1</v>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3" t="inlineStr">
        <is>
          <t>세종 장군면 전원생활을 꿈꾸는 분께 추천하는 토지</t>
        </is>
      </c>
      <c r="I4289" s="5">
        <f>HYPERLINK("https://fin.land.naver.com/articles/2649758874", "매물Link")</f>
        <v/>
      </c>
      <c r="J4289" s="5">
        <f>HYPERLINK("https://map.naver.com/p/search/장군면 은용리 111-13", "지도Link")</f>
        <v/>
      </c>
      <c r="K4289" s="5">
        <f>HYPERLINK("http://www.eum.go.kr/web/ar/lu/luLandDet.jsp?pnu=3611035027101110013&amp;isNoScr=script&amp;mode=search", "토지이음")</f>
        <v/>
      </c>
      <c r="L4289" s="3" t="inlineStr">
        <is>
          <t>세종몽땅</t>
        </is>
      </c>
      <c r="M4289" s="3" t="n">
        <v>1</v>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3" t="inlineStr">
        <is>
          <t>급매. 장군면 투자용 계획관리토지</t>
        </is>
      </c>
      <c r="I4290" s="5">
        <f>HYPERLINK("https://fin.land.naver.com/articles/2645464638", "매물Link")</f>
        <v/>
      </c>
      <c r="J4290" s="5">
        <f>HYPERLINK("https://map.naver.com/p/search/장군면 은용리 112-25", "지도Link")</f>
        <v/>
      </c>
      <c r="K4290" s="5">
        <f>HYPERLINK("http://www.eum.go.kr/web/ar/lu/luLandDet.jsp?pnu=3611035027101120025&amp;isNoScr=script&amp;mode=search", "토지이음")</f>
        <v/>
      </c>
      <c r="L4290" s="3" t="inlineStr">
        <is>
          <t>강아지풀</t>
        </is>
      </c>
      <c r="M4290" s="3" t="n">
        <v>1</v>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3" t="inlineStr">
        <is>
          <t>투자가치 있는곳</t>
        </is>
      </c>
      <c r="I4291" s="5">
        <f>HYPERLINK("https://fin.land.naver.com/articles/2643951203", "매물Link")</f>
        <v/>
      </c>
      <c r="J4291" s="5">
        <f>HYPERLINK("https://map.naver.com/p/search/장군면 은용리 112-32", "지도Link")</f>
        <v/>
      </c>
      <c r="K4291" s="5">
        <f>HYPERLINK("http://www.eum.go.kr/web/ar/lu/luLandDet.jsp?pnu=3611035027101120032&amp;isNoScr=script&amp;mode=search", "토지이음")</f>
        <v/>
      </c>
      <c r="L4291" s="3" t="inlineStr">
        <is>
          <t>세종대평</t>
        </is>
      </c>
      <c r="M4291" s="3" t="n">
        <v>1</v>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3" t="inlineStr">
        <is>
          <t>세종 특별자치시에 있는 투자가치 높은 농지</t>
        </is>
      </c>
      <c r="I4292" s="5">
        <f>HYPERLINK("https://fin.land.naver.com/articles/2644196028", "매물Link")</f>
        <v/>
      </c>
      <c r="J4292" s="5">
        <f>HYPERLINK("https://map.naver.com/p/search/장군면 은용리 148-1", "지도Link")</f>
        <v/>
      </c>
      <c r="K4292" s="5">
        <f>HYPERLINK("http://www.eum.go.kr/web/ar/lu/luLandDet.jsp?pnu=3611035027101480001&amp;isNoScr=script&amp;mode=search", "토지이음")</f>
        <v/>
      </c>
      <c r="L4292" s="3" t="inlineStr">
        <is>
          <t>박단아사사무소</t>
        </is>
      </c>
      <c r="M4292" s="3" t="n">
        <v>1</v>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3" t="inlineStr">
        <is>
          <t>급매,3면 도로접한 농림지역,텃밭,주말농장</t>
        </is>
      </c>
      <c r="I4293" s="5">
        <f>HYPERLINK("https://fin.land.naver.com/articles/2647280835", "매물Link")</f>
        <v/>
      </c>
      <c r="J4293" s="5">
        <f>HYPERLINK("https://map.naver.com/p/search/장군면 은용리 156-4", "지도Link")</f>
        <v/>
      </c>
      <c r="K4293" s="5">
        <f>HYPERLINK("http://www.eum.go.kr/web/ar/lu/luLandDet.jsp?pnu=3611035027101560004&amp;isNoScr=script&amp;mode=search", "토지이음")</f>
        <v/>
      </c>
      <c r="L4293" s="3" t="inlineStr">
        <is>
          <t>고운맘</t>
        </is>
      </c>
      <c r="M4293" s="3" t="n">
        <v>1</v>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3" t="inlineStr">
        <is>
          <t>장군면 은용리 소액 토지 매매</t>
        </is>
      </c>
      <c r="I4294" s="5">
        <f>HYPERLINK("https://fin.land.naver.com/articles/2646831955", "매물Link")</f>
        <v/>
      </c>
      <c r="J4294" s="5">
        <f>HYPERLINK("https://map.naver.com/p/search/장군면 은용리 326", "지도Link")</f>
        <v/>
      </c>
      <c r="K4294" s="5">
        <f>HYPERLINK("http://www.eum.go.kr/web/ar/lu/luLandDet.jsp?pnu=3611035027103260000&amp;isNoScr=script&amp;mode=search", "토지이음")</f>
        <v/>
      </c>
      <c r="L4294" s="3" t="inlineStr">
        <is>
          <t>뉴스카이</t>
        </is>
      </c>
      <c r="M4294" s="3" t="n">
        <v>1</v>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3" t="inlineStr">
        <is>
          <t>은용리 계획관리지역 토지매매12분할매매 가능</t>
        </is>
      </c>
      <c r="I4295" s="5">
        <f>HYPERLINK("https://fin.land.naver.com/articles/2646414700", "매물Link")</f>
        <v/>
      </c>
      <c r="J4295" s="5">
        <f>HYPERLINK("https://map.naver.com/p/search/장군면 은용리 419-1", "지도Link")</f>
        <v/>
      </c>
      <c r="K4295" s="5">
        <f>HYPERLINK("http://www.eum.go.kr/web/ar/lu/luLandDet.jsp?pnu=3611035027104190001&amp;isNoScr=script&amp;mode=search", "토지이음")</f>
        <v/>
      </c>
      <c r="L4295" s="3" t="inlineStr">
        <is>
          <t>에이스</t>
        </is>
      </c>
      <c r="M4295" s="3" t="n">
        <v>1</v>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3" t="inlineStr">
        <is>
          <t>지대가 높아서 조망 훤히 트임,도로지분별도</t>
        </is>
      </c>
      <c r="I4296" s="5">
        <f>HYPERLINK("https://fin.land.naver.com/articles/2649097254", "매물Link")</f>
        <v/>
      </c>
      <c r="J4296" s="5">
        <f>HYPERLINK("https://map.naver.com/p/search/장군면 은용리 459-2", "지도Link")</f>
        <v/>
      </c>
      <c r="K4296" s="5">
        <f>HYPERLINK("http://www.eum.go.kr/web/ar/lu/luLandDet.jsp?pnu=3611035027104590002&amp;isNoScr=script&amp;mode=search", "토지이음")</f>
        <v/>
      </c>
      <c r="L4296" s="3" t="inlineStr">
        <is>
          <t>세종공주제일</t>
        </is>
      </c>
      <c r="M4296" s="3" t="n">
        <v>1</v>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3" t="inlineStr">
        <is>
          <t>세종시 장군면 현황 좋은 계획관리 토지 급매</t>
        </is>
      </c>
      <c r="I4297" s="5">
        <f>HYPERLINK("https://fin.land.naver.com/articles/2649751685", "매물Link")</f>
        <v/>
      </c>
      <c r="J4297" s="5">
        <f>HYPERLINK("https://map.naver.com/p/search/장군면 은용리 481", "지도Link")</f>
        <v/>
      </c>
      <c r="K4297" s="5">
        <f>HYPERLINK("http://www.eum.go.kr/web/ar/lu/luLandDet.jsp?pnu=3611035027104810000&amp;isNoScr=script&amp;mode=search", "토지이음")</f>
        <v/>
      </c>
      <c r="L4297" s="3" t="inlineStr">
        <is>
          <t>뉴스카이</t>
        </is>
      </c>
      <c r="M4297" s="3" t="n">
        <v>1</v>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3" t="inlineStr">
        <is>
          <t>은용리 일대 3필지(전) 평당 1500만원 매매</t>
        </is>
      </c>
      <c r="I4298" s="5">
        <f>HYPERLINK("https://fin.land.naver.com/articles/2648382184", "매물Link")</f>
        <v/>
      </c>
      <c r="J4298" s="5">
        <f>HYPERLINK("https://map.naver.com/p/search/장군면 은용리 82", "지도Link")</f>
        <v/>
      </c>
      <c r="K4298" s="5">
        <f>HYPERLINK("http://www.eum.go.kr/web/ar/lu/luLandDet.jsp?pnu=3611035027100820000&amp;isNoScr=script&amp;mode=search", "토지이음")</f>
        <v/>
      </c>
      <c r="L4298" s="3" t="inlineStr">
        <is>
          <t>수자인시티</t>
        </is>
      </c>
      <c r="M4298" s="3" t="n">
        <v>1</v>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3" t="inlineStr">
        <is>
          <t>6차선 도로접,위치 좋은 근생부지, 서비스센터부지 추천 ,</t>
        </is>
      </c>
      <c r="I4299" s="5">
        <f>HYPERLINK("https://fin.land.naver.com/articles/2646778808", "매물Link")</f>
        <v/>
      </c>
      <c r="J4299" s="5">
        <f>HYPERLINK("https://map.naver.com/p/search/장군면 은용리 82", "지도Link")</f>
        <v/>
      </c>
      <c r="K4299" s="5">
        <f>HYPERLINK("http://www.eum.go.kr/web/ar/lu/luLandDet.jsp?pnu=3611035027100820000&amp;isNoScr=script&amp;mode=search", "토지이음")</f>
        <v/>
      </c>
      <c r="L4299" s="3" t="inlineStr">
        <is>
          <t>담뜰</t>
        </is>
      </c>
      <c r="M4299" s="3" t="n">
        <v>2</v>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3" t="inlineStr">
        <is>
          <t>왕복6차선 도로접 계획관리.성장관리 토지</t>
        </is>
      </c>
      <c r="I4300" s="5">
        <f>HYPERLINK("https://fin.land.naver.com/articles/2644697986", "매물Link")</f>
        <v/>
      </c>
      <c r="J4300" s="5">
        <f>HYPERLINK("https://map.naver.com/p/search/장군면 은용리 82", "지도Link")</f>
        <v/>
      </c>
      <c r="K4300" s="5">
        <f>HYPERLINK("http://www.eum.go.kr/web/ar/lu/luLandDet.jsp?pnu=3611035027100820000&amp;isNoScr=script&amp;mode=search", "토지이음")</f>
        <v/>
      </c>
      <c r="L4300" s="3" t="inlineStr">
        <is>
          <t>법조연합은온</t>
        </is>
      </c>
      <c r="M4300" s="3" t="n">
        <v>1</v>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3" t="inlineStr">
        <is>
          <t>노출효과 좋은 자리 선점하세요</t>
        </is>
      </c>
      <c r="I4301" s="5">
        <f>HYPERLINK("https://fin.land.naver.com/articles/2648263191", "매물Link")</f>
        <v/>
      </c>
      <c r="J4301" s="5">
        <f>HYPERLINK("https://map.naver.com/p/search/장군면 은용리 82", "지도Link")</f>
        <v/>
      </c>
      <c r="K4301" s="5">
        <f>HYPERLINK("http://www.eum.go.kr/web/ar/lu/luLandDet.jsp?pnu=3611035027100820000&amp;isNoScr=script&amp;mode=search", "토지이음")</f>
        <v/>
      </c>
      <c r="L4301" s="3" t="inlineStr">
        <is>
          <t>세종대평</t>
        </is>
      </c>
      <c r="M4301" s="3" t="n">
        <v>1</v>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3" t="inlineStr">
        <is>
          <t>향후 지가 상승 기대 대토용 토지 모든 조건 맞춰드립니다</t>
        </is>
      </c>
      <c r="I4302" s="5">
        <f>HYPERLINK("https://fin.land.naver.com/articles/2648831735", "매물Link")</f>
        <v/>
      </c>
      <c r="J4302" s="5">
        <f>HYPERLINK("https://map.naver.com/p/search/장군면 은용리 9-4", "지도Link")</f>
        <v/>
      </c>
      <c r="K4302" s="5">
        <f>HYPERLINK("http://www.eum.go.kr/web/ar/lu/luLandDet.jsp?pnu=3611035027100090004&amp;isNoScr=script&amp;mode=search", "토지이음")</f>
        <v/>
      </c>
      <c r="L4302" s="3" t="inlineStr">
        <is>
          <t>세종공주원탑</t>
        </is>
      </c>
      <c r="M4302" s="3" t="n">
        <v>1</v>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3" t="inlineStr">
        <is>
          <t>가격조율 가능, 지대 높은 전원주택지로 추천, 전원주택과 마을 회관 근접</t>
        </is>
      </c>
      <c r="I4303" s="5">
        <f>HYPERLINK("https://fin.land.naver.com/articles/2646382652", "매물Link")</f>
        <v/>
      </c>
      <c r="J4303" s="5">
        <f>HYPERLINK("https://map.naver.com/p/search/장군면 은용리 90-1", "지도Link")</f>
        <v/>
      </c>
      <c r="K4303" s="5">
        <f>HYPERLINK("http://www.eum.go.kr/web/ar/lu/luLandDet.jsp?pnu=3611035027100900001&amp;isNoScr=script&amp;mode=search", "토지이음")</f>
        <v/>
      </c>
      <c r="L4303" s="3" t="inlineStr">
        <is>
          <t>담뜰</t>
        </is>
      </c>
      <c r="M4303" s="3" t="n">
        <v>1</v>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3" t="inlineStr">
        <is>
          <t>막힘없는 조망권뷰최상 초저가 급매,종중묘자리,종교시설,윈도아골프장</t>
        </is>
      </c>
      <c r="I4304" s="5">
        <f>HYPERLINK("https://fin.land.naver.com/articles/2647782160", "매물Link")</f>
        <v/>
      </c>
      <c r="J4304" s="5">
        <f>HYPERLINK("https://map.naver.com/p/search/장군면 은용리 산2-7", "지도Link")</f>
        <v/>
      </c>
      <c r="K4304" s="5">
        <f>HYPERLINK("http://www.eum.go.kr/web/ar/lu/luLandDet.jsp?pnu=3611035027200020007&amp;isNoScr=script&amp;mode=search", "토지이음")</f>
        <v/>
      </c>
      <c r="L4304" s="3" t="inlineStr">
        <is>
          <t>고운맘</t>
        </is>
      </c>
      <c r="M4304" s="3" t="n">
        <v>1</v>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3" t="inlineStr">
        <is>
          <t>장군면 태산리 좋은 위치 전 매매, 정안IC 근접한 전, 의랑초등학교접</t>
        </is>
      </c>
      <c r="I4305" s="5">
        <f>HYPERLINK("https://fin.land.naver.com/articles/2648055675", "매물Link")</f>
        <v/>
      </c>
      <c r="J4305" s="5">
        <f>HYPERLINK("https://map.naver.com/p/search/장군면 태산리 107", "지도Link")</f>
        <v/>
      </c>
      <c r="K4305" s="5">
        <f>HYPERLINK("http://www.eum.go.kr/web/ar/lu/luLandDet.jsp?pnu=3611035034101070000&amp;isNoScr=script&amp;mode=search", "토지이음")</f>
        <v/>
      </c>
      <c r="L4305" s="3" t="inlineStr">
        <is>
          <t>풍경채대지</t>
        </is>
      </c>
      <c r="M4305" s="3" t="n">
        <v>1</v>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3" t="inlineStr">
        <is>
          <t>세종서울고속도로IC 및 세종산단인근 최대한조율 해드릴께요</t>
        </is>
      </c>
      <c r="I4306" s="5">
        <f>HYPERLINK("https://fin.land.naver.com/articles/2646383699", "매물Link")</f>
        <v/>
      </c>
      <c r="J4306" s="5">
        <f>HYPERLINK("https://map.naver.com/p/search/장군면 태산리 122-2", "지도Link")</f>
        <v/>
      </c>
      <c r="K4306" s="5">
        <f>HYPERLINK("http://www.eum.go.kr/web/ar/lu/luLandDet.jsp?pnu=3611035034101220002&amp;isNoScr=script&amp;mode=search", "토지이음")</f>
        <v/>
      </c>
      <c r="L4306" s="3" t="inlineStr">
        <is>
          <t>세종강남</t>
        </is>
      </c>
      <c r="M4306" s="3" t="n">
        <v>1</v>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3" t="inlineStr">
        <is>
          <t>도로접 농지매매</t>
        </is>
      </c>
      <c r="I4307" s="5">
        <f>HYPERLINK("https://fin.land.naver.com/articles/2649459691", "매물Link")</f>
        <v/>
      </c>
      <c r="J4307" s="5">
        <f>HYPERLINK("https://map.naver.com/p/search/장군면 태산리 318", "지도Link")</f>
        <v/>
      </c>
      <c r="K4307" s="5">
        <f>HYPERLINK("http://www.eum.go.kr/web/ar/lu/luLandDet.jsp?pnu=3611035034103180000&amp;isNoScr=script&amp;mode=search", "토지이음")</f>
        <v/>
      </c>
      <c r="L4307" s="3" t="inlineStr">
        <is>
          <t>둔산엘리프 더센트럴 탑</t>
        </is>
      </c>
      <c r="M4307" s="3" t="n">
        <v>1</v>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3" t="inlineStr">
        <is>
          <t>급매. 대토용 대형 농지</t>
        </is>
      </c>
      <c r="I4308" s="5">
        <f>HYPERLINK("https://fin.land.naver.com/articles/2645464760", "매물Link")</f>
        <v/>
      </c>
      <c r="J4308" s="5">
        <f>HYPERLINK("https://map.naver.com/p/search/장군면 태산리 324-3", "지도Link")</f>
        <v/>
      </c>
      <c r="K4308" s="5">
        <f>HYPERLINK("http://www.eum.go.kr/web/ar/lu/luLandDet.jsp?pnu=3611035034103240003&amp;isNoScr=script&amp;mode=search", "토지이음")</f>
        <v/>
      </c>
      <c r="L4308" s="3" t="inlineStr">
        <is>
          <t>강아지풀</t>
        </is>
      </c>
      <c r="M4308" s="3" t="n">
        <v>1</v>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3" t="inlineStr">
        <is>
          <t>세종신도시 인접한 농지 도로접근용이</t>
        </is>
      </c>
      <c r="I4309" s="5">
        <f>HYPERLINK("https://fin.land.naver.com/articles/2648653908", "매물Link")</f>
        <v/>
      </c>
      <c r="J4309" s="5">
        <f>HYPERLINK("https://map.naver.com/p/search/장군면 태산리 324-9", "지도Link")</f>
        <v/>
      </c>
      <c r="K4309" s="5">
        <f>HYPERLINK("http://www.eum.go.kr/web/ar/lu/luLandDet.jsp?pnu=3611035034103240009&amp;isNoScr=script&amp;mode=search", "토지이음")</f>
        <v/>
      </c>
      <c r="L4309" s="3" t="inlineStr">
        <is>
          <t>포스코</t>
        </is>
      </c>
      <c r="M4309" s="3" t="n">
        <v>2</v>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3" t="inlineStr">
        <is>
          <t>의랑초등학교 인근 답 매매 2필지</t>
        </is>
      </c>
      <c r="I4310" s="5">
        <f>HYPERLINK("https://fin.land.naver.com/articles/2645804771", "매물Link")</f>
        <v/>
      </c>
      <c r="J4310" s="5">
        <f>HYPERLINK("https://map.naver.com/p/search/장군면 태산리 350-5", "지도Link")</f>
        <v/>
      </c>
      <c r="K4310" s="5">
        <f>HYPERLINK("http://www.eum.go.kr/web/ar/lu/luLandDet.jsp?pnu=3611035034103500005&amp;isNoScr=script&amp;mode=search", "토지이음")</f>
        <v/>
      </c>
      <c r="L4310" s="3" t="inlineStr">
        <is>
          <t>장승배기</t>
        </is>
      </c>
      <c r="M4310" s="3" t="n">
        <v>1</v>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3" t="inlineStr">
        <is>
          <t>창고, 유실수등 관리 잘 된 토지 매매</t>
        </is>
      </c>
      <c r="I4311" s="5">
        <f>HYPERLINK("https://fin.land.naver.com/articles/2648382376", "매물Link")</f>
        <v/>
      </c>
      <c r="J4311" s="5">
        <f>HYPERLINK("https://map.naver.com/p/search/장군면 태산리 59-1", "지도Link")</f>
        <v/>
      </c>
      <c r="K4311" s="5">
        <f>HYPERLINK("http://www.eum.go.kr/web/ar/lu/luLandDet.jsp?pnu=3611035034100590001&amp;isNoScr=script&amp;mode=search", "토지이음")</f>
        <v/>
      </c>
      <c r="L4311" s="3" t="inlineStr">
        <is>
          <t>수자인시티</t>
        </is>
      </c>
      <c r="M4311" s="3" t="n">
        <v>1</v>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3" t="inlineStr">
        <is>
          <t>급매, 농가주택 가능,  대토용, 투자용</t>
        </is>
      </c>
      <c r="I4312" s="5">
        <f>HYPERLINK("https://fin.land.naver.com/articles/2646912372", "매물Link")</f>
        <v/>
      </c>
      <c r="J4312" s="5">
        <f>HYPERLINK("https://map.naver.com/p/search/장군면 평기리 106-12", "지도Link")</f>
        <v/>
      </c>
      <c r="K4312" s="5">
        <f>HYPERLINK("http://www.eum.go.kr/web/ar/lu/luLandDet.jsp?pnu=3611035022101060012&amp;isNoScr=script&amp;mode=search", "토지이음")</f>
        <v/>
      </c>
      <c r="L4312" s="3" t="inlineStr">
        <is>
          <t>고운동리치세종</t>
        </is>
      </c>
      <c r="M4312" s="3" t="n">
        <v>1</v>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3" t="inlineStr">
        <is>
          <t>2차선 지방도에 접해있고 주택 건축이 가능한 농림지역, 인근 리조트 건설</t>
        </is>
      </c>
      <c r="I4313" s="5">
        <f>HYPERLINK("https://fin.land.naver.com/articles/2649696618", "매물Link")</f>
        <v/>
      </c>
      <c r="J4313" s="5">
        <f>HYPERLINK("https://map.naver.com/p/search/장군면 평기리 106-12", "지도Link")</f>
        <v/>
      </c>
      <c r="K4313" s="5">
        <f>HYPERLINK("http://www.eum.go.kr/web/ar/lu/luLandDet.jsp?pnu=3611035022101060012&amp;isNoScr=script&amp;mode=search", "토지이음")</f>
        <v/>
      </c>
      <c r="L4313" s="3" t="inlineStr">
        <is>
          <t>온뜰</t>
        </is>
      </c>
      <c r="M4313" s="3" t="n">
        <v>1</v>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3" t="inlineStr">
        <is>
          <t>장군면 평기리 계획관리지역</t>
        </is>
      </c>
      <c r="I4314" s="5">
        <f>HYPERLINK("https://fin.land.naver.com/articles/2644462800", "매물Link")</f>
        <v/>
      </c>
      <c r="J4314" s="5">
        <f>HYPERLINK("https://map.naver.com/p/search/장군면 평기리 130-2", "지도Link")</f>
        <v/>
      </c>
      <c r="K4314" s="5">
        <f>HYPERLINK("http://www.eum.go.kr/web/ar/lu/luLandDet.jsp?pnu=3611035022101300002&amp;isNoScr=script&amp;mode=search", "토지이음")</f>
        <v/>
      </c>
      <c r="L4314" s="3" t="inlineStr">
        <is>
          <t>세종천지</t>
        </is>
      </c>
      <c r="M4314" s="3" t="n">
        <v>1</v>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3" t="inlineStr">
        <is>
          <t>세종시인접</t>
        </is>
      </c>
      <c r="I4315" s="5">
        <f>HYPERLINK("https://fin.land.naver.com/articles/2647796711", "매물Link")</f>
        <v/>
      </c>
      <c r="J4315" s="5">
        <f>HYPERLINK("https://map.naver.com/p/search/장군면 평기리 18-10", "지도Link")</f>
        <v/>
      </c>
      <c r="K4315" s="5">
        <f>HYPERLINK("http://www.eum.go.kr/web/ar/lu/luLandDet.jsp?pnu=3611035022100180010&amp;isNoScr=script&amp;mode=search", "토지이음")</f>
        <v/>
      </c>
      <c r="L4315" s="3" t="inlineStr">
        <is>
          <t>송파위례한솔</t>
        </is>
      </c>
      <c r="M4315" s="3" t="n">
        <v>1</v>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3" t="inlineStr">
        <is>
          <t>2차선변 작은농지, 주말농장 활용</t>
        </is>
      </c>
      <c r="I4316" s="5">
        <f>HYPERLINK("https://fin.land.naver.com/articles/2648040338", "매물Link")</f>
        <v/>
      </c>
      <c r="J4316" s="5">
        <f>HYPERLINK("https://map.naver.com/p/search/장군면 평기리 184-1", "지도Link")</f>
        <v/>
      </c>
      <c r="K4316" s="5">
        <f>HYPERLINK("http://www.eum.go.kr/web/ar/lu/luLandDet.jsp?pnu=3611035022101840001&amp;isNoScr=script&amp;mode=search", "토지이음")</f>
        <v/>
      </c>
      <c r="L4316" s="3" t="inlineStr">
        <is>
          <t>대박</t>
        </is>
      </c>
      <c r="M4316" s="3" t="n">
        <v>1</v>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3" t="inlineStr">
        <is>
          <t>대로변근접, 투자용, 대토용</t>
        </is>
      </c>
      <c r="I4317" s="5">
        <f>HYPERLINK("https://fin.land.naver.com/articles/2648501092", "매물Link")</f>
        <v/>
      </c>
      <c r="J4317" s="5">
        <f>HYPERLINK("https://map.naver.com/p/search/장군면 평기리 203-1", "지도Link")</f>
        <v/>
      </c>
      <c r="K4317" s="5">
        <f>HYPERLINK("http://www.eum.go.kr/web/ar/lu/luLandDet.jsp?pnu=3611035022102030001&amp;isNoScr=script&amp;mode=search", "토지이음")</f>
        <v/>
      </c>
      <c r="L4317" s="3" t="inlineStr">
        <is>
          <t>고운동리치세종</t>
        </is>
      </c>
      <c r="M4317" s="3" t="n">
        <v>1</v>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3" t="inlineStr">
        <is>
          <t>투자용추천,지목 답</t>
        </is>
      </c>
      <c r="I4318" s="5">
        <f>HYPERLINK("https://fin.land.naver.com/articles/2648732576", "매물Link")</f>
        <v/>
      </c>
      <c r="J4318" s="5">
        <f>HYPERLINK("https://map.naver.com/p/search/장군면 평기리 204-2", "지도Link")</f>
        <v/>
      </c>
      <c r="K4318" s="5">
        <f>HYPERLINK("http://www.eum.go.kr/web/ar/lu/luLandDet.jsp?pnu=3611035022102040002&amp;isNoScr=script&amp;mode=search", "토지이음")</f>
        <v/>
      </c>
      <c r="L4318" s="3" t="inlineStr">
        <is>
          <t>다산</t>
        </is>
      </c>
      <c r="M4318" s="3" t="n">
        <v>1</v>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3" t="inlineStr">
        <is>
          <t>장군면 평기리 2차선변 계획관리 토지, 신도시 인근, 장군면소재지, 건축</t>
        </is>
      </c>
      <c r="I4319" s="5">
        <f>HYPERLINK("https://fin.land.naver.com/articles/2645609774", "매물Link")</f>
        <v/>
      </c>
      <c r="J4319" s="5">
        <f>HYPERLINK("https://map.naver.com/p/search/장군면 평기리 214", "지도Link")</f>
        <v/>
      </c>
      <c r="K4319" s="5">
        <f>HYPERLINK("http://www.eum.go.kr/web/ar/lu/luLandDet.jsp?pnu=3611035022102140000&amp;isNoScr=script&amp;mode=search", "토지이음")</f>
        <v/>
      </c>
      <c r="L4319" s="3" t="inlineStr">
        <is>
          <t>스카이</t>
        </is>
      </c>
      <c r="M4319" s="3" t="n">
        <v>1</v>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3" t="inlineStr">
        <is>
          <t>2차선도로접,세종시근접,단독주택부지,근생부지로 추천</t>
        </is>
      </c>
      <c r="I4320" s="5">
        <f>HYPERLINK("https://fin.land.naver.com/articles/2644743690", "매물Link")</f>
        <v/>
      </c>
      <c r="J4320" s="5">
        <f>HYPERLINK("https://map.naver.com/p/search/장군면 평기리 214", "지도Link")</f>
        <v/>
      </c>
      <c r="K4320" s="5">
        <f>HYPERLINK("http://www.eum.go.kr/web/ar/lu/luLandDet.jsp?pnu=3611035022102140000&amp;isNoScr=script&amp;mode=search", "토지이음")</f>
        <v/>
      </c>
      <c r="L4320" s="3" t="inlineStr">
        <is>
          <t>담뜰</t>
        </is>
      </c>
      <c r="M4320" s="3" t="n">
        <v>1</v>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3" t="inlineStr">
        <is>
          <t>장군면 평기리 2차선변 계획관리 토지, 신도시 인근, 장군면소재지, 건축</t>
        </is>
      </c>
      <c r="I4321" s="5">
        <f>HYPERLINK("https://fin.land.naver.com/articles/2645609744", "매물Link")</f>
        <v/>
      </c>
      <c r="J4321" s="5">
        <f>HYPERLINK("https://map.naver.com/p/search/장군면 평기리 214-1", "지도Link")</f>
        <v/>
      </c>
      <c r="K4321" s="5">
        <f>HYPERLINK("http://www.eum.go.kr/web/ar/lu/luLandDet.jsp?pnu=3611035022102140001&amp;isNoScr=script&amp;mode=search", "토지이음")</f>
        <v/>
      </c>
      <c r="L4321" s="3" t="inlineStr">
        <is>
          <t>스카이</t>
        </is>
      </c>
      <c r="M4321" s="3" t="n">
        <v>1</v>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3" t="inlineStr">
        <is>
          <t>장군면 저렴한 주택 대지</t>
        </is>
      </c>
      <c r="I4322" s="5">
        <f>HYPERLINK("https://fin.land.naver.com/articles/2645465126", "매물Link")</f>
        <v/>
      </c>
      <c r="J4322" s="5">
        <f>HYPERLINK("https://map.naver.com/p/search/장군면 평기리 217-4", "지도Link")</f>
        <v/>
      </c>
      <c r="K4322" s="5">
        <f>HYPERLINK("http://www.eum.go.kr/web/ar/lu/luLandDet.jsp?pnu=3611035022102170004&amp;isNoScr=script&amp;mode=search", "토지이음")</f>
        <v/>
      </c>
      <c r="L4322" s="3" t="inlineStr">
        <is>
          <t>강아지풀</t>
        </is>
      </c>
      <c r="M4322" s="3" t="n">
        <v>1</v>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3" t="inlineStr">
        <is>
          <t>계획관리지역, 마을도로 접, 평기길에서 350m, 신도시 차량 10분</t>
        </is>
      </c>
      <c r="I4323" s="5">
        <f>HYPERLINK("https://fin.land.naver.com/articles/2644832564", "매물Link")</f>
        <v/>
      </c>
      <c r="J4323" s="5">
        <f>HYPERLINK("https://map.naver.com/p/search/장군면 평기리 219-1", "지도Link")</f>
        <v/>
      </c>
      <c r="K4323" s="5">
        <f>HYPERLINK("http://www.eum.go.kr/web/ar/lu/luLandDet.jsp?pnu=3611035022102190001&amp;isNoScr=script&amp;mode=search", "토지이음")</f>
        <v/>
      </c>
      <c r="L4323" s="3" t="inlineStr">
        <is>
          <t>온뜰</t>
        </is>
      </c>
      <c r="M4323" s="3" t="n">
        <v>1</v>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3" t="inlineStr">
        <is>
          <t>지적도상 구거에 접해있어 도로 개설 등 활용성 있는 계획관리 저렴 토지</t>
        </is>
      </c>
      <c r="I4324" s="5">
        <f>HYPERLINK("https://fin.land.naver.com/articles/2647768890", "매물Link")</f>
        <v/>
      </c>
      <c r="J4324" s="5">
        <f>HYPERLINK("https://map.naver.com/p/search/장군면 평기리 220-3", "지도Link")</f>
        <v/>
      </c>
      <c r="K4324" s="5">
        <f>HYPERLINK("http://www.eum.go.kr/web/ar/lu/luLandDet.jsp?pnu=3611035022102200003&amp;isNoScr=script&amp;mode=search", "토지이음")</f>
        <v/>
      </c>
      <c r="L4324" s="3" t="inlineStr">
        <is>
          <t>온뜰</t>
        </is>
      </c>
      <c r="M4324" s="3" t="n">
        <v>1</v>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3" t="inlineStr">
        <is>
          <t>도로접 계획관리지역 조망권뷰 최상 다목적용도 가능,투자용 추천</t>
        </is>
      </c>
      <c r="I4325" s="5">
        <f>HYPERLINK("https://fin.land.naver.com/articles/2647377164", "매물Link")</f>
        <v/>
      </c>
      <c r="J4325" s="5">
        <f>HYPERLINK("https://map.naver.com/p/search/장군면 평기리 220-7", "지도Link")</f>
        <v/>
      </c>
      <c r="K4325" s="5">
        <f>HYPERLINK("http://www.eum.go.kr/web/ar/lu/luLandDet.jsp?pnu=3611035022102200007&amp;isNoScr=script&amp;mode=search", "토지이음")</f>
        <v/>
      </c>
      <c r="L4325" s="3" t="inlineStr">
        <is>
          <t>고운맘</t>
        </is>
      </c>
      <c r="M4325" s="3" t="n">
        <v>1</v>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3" t="inlineStr">
        <is>
          <t>장군면 귀한 계획관리 토지</t>
        </is>
      </c>
      <c r="I4326" s="5">
        <f>HYPERLINK("https://fin.land.naver.com/articles/2646626074", "매물Link")</f>
        <v/>
      </c>
      <c r="J4326" s="5">
        <f>HYPERLINK("https://map.naver.com/p/search/장군면 평기리 227-2", "지도Link")</f>
        <v/>
      </c>
      <c r="K4326" s="5">
        <f>HYPERLINK("http://www.eum.go.kr/web/ar/lu/luLandDet.jsp?pnu=3611035022102270002&amp;isNoScr=script&amp;mode=search", "토지이음")</f>
        <v/>
      </c>
      <c r="L4326" s="3" t="inlineStr">
        <is>
          <t>새땅</t>
        </is>
      </c>
      <c r="M4326" s="3" t="n">
        <v>1</v>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3" t="inlineStr">
        <is>
          <t>평기리 다용도 활용이 가능한 계획관리지역 토지 매매</t>
        </is>
      </c>
      <c r="I4327" s="5">
        <f>HYPERLINK("https://fin.land.naver.com/articles/2644709335", "매물Link")</f>
        <v/>
      </c>
      <c r="J4327" s="5">
        <f>HYPERLINK("https://map.naver.com/p/search/장군면 평기리 265-20", "지도Link")</f>
        <v/>
      </c>
      <c r="K4327" s="5">
        <f>HYPERLINK("http://www.eum.go.kr/web/ar/lu/luLandDet.jsp?pnu=3611035022102650020&amp;isNoScr=script&amp;mode=search", "토지이음")</f>
        <v/>
      </c>
      <c r="L4327" s="3" t="inlineStr">
        <is>
          <t>한화타운</t>
        </is>
      </c>
      <c r="M4327" s="3" t="n">
        <v>1</v>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3" t="inlineStr">
        <is>
          <t>세종 장군면 평기리 단독주택 부지로 검토할 임야</t>
        </is>
      </c>
      <c r="I4328" s="5">
        <f>HYPERLINK("https://fin.land.naver.com/articles/2649748814", "매물Link")</f>
        <v/>
      </c>
      <c r="J4328" s="5">
        <f>HYPERLINK("https://map.naver.com/p/search/장군면 평기리 288-36", "지도Link")</f>
        <v/>
      </c>
      <c r="K4328" s="5">
        <f>HYPERLINK("http://www.eum.go.kr/web/ar/lu/luLandDet.jsp?pnu=3611035022102880036&amp;isNoScr=script&amp;mode=search", "토지이음")</f>
        <v/>
      </c>
      <c r="L4328" s="3" t="inlineStr">
        <is>
          <t>세종몽땅</t>
        </is>
      </c>
      <c r="M4328" s="3" t="n">
        <v>1</v>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3" t="inlineStr">
        <is>
          <t>장군면 평기리 잘조성된 전원주택지</t>
        </is>
      </c>
      <c r="I4329" s="5">
        <f>HYPERLINK("https://fin.land.naver.com/articles/2645840879", "매물Link")</f>
        <v/>
      </c>
      <c r="J4329" s="5">
        <f>HYPERLINK("https://map.naver.com/p/search/장군면 평기리 288-39", "지도Link")</f>
        <v/>
      </c>
      <c r="K4329" s="5">
        <f>HYPERLINK("http://www.eum.go.kr/web/ar/lu/luLandDet.jsp?pnu=3611035022102880039&amp;isNoScr=script&amp;mode=search", "토지이음")</f>
        <v/>
      </c>
      <c r="L4329" s="3" t="inlineStr">
        <is>
          <t>세종천지</t>
        </is>
      </c>
      <c r="M4329" s="3" t="n">
        <v>1</v>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3" t="inlineStr">
        <is>
          <t>세종시행복도시 고운동에서 10분거리 위치 좋고, 뷰 좋아요.</t>
        </is>
      </c>
      <c r="I4330" s="5">
        <f>HYPERLINK("https://fin.land.naver.com/articles/2649778512", "매물Link")</f>
        <v/>
      </c>
      <c r="J4330" s="5">
        <f>HYPERLINK("https://map.naver.com/p/search/장군면 평기리 288-57", "지도Link")</f>
        <v/>
      </c>
      <c r="K4330" s="5">
        <f>HYPERLINK("http://www.eum.go.kr/web/ar/lu/luLandDet.jsp?pnu=3611035022102880057&amp;isNoScr=script&amp;mode=search", "토지이음")</f>
        <v/>
      </c>
      <c r="L4330" s="3" t="inlineStr">
        <is>
          <t>세종올리브</t>
        </is>
      </c>
      <c r="M4330" s="3" t="n">
        <v>1</v>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3" t="inlineStr">
        <is>
          <t>투자용, 대토용, 가격조정가능</t>
        </is>
      </c>
      <c r="I4331" s="5">
        <f>HYPERLINK("https://fin.land.naver.com/articles/2648500264", "매물Link")</f>
        <v/>
      </c>
      <c r="J4331" s="5">
        <f>HYPERLINK("https://map.naver.com/p/search/장군면 평기리 303-1", "지도Link")</f>
        <v/>
      </c>
      <c r="K4331" s="5">
        <f>HYPERLINK("http://www.eum.go.kr/web/ar/lu/luLandDet.jsp?pnu=3611035022103030001&amp;isNoScr=script&amp;mode=search", "토지이음")</f>
        <v/>
      </c>
      <c r="L4331" s="3" t="inlineStr">
        <is>
          <t>고운동리치세종</t>
        </is>
      </c>
      <c r="M4331" s="3" t="n">
        <v>1</v>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3" t="inlineStr">
        <is>
          <t>소규모 농지 취득용, 
신설 세종IC ~ 대전 안산동 방면 외곽도로 계</t>
        </is>
      </c>
      <c r="I4332" s="5">
        <f>HYPERLINK("https://fin.land.naver.com/articles/2648042322", "매물Link")</f>
        <v/>
      </c>
      <c r="J4332" s="5">
        <f>HYPERLINK("https://map.naver.com/p/search/장군면 평기리 349-4", "지도Link")</f>
        <v/>
      </c>
      <c r="K4332" s="5">
        <f>HYPERLINK("http://www.eum.go.kr/web/ar/lu/luLandDet.jsp?pnu=3611035022103490004&amp;isNoScr=script&amp;mode=search", "토지이음")</f>
        <v/>
      </c>
      <c r="L4332" s="3" t="inlineStr">
        <is>
          <t>대박</t>
        </is>
      </c>
      <c r="M4332" s="3" t="n">
        <v>1</v>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3" t="inlineStr">
        <is>
          <t>2차선 도로 옆 계획관리지역</t>
        </is>
      </c>
      <c r="I4333" s="5">
        <f>HYPERLINK("https://fin.land.naver.com/articles/2646892821", "매물Link")</f>
        <v/>
      </c>
      <c r="J4333" s="5">
        <f>HYPERLINK("https://map.naver.com/p/search/장군면 평기리 353-62", "지도Link")</f>
        <v/>
      </c>
      <c r="K4333" s="5">
        <f>HYPERLINK("http://www.eum.go.kr/web/ar/lu/luLandDet.jsp?pnu=3611035022103530062&amp;isNoScr=script&amp;mode=search", "토지이음")</f>
        <v/>
      </c>
      <c r="L4333" s="3" t="inlineStr">
        <is>
          <t>강아지풀</t>
        </is>
      </c>
      <c r="M4333" s="3" t="n">
        <v>1</v>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3" t="inlineStr">
        <is>
          <t>세종IC 인근 평기리 2차선변 저렴한 계획관리 토지 매매</t>
        </is>
      </c>
      <c r="I4334" s="5">
        <f>HYPERLINK("https://fin.land.naver.com/articles/2647163716", "매물Link")</f>
        <v/>
      </c>
      <c r="J4334" s="5">
        <f>HYPERLINK("https://map.naver.com/p/search/장군면 평기리 353-65", "지도Link")</f>
        <v/>
      </c>
      <c r="K4334" s="5">
        <f>HYPERLINK("http://www.eum.go.kr/web/ar/lu/luLandDet.jsp?pnu=3611035022103530065&amp;isNoScr=script&amp;mode=search", "토지이음")</f>
        <v/>
      </c>
      <c r="L4334" s="3" t="inlineStr">
        <is>
          <t>뉴스카이</t>
        </is>
      </c>
      <c r="M4334" s="3" t="n">
        <v>1</v>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3" t="inlineStr">
        <is>
          <t>장군면 평기리 2차선변 계획관리 토지, 근생시설 및 창고 등, 용암JC</t>
        </is>
      </c>
      <c r="I4335" s="5">
        <f>HYPERLINK("https://fin.land.naver.com/articles/2648742558", "매물Link")</f>
        <v/>
      </c>
      <c r="J4335" s="5">
        <f>HYPERLINK("https://map.naver.com/p/search/장군면 평기리 353-65", "지도Link")</f>
        <v/>
      </c>
      <c r="K4335" s="5">
        <f>HYPERLINK("http://www.eum.go.kr/web/ar/lu/luLandDet.jsp?pnu=3611035022103530065&amp;isNoScr=script&amp;mode=search", "토지이음")</f>
        <v/>
      </c>
      <c r="L4335" s="3" t="inlineStr">
        <is>
          <t>스카이</t>
        </is>
      </c>
      <c r="M4335" s="3" t="n">
        <v>1</v>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3" t="inlineStr">
        <is>
          <t>과수원과 대지 2필지입니다. 전원주택, 세컨하우스로 좋습니다</t>
        </is>
      </c>
      <c r="I4336" s="5">
        <f>HYPERLINK("https://fin.land.naver.com/articles/2645605353", "매물Link")</f>
        <v/>
      </c>
      <c r="J4336" s="5">
        <f>HYPERLINK("https://map.naver.com/p/search/장군면 평기리 39", "지도Link")</f>
        <v/>
      </c>
      <c r="K4336" s="5">
        <f>HYPERLINK("http://www.eum.go.kr/web/ar/lu/luLandDet.jsp?pnu=3611035022100390000&amp;isNoScr=script&amp;mode=search", "토지이음")</f>
        <v/>
      </c>
      <c r="L4336" s="3" t="inlineStr">
        <is>
          <t>미스터홈즈강남지사</t>
        </is>
      </c>
      <c r="M4336" s="3" t="n">
        <v>1</v>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3" t="inlineStr">
        <is>
          <t>평기리에 위치한 전원주택 건축가능한 부지</t>
        </is>
      </c>
      <c r="I4337" s="5">
        <f>HYPERLINK("https://fin.land.naver.com/articles/2645980539", "매물Link")</f>
        <v/>
      </c>
      <c r="J4337" s="5">
        <f>HYPERLINK("https://map.naver.com/p/search/장군면 평기리 39", "지도Link")</f>
        <v/>
      </c>
      <c r="K4337" s="5">
        <f>HYPERLINK("http://www.eum.go.kr/web/ar/lu/luLandDet.jsp?pnu=3611035022100390000&amp;isNoScr=script&amp;mode=search", "토지이음")</f>
        <v/>
      </c>
      <c r="L4337" s="3" t="inlineStr">
        <is>
          <t>리슈빌대주</t>
        </is>
      </c>
      <c r="M4337" s="3" t="n">
        <v>1</v>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3" t="inlineStr">
        <is>
          <t>nan</t>
        </is>
      </c>
      <c r="I4338" s="5">
        <f>HYPERLINK("https://fin.land.naver.com/articles/2648371544", "매물Link")</f>
        <v/>
      </c>
      <c r="J4338" s="5">
        <f>HYPERLINK("https://map.naver.com/p/search/장군면 평기리 39-6", "지도Link")</f>
        <v/>
      </c>
      <c r="K4338" s="5">
        <f>HYPERLINK("http://www.eum.go.kr/web/ar/lu/luLandDet.jsp?pnu=3611035022100390006&amp;isNoScr=script&amp;mode=search", "토지이음")</f>
        <v/>
      </c>
      <c r="L4338" s="3" t="inlineStr">
        <is>
          <t>돈방석</t>
        </is>
      </c>
      <c r="M4338" s="3" t="n">
        <v>1</v>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3" t="inlineStr">
        <is>
          <t>세종시인근 전원주택지</t>
        </is>
      </c>
      <c r="I4339" s="5">
        <f>HYPERLINK("https://fin.land.naver.com/articles/2648156783", "매물Link")</f>
        <v/>
      </c>
      <c r="J4339" s="5">
        <f>HYPERLINK("https://map.naver.com/p/search/장군면 평기리 산35", "지도Link")</f>
        <v/>
      </c>
      <c r="K4339" s="5">
        <f>HYPERLINK("http://www.eum.go.kr/web/ar/lu/luLandDet.jsp?pnu=3611035022200350000&amp;isNoScr=script&amp;mode=search", "토지이음")</f>
        <v/>
      </c>
      <c r="L4339" s="3" t="inlineStr">
        <is>
          <t>그린</t>
        </is>
      </c>
      <c r="M4339" s="3" t="n">
        <v>1</v>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3" t="inlineStr">
        <is>
          <t>장군면 평기리 임야 1000p  매매</t>
        </is>
      </c>
      <c r="I4340" s="5">
        <f>HYPERLINK("https://fin.land.naver.com/articles/2648387587", "매물Link")</f>
        <v/>
      </c>
      <c r="J4340" s="5">
        <f>HYPERLINK("https://map.naver.com/p/search/장군면 평기리 산42-91", "지도Link")</f>
        <v/>
      </c>
      <c r="K4340" s="5">
        <f>HYPERLINK("http://www.eum.go.kr/web/ar/lu/luLandDet.jsp?pnu=3611035022200420091&amp;isNoScr=script&amp;mode=search", "토지이음")</f>
        <v/>
      </c>
      <c r="L4340" s="3" t="inlineStr">
        <is>
          <t>명학아너비즈</t>
        </is>
      </c>
      <c r="M4340" s="3" t="n">
        <v>1</v>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3" t="inlineStr">
        <is>
          <t>근린생활시설 건축허가 득한 계획관리지역의 전을 급매합니다</t>
        </is>
      </c>
      <c r="I4341" s="5">
        <f>HYPERLINK("https://fin.land.naver.com/articles/2643957856", "매물Link")</f>
        <v/>
      </c>
      <c r="J4341" s="5">
        <f>HYPERLINK("https://map.naver.com/p/search/장군면 하봉리 115", "지도Link")</f>
        <v/>
      </c>
      <c r="K4341" s="5">
        <f>HYPERLINK("http://www.eum.go.kr/web/ar/lu/luLandDet.jsp?pnu=3611035026101150000&amp;isNoScr=script&amp;mode=search", "토지이음")</f>
        <v/>
      </c>
      <c r="L4341" s="3" t="inlineStr">
        <is>
          <t>스마일세종</t>
        </is>
      </c>
      <c r="M4341" s="3" t="n">
        <v>1</v>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3" t="inlineStr">
        <is>
          <t>장군면 하봉리 마을안길에 접한 경사도 완만한 계획관리지역의 토임</t>
        </is>
      </c>
      <c r="I4342" s="5">
        <f>HYPERLINK("https://fin.land.naver.com/articles/2644641577", "매물Link")</f>
        <v/>
      </c>
      <c r="J4342" s="5">
        <f>HYPERLINK("https://map.naver.com/p/search/장군면 하봉리 118-12", "지도Link")</f>
        <v/>
      </c>
      <c r="K4342" s="5">
        <f>HYPERLINK("http://www.eum.go.kr/web/ar/lu/luLandDet.jsp?pnu=3611035026101180012&amp;isNoScr=script&amp;mode=search", "토지이음")</f>
        <v/>
      </c>
      <c r="L4342" s="3" t="inlineStr">
        <is>
          <t>스마일세종</t>
        </is>
      </c>
      <c r="M4342" s="3" t="n">
        <v>1</v>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3" t="inlineStr">
        <is>
          <t>서세종IC ,하봉교차로 인근,도로접 계획관리,근생 및 창고추천</t>
        </is>
      </c>
      <c r="I4343" s="5">
        <f>HYPERLINK("https://fin.land.naver.com/articles/2646076655", "매물Link")</f>
        <v/>
      </c>
      <c r="J4343" s="5">
        <f>HYPERLINK("https://map.naver.com/p/search/장군면 하봉리 147", "지도Link")</f>
        <v/>
      </c>
      <c r="K4343" s="5">
        <f>HYPERLINK("http://www.eum.go.kr/web/ar/lu/luLandDet.jsp?pnu=3611035026101470000&amp;isNoScr=script&amp;mode=search", "토지이음")</f>
        <v/>
      </c>
      <c r="L4343" s="3" t="inlineStr">
        <is>
          <t>광장</t>
        </is>
      </c>
      <c r="M4343" s="3" t="n">
        <v>4</v>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3" t="inlineStr">
        <is>
          <t>교회, 기도원, 요양시설, 작품작업장,캠핑장으로 추천</t>
        </is>
      </c>
      <c r="I4344" s="5">
        <f>HYPERLINK("https://fin.land.naver.com/articles/2646912256", "매물Link")</f>
        <v/>
      </c>
      <c r="J4344" s="5">
        <f>HYPERLINK("https://map.naver.com/p/search/장군면 하봉리 163", "지도Link")</f>
        <v/>
      </c>
      <c r="K4344" s="5">
        <f>HYPERLINK("http://www.eum.go.kr/web/ar/lu/luLandDet.jsp?pnu=3611035026101630000&amp;isNoScr=script&amp;mode=search", "토지이음")</f>
        <v/>
      </c>
      <c r="L4344" s="3" t="inlineStr">
        <is>
          <t>고운동리치세종</t>
        </is>
      </c>
      <c r="M4344" s="3" t="n">
        <v>1</v>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3" t="inlineStr">
        <is>
          <t>세종신도심 10분거리, 계획관리, 주택있음</t>
        </is>
      </c>
      <c r="I4345" s="5">
        <f>HYPERLINK("https://fin.land.naver.com/articles/2647329314", "매물Link")</f>
        <v/>
      </c>
      <c r="J4345" s="5">
        <f>HYPERLINK("https://map.naver.com/p/search/장군면 하봉리 163-4", "지도Link")</f>
        <v/>
      </c>
      <c r="K4345" s="5">
        <f>HYPERLINK("http://www.eum.go.kr/web/ar/lu/luLandDet.jsp?pnu=3611035026101630004&amp;isNoScr=script&amp;mode=search", "토지이음")</f>
        <v/>
      </c>
      <c r="L4345" s="3" t="inlineStr">
        <is>
          <t>이담</t>
        </is>
      </c>
      <c r="M4345" s="3" t="n">
        <v>2</v>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3" t="inlineStr">
        <is>
          <t>농림지역 답, 대토추천, 도로접, 하봉저수지인근, 서세종IC 1km이내</t>
        </is>
      </c>
      <c r="I4346" s="5">
        <f>HYPERLINK("https://fin.land.naver.com/articles/2649916841", "매물Link")</f>
        <v/>
      </c>
      <c r="J4346" s="5">
        <f>HYPERLINK("https://map.naver.com/p/search/장군면 하봉리 193", "지도Link")</f>
        <v/>
      </c>
      <c r="K4346" s="5">
        <f>HYPERLINK("http://www.eum.go.kr/web/ar/lu/luLandDet.jsp?pnu=3611035026101930000&amp;isNoScr=script&amp;mode=search", "토지이음")</f>
        <v/>
      </c>
      <c r="L4346" s="3" t="inlineStr">
        <is>
          <t>미스터홈즈강남지사</t>
        </is>
      </c>
      <c r="M4346" s="3" t="n">
        <v>1</v>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3" t="inlineStr">
        <is>
          <t>개발 될 토지</t>
        </is>
      </c>
      <c r="I4347" s="5">
        <f>HYPERLINK("https://fin.land.naver.com/articles/2646836559", "매물Link")</f>
        <v/>
      </c>
      <c r="J4347" s="5">
        <f>HYPERLINK("https://map.naver.com/p/search/장군면 하봉리 195", "지도Link")</f>
        <v/>
      </c>
      <c r="K4347" s="5">
        <f>HYPERLINK("http://www.eum.go.kr/web/ar/lu/luLandDet.jsp?pnu=3611035026101950000&amp;isNoScr=script&amp;mode=search", "토지이음")</f>
        <v/>
      </c>
      <c r="L4347" s="3" t="inlineStr">
        <is>
          <t>새땅</t>
        </is>
      </c>
      <c r="M4347" s="3" t="n">
        <v>1</v>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3" t="inlineStr">
        <is>
          <t>세종시 장군면 하봉리 토지</t>
        </is>
      </c>
      <c r="I4348" s="5">
        <f>HYPERLINK("https://fin.land.naver.com/articles/2645111169", "매물Link")</f>
        <v/>
      </c>
      <c r="J4348" s="5">
        <f>HYPERLINK("https://map.naver.com/p/search/장군면 하봉리 233-3", "지도Link")</f>
        <v/>
      </c>
      <c r="K4348" s="5">
        <f>HYPERLINK("http://www.eum.go.kr/web/ar/lu/luLandDet.jsp?pnu=3611035026102330003&amp;isNoScr=script&amp;mode=search", "토지이음")</f>
        <v/>
      </c>
      <c r="L4348" s="3" t="inlineStr">
        <is>
          <t>마스터</t>
        </is>
      </c>
      <c r="M4348" s="3" t="n">
        <v>1</v>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3" t="inlineStr">
        <is>
          <t>하봉저수지앞 시유지340p접함 조율협의가능</t>
        </is>
      </c>
      <c r="I4349" s="5">
        <f>HYPERLINK("https://fin.land.naver.com/articles/2645721360", "매물Link")</f>
        <v/>
      </c>
      <c r="J4349" s="5">
        <f>HYPERLINK("https://map.naver.com/p/search/장군면 하봉리 240-1", "지도Link")</f>
        <v/>
      </c>
      <c r="K4349" s="5">
        <f>HYPERLINK("http://www.eum.go.kr/web/ar/lu/luLandDet.jsp?pnu=3611035026102400001&amp;isNoScr=script&amp;mode=search", "토지이음")</f>
        <v/>
      </c>
      <c r="L4349" s="3" t="inlineStr">
        <is>
          <t>세종스타</t>
        </is>
      </c>
      <c r="M4349" s="3" t="n">
        <v>2</v>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3" t="inlineStr">
        <is>
          <t>송선동현지구 인근 계획관리지역의 전으로 마을포장도로에 접한 투자용 토지</t>
        </is>
      </c>
      <c r="I4350" s="5">
        <f>HYPERLINK("https://fin.land.naver.com/articles/2647888623", "매물Link")</f>
        <v/>
      </c>
      <c r="J4350" s="5">
        <f>HYPERLINK("https://map.naver.com/p/search/장군면 하봉리 255", "지도Link")</f>
        <v/>
      </c>
      <c r="K4350" s="5">
        <f>HYPERLINK("http://www.eum.go.kr/web/ar/lu/luLandDet.jsp?pnu=3611035026102550000&amp;isNoScr=script&amp;mode=search", "토지이음")</f>
        <v/>
      </c>
      <c r="L4350" s="3" t="inlineStr">
        <is>
          <t>스마일세종</t>
        </is>
      </c>
      <c r="M4350" s="3" t="n">
        <v>1</v>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3" t="inlineStr">
        <is>
          <t>포장도로, 바로 건축가능, 직접보시면 더 좋아요</t>
        </is>
      </c>
      <c r="I4351" s="5">
        <f>HYPERLINK("https://fin.land.naver.com/articles/2646362964", "매물Link")</f>
        <v/>
      </c>
      <c r="J4351" s="5">
        <f>HYPERLINK("https://map.naver.com/p/search/장군면 하봉리 296-24", "지도Link")</f>
        <v/>
      </c>
      <c r="K4351" s="5">
        <f>HYPERLINK("http://www.eum.go.kr/web/ar/lu/luLandDet.jsp?pnu=3611035026102960024&amp;isNoScr=script&amp;mode=search", "토지이음")</f>
        <v/>
      </c>
      <c r="L4351" s="3" t="inlineStr">
        <is>
          <t>리브</t>
        </is>
      </c>
      <c r="M4351" s="3" t="n">
        <v>1</v>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3" t="inlineStr">
        <is>
          <t>서세종IC 7분거리,세종시 장군면 전원주택 용지 매매</t>
        </is>
      </c>
      <c r="I4352" s="5">
        <f>HYPERLINK("https://fin.land.naver.com/articles/2644244228", "매물Link")</f>
        <v/>
      </c>
      <c r="J4352" s="5">
        <f>HYPERLINK("https://map.naver.com/p/search/장군면 하봉리 296-34", "지도Link")</f>
        <v/>
      </c>
      <c r="K4352" s="5">
        <f>HYPERLINK("http://www.eum.go.kr/web/ar/lu/luLandDet.jsp?pnu=3611035026102960034&amp;isNoScr=script&amp;mode=search", "토지이음")</f>
        <v/>
      </c>
      <c r="L4352" s="3" t="inlineStr">
        <is>
          <t>SK랜드</t>
        </is>
      </c>
      <c r="M4352" s="3" t="n">
        <v>1</v>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3" t="inlineStr">
        <is>
          <t>개발하기 좋은 위치에 넓은 토지, 공주 송선 동현지구 인근</t>
        </is>
      </c>
      <c r="I4353" s="5">
        <f>HYPERLINK("https://fin.land.naver.com/articles/2648569841", "매물Link")</f>
        <v/>
      </c>
      <c r="J4353" s="5">
        <f>HYPERLINK("https://map.naver.com/p/search/장군면 하봉리 296-34", "지도Link")</f>
        <v/>
      </c>
      <c r="K4353" s="5">
        <f>HYPERLINK("http://www.eum.go.kr/web/ar/lu/luLandDet.jsp?pnu=3611035026102960034&amp;isNoScr=script&amp;mode=search", "토지이음")</f>
        <v/>
      </c>
      <c r="L4353" s="3" t="inlineStr">
        <is>
          <t>(주)미르</t>
        </is>
      </c>
      <c r="M4353" s="3" t="n">
        <v>1</v>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3" t="inlineStr">
        <is>
          <t>nan</t>
        </is>
      </c>
      <c r="I4354" s="5">
        <f>HYPERLINK("https://fin.land.naver.com/articles/2644075518", "매물Link")</f>
        <v/>
      </c>
      <c r="J4354" s="5">
        <f>HYPERLINK("https://map.naver.com/p/search/장군면 하봉리 300-6", "지도Link")</f>
        <v/>
      </c>
      <c r="K4354" s="5">
        <f>HYPERLINK("http://www.eum.go.kr/web/ar/lu/luLandDet.jsp?pnu=3611035026103000006&amp;isNoScr=script&amp;mode=search", "토지이음")</f>
        <v/>
      </c>
      <c r="L4354" s="3" t="inlineStr">
        <is>
          <t>고운하임</t>
        </is>
      </c>
      <c r="M4354" s="3" t="n">
        <v>1</v>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3" t="inlineStr">
        <is>
          <t>2차선 도로와 연접 무엇을 해도 좋을 자리 향후 전망 좋은 곳</t>
        </is>
      </c>
      <c r="I4355" s="5">
        <f>HYPERLINK("https://fin.land.naver.com/articles/2646696702", "매물Link")</f>
        <v/>
      </c>
      <c r="J4355" s="5">
        <f>HYPERLINK("https://map.naver.com/p/search/장군면 하봉리 310", "지도Link")</f>
        <v/>
      </c>
      <c r="K4355" s="5">
        <f>HYPERLINK("http://www.eum.go.kr/web/ar/lu/luLandDet.jsp?pnu=3611035026103100000&amp;isNoScr=script&amp;mode=search", "토지이음")</f>
        <v/>
      </c>
      <c r="L4355" s="3" t="inlineStr">
        <is>
          <t>세종공주원탑</t>
        </is>
      </c>
      <c r="M4355" s="3" t="n">
        <v>1</v>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3" t="inlineStr">
        <is>
          <t>진.출입 원활 계획관리지역 무엇을 해도 좋을 자리</t>
        </is>
      </c>
      <c r="I4356" s="5">
        <f>HYPERLINK("https://fin.land.naver.com/articles/2649528289", "매물Link")</f>
        <v/>
      </c>
      <c r="J4356" s="5">
        <f>HYPERLINK("https://map.naver.com/p/search/장군면 하봉리 34-3", "지도Link")</f>
        <v/>
      </c>
      <c r="K4356" s="5">
        <f>HYPERLINK("http://www.eum.go.kr/web/ar/lu/luLandDet.jsp?pnu=3611035026100340003&amp;isNoScr=script&amp;mode=search", "토지이음")</f>
        <v/>
      </c>
      <c r="L4356" s="3" t="inlineStr">
        <is>
          <t>세종공주원탑</t>
        </is>
      </c>
      <c r="M4356" s="3" t="n">
        <v>1</v>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3" t="inlineStr">
        <is>
          <t>장군면 하봉리 구거 옆 계획관리 토지, 장군면 소재지, 서세종IC 인근</t>
        </is>
      </c>
      <c r="I4357" s="5">
        <f>HYPERLINK("https://fin.land.naver.com/articles/2645715694", "매물Link")</f>
        <v/>
      </c>
      <c r="J4357" s="5">
        <f>HYPERLINK("https://map.naver.com/p/search/장군면 하봉리 36", "지도Link")</f>
        <v/>
      </c>
      <c r="K4357" s="5">
        <f>HYPERLINK("http://www.eum.go.kr/web/ar/lu/luLandDet.jsp?pnu=3611035026100360000&amp;isNoScr=script&amp;mode=search", "토지이음")</f>
        <v/>
      </c>
      <c r="L4357" s="3" t="inlineStr">
        <is>
          <t>스카이</t>
        </is>
      </c>
      <c r="M4357" s="3" t="n">
        <v>1</v>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3" t="inlineStr">
        <is>
          <t>급매, 도로에 접한 계획관리지역, 카페, 사무실, 창고,식당등</t>
        </is>
      </c>
      <c r="I4358" s="5">
        <f>HYPERLINK("https://fin.land.naver.com/articles/2645701604", "매물Link")</f>
        <v/>
      </c>
      <c r="J4358" s="5">
        <f>HYPERLINK("https://map.naver.com/p/search/장군면 하봉리 37-20", "지도Link")</f>
        <v/>
      </c>
      <c r="K4358" s="5">
        <f>HYPERLINK("http://www.eum.go.kr/web/ar/lu/luLandDet.jsp?pnu=3611035026100370020&amp;isNoScr=script&amp;mode=search", "토지이음")</f>
        <v/>
      </c>
      <c r="L4358" s="3" t="inlineStr">
        <is>
          <t>다정</t>
        </is>
      </c>
      <c r="M4358" s="3" t="n">
        <v>2</v>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3" t="inlineStr">
        <is>
          <t>IC 인접, 세종 및 공주 이동 편리한 계획관리 임야</t>
        </is>
      </c>
      <c r="I4359" s="5">
        <f>HYPERLINK("https://fin.land.naver.com/articles/2647425757", "매물Link")</f>
        <v/>
      </c>
      <c r="J4359" s="5">
        <f>HYPERLINK("https://map.naver.com/p/search/장군면 하봉리 37-20", "지도Link")</f>
        <v/>
      </c>
      <c r="K4359" s="5">
        <f>HYPERLINK("http://www.eum.go.kr/web/ar/lu/luLandDet.jsp?pnu=3611035026100370020&amp;isNoScr=script&amp;mode=search", "토지이음")</f>
        <v/>
      </c>
      <c r="L4359" s="3" t="inlineStr">
        <is>
          <t>세종소담황금</t>
        </is>
      </c>
      <c r="M4359" s="3" t="n">
        <v>2</v>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3" t="inlineStr">
        <is>
          <t>서세종ic 5분거리 창고적지</t>
        </is>
      </c>
      <c r="I4360" s="5">
        <f>HYPERLINK("https://fin.land.naver.com/articles/2650048015", "매물Link")</f>
        <v/>
      </c>
      <c r="J4360" s="5">
        <f>HYPERLINK("https://map.naver.com/p/search/장군면 하봉리 37-36", "지도Link")</f>
        <v/>
      </c>
      <c r="K4360" s="5">
        <f>HYPERLINK("http://www.eum.go.kr/web/ar/lu/luLandDet.jsp?pnu=3611035026100370036&amp;isNoScr=script&amp;mode=search", "토지이음")</f>
        <v/>
      </c>
      <c r="L4360" s="3" t="inlineStr">
        <is>
          <t>세종천지</t>
        </is>
      </c>
      <c r="M4360" s="3" t="n">
        <v>1</v>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3" t="inlineStr">
        <is>
          <t>서세종ic 5분 근생 창고 적지</t>
        </is>
      </c>
      <c r="I4361" s="5">
        <f>HYPERLINK("https://fin.land.naver.com/articles/2649103733", "매물Link")</f>
        <v/>
      </c>
      <c r="J4361" s="5">
        <f>HYPERLINK("https://map.naver.com/p/search/장군면 하봉리 37-77", "지도Link")</f>
        <v/>
      </c>
      <c r="K4361" s="5">
        <f>HYPERLINK("http://www.eum.go.kr/web/ar/lu/luLandDet.jsp?pnu=3611035026100370077&amp;isNoScr=script&amp;mode=search", "토지이음")</f>
        <v/>
      </c>
      <c r="L4361" s="3" t="inlineStr">
        <is>
          <t>세종천지</t>
        </is>
      </c>
      <c r="M4361" s="3" t="n">
        <v>1</v>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3" t="inlineStr">
        <is>
          <t>2차선변 토지</t>
        </is>
      </c>
      <c r="I4362" s="5">
        <f>HYPERLINK("https://fin.land.naver.com/articles/2646624883", "매물Link")</f>
        <v/>
      </c>
      <c r="J4362" s="5">
        <f>HYPERLINK("https://map.naver.com/p/search/장군면 하봉리 37-83", "지도Link")</f>
        <v/>
      </c>
      <c r="K4362" s="5">
        <f>HYPERLINK("http://www.eum.go.kr/web/ar/lu/luLandDet.jsp?pnu=3611035026100370083&amp;isNoScr=script&amp;mode=search", "토지이음")</f>
        <v/>
      </c>
      <c r="L4362" s="3" t="inlineStr">
        <is>
          <t>새땅</t>
        </is>
      </c>
      <c r="M4362" s="3" t="n">
        <v>1</v>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3" t="inlineStr">
        <is>
          <t>간선도로변 위치 최고</t>
        </is>
      </c>
      <c r="I4363" s="5">
        <f>HYPERLINK("https://fin.land.naver.com/articles/2646628091", "매물Link")</f>
        <v/>
      </c>
      <c r="J4363" s="5">
        <f>HYPERLINK("https://map.naver.com/p/search/장군면 하봉리 37-89", "지도Link")</f>
        <v/>
      </c>
      <c r="K4363" s="5">
        <f>HYPERLINK("http://www.eum.go.kr/web/ar/lu/luLandDet.jsp?pnu=3611035026100370089&amp;isNoScr=script&amp;mode=search", "토지이음")</f>
        <v/>
      </c>
      <c r="L4363" s="3" t="inlineStr">
        <is>
          <t>새땅</t>
        </is>
      </c>
      <c r="M4363" s="3" t="n">
        <v>2</v>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3" t="inlineStr">
        <is>
          <t>2차선변 자동차공업사, 대형쇼핑몰 추천</t>
        </is>
      </c>
      <c r="I4364" s="5">
        <f>HYPERLINK("https://fin.land.naver.com/articles/2649479266", "매물Link")</f>
        <v/>
      </c>
      <c r="J4364" s="5">
        <f>HYPERLINK("https://map.naver.com/p/search/장군면 하봉리 37-93", "지도Link")</f>
        <v/>
      </c>
      <c r="K4364" s="5">
        <f>HYPERLINK("http://www.eum.go.kr/web/ar/lu/luLandDet.jsp?pnu=3611035026100370093&amp;isNoScr=script&amp;mode=search", "토지이음")</f>
        <v/>
      </c>
      <c r="L4364" s="3" t="inlineStr">
        <is>
          <t>대박</t>
        </is>
      </c>
      <c r="M4364" s="3" t="n">
        <v>1</v>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3" t="inlineStr">
        <is>
          <t>nan</t>
        </is>
      </c>
      <c r="I4365" s="5">
        <f>HYPERLINK("https://fin.land.naver.com/articles/2648072334", "매물Link")</f>
        <v/>
      </c>
      <c r="J4365" s="5">
        <f>HYPERLINK("https://map.naver.com/p/search/장군면 하봉리 478-4", "지도Link")</f>
        <v/>
      </c>
      <c r="K4365" s="5">
        <f>HYPERLINK("http://www.eum.go.kr/web/ar/lu/luLandDet.jsp?pnu=3611035026104780004&amp;isNoScr=script&amp;mode=search", "토지이음")</f>
        <v/>
      </c>
      <c r="L4365" s="3" t="inlineStr">
        <is>
          <t>신우</t>
        </is>
      </c>
      <c r="M4365" s="3" t="n">
        <v>1</v>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3" t="inlineStr">
        <is>
          <t>농림지역 토지매매</t>
        </is>
      </c>
      <c r="I4366" s="5">
        <f>HYPERLINK("https://fin.land.naver.com/articles/2646414919", "매물Link")</f>
        <v/>
      </c>
      <c r="J4366" s="5">
        <f>HYPERLINK("https://map.naver.com/p/search/장군면 하봉리 479-11", "지도Link")</f>
        <v/>
      </c>
      <c r="K4366" s="5">
        <f>HYPERLINK("http://www.eum.go.kr/web/ar/lu/luLandDet.jsp?pnu=3611035026104790011&amp;isNoScr=script&amp;mode=search", "토지이음")</f>
        <v/>
      </c>
      <c r="L4366" s="3" t="inlineStr">
        <is>
          <t>에이스</t>
        </is>
      </c>
      <c r="M4366" s="3" t="n">
        <v>2</v>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3" t="inlineStr">
        <is>
          <t>계획관리지역의 농지로 포장도로에 접해있어 공장이나 창고부지로 적합한 토지</t>
        </is>
      </c>
      <c r="I4367" s="5">
        <f>HYPERLINK("https://fin.land.naver.com/articles/2645652111", "매물Link")</f>
        <v/>
      </c>
      <c r="J4367" s="5">
        <f>HYPERLINK("https://map.naver.com/p/search/장군면 하봉리 480-4", "지도Link")</f>
        <v/>
      </c>
      <c r="K4367" s="5">
        <f>HYPERLINK("http://www.eum.go.kr/web/ar/lu/luLandDet.jsp?pnu=3611035026104800004&amp;isNoScr=script&amp;mode=search", "토지이음")</f>
        <v/>
      </c>
      <c r="L4367" s="3" t="inlineStr">
        <is>
          <t>스마일세종</t>
        </is>
      </c>
      <c r="M4367" s="3" t="n">
        <v>1</v>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3" t="inlineStr">
        <is>
          <t>장군면 하봉리 계획관리지역의 마을안길 포장도로에 접한 투자용 토지</t>
        </is>
      </c>
      <c r="I4368" s="5">
        <f>HYPERLINK("https://fin.land.naver.com/articles/2646719263", "매물Link")</f>
        <v/>
      </c>
      <c r="J4368" s="5">
        <f>HYPERLINK("https://map.naver.com/p/search/장군면 하봉리 481-4", "지도Link")</f>
        <v/>
      </c>
      <c r="K4368" s="5">
        <f>HYPERLINK("http://www.eum.go.kr/web/ar/lu/luLandDet.jsp?pnu=3611035026104810004&amp;isNoScr=script&amp;mode=search", "토지이음")</f>
        <v/>
      </c>
      <c r="L4368" s="3" t="inlineStr">
        <is>
          <t>스마일세종</t>
        </is>
      </c>
      <c r="M4368" s="3" t="n">
        <v>3</v>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3" t="inlineStr">
        <is>
          <t>대토용으로 적극추천, 투자용으로도 좋습니다.</t>
        </is>
      </c>
      <c r="I4369" s="5">
        <f>HYPERLINK("https://fin.land.naver.com/articles/2645045023", "매물Link")</f>
        <v/>
      </c>
      <c r="J4369" s="5">
        <f>HYPERLINK("https://map.naver.com/p/search/장군면 하봉리 481-5", "지도Link")</f>
        <v/>
      </c>
      <c r="K4369" s="5">
        <f>HYPERLINK("http://www.eum.go.kr/web/ar/lu/luLandDet.jsp?pnu=3611035026104810005&amp;isNoScr=script&amp;mode=search", "토지이음")</f>
        <v/>
      </c>
      <c r="L4369" s="3" t="inlineStr">
        <is>
          <t>이담</t>
        </is>
      </c>
      <c r="M4369" s="3" t="n">
        <v>1</v>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3" t="inlineStr">
        <is>
          <t>nan</t>
        </is>
      </c>
      <c r="I4370" s="5">
        <f>HYPERLINK("https://fin.land.naver.com/articles/2649747747", "매물Link")</f>
        <v/>
      </c>
      <c r="J4370" s="5">
        <f>HYPERLINK("https://map.naver.com/p/search/장군면 하봉리 51-44", "지도Link")</f>
        <v/>
      </c>
      <c r="K4370" s="5">
        <f>HYPERLINK("http://www.eum.go.kr/web/ar/lu/luLandDet.jsp?pnu=3611035026100510044&amp;isNoScr=script&amp;mode=search", "토지이음")</f>
        <v/>
      </c>
      <c r="L4370" s="3" t="inlineStr">
        <is>
          <t>다정현대</t>
        </is>
      </c>
      <c r="M4370" s="3" t="n">
        <v>1</v>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3" t="inlineStr">
        <is>
          <t>nan</t>
        </is>
      </c>
      <c r="I4371" s="5">
        <f>HYPERLINK("https://fin.land.naver.com/articles/2646929539", "매물Link")</f>
        <v/>
      </c>
      <c r="J4371" s="5">
        <f>HYPERLINK("https://map.naver.com/p/search/장군면 하봉리 51-46", "지도Link")</f>
        <v/>
      </c>
      <c r="K4371" s="5">
        <f>HYPERLINK("http://www.eum.go.kr/web/ar/lu/luLandDet.jsp?pnu=3611035026100510046&amp;isNoScr=script&amp;mode=search", "토지이음")</f>
        <v/>
      </c>
      <c r="L4371" s="3" t="inlineStr">
        <is>
          <t>다정현대</t>
        </is>
      </c>
      <c r="M4371" s="3" t="n">
        <v>1</v>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3" t="inlineStr">
        <is>
          <t>계획관리이며 송선동개발지역 근접거리</t>
        </is>
      </c>
      <c r="I4372" s="5">
        <f>HYPERLINK("https://fin.land.naver.com/articles/2645285991", "매물Link")</f>
        <v/>
      </c>
      <c r="J4372" s="5">
        <f>HYPERLINK("https://map.naver.com/p/search/장군면 하봉리 538-1", "지도Link")</f>
        <v/>
      </c>
      <c r="K4372" s="5">
        <f>HYPERLINK("http://www.eum.go.kr/web/ar/lu/luLandDet.jsp?pnu=3611035026105380001&amp;isNoScr=script&amp;mode=search", "토지이음")</f>
        <v/>
      </c>
      <c r="L4372" s="3" t="inlineStr">
        <is>
          <t>윤앤강</t>
        </is>
      </c>
      <c r="M4372" s="3" t="n">
        <v>1</v>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3" t="inlineStr">
        <is>
          <t>nan</t>
        </is>
      </c>
      <c r="I4373" s="5">
        <f>HYPERLINK("https://fin.land.naver.com/articles/2644973842", "매물Link")</f>
        <v/>
      </c>
      <c r="J4373" s="5">
        <f>HYPERLINK("https://map.naver.com/p/search/장군면 하봉리 59", "지도Link")</f>
        <v/>
      </c>
      <c r="K4373" s="5">
        <f>HYPERLINK("http://www.eum.go.kr/web/ar/lu/luLandDet.jsp?pnu=3611035026100590000&amp;isNoScr=script&amp;mode=search", "토지이음")</f>
        <v/>
      </c>
      <c r="L4373" s="3" t="inlineStr">
        <is>
          <t>신우</t>
        </is>
      </c>
      <c r="M4373" s="3" t="n">
        <v>1</v>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3" t="inlineStr">
        <is>
          <t>서세종IC 인근 세종 장군면 교통광장 접한 성장관리계획 토지</t>
        </is>
      </c>
      <c r="I4374" s="5">
        <f>HYPERLINK("https://fin.land.naver.com/articles/2645143368", "매물Link")</f>
        <v/>
      </c>
      <c r="J4374" s="5">
        <f>HYPERLINK("https://map.naver.com/p/search/장군면 하봉리 88", "지도Link")</f>
        <v/>
      </c>
      <c r="K4374" s="5">
        <f>HYPERLINK("http://www.eum.go.kr/web/ar/lu/luLandDet.jsp?pnu=3611035026100880000&amp;isNoScr=script&amp;mode=search", "토지이음")</f>
        <v/>
      </c>
      <c r="L4374" s="3" t="inlineStr">
        <is>
          <t>대성오투그란데</t>
        </is>
      </c>
      <c r="M4374" s="3" t="n">
        <v>1</v>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3" t="inlineStr">
        <is>
          <t>nan</t>
        </is>
      </c>
      <c r="I4375" s="5">
        <f>HYPERLINK("https://fin.land.naver.com/articles/2646337409", "매물Link")</f>
        <v/>
      </c>
      <c r="J4375" s="5">
        <f>HYPERLINK("https://map.naver.com/p/search/장군면 하봉리 90-10", "지도Link")</f>
        <v/>
      </c>
      <c r="K4375" s="5">
        <f>HYPERLINK("http://www.eum.go.kr/web/ar/lu/luLandDet.jsp?pnu=3611035026100900010&amp;isNoScr=script&amp;mode=search", "토지이음")</f>
        <v/>
      </c>
      <c r="L4375" s="3" t="inlineStr">
        <is>
          <t>창고의여왕</t>
        </is>
      </c>
      <c r="M4375" s="3" t="n">
        <v>2</v>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3" t="inlineStr">
        <is>
          <t>전망 좋은 위치 도로 개설 완료 전기.수도 인입 수월한 대형 토지</t>
        </is>
      </c>
      <c r="I4376" s="5">
        <f>HYPERLINK("https://fin.land.naver.com/articles/2648830436", "매물Link")</f>
        <v/>
      </c>
      <c r="J4376" s="5">
        <f>HYPERLINK("https://map.naver.com/p/search/장군면 하봉리 산12-76", "지도Link")</f>
        <v/>
      </c>
      <c r="K4376" s="5">
        <f>HYPERLINK("http://www.eum.go.kr/web/ar/lu/luLandDet.jsp?pnu=3611035026200120076&amp;isNoScr=script&amp;mode=search", "토지이음")</f>
        <v/>
      </c>
      <c r="L4376" s="3" t="inlineStr">
        <is>
          <t>세종공주원탑</t>
        </is>
      </c>
      <c r="M4376" s="3" t="n">
        <v>1</v>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3" t="inlineStr">
        <is>
          <t>고속도로 인근에 있어 광고판 등으로 활용하면 좋은 경사도 완만한 임야</t>
        </is>
      </c>
      <c r="I4377" s="5">
        <f>HYPERLINK("https://fin.land.naver.com/articles/2645385547", "매물Link")</f>
        <v/>
      </c>
      <c r="J4377" s="5">
        <f>HYPERLINK("https://map.naver.com/p/search/장군면 하봉리 산4-25", "지도Link")</f>
        <v/>
      </c>
      <c r="K4377" s="5">
        <f>HYPERLINK("http://www.eum.go.kr/web/ar/lu/luLandDet.jsp?pnu=3611035026200040025&amp;isNoScr=script&amp;mode=search", "토지이음")</f>
        <v/>
      </c>
      <c r="L4377" s="3" t="inlineStr">
        <is>
          <t>스마일세종</t>
        </is>
      </c>
      <c r="M4377" s="3" t="n">
        <v>1</v>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3" t="inlineStr">
        <is>
          <t>주변에 택지조성을 잘 해놧어요.카페도 현재 영업중</t>
        </is>
      </c>
      <c r="I4378" s="5">
        <f>HYPERLINK("https://fin.land.naver.com/articles/2645206816", "매물Link")</f>
        <v/>
      </c>
      <c r="J4378" s="5">
        <f>HYPERLINK("https://map.naver.com/p/search/장군면 하봉리 산4-50", "지도Link")</f>
        <v/>
      </c>
      <c r="K4378" s="5">
        <f>HYPERLINK("http://www.eum.go.kr/web/ar/lu/luLandDet.jsp?pnu=3611035026200040050&amp;isNoScr=script&amp;mode=search", "토지이음")</f>
        <v/>
      </c>
      <c r="L4378" s="3" t="inlineStr">
        <is>
          <t>보람뜰</t>
        </is>
      </c>
      <c r="M4378" s="3" t="n">
        <v>1</v>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3" t="inlineStr">
        <is>
          <t>nan</t>
        </is>
      </c>
      <c r="I4379" s="5">
        <f>HYPERLINK("https://fin.land.naver.com/articles/2648476424", "매물Link")</f>
        <v/>
      </c>
      <c r="J4379" s="5">
        <f>HYPERLINK("https://map.naver.com/p/search/전동면 노장리 199-2", "지도Link")</f>
        <v/>
      </c>
      <c r="K4379" s="5">
        <f>HYPERLINK("http://www.eum.go.kr/web/ar/lu/luLandDet.jsp?pnu=3611038021101990002&amp;isNoScr=script&amp;mode=search", "토지이음")</f>
        <v/>
      </c>
      <c r="L4379" s="3" t="inlineStr">
        <is>
          <t>조이</t>
        </is>
      </c>
      <c r="M4379" s="3" t="n">
        <v>1</v>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3" t="inlineStr">
        <is>
          <t>계획관리지역 전답 일괄매매 주말농장 투자가능</t>
        </is>
      </c>
      <c r="I4380" s="5">
        <f>HYPERLINK("https://fin.land.naver.com/articles/2643980256", "매물Link")</f>
        <v/>
      </c>
      <c r="J4380" s="5">
        <f>HYPERLINK("https://map.naver.com/p/search/전동면 노장리 221", "지도Link")</f>
        <v/>
      </c>
      <c r="K4380" s="5">
        <f>HYPERLINK("http://www.eum.go.kr/web/ar/lu/luLandDet.jsp?pnu=3611038021102210000&amp;isNoScr=script&amp;mode=search", "토지이음")</f>
        <v/>
      </c>
      <c r="L4380" s="3" t="inlineStr">
        <is>
          <t>오송휴먼캐슬</t>
        </is>
      </c>
      <c r="M4380" s="3" t="n">
        <v>1</v>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3" t="inlineStr">
        <is>
          <t>노장리 상노장저수지인근 농지매매</t>
        </is>
      </c>
      <c r="I4381" s="5">
        <f>HYPERLINK("https://fin.land.naver.com/articles/2649663989", "매물Link")</f>
        <v/>
      </c>
      <c r="J4381" s="5">
        <f>HYPERLINK("https://map.naver.com/p/search/전동면 노장리 241", "지도Link")</f>
        <v/>
      </c>
      <c r="K4381" s="5">
        <f>HYPERLINK("http://www.eum.go.kr/web/ar/lu/luLandDet.jsp?pnu=3611038021102410000&amp;isNoScr=script&amp;mode=search", "토지이음")</f>
        <v/>
      </c>
      <c r="L4381" s="3" t="inlineStr">
        <is>
          <t>에이스</t>
        </is>
      </c>
      <c r="M4381" s="3" t="n">
        <v>1</v>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3" t="inlineStr">
        <is>
          <t>전동면 노장산업단지 계획관리 토지매매</t>
        </is>
      </c>
      <c r="I4382" s="5">
        <f>HYPERLINK("https://fin.land.naver.com/articles/2648084857", "매물Link")</f>
        <v/>
      </c>
      <c r="J4382" s="5">
        <f>HYPERLINK("https://map.naver.com/p/search/전동면 노장리 336", "지도Link")</f>
        <v/>
      </c>
      <c r="K4382" s="5">
        <f>HYPERLINK("http://www.eum.go.kr/web/ar/lu/luLandDet.jsp?pnu=3611038021103360000&amp;isNoScr=script&amp;mode=search", "토지이음")</f>
        <v/>
      </c>
      <c r="L4382" s="3" t="inlineStr">
        <is>
          <t>스타트</t>
        </is>
      </c>
      <c r="M4382" s="3" t="n">
        <v>1</v>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3" t="inlineStr">
        <is>
          <t>세종시 북부지역 교통요충지 입지한 토지로 현재 운전학원 운영중</t>
        </is>
      </c>
      <c r="I4383" s="5">
        <f>HYPERLINK("https://fin.land.naver.com/articles/2645606546", "매물Link")</f>
        <v/>
      </c>
      <c r="J4383" s="5">
        <f>HYPERLINK("https://map.naver.com/p/search/전동면 노장리 364", "지도Link")</f>
        <v/>
      </c>
      <c r="K4383" s="5">
        <f>HYPERLINK("http://www.eum.go.kr/web/ar/lu/luLandDet.jsp?pnu=3611038021103640000&amp;isNoScr=script&amp;mode=search", "토지이음")</f>
        <v/>
      </c>
      <c r="L4383" s="3" t="inlineStr">
        <is>
          <t>미스터홈즈강남지사</t>
        </is>
      </c>
      <c r="M4383" s="3" t="n">
        <v>1</v>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3" t="inlineStr">
        <is>
          <t>계획관리지역 답으로 투자가치 좋아요.</t>
        </is>
      </c>
      <c r="I4384" s="5">
        <f>HYPERLINK("https://fin.land.naver.com/articles/2648053328", "매물Link")</f>
        <v/>
      </c>
      <c r="J4384" s="5">
        <f>HYPERLINK("https://map.naver.com/p/search/전동면 노장리 366-1", "지도Link")</f>
        <v/>
      </c>
      <c r="K4384" s="5">
        <f>HYPERLINK("http://www.eum.go.kr/web/ar/lu/luLandDet.jsp?pnu=3611038021103660001&amp;isNoScr=script&amp;mode=search", "토지이음")</f>
        <v/>
      </c>
      <c r="L4384" s="3" t="inlineStr">
        <is>
          <t>마마</t>
        </is>
      </c>
      <c r="M4384" s="3" t="n">
        <v>1</v>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3" t="inlineStr">
        <is>
          <t>nan</t>
        </is>
      </c>
      <c r="I4385" s="5">
        <f>HYPERLINK("https://fin.land.naver.com/articles/2648230634", "매물Link")</f>
        <v/>
      </c>
      <c r="J4385" s="5">
        <f>HYPERLINK("https://map.naver.com/p/search/전동면 노장리 382-1", "지도Link")</f>
        <v/>
      </c>
      <c r="K4385" s="5">
        <f>HYPERLINK("http://www.eum.go.kr/web/ar/lu/luLandDet.jsp?pnu=3611038021103820001&amp;isNoScr=script&amp;mode=search", "토지이음")</f>
        <v/>
      </c>
      <c r="L4385" s="3" t="inlineStr">
        <is>
          <t>마마</t>
        </is>
      </c>
      <c r="M4385" s="3" t="n">
        <v>1</v>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3" t="inlineStr">
        <is>
          <t>전동일반산업단지 바로 옆 2차선 대로변</t>
        </is>
      </c>
      <c r="I4386" s="5">
        <f>HYPERLINK("https://fin.land.naver.com/articles/2645706481", "매물Link")</f>
        <v/>
      </c>
      <c r="J4386" s="5">
        <f>HYPERLINK("https://map.naver.com/p/search/전동면 노장리 471-1", "지도Link")</f>
        <v/>
      </c>
      <c r="K4386" s="5">
        <f>HYPERLINK("http://www.eum.go.kr/web/ar/lu/luLandDet.jsp?pnu=3611038021104710001&amp;isNoScr=script&amp;mode=search", "토지이음")</f>
        <v/>
      </c>
      <c r="L4386" s="3" t="inlineStr">
        <is>
          <t>자이</t>
        </is>
      </c>
      <c r="M4386" s="3" t="n">
        <v>1</v>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3" t="inlineStr">
        <is>
          <t>전동일반산업단지 바로 옆 2차선 대로변</t>
        </is>
      </c>
      <c r="I4387" s="5">
        <f>HYPERLINK("https://fin.land.naver.com/articles/2645709240", "매물Link")</f>
        <v/>
      </c>
      <c r="J4387" s="5">
        <f>HYPERLINK("https://map.naver.com/p/search/전동면 노장리 471-4", "지도Link")</f>
        <v/>
      </c>
      <c r="K4387" s="5">
        <f>HYPERLINK("http://www.eum.go.kr/web/ar/lu/luLandDet.jsp?pnu=3611038021104710004&amp;isNoScr=script&amp;mode=search", "토지이음")</f>
        <v/>
      </c>
      <c r="L4387" s="3" t="inlineStr">
        <is>
          <t>자이</t>
        </is>
      </c>
      <c r="M4387" s="3" t="n">
        <v>1</v>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3" t="inlineStr">
        <is>
          <t>전동면 노장리 계획관리지역으로 공장,창고하기 적합한 토지임</t>
        </is>
      </c>
      <c r="I4388" s="5">
        <f>HYPERLINK("https://fin.land.naver.com/articles/2645872730", "매물Link")</f>
        <v/>
      </c>
      <c r="J4388" s="5">
        <f>HYPERLINK("https://map.naver.com/p/search/전동면 노장리 474", "지도Link")</f>
        <v/>
      </c>
      <c r="K4388" s="5">
        <f>HYPERLINK("http://www.eum.go.kr/web/ar/lu/luLandDet.jsp?pnu=3611038021104740000&amp;isNoScr=script&amp;mode=search", "토지이음")</f>
        <v/>
      </c>
      <c r="L4388" s="3" t="inlineStr">
        <is>
          <t>OK수</t>
        </is>
      </c>
      <c r="M4388" s="3" t="n">
        <v>1</v>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3" t="inlineStr">
        <is>
          <t>전동면 2차선 도로변에 접한 계획관리지역 토지 매매</t>
        </is>
      </c>
      <c r="I4389" s="5">
        <f>HYPERLINK("https://fin.land.naver.com/articles/2647571148", "매물Link")</f>
        <v/>
      </c>
      <c r="J4389" s="5">
        <f>HYPERLINK("https://map.naver.com/p/search/전동면 노장리 512", "지도Link")</f>
        <v/>
      </c>
      <c r="K4389" s="5">
        <f>HYPERLINK("http://www.eum.go.kr/web/ar/lu/luLandDet.jsp?pnu=3611038021105120000&amp;isNoScr=script&amp;mode=search", "토지이음")</f>
        <v/>
      </c>
      <c r="L4389" s="3" t="inlineStr">
        <is>
          <t>대지</t>
        </is>
      </c>
      <c r="M4389" s="3" t="n">
        <v>1</v>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3" t="inlineStr">
        <is>
          <t>nan</t>
        </is>
      </c>
      <c r="I4390" s="5">
        <f>HYPERLINK("https://fin.land.naver.com/articles/2646173961", "매물Link")</f>
        <v/>
      </c>
      <c r="J4390" s="5">
        <f>HYPERLINK("https://map.naver.com/p/search/전동면 노장리 580", "지도Link")</f>
        <v/>
      </c>
      <c r="K4390" s="5">
        <f>HYPERLINK("http://www.eum.go.kr/web/ar/lu/luLandDet.jsp?pnu=3611038021105800000&amp;isNoScr=script&amp;mode=search", "토지이음")</f>
        <v/>
      </c>
      <c r="L4390" s="3" t="inlineStr">
        <is>
          <t>신안무소</t>
        </is>
      </c>
      <c r="M4390" s="3" t="n">
        <v>1</v>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3" t="inlineStr">
        <is>
          <t>전동면 행정복지센터 인근 2차선변 토지</t>
        </is>
      </c>
      <c r="I4391" s="5">
        <f>HYPERLINK("https://fin.land.naver.com/articles/2649045429", "매물Link")</f>
        <v/>
      </c>
      <c r="J4391" s="5">
        <f>HYPERLINK("https://map.naver.com/p/search/전동면 노장리 616-5", "지도Link")</f>
        <v/>
      </c>
      <c r="K4391" s="5">
        <f>HYPERLINK("http://www.eum.go.kr/web/ar/lu/luLandDet.jsp?pnu=3611038021106160005&amp;isNoScr=script&amp;mode=search", "토지이음")</f>
        <v/>
      </c>
      <c r="L4391" s="3" t="inlineStr">
        <is>
          <t>대박</t>
        </is>
      </c>
      <c r="M4391" s="3" t="n">
        <v>1</v>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3" t="inlineStr">
        <is>
          <t>전동 삼거리 코너각지 토지매매</t>
        </is>
      </c>
      <c r="I4392" s="5">
        <f>HYPERLINK("https://fin.land.naver.com/articles/2645026582", "매물Link")</f>
        <v/>
      </c>
      <c r="J4392" s="5">
        <f>HYPERLINK("https://map.naver.com/p/search/전동면 노장리 651-7", "지도Link")</f>
        <v/>
      </c>
      <c r="K4392" s="5">
        <f>HYPERLINK("http://www.eum.go.kr/web/ar/lu/luLandDet.jsp?pnu=3611038021106510007&amp;isNoScr=script&amp;mode=search", "토지이음")</f>
        <v/>
      </c>
      <c r="L4392" s="3" t="inlineStr">
        <is>
          <t>엄지척</t>
        </is>
      </c>
      <c r="M4392" s="3" t="n">
        <v>1</v>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3" t="inlineStr">
        <is>
          <t>전동역과 전동산업단지에 근접하고 2차선도로에 접한 창고,상가 등 최상</t>
        </is>
      </c>
      <c r="I4393" s="5">
        <f>HYPERLINK("https://fin.land.naver.com/articles/2648319916", "매물Link")</f>
        <v/>
      </c>
      <c r="J4393" s="5">
        <f>HYPERLINK("https://map.naver.com/p/search/전동면 노장리 661-8", "지도Link")</f>
        <v/>
      </c>
      <c r="K4393" s="5">
        <f>HYPERLINK("http://www.eum.go.kr/web/ar/lu/luLandDet.jsp?pnu=3611038021106610008&amp;isNoScr=script&amp;mode=search", "토지이음")</f>
        <v/>
      </c>
      <c r="L4393" s="3" t="inlineStr">
        <is>
          <t>온누리</t>
        </is>
      </c>
      <c r="M4393" s="3" t="n">
        <v>2</v>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3" t="inlineStr">
        <is>
          <t>전동일반산업단지 인접 계획관리 임야매매</t>
        </is>
      </c>
      <c r="I4394" s="5">
        <f>HYPERLINK("https://fin.land.naver.com/articles/2645714418", "매물Link")</f>
        <v/>
      </c>
      <c r="J4394" s="5">
        <f>HYPERLINK("https://map.naver.com/p/search/전동면 노장리 산 96-2", "지도Link")</f>
        <v/>
      </c>
      <c r="K4394" s="5">
        <f>HYPERLINK("http://www.eum.go.kr/web/ar/lu/luLandDet.jsp?pnu=3611038021200960002&amp;isNoScr=script&amp;mode=search", "토지이음")</f>
        <v/>
      </c>
      <c r="L4394" s="3" t="inlineStr">
        <is>
          <t>자이</t>
        </is>
      </c>
      <c r="M4394" s="3" t="n">
        <v>1</v>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3" t="inlineStr">
        <is>
          <t>임업용 도로가 있어 약초 및 버섯 등을 재배할 수 있는 초 저렴한 임야</t>
        </is>
      </c>
      <c r="I4395" s="5">
        <f>HYPERLINK("https://fin.land.naver.com/articles/2644355304", "매물Link")</f>
        <v/>
      </c>
      <c r="J4395" s="5">
        <f>HYPERLINK("https://map.naver.com/p/search/전동면 노장리 산109", "지도Link")</f>
        <v/>
      </c>
      <c r="K4395" s="5">
        <f>HYPERLINK("http://www.eum.go.kr/web/ar/lu/luLandDet.jsp?pnu=3611038021201090000&amp;isNoScr=script&amp;mode=search", "토지이음")</f>
        <v/>
      </c>
      <c r="L4395" s="3" t="inlineStr">
        <is>
          <t>스마일세종</t>
        </is>
      </c>
      <c r="M4395" s="3" t="n">
        <v>1</v>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3" t="inlineStr">
        <is>
          <t>대토용,가격조정가능</t>
        </is>
      </c>
      <c r="I4396" s="5">
        <f>HYPERLINK("https://fin.land.naver.com/articles/2647045062", "매물Link")</f>
        <v/>
      </c>
      <c r="J4396" s="5">
        <f>HYPERLINK("https://map.naver.com/p/search/전동면 미곡리 123", "지도Link")</f>
        <v/>
      </c>
      <c r="K4396" s="5">
        <f>HYPERLINK("http://www.eum.go.kr/web/ar/lu/luLandDet.jsp?pnu=3611038029101230000&amp;isNoScr=script&amp;mode=search", "토지이음")</f>
        <v/>
      </c>
      <c r="L4396" s="3" t="inlineStr">
        <is>
          <t>지원</t>
        </is>
      </c>
      <c r="M4396" s="3" t="n">
        <v>1</v>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3" t="inlineStr">
        <is>
          <t>전망트여있는 전으로 주말농장,쉼터,펜션등 추천</t>
        </is>
      </c>
      <c r="I4397" s="5">
        <f>HYPERLINK("https://fin.land.naver.com/articles/2646174202", "매물Link")</f>
        <v/>
      </c>
      <c r="J4397" s="5">
        <f>HYPERLINK("https://map.naver.com/p/search/전동면 미곡리 166", "지도Link")</f>
        <v/>
      </c>
      <c r="K4397" s="5">
        <f>HYPERLINK("http://www.eum.go.kr/web/ar/lu/luLandDet.jsp?pnu=3611038029101660000&amp;isNoScr=script&amp;mode=search", "토지이음")</f>
        <v/>
      </c>
      <c r="L4397" s="3" t="inlineStr">
        <is>
          <t>신안무소</t>
        </is>
      </c>
      <c r="M4397" s="3" t="n">
        <v>1</v>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3" t="inlineStr">
        <is>
          <t>현재 과일 농사중인 토지입니다. 관심 있으신 분들 전화주세요</t>
        </is>
      </c>
      <c r="I4398" s="5">
        <f>HYPERLINK("https://fin.land.naver.com/articles/2644543407", "매물Link")</f>
        <v/>
      </c>
      <c r="J4398" s="5">
        <f>HYPERLINK("https://map.naver.com/p/search/전동면 미곡리 243", "지도Link")</f>
        <v/>
      </c>
      <c r="K4398" s="5">
        <f>HYPERLINK("http://www.eum.go.kr/web/ar/lu/luLandDet.jsp?pnu=3611038029102430000&amp;isNoScr=script&amp;mode=search", "토지이음")</f>
        <v/>
      </c>
      <c r="L4398" s="3" t="inlineStr">
        <is>
          <t>보람</t>
        </is>
      </c>
      <c r="M4398" s="3" t="n">
        <v>1</v>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3" t="inlineStr">
        <is>
          <t>세종시2억대 전동면토지 농업경영체등록 가능</t>
        </is>
      </c>
      <c r="I4399" s="5">
        <f>HYPERLINK("https://fin.land.naver.com/articles/2649967428", "매물Link")</f>
        <v/>
      </c>
      <c r="J4399" s="5">
        <f>HYPERLINK("https://map.naver.com/p/search/전동면 미곡리 268-2", "지도Link")</f>
        <v/>
      </c>
      <c r="K4399" s="5">
        <f>HYPERLINK("http://www.eum.go.kr/web/ar/lu/luLandDet.jsp?pnu=3611038029102680002&amp;isNoScr=script&amp;mode=search", "토지이음")</f>
        <v/>
      </c>
      <c r="L4399" s="3" t="inlineStr">
        <is>
          <t>지성</t>
        </is>
      </c>
      <c r="M4399" s="3" t="n">
        <v>1</v>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3" t="inlineStr">
        <is>
          <t>nan</t>
        </is>
      </c>
      <c r="I4400" s="5">
        <f>HYPERLINK("https://fin.land.naver.com/articles/2645354796", "매물Link")</f>
        <v/>
      </c>
      <c r="J4400" s="5">
        <f>HYPERLINK("https://map.naver.com/p/search/전동면 미곡리 269-3", "지도Link")</f>
        <v/>
      </c>
      <c r="K4400" s="5">
        <f>HYPERLINK("http://www.eum.go.kr/web/ar/lu/luLandDet.jsp?pnu=3611038029102690003&amp;isNoScr=script&amp;mode=search", "토지이음")</f>
        <v/>
      </c>
      <c r="L4400" s="3" t="inlineStr">
        <is>
          <t>오송랜드</t>
        </is>
      </c>
      <c r="M4400" s="3" t="n">
        <v>3</v>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3" t="inlineStr">
        <is>
          <t>농림지역,  전.답 2필지</t>
        </is>
      </c>
      <c r="I4401" s="5">
        <f>HYPERLINK("https://fin.land.naver.com/articles/2648918816", "매물Link")</f>
        <v/>
      </c>
      <c r="J4401" s="5">
        <f>HYPERLINK("https://map.naver.com/p/search/전동면 미곡리 271-1", "지도Link")</f>
        <v/>
      </c>
      <c r="K4401" s="5">
        <f>HYPERLINK("http://www.eum.go.kr/web/ar/lu/luLandDet.jsp?pnu=3611038029102710001&amp;isNoScr=script&amp;mode=search", "토지이음")</f>
        <v/>
      </c>
      <c r="L4401" s="3" t="inlineStr">
        <is>
          <t>삼성동문단지내</t>
        </is>
      </c>
      <c r="M4401" s="3" t="n">
        <v>1</v>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3" t="inlineStr">
        <is>
          <t>도로접한 저렴한 농지, 농업진흘구역</t>
        </is>
      </c>
      <c r="I4402" s="5">
        <f>HYPERLINK("https://fin.land.naver.com/articles/2645606267", "매물Link")</f>
        <v/>
      </c>
      <c r="J4402" s="5">
        <f>HYPERLINK("https://map.naver.com/p/search/전동면 미곡리 271-3", "지도Link")</f>
        <v/>
      </c>
      <c r="K4402" s="5">
        <f>HYPERLINK("http://www.eum.go.kr/web/ar/lu/luLandDet.jsp?pnu=3611038029102710003&amp;isNoScr=script&amp;mode=search", "토지이음")</f>
        <v/>
      </c>
      <c r="L4402" s="3" t="inlineStr">
        <is>
          <t>미스터홈즈강남지사</t>
        </is>
      </c>
      <c r="M4402" s="3" t="n">
        <v>1</v>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3" t="inlineStr">
        <is>
          <t>328번지외1필지   2차선도로접함.</t>
        </is>
      </c>
      <c r="I4403" s="5">
        <f>HYPERLINK("https://fin.land.naver.com/articles/2648289424", "매물Link")</f>
        <v/>
      </c>
      <c r="J4403" s="5">
        <f>HYPERLINK("https://map.naver.com/p/search/전동면 미곡리 328", "지도Link")</f>
        <v/>
      </c>
      <c r="K4403" s="5">
        <f>HYPERLINK("http://www.eum.go.kr/web/ar/lu/luLandDet.jsp?pnu=3611038029103280000&amp;isNoScr=script&amp;mode=search", "토지이음")</f>
        <v/>
      </c>
      <c r="L4403" s="3" t="inlineStr">
        <is>
          <t>현대랜드</t>
        </is>
      </c>
      <c r="M4403" s="3" t="n">
        <v>1</v>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3" t="inlineStr">
        <is>
          <t>2차선 계획도로 접 길이 뚫리면 돈이 보인다 벤처벨리 수혜지역</t>
        </is>
      </c>
      <c r="I4404" s="5">
        <f>HYPERLINK("https://fin.land.naver.com/articles/2648828950", "매물Link")</f>
        <v/>
      </c>
      <c r="J4404" s="5">
        <f>HYPERLINK("https://map.naver.com/p/search/전동면 미곡리 337-4", "지도Link")</f>
        <v/>
      </c>
      <c r="K4404" s="5">
        <f>HYPERLINK("http://www.eum.go.kr/web/ar/lu/luLandDet.jsp?pnu=3611038029103370004&amp;isNoScr=script&amp;mode=search", "토지이음")</f>
        <v/>
      </c>
      <c r="L4404" s="3" t="inlineStr">
        <is>
          <t>찬스</t>
        </is>
      </c>
      <c r="M4404" s="3" t="n">
        <v>1</v>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3" t="inlineStr">
        <is>
          <t>현황도로있음, 국유지 구거접, 대토추천</t>
        </is>
      </c>
      <c r="I4405" s="5">
        <f>HYPERLINK("https://fin.land.naver.com/articles/2645606844", "매물Link")</f>
        <v/>
      </c>
      <c r="J4405" s="5">
        <f>HYPERLINK("https://map.naver.com/p/search/전동면 미곡리 360-2", "지도Link")</f>
        <v/>
      </c>
      <c r="K4405" s="5">
        <f>HYPERLINK("http://www.eum.go.kr/web/ar/lu/luLandDet.jsp?pnu=3611038029103600002&amp;isNoScr=script&amp;mode=search", "토지이음")</f>
        <v/>
      </c>
      <c r="L4405" s="3" t="inlineStr">
        <is>
          <t>미스터홈즈강남지사</t>
        </is>
      </c>
      <c r="M4405" s="3" t="n">
        <v>1</v>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3" t="inlineStr">
        <is>
          <t>1번국도바로 옆 접근성 좋은 토지 매매</t>
        </is>
      </c>
      <c r="I4406" s="5">
        <f>HYPERLINK("https://fin.land.naver.com/articles/2647453375", "매물Link")</f>
        <v/>
      </c>
      <c r="J4406" s="5">
        <f>HYPERLINK("https://map.naver.com/p/search/전동면 미곡리 399", "지도Link")</f>
        <v/>
      </c>
      <c r="K4406" s="5">
        <f>HYPERLINK("http://www.eum.go.kr/web/ar/lu/luLandDet.jsp?pnu=3611038029103990000&amp;isNoScr=script&amp;mode=search", "토지이음")</f>
        <v/>
      </c>
      <c r="L4406" s="3" t="inlineStr">
        <is>
          <t>드림옥션사무소</t>
        </is>
      </c>
      <c r="M4406" s="3" t="n">
        <v>1</v>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3" t="inlineStr">
        <is>
          <t>세종시 1번 국도변에서 잘 보이는 곳으로 광고효과 우수</t>
        </is>
      </c>
      <c r="I4407" s="5">
        <f>HYPERLINK("https://fin.land.naver.com/articles/2649118128", "매물Link")</f>
        <v/>
      </c>
      <c r="J4407" s="5">
        <f>HYPERLINK("https://map.naver.com/p/search/전동면 미곡리 429-10", "지도Link")</f>
        <v/>
      </c>
      <c r="K4407" s="5">
        <f>HYPERLINK("http://www.eum.go.kr/web/ar/lu/luLandDet.jsp?pnu=3611038029104290010&amp;isNoScr=script&amp;mode=search", "토지이음")</f>
        <v/>
      </c>
      <c r="L4407" s="3" t="inlineStr">
        <is>
          <t>창고의여왕</t>
        </is>
      </c>
      <c r="M4407" s="3" t="n">
        <v>1</v>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3" t="inlineStr">
        <is>
          <t>저렴한 농지 스마트 팜 토지 찾으시면 여기 어때요</t>
        </is>
      </c>
      <c r="I4408" s="5">
        <f>HYPERLINK("https://fin.land.naver.com/articles/2648329018", "매물Link")</f>
        <v/>
      </c>
      <c r="J4408" s="5">
        <f>HYPERLINK("https://map.naver.com/p/search/전동면 미곡리 531", "지도Link")</f>
        <v/>
      </c>
      <c r="K4408" s="5">
        <f>HYPERLINK("http://www.eum.go.kr/web/ar/lu/luLandDet.jsp?pnu=3611038029105310000&amp;isNoScr=script&amp;mode=search", "토지이음")</f>
        <v/>
      </c>
      <c r="L4408" s="3" t="inlineStr">
        <is>
          <t>미스터홈즈강남지사</t>
        </is>
      </c>
      <c r="M4408" s="3" t="n">
        <v>1</v>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3" t="inlineStr">
        <is>
          <t>대토환영. 전동면 미곡리 국유지 활용가능한 농지</t>
        </is>
      </c>
      <c r="I4409" s="5">
        <f>HYPERLINK("https://fin.land.naver.com/articles/2645593861", "매물Link")</f>
        <v/>
      </c>
      <c r="J4409" s="5">
        <f>HYPERLINK("https://map.naver.com/p/search/전동면 미곡리 544-1", "지도Link")</f>
        <v/>
      </c>
      <c r="K4409" s="5">
        <f>HYPERLINK("http://www.eum.go.kr/web/ar/lu/luLandDet.jsp?pnu=3611038029105440001&amp;isNoScr=script&amp;mode=search", "토지이음")</f>
        <v/>
      </c>
      <c r="L4409" s="3" t="inlineStr">
        <is>
          <t>미스터홈즈강남지사</t>
        </is>
      </c>
      <c r="M4409" s="3" t="n">
        <v>1</v>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3" t="inlineStr">
        <is>
          <t>nan</t>
        </is>
      </c>
      <c r="I4410" s="5">
        <f>HYPERLINK("https://fin.land.naver.com/articles/2644782822", "매물Link")</f>
        <v/>
      </c>
      <c r="J4410" s="5">
        <f>HYPERLINK("https://map.naver.com/p/search/전동면 미곡리 59", "지도Link")</f>
        <v/>
      </c>
      <c r="K4410" s="5">
        <f>HYPERLINK("http://www.eum.go.kr/web/ar/lu/luLandDet.jsp?pnu=3611038029100590000&amp;isNoScr=script&amp;mode=search", "토지이음")</f>
        <v/>
      </c>
      <c r="L4410" s="3" t="inlineStr">
        <is>
          <t>세종몽땅</t>
        </is>
      </c>
      <c r="M4410" s="3" t="n">
        <v>1</v>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3" t="inlineStr">
        <is>
          <t>도로접 계획관리지역 조망권뷰 최상, 알토란 토지 매매,가격조정가능</t>
        </is>
      </c>
      <c r="I4411" s="5">
        <f>HYPERLINK("https://fin.land.naver.com/articles/2644215233", "매물Link")</f>
        <v/>
      </c>
      <c r="J4411" s="5">
        <f>HYPERLINK("https://map.naver.com/p/search/전동면 미곡리 74-5", "지도Link")</f>
        <v/>
      </c>
      <c r="K4411" s="5">
        <f>HYPERLINK("http://www.eum.go.kr/web/ar/lu/luLandDet.jsp?pnu=3611038029100740005&amp;isNoScr=script&amp;mode=search", "토지이음")</f>
        <v/>
      </c>
      <c r="L4411" s="3" t="inlineStr">
        <is>
          <t>고운맘</t>
        </is>
      </c>
      <c r="M4411" s="3" t="n">
        <v>1</v>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3" t="inlineStr">
        <is>
          <t>1번국도 접한 용도 다양한 토지매매</t>
        </is>
      </c>
      <c r="I4412" s="5">
        <f>HYPERLINK("https://fin.land.naver.com/articles/2648545383", "매물Link")</f>
        <v/>
      </c>
      <c r="J4412" s="5">
        <f>HYPERLINK("https://map.naver.com/p/search/전동면 미곡리 산22-2", "지도Link")</f>
        <v/>
      </c>
      <c r="K4412" s="5">
        <f>HYPERLINK("http://www.eum.go.kr/web/ar/lu/luLandDet.jsp?pnu=3611038029200220002&amp;isNoScr=script&amp;mode=search", "토지이음")</f>
        <v/>
      </c>
      <c r="L4412" s="3" t="inlineStr">
        <is>
          <t>에이스</t>
        </is>
      </c>
      <c r="M4412" s="3" t="n">
        <v>1</v>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3" t="inlineStr">
        <is>
          <t>세종벤처밸리 산단, 전의 일반산단 인근, 농임업용 임야</t>
        </is>
      </c>
      <c r="I4413" s="5">
        <f>HYPERLINK("https://fin.land.naver.com/articles/2647087324", "매물Link")</f>
        <v/>
      </c>
      <c r="J4413" s="5">
        <f>HYPERLINK("https://map.naver.com/p/search/전동면 미곡리 산53-1", "지도Link")</f>
        <v/>
      </c>
      <c r="K4413" s="5">
        <f>HYPERLINK("http://www.eum.go.kr/web/ar/lu/luLandDet.jsp?pnu=3611038029200530001&amp;isNoScr=script&amp;mode=search", "토지이음")</f>
        <v/>
      </c>
      <c r="L4413" s="3" t="inlineStr">
        <is>
          <t>성복역롯데캐슬(889-2400)</t>
        </is>
      </c>
      <c r="M4413" s="3" t="n">
        <v>1</v>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3" t="inlineStr">
        <is>
          <t>보덕리 계획관리 과수원및 주택지</t>
        </is>
      </c>
      <c r="I4414" s="5">
        <f>HYPERLINK("https://fin.land.naver.com/articles/2649280591", "매물Link")</f>
        <v/>
      </c>
      <c r="J4414" s="5">
        <f>HYPERLINK("https://map.naver.com/p/search/전동면 보덕리 135", "지도Link")</f>
        <v/>
      </c>
      <c r="K4414" s="5">
        <f>HYPERLINK("http://www.eum.go.kr/web/ar/lu/luLandDet.jsp?pnu=3611038025101350000&amp;isNoScr=script&amp;mode=search", "토지이음")</f>
        <v/>
      </c>
      <c r="L4414" s="3" t="inlineStr">
        <is>
          <t>OK수</t>
        </is>
      </c>
      <c r="M4414" s="3" t="n">
        <v>1</v>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3" t="inlineStr">
        <is>
          <t>도로가 옆 투자로 좋은 토지</t>
        </is>
      </c>
      <c r="I4415" s="5">
        <f>HYPERLINK("https://fin.land.naver.com/articles/2644444550", "매물Link")</f>
        <v/>
      </c>
      <c r="J4415" s="5">
        <f>HYPERLINK("https://map.naver.com/p/search/전동면 보덕리 182-1", "지도Link")</f>
        <v/>
      </c>
      <c r="K4415" s="5">
        <f>HYPERLINK("http://www.eum.go.kr/web/ar/lu/luLandDet.jsp?pnu=3611038025101820001&amp;isNoScr=script&amp;mode=search", "토지이음")</f>
        <v/>
      </c>
      <c r="L4415" s="3" t="inlineStr">
        <is>
          <t>세종대박</t>
        </is>
      </c>
      <c r="M4415" s="3" t="n">
        <v>1</v>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3" t="inlineStr">
        <is>
          <t>nan</t>
        </is>
      </c>
      <c r="I4416" s="5">
        <f>HYPERLINK("https://fin.land.naver.com/articles/2644314115", "매물Link")</f>
        <v/>
      </c>
      <c r="J4416" s="5">
        <f>HYPERLINK("https://map.naver.com/p/search/전동면 보덕리 205-24", "지도Link")</f>
        <v/>
      </c>
      <c r="K4416" s="5">
        <f>HYPERLINK("http://www.eum.go.kr/web/ar/lu/luLandDet.jsp?pnu=3611038025102050024&amp;isNoScr=script&amp;mode=search", "토지이음")</f>
        <v/>
      </c>
      <c r="L4416" s="3" t="inlineStr">
        <is>
          <t>뉴엘리트탑</t>
        </is>
      </c>
      <c r="M4416" s="3" t="n">
        <v>1</v>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3" t="inlineStr">
        <is>
          <t>nan</t>
        </is>
      </c>
      <c r="I4417" s="5">
        <f>HYPERLINK("https://fin.land.naver.com/articles/2645788052", "매물Link")</f>
        <v/>
      </c>
      <c r="J4417" s="5">
        <f>HYPERLINK("https://map.naver.com/p/search/전동면 보덕리 206-5", "지도Link")</f>
        <v/>
      </c>
      <c r="K4417" s="5">
        <f>HYPERLINK("http://www.eum.go.kr/web/ar/lu/luLandDet.jsp?pnu=3611038025102060005&amp;isNoScr=script&amp;mode=search", "토지이음")</f>
        <v/>
      </c>
      <c r="L4417" s="3" t="inlineStr">
        <is>
          <t>1등</t>
        </is>
      </c>
      <c r="M4417" s="3" t="n">
        <v>1</v>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3" t="inlineStr">
        <is>
          <t>전원주택부지로 최적의 장소</t>
        </is>
      </c>
      <c r="I4418" s="5">
        <f>HYPERLINK("https://fin.land.naver.com/articles/2644383640", "매물Link")</f>
        <v/>
      </c>
      <c r="J4418" s="5">
        <f>HYPERLINK("https://map.naver.com/p/search/전동면 보덕리 255-6", "지도Link")</f>
        <v/>
      </c>
      <c r="K4418" s="5">
        <f>HYPERLINK("http://www.eum.go.kr/web/ar/lu/luLandDet.jsp?pnu=3611038025102550006&amp;isNoScr=script&amp;mode=search", "토지이음")</f>
        <v/>
      </c>
      <c r="L4418" s="3" t="inlineStr">
        <is>
          <t>오송랜드</t>
        </is>
      </c>
      <c r="M4418" s="3" t="n">
        <v>1</v>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3" t="inlineStr">
        <is>
          <t>nan</t>
        </is>
      </c>
      <c r="I4419" s="5">
        <f>HYPERLINK("https://fin.land.naver.com/articles/2649911363", "매물Link")</f>
        <v/>
      </c>
      <c r="J4419" s="5">
        <f>HYPERLINK("https://map.naver.com/p/search/전동면 보덕리 300", "지도Link")</f>
        <v/>
      </c>
      <c r="K4419" s="5">
        <f>HYPERLINK("http://www.eum.go.kr/web/ar/lu/luLandDet.jsp?pnu=3611038025103000000&amp;isNoScr=script&amp;mode=search", "토지이음")</f>
        <v/>
      </c>
      <c r="L4419" s="3" t="inlineStr">
        <is>
          <t>부광</t>
        </is>
      </c>
      <c r="M4419" s="3" t="n">
        <v>1</v>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3" t="inlineStr">
        <is>
          <t>농림지역 답,대토추천,3M도로접,주말쉼터등추천</t>
        </is>
      </c>
      <c r="I4420" s="5">
        <f>HYPERLINK("https://fin.land.naver.com/articles/2644427544", "매물Link")</f>
        <v/>
      </c>
      <c r="J4420" s="5">
        <f>HYPERLINK("https://map.naver.com/p/search/전동면 보덕리 314-4", "지도Link")</f>
        <v/>
      </c>
      <c r="K4420" s="5">
        <f>HYPERLINK("http://www.eum.go.kr/web/ar/lu/luLandDet.jsp?pnu=3611038025103140004&amp;isNoScr=script&amp;mode=search", "토지이음")</f>
        <v/>
      </c>
      <c r="L4420" s="3" t="inlineStr">
        <is>
          <t>신안무소</t>
        </is>
      </c>
      <c r="M4420" s="3" t="n">
        <v>1</v>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3" t="inlineStr">
        <is>
          <t>벤처밸리일반산단 근처 대토로 좋은 농지</t>
        </is>
      </c>
      <c r="I4421" s="5">
        <f>HYPERLINK("https://fin.land.naver.com/articles/2647392222", "매물Link")</f>
        <v/>
      </c>
      <c r="J4421" s="5">
        <f>HYPERLINK("https://map.naver.com/p/search/전동면 보덕리 378-13", "지도Link")</f>
        <v/>
      </c>
      <c r="K4421" s="5">
        <f>HYPERLINK("http://www.eum.go.kr/web/ar/lu/luLandDet.jsp?pnu=3611038025103780013&amp;isNoScr=script&amp;mode=search", "토지이음")</f>
        <v/>
      </c>
      <c r="L4421" s="3" t="inlineStr">
        <is>
          <t>신와촌</t>
        </is>
      </c>
      <c r="M4421" s="3" t="n">
        <v>1</v>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3" t="inlineStr">
        <is>
          <t>대토 농림지역 답, 조치원10분거리</t>
        </is>
      </c>
      <c r="I4422" s="5">
        <f>HYPERLINK("https://fin.land.naver.com/articles/2648343734", "매물Link")</f>
        <v/>
      </c>
      <c r="J4422" s="5">
        <f>HYPERLINK("https://map.naver.com/p/search/전동면 보덕리 381-8", "지도Link")</f>
        <v/>
      </c>
      <c r="K4422" s="5">
        <f>HYPERLINK("http://www.eum.go.kr/web/ar/lu/luLandDet.jsp?pnu=3611038025103810008&amp;isNoScr=script&amp;mode=search", "토지이음")</f>
        <v/>
      </c>
      <c r="L4422" s="3" t="inlineStr">
        <is>
          <t>미스터홈즈강남지사</t>
        </is>
      </c>
      <c r="M4422" s="3" t="n">
        <v>1</v>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3" t="inlineStr">
        <is>
          <t>급매 복토해서 과수등 나무식재중입니다</t>
        </is>
      </c>
      <c r="I4423" s="5">
        <f>HYPERLINK("https://fin.land.naver.com/articles/2646213480", "매물Link")</f>
        <v/>
      </c>
      <c r="J4423" s="5">
        <f>HYPERLINK("https://map.naver.com/p/search/전동면 보덕리 383-13", "지도Link")</f>
        <v/>
      </c>
      <c r="K4423" s="5">
        <f>HYPERLINK("http://www.eum.go.kr/web/ar/lu/luLandDet.jsp?pnu=3611038025103830013&amp;isNoScr=script&amp;mode=search", "토지이음")</f>
        <v/>
      </c>
      <c r="L4423" s="3" t="inlineStr">
        <is>
          <t>OK수</t>
        </is>
      </c>
      <c r="M4423" s="3" t="n">
        <v>1</v>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3" t="inlineStr">
        <is>
          <t>보덕리</t>
        </is>
      </c>
      <c r="I4424" s="5">
        <f>HYPERLINK("https://fin.land.naver.com/articles/2648297398", "매물Link")</f>
        <v/>
      </c>
      <c r="J4424" s="5">
        <f>HYPERLINK("https://map.naver.com/p/search/전동면 보덕리 383-13", "지도Link")</f>
        <v/>
      </c>
      <c r="K4424" s="5">
        <f>HYPERLINK("http://www.eum.go.kr/web/ar/lu/luLandDet.jsp?pnu=3611038025103830013&amp;isNoScr=script&amp;mode=search", "토지이음")</f>
        <v/>
      </c>
      <c r="L4424" s="3" t="inlineStr">
        <is>
          <t>대원</t>
        </is>
      </c>
      <c r="M4424" s="3" t="n">
        <v>1</v>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3" t="inlineStr">
        <is>
          <t>보덕리 농림지역 토지 매매</t>
        </is>
      </c>
      <c r="I4425" s="5">
        <f>HYPERLINK("https://fin.land.naver.com/articles/2646862153", "매물Link")</f>
        <v/>
      </c>
      <c r="J4425" s="5">
        <f>HYPERLINK("https://map.naver.com/p/search/전동면 보덕리 383-6", "지도Link")</f>
        <v/>
      </c>
      <c r="K4425" s="5">
        <f>HYPERLINK("http://www.eum.go.kr/web/ar/lu/luLandDet.jsp?pnu=3611038025103830006&amp;isNoScr=script&amp;mode=search", "토지이음")</f>
        <v/>
      </c>
      <c r="L4425" s="3" t="inlineStr">
        <is>
          <t>세종땅사랑</t>
        </is>
      </c>
      <c r="M4425" s="3" t="n">
        <v>1</v>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3" t="inlineStr">
        <is>
          <t>대토로 추천</t>
        </is>
      </c>
      <c r="I4426" s="5">
        <f>HYPERLINK("https://fin.land.naver.com/articles/2649675357", "매물Link")</f>
        <v/>
      </c>
      <c r="J4426" s="5">
        <f>HYPERLINK("https://map.naver.com/p/search/전동면 보덕리 387-11", "지도Link")</f>
        <v/>
      </c>
      <c r="K4426" s="5">
        <f>HYPERLINK("http://www.eum.go.kr/web/ar/lu/luLandDet.jsp?pnu=3611038025103870011&amp;isNoScr=script&amp;mode=search", "토지이음")</f>
        <v/>
      </c>
      <c r="L4426" s="3" t="inlineStr">
        <is>
          <t>세종베스트</t>
        </is>
      </c>
      <c r="M4426" s="3" t="n">
        <v>1</v>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3" t="inlineStr">
        <is>
          <t>급매.세종시소액투자토지</t>
        </is>
      </c>
      <c r="I4427" s="5">
        <f>HYPERLINK("https://fin.land.naver.com/articles/2645463884", "매물Link")</f>
        <v/>
      </c>
      <c r="J4427" s="5">
        <f>HYPERLINK("https://map.naver.com/p/search/전동면 보덕리 산50-20", "지도Link")</f>
        <v/>
      </c>
      <c r="K4427" s="5">
        <f>HYPERLINK("http://www.eum.go.kr/web/ar/lu/luLandDet.jsp?pnu=3611038025200500020&amp;isNoScr=script&amp;mode=search", "토지이음")</f>
        <v/>
      </c>
      <c r="L4427" s="3" t="inlineStr">
        <is>
          <t>강아지풀</t>
        </is>
      </c>
      <c r="M4427" s="3" t="n">
        <v>1</v>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3" t="inlineStr">
        <is>
          <t>총4필지, 대토추천 답과 복숭아농사로 사용중, 국유리 현황도로 접</t>
        </is>
      </c>
      <c r="I4428" s="5">
        <f>HYPERLINK("https://fin.land.naver.com/articles/2645606204", "매물Link")</f>
        <v/>
      </c>
      <c r="J4428" s="5">
        <f>HYPERLINK("https://map.naver.com/p/search/전동면 봉대리 160-1", "지도Link")</f>
        <v/>
      </c>
      <c r="K4428" s="5">
        <f>HYPERLINK("http://www.eum.go.kr/web/ar/lu/luLandDet.jsp?pnu=3611038022101600001&amp;isNoScr=script&amp;mode=search", "토지이음")</f>
        <v/>
      </c>
      <c r="L4428" s="3" t="inlineStr">
        <is>
          <t>미스터홈즈강남지사</t>
        </is>
      </c>
      <c r="M4428" s="3" t="n">
        <v>1</v>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3" t="inlineStr">
        <is>
          <t>건축가능한 남향토지</t>
        </is>
      </c>
      <c r="I4429" s="5">
        <f>HYPERLINK("https://fin.land.naver.com/articles/2646109691", "매물Link")</f>
        <v/>
      </c>
      <c r="J4429" s="5">
        <f>HYPERLINK("https://map.naver.com/p/search/전동면 봉대리 194", "지도Link")</f>
        <v/>
      </c>
      <c r="K4429" s="5">
        <f>HYPERLINK("http://www.eum.go.kr/web/ar/lu/luLandDet.jsp?pnu=3611038022101940000&amp;isNoScr=script&amp;mode=search", "토지이음")</f>
        <v/>
      </c>
      <c r="L4429" s="3" t="inlineStr">
        <is>
          <t>THE행복</t>
        </is>
      </c>
      <c r="M4429" s="3" t="n">
        <v>1</v>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3" t="inlineStr">
        <is>
          <t>햇살잘드는 토지 현황 과수원 건축가능토지매매</t>
        </is>
      </c>
      <c r="I4430" s="5">
        <f>HYPERLINK("https://fin.land.naver.com/articles/2648030544", "매물Link")</f>
        <v/>
      </c>
      <c r="J4430" s="5">
        <f>HYPERLINK("https://map.naver.com/p/search/전동면 봉대리 194", "지도Link")</f>
        <v/>
      </c>
      <c r="K4430" s="5">
        <f>HYPERLINK("http://www.eum.go.kr/web/ar/lu/luLandDet.jsp?pnu=3611038022101940000&amp;isNoScr=script&amp;mode=search", "토지이음")</f>
        <v/>
      </c>
      <c r="L4430" s="3" t="inlineStr">
        <is>
          <t>THE행복</t>
        </is>
      </c>
      <c r="M4430" s="3" t="n">
        <v>1</v>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3" t="inlineStr">
        <is>
          <t>nan</t>
        </is>
      </c>
      <c r="I4431" s="5">
        <f>HYPERLINK("https://fin.land.naver.com/articles/2649170521", "매물Link")</f>
        <v/>
      </c>
      <c r="J4431" s="5">
        <f>HYPERLINK("https://map.naver.com/p/search/전동면 봉대리 212", "지도Link")</f>
        <v/>
      </c>
      <c r="K4431" s="5">
        <f>HYPERLINK("http://www.eum.go.kr/web/ar/lu/luLandDet.jsp?pnu=3611038022102120000&amp;isNoScr=script&amp;mode=search", "토지이음")</f>
        <v/>
      </c>
      <c r="L4431" s="3" t="inlineStr">
        <is>
          <t>꿈드림</t>
        </is>
      </c>
      <c r="M4431" s="3" t="n">
        <v>2</v>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3" t="inlineStr">
        <is>
          <t>전동면 봉대리 포도밭 매매</t>
        </is>
      </c>
      <c r="I4432" s="5">
        <f>HYPERLINK("https://fin.land.naver.com/articles/2650133868", "매물Link")</f>
        <v/>
      </c>
      <c r="J4432" s="5">
        <f>HYPERLINK("https://map.naver.com/p/search/전동면 봉대리 325", "지도Link")</f>
        <v/>
      </c>
      <c r="K4432" s="5">
        <f>HYPERLINK("http://www.eum.go.kr/web/ar/lu/luLandDet.jsp?pnu=3611038022103250000&amp;isNoScr=script&amp;mode=search", "토지이음")</f>
        <v/>
      </c>
      <c r="L4432" s="3" t="inlineStr">
        <is>
          <t>대륜 사무소</t>
        </is>
      </c>
      <c r="M4432" s="3" t="n">
        <v>1</v>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3" t="inlineStr">
        <is>
          <t>전동면 봉대리 저렵한 토지 매매</t>
        </is>
      </c>
      <c r="I4433" s="5">
        <f>HYPERLINK("https://fin.land.naver.com/articles/2649164867", "매물Link")</f>
        <v/>
      </c>
      <c r="J4433" s="5">
        <f>HYPERLINK("https://map.naver.com/p/search/전동면 봉대리 42-6", "지도Link")</f>
        <v/>
      </c>
      <c r="K4433" s="5">
        <f>HYPERLINK("http://www.eum.go.kr/web/ar/lu/luLandDet.jsp?pnu=3611038022100420006&amp;isNoScr=script&amp;mode=search", "토지이음")</f>
        <v/>
      </c>
      <c r="L4433" s="3" t="inlineStr">
        <is>
          <t>예미지탑</t>
        </is>
      </c>
      <c r="M4433" s="3" t="n">
        <v>2</v>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3" t="inlineStr">
        <is>
          <t>전동면 봉대리 보전관리 임야, 과수원 활용, 경사도 낮음</t>
        </is>
      </c>
      <c r="I4434" s="5">
        <f>HYPERLINK("https://fin.land.naver.com/articles/2648502978", "매물Link")</f>
        <v/>
      </c>
      <c r="J4434" s="5">
        <f>HYPERLINK("https://map.naver.com/p/search/전동면 봉대리 산91", "지도Link")</f>
        <v/>
      </c>
      <c r="K4434" s="5">
        <f>HYPERLINK("http://www.eum.go.kr/web/ar/lu/luLandDet.jsp?pnu=3611038022200910000&amp;isNoScr=script&amp;mode=search", "토지이음")</f>
        <v/>
      </c>
      <c r="L4434" s="3" t="inlineStr">
        <is>
          <t>스카이</t>
        </is>
      </c>
      <c r="M4434" s="3" t="n">
        <v>1</v>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3" t="inlineStr">
        <is>
          <t>전동면 석곡리 토지 급매</t>
        </is>
      </c>
      <c r="I4435" s="5">
        <f>HYPERLINK("https://fin.land.naver.com/articles/2647576590", "매물Link")</f>
        <v/>
      </c>
      <c r="J4435" s="5">
        <f>HYPERLINK("https://map.naver.com/p/search/전동면 석곡리 149-3", "지도Link")</f>
        <v/>
      </c>
      <c r="K4435" s="5">
        <f>HYPERLINK("http://www.eum.go.kr/web/ar/lu/luLandDet.jsp?pnu=3611038024101490003&amp;isNoScr=script&amp;mode=search", "토지이음")</f>
        <v/>
      </c>
      <c r="L4435" s="3" t="inlineStr">
        <is>
          <t>KB세종</t>
        </is>
      </c>
      <c r="M4435" s="3" t="n">
        <v>1</v>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3" t="inlineStr">
        <is>
          <t>세종시 위치 좋은 곳 저렴한 토지</t>
        </is>
      </c>
      <c r="I4436" s="5">
        <f>HYPERLINK("https://fin.land.naver.com/articles/2649714587", "매물Link")</f>
        <v/>
      </c>
      <c r="J4436" s="5">
        <f>HYPERLINK("https://map.naver.com/p/search/전동면 석곡리 149-4", "지도Link")</f>
        <v/>
      </c>
      <c r="K4436" s="5">
        <f>HYPERLINK("http://www.eum.go.kr/web/ar/lu/luLandDet.jsp?pnu=3611038024101490004&amp;isNoScr=script&amp;mode=search", "토지이음")</f>
        <v/>
      </c>
      <c r="L4436" s="3" t="inlineStr">
        <is>
          <t>KB세종</t>
        </is>
      </c>
      <c r="M4436" s="3" t="n">
        <v>1</v>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3" t="inlineStr">
        <is>
          <t>nan</t>
        </is>
      </c>
      <c r="I4437" s="5">
        <f>HYPERLINK("https://fin.land.naver.com/articles/2645718856", "매물Link")</f>
        <v/>
      </c>
      <c r="J4437" s="5">
        <f>HYPERLINK("https://map.naver.com/p/search/전동면 석곡리 323-2", "지도Link")</f>
        <v/>
      </c>
      <c r="K4437" s="5">
        <f>HYPERLINK("http://www.eum.go.kr/web/ar/lu/luLandDet.jsp?pnu=3611038024103230002&amp;isNoScr=script&amp;mode=search", "토지이음")</f>
        <v/>
      </c>
      <c r="L4437" s="3" t="inlineStr">
        <is>
          <t>성훈</t>
        </is>
      </c>
      <c r="M4437" s="3" t="n">
        <v>1</v>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3" t="inlineStr">
        <is>
          <t>농림지역. 직사각형 농업진흥구역 . 도로인접</t>
        </is>
      </c>
      <c r="I4438" s="5">
        <f>HYPERLINK("https://fin.land.naver.com/articles/2649480751", "매물Link")</f>
        <v/>
      </c>
      <c r="J4438" s="5">
        <f>HYPERLINK("https://map.naver.com/p/search/전동면 석곡리 37-4", "지도Link")</f>
        <v/>
      </c>
      <c r="K4438" s="5">
        <f>HYPERLINK("http://www.eum.go.kr/web/ar/lu/luLandDet.jsp?pnu=3611038024100370004&amp;isNoScr=script&amp;mode=search", "토지이음")</f>
        <v/>
      </c>
      <c r="L4438" s="3" t="inlineStr">
        <is>
          <t>보람최고</t>
        </is>
      </c>
      <c r="M4438" s="3" t="n">
        <v>1</v>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3" t="inlineStr">
        <is>
          <t>대토용 농지</t>
        </is>
      </c>
      <c r="I4439" s="5">
        <f>HYPERLINK("https://fin.land.naver.com/articles/2645322951", "매물Link")</f>
        <v/>
      </c>
      <c r="J4439" s="5">
        <f>HYPERLINK("https://map.naver.com/p/search/전동면 석곡리 42-2", "지도Link")</f>
        <v/>
      </c>
      <c r="K4439" s="5">
        <f>HYPERLINK("http://www.eum.go.kr/web/ar/lu/luLandDet.jsp?pnu=3611038024100420002&amp;isNoScr=script&amp;mode=search", "토지이음")</f>
        <v/>
      </c>
      <c r="L4439" s="3" t="inlineStr">
        <is>
          <t>북세종</t>
        </is>
      </c>
      <c r="M4439" s="3" t="n">
        <v>1</v>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3" t="inlineStr">
        <is>
          <t>투자용 도로접 농림지역 농업진흥구역</t>
        </is>
      </c>
      <c r="I4440" s="5">
        <f>HYPERLINK("https://fin.land.naver.com/articles/2646800539", "매물Link")</f>
        <v/>
      </c>
      <c r="J4440" s="5">
        <f>HYPERLINK("https://map.naver.com/p/search/전동면 석곡리 44", "지도Link")</f>
        <v/>
      </c>
      <c r="K4440" s="5">
        <f>HYPERLINK("http://www.eum.go.kr/web/ar/lu/luLandDet.jsp?pnu=3611038024100440000&amp;isNoScr=script&amp;mode=search", "토지이음")</f>
        <v/>
      </c>
      <c r="L4440" s="3" t="inlineStr">
        <is>
          <t>세종이룸</t>
        </is>
      </c>
      <c r="M4440" s="3" t="n">
        <v>6</v>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3" t="inlineStr">
        <is>
          <t>세종벤처밸리 산단 인접,국도1호선 진입로 초입에 위치</t>
        </is>
      </c>
      <c r="I4441" s="5">
        <f>HYPERLINK("https://fin.land.naver.com/articles/2649405384", "매물Link")</f>
        <v/>
      </c>
      <c r="J4441" s="5">
        <f>HYPERLINK("https://map.naver.com/p/search/전동면 석곡리 산4-1", "지도Link")</f>
        <v/>
      </c>
      <c r="K4441" s="5">
        <f>HYPERLINK("http://www.eum.go.kr/web/ar/lu/luLandDet.jsp?pnu=3611038024200040001&amp;isNoScr=script&amp;mode=search", "토지이음")</f>
        <v/>
      </c>
      <c r="L4441" s="3" t="inlineStr">
        <is>
          <t>온누리</t>
        </is>
      </c>
      <c r="M4441" s="3" t="n">
        <v>2</v>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3" t="inlineStr">
        <is>
          <t>2차선 도로옆 접근성 좋고 활용도 높은 송곡리 토지</t>
        </is>
      </c>
      <c r="I4442" s="5">
        <f>HYPERLINK("https://fin.land.naver.com/articles/2649166672", "매물Link")</f>
        <v/>
      </c>
      <c r="J4442" s="5">
        <f>HYPERLINK("https://map.naver.com/p/search/전동면 송곡리 108-6", "지도Link")</f>
        <v/>
      </c>
      <c r="K4442" s="5">
        <f>HYPERLINK("http://www.eum.go.kr/web/ar/lu/luLandDet.jsp?pnu=3611038026101080006&amp;isNoScr=script&amp;mode=search", "토지이음")</f>
        <v/>
      </c>
      <c r="L4442" s="3" t="inlineStr">
        <is>
          <t>새롬삼둥이</t>
        </is>
      </c>
      <c r="M4442" s="3" t="n">
        <v>1</v>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3" t="inlineStr">
        <is>
          <t>송곡리 저렴토지, 비닐하우스,휴게공간 등 토지관리 우수</t>
        </is>
      </c>
      <c r="I4443" s="5">
        <f>HYPERLINK("https://fin.land.naver.com/articles/2648503825", "매물Link")</f>
        <v/>
      </c>
      <c r="J4443" s="5">
        <f>HYPERLINK("https://map.naver.com/p/search/전동면 송곡리 116-15", "지도Link")</f>
        <v/>
      </c>
      <c r="K4443" s="5">
        <f>HYPERLINK("http://www.eum.go.kr/web/ar/lu/luLandDet.jsp?pnu=3611038026101160015&amp;isNoScr=script&amp;mode=search", "토지이음")</f>
        <v/>
      </c>
      <c r="L4443" s="3" t="inlineStr">
        <is>
          <t>다옴</t>
        </is>
      </c>
      <c r="M4443" s="3" t="n">
        <v>1</v>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3" t="inlineStr">
        <is>
          <t>송곡리 2차선 도로접 현재 단독주택있음</t>
        </is>
      </c>
      <c r="I4444" s="5">
        <f>HYPERLINK("https://fin.land.naver.com/articles/2645228056", "매물Link")</f>
        <v/>
      </c>
      <c r="J4444" s="5">
        <f>HYPERLINK("https://map.naver.com/p/search/전동면 송곡리 139-2", "지도Link")</f>
        <v/>
      </c>
      <c r="K4444" s="5">
        <f>HYPERLINK("http://www.eum.go.kr/web/ar/lu/luLandDet.jsp?pnu=3611038026101390002&amp;isNoScr=script&amp;mode=search", "토지이음")</f>
        <v/>
      </c>
      <c r="L4444" s="3" t="inlineStr">
        <is>
          <t>OK수</t>
        </is>
      </c>
      <c r="M4444" s="3" t="n">
        <v>1</v>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3" t="inlineStr">
        <is>
          <t>계획관리 대지이며, 미등기건물 시골주택있음,남향,소액투자추천</t>
        </is>
      </c>
      <c r="I4445" s="5">
        <f>HYPERLINK("https://fin.land.naver.com/articles/2644130148", "매물Link")</f>
        <v/>
      </c>
      <c r="J4445" s="5">
        <f>HYPERLINK("https://map.naver.com/p/search/전동면 송곡리 149-2", "지도Link")</f>
        <v/>
      </c>
      <c r="K4445" s="5">
        <f>HYPERLINK("http://www.eum.go.kr/web/ar/lu/luLandDet.jsp?pnu=3611038026101490002&amp;isNoScr=script&amp;mode=search", "토지이음")</f>
        <v/>
      </c>
      <c r="L4445" s="3" t="inlineStr">
        <is>
          <t>신안무소</t>
        </is>
      </c>
      <c r="M4445" s="3" t="n">
        <v>1</v>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3" t="inlineStr">
        <is>
          <t>계획관리 나대지, 소액투자추천,단독주택부지추천,오송KTX역 차량10분</t>
        </is>
      </c>
      <c r="I4446" s="5">
        <f>HYPERLINK("https://fin.land.naver.com/articles/2646174340", "매물Link")</f>
        <v/>
      </c>
      <c r="J4446" s="5">
        <f>HYPERLINK("https://map.naver.com/p/search/전동면 송곡리 169-4", "지도Link")</f>
        <v/>
      </c>
      <c r="K4446" s="5">
        <f>HYPERLINK("http://www.eum.go.kr/web/ar/lu/luLandDet.jsp?pnu=3611038026101690004&amp;isNoScr=script&amp;mode=search", "토지이음")</f>
        <v/>
      </c>
      <c r="L4446" s="3" t="inlineStr">
        <is>
          <t>신안무소</t>
        </is>
      </c>
      <c r="M4446" s="3" t="n">
        <v>1</v>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3" t="inlineStr">
        <is>
          <t>계획관리지역 농지입니다. 전원주택,창고,시설등 조건에 따라 쓰임새 다양</t>
        </is>
      </c>
      <c r="I4447" s="5">
        <f>HYPERLINK("https://fin.land.naver.com/articles/2645734050", "매물Link")</f>
        <v/>
      </c>
      <c r="J4447" s="5">
        <f>HYPERLINK("https://map.naver.com/p/search/전동면 송곡리 182-4", "지도Link")</f>
        <v/>
      </c>
      <c r="K4447" s="5">
        <f>HYPERLINK("http://www.eum.go.kr/web/ar/lu/luLandDet.jsp?pnu=3611038026101820004&amp;isNoScr=script&amp;mode=search", "토지이음")</f>
        <v/>
      </c>
      <c r="L4447" s="3" t="inlineStr">
        <is>
          <t>신안무소</t>
        </is>
      </c>
      <c r="M4447" s="3" t="n">
        <v>1</v>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3" t="inlineStr">
        <is>
          <t>남향이며 전원주택지로 최상.</t>
        </is>
      </c>
      <c r="I4448" s="5">
        <f>HYPERLINK("https://fin.land.naver.com/articles/2648551533", "매물Link")</f>
        <v/>
      </c>
      <c r="J4448" s="5">
        <f>HYPERLINK("https://map.naver.com/p/search/전동면 송곡리 199-40", "지도Link")</f>
        <v/>
      </c>
      <c r="K4448" s="5">
        <f>HYPERLINK("http://www.eum.go.kr/web/ar/lu/luLandDet.jsp?pnu=3611038026101990040&amp;isNoScr=script&amp;mode=search", "토지이음")</f>
        <v/>
      </c>
      <c r="L4448" s="3" t="inlineStr">
        <is>
          <t>세종리츠</t>
        </is>
      </c>
      <c r="M4448" s="3" t="n">
        <v>1</v>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3" t="inlineStr">
        <is>
          <t>급매. 개발 완료된 전원주택지</t>
        </is>
      </c>
      <c r="I4449" s="5">
        <f>HYPERLINK("https://fin.land.naver.com/articles/2644426435", "매물Link")</f>
        <v/>
      </c>
      <c r="J4449" s="5">
        <f>HYPERLINK("https://map.naver.com/p/search/전동면 송곡리 199-58", "지도Link")</f>
        <v/>
      </c>
      <c r="K4449" s="5">
        <f>HYPERLINK("http://www.eum.go.kr/web/ar/lu/luLandDet.jsp?pnu=3611038026101990058&amp;isNoScr=script&amp;mode=search", "토지이음")</f>
        <v/>
      </c>
      <c r="L4449" s="3" t="inlineStr">
        <is>
          <t>세종소담114</t>
        </is>
      </c>
      <c r="M4449" s="3" t="n">
        <v>1</v>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3" t="inlineStr">
        <is>
          <t>급매추천, 개발 완료된 전원주택지</t>
        </is>
      </c>
      <c r="I4450" s="5">
        <f>HYPERLINK("https://fin.land.naver.com/articles/2644426561", "매물Link")</f>
        <v/>
      </c>
      <c r="J4450" s="5">
        <f>HYPERLINK("https://map.naver.com/p/search/전동면 송곡리 199-59", "지도Link")</f>
        <v/>
      </c>
      <c r="K4450" s="5">
        <f>HYPERLINK("http://www.eum.go.kr/web/ar/lu/luLandDet.jsp?pnu=3611038026101990059&amp;isNoScr=script&amp;mode=search", "토지이음")</f>
        <v/>
      </c>
      <c r="L4450" s="3" t="inlineStr">
        <is>
          <t>세종소담114</t>
        </is>
      </c>
      <c r="M4450" s="3" t="n">
        <v>1</v>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3" t="inlineStr">
        <is>
          <t>송곡리 조성 마친 반듯한 전원주택지. 여러 필지 매매도 가능해요.</t>
        </is>
      </c>
      <c r="I4451" s="5">
        <f>HYPERLINK("https://fin.land.naver.com/articles/2649512681", "매물Link")</f>
        <v/>
      </c>
      <c r="J4451" s="5">
        <f>HYPERLINK("https://map.naver.com/p/search/전동면 송곡리 199-74", "지도Link")</f>
        <v/>
      </c>
      <c r="K4451" s="5">
        <f>HYPERLINK("http://www.eum.go.kr/web/ar/lu/luLandDet.jsp?pnu=3611038026101990074&amp;isNoScr=script&amp;mode=search", "토지이음")</f>
        <v/>
      </c>
      <c r="L4451" s="3" t="inlineStr">
        <is>
          <t>코뿔소 합동</t>
        </is>
      </c>
      <c r="M4451" s="3" t="n">
        <v>1</v>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3" t="inlineStr">
        <is>
          <t>주택용으로 너무 좋아요</t>
        </is>
      </c>
      <c r="I4452" s="5">
        <f>HYPERLINK("https://fin.land.naver.com/articles/2648554283", "매물Link")</f>
        <v/>
      </c>
      <c r="J4452" s="5">
        <f>HYPERLINK("https://map.naver.com/p/search/전동면 송곡리 68-5", "지도Link")</f>
        <v/>
      </c>
      <c r="K4452" s="5">
        <f>HYPERLINK("http://www.eum.go.kr/web/ar/lu/luLandDet.jsp?pnu=3611038026100680005&amp;isNoScr=script&amp;mode=search", "토지이음")</f>
        <v/>
      </c>
      <c r="L4452" s="3" t="inlineStr">
        <is>
          <t>세종리츠</t>
        </is>
      </c>
      <c r="M4452" s="3" t="n">
        <v>2</v>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3" t="inlineStr">
        <is>
          <t>전원주택,창고등 ,도로접 투자추천</t>
        </is>
      </c>
      <c r="I4453" s="5">
        <f>HYPERLINK("https://fin.land.naver.com/articles/2644134180", "매물Link")</f>
        <v/>
      </c>
      <c r="J4453" s="5">
        <f>HYPERLINK("https://map.naver.com/p/search/전동면 송곡리 78-2", "지도Link")</f>
        <v/>
      </c>
      <c r="K4453" s="5">
        <f>HYPERLINK("http://www.eum.go.kr/web/ar/lu/luLandDet.jsp?pnu=3611038026100780002&amp;isNoScr=script&amp;mode=search", "토지이음")</f>
        <v/>
      </c>
      <c r="L4453" s="3" t="inlineStr">
        <is>
          <t>신안무소</t>
        </is>
      </c>
      <c r="M4453" s="3" t="n">
        <v>1</v>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3" t="inlineStr">
        <is>
          <t>nan</t>
        </is>
      </c>
      <c r="I4454" s="5">
        <f>HYPERLINK("https://fin.land.naver.com/articles/2644130703", "매물Link")</f>
        <v/>
      </c>
      <c r="J4454" s="5">
        <f>HYPERLINK("https://map.naver.com/p/search/전동면 송곡리 90-2", "지도Link")</f>
        <v/>
      </c>
      <c r="K4454" s="5">
        <f>HYPERLINK("http://www.eum.go.kr/web/ar/lu/luLandDet.jsp?pnu=3611038026100900002&amp;isNoScr=script&amp;mode=search", "토지이음")</f>
        <v/>
      </c>
      <c r="L4454" s="3" t="inlineStr">
        <is>
          <t>신안무소</t>
        </is>
      </c>
      <c r="M4454" s="3" t="n">
        <v>1</v>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3" t="inlineStr">
        <is>
          <t>nan</t>
        </is>
      </c>
      <c r="I4455" s="5">
        <f>HYPERLINK("https://fin.land.naver.com/articles/2646955744", "매물Link")</f>
        <v/>
      </c>
      <c r="J4455" s="5">
        <f>HYPERLINK("https://map.naver.com/p/search/전동면 송곡리 95-2", "지도Link")</f>
        <v/>
      </c>
      <c r="K4455" s="5">
        <f>HYPERLINK("http://www.eum.go.kr/web/ar/lu/luLandDet.jsp?pnu=3611038026100950002&amp;isNoScr=script&amp;mode=search", "토지이음")</f>
        <v/>
      </c>
      <c r="L4455" s="3" t="inlineStr">
        <is>
          <t>연서</t>
        </is>
      </c>
      <c r="M4455" s="3" t="n">
        <v>1</v>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3" t="inlineStr">
        <is>
          <t>4m도로접,전원주택지 추천</t>
        </is>
      </c>
      <c r="I4456" s="5">
        <f>HYPERLINK("https://fin.land.naver.com/articles/2648142605", "매물Link")</f>
        <v/>
      </c>
      <c r="J4456" s="5">
        <f>HYPERLINK("https://map.naver.com/p/search/전동면 송성리 169-1", "지도Link")</f>
        <v/>
      </c>
      <c r="K4456" s="5">
        <f>HYPERLINK("http://www.eum.go.kr/web/ar/lu/luLandDet.jsp?pnu=3611038030101690001&amp;isNoScr=script&amp;mode=search", "토지이음")</f>
        <v/>
      </c>
      <c r="L4456" s="3" t="inlineStr">
        <is>
          <t>다사현대대복</t>
        </is>
      </c>
      <c r="M4456" s="3" t="n">
        <v>1</v>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3" t="inlineStr">
        <is>
          <t>농막 설치된 2차선 도로에 접한 주말농장용 토지</t>
        </is>
      </c>
      <c r="I4457" s="5">
        <f>HYPERLINK("https://fin.land.naver.com/articles/2646158804", "매물Link")</f>
        <v/>
      </c>
      <c r="J4457" s="5">
        <f>HYPERLINK("https://map.naver.com/p/search/전동면 송성리 368-3", "지도Link")</f>
        <v/>
      </c>
      <c r="K4457" s="5">
        <f>HYPERLINK("http://www.eum.go.kr/web/ar/lu/luLandDet.jsp?pnu=3611038030103680003&amp;isNoScr=script&amp;mode=search", "토지이음")</f>
        <v/>
      </c>
      <c r="L4457" s="3" t="inlineStr">
        <is>
          <t>신와촌</t>
        </is>
      </c>
      <c r="M4457" s="3" t="n">
        <v>1</v>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3" t="inlineStr">
        <is>
          <t>2차선 코너 토지 저렴한 매매</t>
        </is>
      </c>
      <c r="I4458" s="5">
        <f>HYPERLINK("https://fin.land.naver.com/articles/2644279475", "매물Link")</f>
        <v/>
      </c>
      <c r="J4458" s="5">
        <f>HYPERLINK("https://map.naver.com/p/search/전동면 송성리 368-3", "지도Link")</f>
        <v/>
      </c>
      <c r="K4458" s="5">
        <f>HYPERLINK("http://www.eum.go.kr/web/ar/lu/luLandDet.jsp?pnu=3611038030103680003&amp;isNoScr=script&amp;mode=search", "토지이음")</f>
        <v/>
      </c>
      <c r="L4458" s="3" t="inlineStr">
        <is>
          <t>THE행복</t>
        </is>
      </c>
      <c r="M4458" s="3" t="n">
        <v>1</v>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3" t="inlineStr">
        <is>
          <t>2차선 도로접한 토지 농림지역</t>
        </is>
      </c>
      <c r="I4459" s="5">
        <f>HYPERLINK("https://fin.land.naver.com/articles/2649497944", "매물Link")</f>
        <v/>
      </c>
      <c r="J4459" s="5">
        <f>HYPERLINK("https://map.naver.com/p/search/전동면 송성리 368-3", "지도Link")</f>
        <v/>
      </c>
      <c r="K4459" s="5">
        <f>HYPERLINK("http://www.eum.go.kr/web/ar/lu/luLandDet.jsp?pnu=3611038030103680003&amp;isNoScr=script&amp;mode=search", "토지이음")</f>
        <v/>
      </c>
      <c r="L4459" s="3" t="inlineStr">
        <is>
          <t>한솔</t>
        </is>
      </c>
      <c r="M4459" s="3" t="n">
        <v>2</v>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3" t="inlineStr">
        <is>
          <t>2차선 도로변에 길게 접한 농지 산가격에 매각해요</t>
        </is>
      </c>
      <c r="I4460" s="5">
        <f>HYPERLINK("https://fin.land.naver.com/articles/2644530886", "매물Link")</f>
        <v/>
      </c>
      <c r="J4460" s="5">
        <f>HYPERLINK("https://map.naver.com/p/search/전동면 송성리 438-1", "지도Link")</f>
        <v/>
      </c>
      <c r="K4460" s="5">
        <f>HYPERLINK("http://www.eum.go.kr/web/ar/lu/luLandDet.jsp?pnu=3611038030104380001&amp;isNoScr=script&amp;mode=search", "토지이음")</f>
        <v/>
      </c>
      <c r="L4460" s="3" t="inlineStr">
        <is>
          <t>용궁</t>
        </is>
      </c>
      <c r="M4460" s="3" t="n">
        <v>1</v>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3" t="inlineStr">
        <is>
          <t>계획관리와 생산관리 2필지 매매,주변 경관좋고 캠핑장 인접 ,남향토지</t>
        </is>
      </c>
      <c r="I4461" s="5">
        <f>HYPERLINK("https://fin.land.naver.com/articles/2645220672", "매물Link")</f>
        <v/>
      </c>
      <c r="J4461" s="5">
        <f>HYPERLINK("https://map.naver.com/p/search/전동면 송성리 540", "지도Link")</f>
        <v/>
      </c>
      <c r="K4461" s="5">
        <f>HYPERLINK("http://www.eum.go.kr/web/ar/lu/luLandDet.jsp?pnu=3611038030105400000&amp;isNoScr=script&amp;mode=search", "토지이음")</f>
        <v/>
      </c>
      <c r="L4461" s="3" t="inlineStr">
        <is>
          <t>담뜰</t>
        </is>
      </c>
      <c r="M4461" s="3" t="n">
        <v>1</v>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3" t="inlineStr">
        <is>
          <t>nan</t>
        </is>
      </c>
      <c r="I4462" s="5">
        <f>HYPERLINK("https://fin.land.naver.com/articles/2646864837", "매물Link")</f>
        <v/>
      </c>
      <c r="J4462" s="5">
        <f>HYPERLINK("https://map.naver.com/p/search/전동면 송성리 545", "지도Link")</f>
        <v/>
      </c>
      <c r="K4462" s="5">
        <f>HYPERLINK("http://www.eum.go.kr/web/ar/lu/luLandDet.jsp?pnu=3611038030105450000&amp;isNoScr=script&amp;mode=search", "토지이음")</f>
        <v/>
      </c>
      <c r="L4462" s="3" t="inlineStr">
        <is>
          <t>세종땅사랑</t>
        </is>
      </c>
      <c r="M4462" s="3" t="n">
        <v>1</v>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3" t="inlineStr">
        <is>
          <t>송성2리마을 초입 도로 접한 토지매매</t>
        </is>
      </c>
      <c r="I4463" s="5">
        <f>HYPERLINK("https://fin.land.naver.com/articles/2648544439", "매물Link")</f>
        <v/>
      </c>
      <c r="J4463" s="5">
        <f>HYPERLINK("https://map.naver.com/p/search/전동면 송성리 56", "지도Link")</f>
        <v/>
      </c>
      <c r="K4463" s="5">
        <f>HYPERLINK("http://www.eum.go.kr/web/ar/lu/luLandDet.jsp?pnu=3611038030100560000&amp;isNoScr=script&amp;mode=search", "토지이음")</f>
        <v/>
      </c>
      <c r="L4463" s="3" t="inlineStr">
        <is>
          <t>에이스</t>
        </is>
      </c>
      <c r="M4463" s="3" t="n">
        <v>1</v>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3" t="inlineStr">
        <is>
          <t>남동향,조망권있는약간높은지대,투자성양호</t>
        </is>
      </c>
      <c r="I4464" s="5">
        <f>HYPERLINK("https://fin.land.naver.com/articles/2648356011", "매물Link")</f>
        <v/>
      </c>
      <c r="J4464" s="5">
        <f>HYPERLINK("https://map.naver.com/p/search/전동면 송성리 606-2", "지도Link")</f>
        <v/>
      </c>
      <c r="K4464" s="5">
        <f>HYPERLINK("http://www.eum.go.kr/web/ar/lu/luLandDet.jsp?pnu=3611038030106060002&amp;isNoScr=script&amp;mode=search", "토지이음")</f>
        <v/>
      </c>
      <c r="L4464" s="3" t="inlineStr">
        <is>
          <t>행복가득한</t>
        </is>
      </c>
      <c r="M4464" s="3" t="n">
        <v>1</v>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3" t="inlineStr">
        <is>
          <t>저렴하게 나온 토지를 찾으신다면 송성리 토지, 직접 현장 확인해 보세요.</t>
        </is>
      </c>
      <c r="I4465" s="5">
        <f>HYPERLINK("https://fin.land.naver.com/articles/2649874490", "매물Link")</f>
        <v/>
      </c>
      <c r="J4465" s="5">
        <f>HYPERLINK("https://map.naver.com/p/search/전동면 송성리 606-2", "지도Link")</f>
        <v/>
      </c>
      <c r="K4465" s="5">
        <f>HYPERLINK("http://www.eum.go.kr/web/ar/lu/luLandDet.jsp?pnu=3611038030106060002&amp;isNoScr=script&amp;mode=search", "토지이음")</f>
        <v/>
      </c>
      <c r="L4465" s="3" t="inlineStr">
        <is>
          <t>동원탑</t>
        </is>
      </c>
      <c r="M4465" s="3" t="n">
        <v>1</v>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3" t="inlineStr">
        <is>
          <t>세종시 전동면 송성리 도로변 계획관리 토지 매매</t>
        </is>
      </c>
      <c r="I4466" s="5">
        <f>HYPERLINK("https://fin.land.naver.com/articles/2647920196", "매물Link")</f>
        <v/>
      </c>
      <c r="J4466" s="5">
        <f>HYPERLINK("https://map.naver.com/p/search/전동면 송성리 산146", "지도Link")</f>
        <v/>
      </c>
      <c r="K4466" s="5">
        <f>HYPERLINK("http://www.eum.go.kr/web/ar/lu/luLandDet.jsp?pnu=3611038030201460000&amp;isNoScr=script&amp;mode=search", "토지이음")</f>
        <v/>
      </c>
      <c r="L4466" s="3" t="inlineStr">
        <is>
          <t>비전</t>
        </is>
      </c>
      <c r="M4466" s="3" t="n">
        <v>1</v>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3" t="inlineStr">
        <is>
          <t>전동면 송성리 임야 매우 저렴한 투자물건</t>
        </is>
      </c>
      <c r="I4467" s="5">
        <f>HYPERLINK("https://fin.land.naver.com/articles/2644965824", "매물Link")</f>
        <v/>
      </c>
      <c r="J4467" s="5">
        <f>HYPERLINK("https://map.naver.com/p/search/전동면 송성리 산43", "지도Link")</f>
        <v/>
      </c>
      <c r="K4467" s="5">
        <f>HYPERLINK("http://www.eum.go.kr/web/ar/lu/luLandDet.jsp?pnu=3611038030200430000&amp;isNoScr=script&amp;mode=search", "토지이음")</f>
        <v/>
      </c>
      <c r="L4467" s="3" t="inlineStr">
        <is>
          <t>다산</t>
        </is>
      </c>
      <c r="M4467" s="3" t="n">
        <v>1</v>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3" t="inlineStr">
        <is>
          <t>nan</t>
        </is>
      </c>
      <c r="I4468" s="5">
        <f>HYPERLINK("https://fin.land.naver.com/articles/2648263864", "매물Link")</f>
        <v/>
      </c>
      <c r="J4468" s="5">
        <f>HYPERLINK("https://map.naver.com/p/search/전동면 송성리 산87-7", "지도Link")</f>
        <v/>
      </c>
      <c r="K4468" s="5">
        <f>HYPERLINK("http://www.eum.go.kr/web/ar/lu/luLandDet.jsp?pnu=3611038030200870007&amp;isNoScr=script&amp;mode=search", "토지이음")</f>
        <v/>
      </c>
      <c r="L4468" s="3" t="inlineStr">
        <is>
          <t>세종대평</t>
        </is>
      </c>
      <c r="M4468" s="3" t="n">
        <v>1</v>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3" t="inlineStr">
        <is>
          <t>급매, 도로접함</t>
        </is>
      </c>
      <c r="I4469" s="5">
        <f>HYPERLINK("https://fin.land.naver.com/articles/2647840364", "매물Link")</f>
        <v/>
      </c>
      <c r="J4469" s="5">
        <f>HYPERLINK("https://map.naver.com/p/search/전동면 송정리 117-11", "지도Link")</f>
        <v/>
      </c>
      <c r="K4469" s="5">
        <f>HYPERLINK("http://www.eum.go.kr/web/ar/lu/luLandDet.jsp?pnu=3611038027101170011&amp;isNoScr=script&amp;mode=search", "토지이음")</f>
        <v/>
      </c>
      <c r="L4469" s="3" t="inlineStr">
        <is>
          <t>덕천</t>
        </is>
      </c>
      <c r="M4469" s="3" t="n">
        <v>1</v>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3" t="inlineStr">
        <is>
          <t>급매, 도로접함</t>
        </is>
      </c>
      <c r="I4470" s="5">
        <f>HYPERLINK("https://fin.land.naver.com/articles/2647839447", "매물Link")</f>
        <v/>
      </c>
      <c r="J4470" s="5">
        <f>HYPERLINK("https://map.naver.com/p/search/전동면 송정리 117-2", "지도Link")</f>
        <v/>
      </c>
      <c r="K4470" s="5">
        <f>HYPERLINK("http://www.eum.go.kr/web/ar/lu/luLandDet.jsp?pnu=3611038027101170002&amp;isNoScr=script&amp;mode=search", "토지이음")</f>
        <v/>
      </c>
      <c r="L4470" s="3" t="inlineStr">
        <is>
          <t>덕천</t>
        </is>
      </c>
      <c r="M4470" s="3" t="n">
        <v>1</v>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3" t="inlineStr">
        <is>
          <t>송정리 대지 매매</t>
        </is>
      </c>
      <c r="I4471" s="5">
        <f>HYPERLINK("https://fin.land.naver.com/articles/2649023697", "매물Link")</f>
        <v/>
      </c>
      <c r="J4471" s="5">
        <f>HYPERLINK("https://map.naver.com/p/search/전동면 송정리 149", "지도Link")</f>
        <v/>
      </c>
      <c r="K4471" s="5">
        <f>HYPERLINK("http://www.eum.go.kr/web/ar/lu/luLandDet.jsp?pnu=3611038027101490000&amp;isNoScr=script&amp;mode=search", "토지이음")</f>
        <v/>
      </c>
      <c r="L4471" s="3" t="inlineStr">
        <is>
          <t>상희</t>
        </is>
      </c>
      <c r="M4471" s="3" t="n">
        <v>1</v>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3" t="inlineStr">
        <is>
          <t>계획관리 평당80만원 도로접</t>
        </is>
      </c>
      <c r="I4472" s="5">
        <f>HYPERLINK("https://fin.land.naver.com/articles/2648342117", "매물Link")</f>
        <v/>
      </c>
      <c r="J4472" s="5">
        <f>HYPERLINK("https://map.naver.com/p/search/전동면 송정리 202-1", "지도Link")</f>
        <v/>
      </c>
      <c r="K4472" s="5">
        <f>HYPERLINK("http://www.eum.go.kr/web/ar/lu/luLandDet.jsp?pnu=3611038027102020001&amp;isNoScr=script&amp;mode=search", "토지이음")</f>
        <v/>
      </c>
      <c r="L4472" s="3" t="inlineStr">
        <is>
          <t>미스터홈즈강남지사</t>
        </is>
      </c>
      <c r="M4472" s="3" t="n">
        <v>1</v>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3" t="inlineStr">
        <is>
          <t>송정리 공장토지 매매 공장 사용 가능</t>
        </is>
      </c>
      <c r="I4473" s="5">
        <f>HYPERLINK("https://fin.land.naver.com/articles/2646645413", "매물Link")</f>
        <v/>
      </c>
      <c r="J4473" s="5">
        <f>HYPERLINK("https://map.naver.com/p/search/전동면 송정리 203", "지도Link")</f>
        <v/>
      </c>
      <c r="K4473" s="5">
        <f>HYPERLINK("http://www.eum.go.kr/web/ar/lu/luLandDet.jsp?pnu=3611038027102030000&amp;isNoScr=script&amp;mode=search", "토지이음")</f>
        <v/>
      </c>
      <c r="L4473" s="3" t="inlineStr">
        <is>
          <t>스타트</t>
        </is>
      </c>
      <c r="M4473" s="3" t="n">
        <v>1</v>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3" t="inlineStr">
        <is>
          <t>고복저수지인근 2차선도로접 개발하기 좋은땅</t>
        </is>
      </c>
      <c r="I4474" s="5">
        <f>HYPERLINK("https://fin.land.naver.com/articles/2646384062", "매물Link")</f>
        <v/>
      </c>
      <c r="J4474" s="5">
        <f>HYPERLINK("https://map.naver.com/p/search/전동면 송정리 261", "지도Link")</f>
        <v/>
      </c>
      <c r="K4474" s="5">
        <f>HYPERLINK("http://www.eum.go.kr/web/ar/lu/luLandDet.jsp?pnu=3611038027102610000&amp;isNoScr=script&amp;mode=search", "토지이음")</f>
        <v/>
      </c>
      <c r="L4474" s="3" t="inlineStr">
        <is>
          <t>세종강남</t>
        </is>
      </c>
      <c r="M4474" s="3" t="n">
        <v>1</v>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3" t="inlineStr">
        <is>
          <t>고복저수지와 송정리를 연결하는 2차선도로 옆 급매물 토지</t>
        </is>
      </c>
      <c r="I4475" s="5">
        <f>HYPERLINK("https://fin.land.naver.com/articles/2645552152", "매물Link")</f>
        <v/>
      </c>
      <c r="J4475" s="5">
        <f>HYPERLINK("https://map.naver.com/p/search/전동면 송정리 268", "지도Link")</f>
        <v/>
      </c>
      <c r="K4475" s="5">
        <f>HYPERLINK("http://www.eum.go.kr/web/ar/lu/luLandDet.jsp?pnu=3611038027102680000&amp;isNoScr=script&amp;mode=search", "토지이음")</f>
        <v/>
      </c>
      <c r="L4475" s="3" t="inlineStr">
        <is>
          <t>미스터홈즈강남지사</t>
        </is>
      </c>
      <c r="M4475" s="3" t="n">
        <v>1</v>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3" t="inlineStr">
        <is>
          <t>대토추천, 2차선도로접. 농업보호구역, 분할매도가능</t>
        </is>
      </c>
      <c r="I4476" s="5">
        <f>HYPERLINK("https://fin.land.naver.com/articles/2648347193", "매물Link")</f>
        <v/>
      </c>
      <c r="J4476" s="5">
        <f>HYPERLINK("https://map.naver.com/p/search/전동면 송정리 296-8", "지도Link")</f>
        <v/>
      </c>
      <c r="K4476" s="5">
        <f>HYPERLINK("http://www.eum.go.kr/web/ar/lu/luLandDet.jsp?pnu=3611038027102960008&amp;isNoScr=script&amp;mode=search", "토지이음")</f>
        <v/>
      </c>
      <c r="L4476" s="3" t="inlineStr">
        <is>
          <t>미스터홈즈강남지사</t>
        </is>
      </c>
      <c r="M4476" s="3" t="n">
        <v>1</v>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3" t="inlineStr">
        <is>
          <t>급매 송정리  2차선접 남향 건축및투자하기 좋은 금액입니다</t>
        </is>
      </c>
      <c r="I4477" s="5">
        <f>HYPERLINK("https://fin.land.naver.com/articles/2646214358", "매물Link")</f>
        <v/>
      </c>
      <c r="J4477" s="5">
        <f>HYPERLINK("https://map.naver.com/p/search/전동면 송정리 321-3", "지도Link")</f>
        <v/>
      </c>
      <c r="K4477" s="5">
        <f>HYPERLINK("http://www.eum.go.kr/web/ar/lu/luLandDet.jsp?pnu=3611038027103210003&amp;isNoScr=script&amp;mode=search", "토지이음")</f>
        <v/>
      </c>
      <c r="L4477" s="3" t="inlineStr">
        <is>
          <t>OK수</t>
        </is>
      </c>
      <c r="M4477" s="3" t="n">
        <v>1</v>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3" t="inlineStr">
        <is>
          <t>계획관리지역으로 소매점 1동과 조망 좋은 단독주택 1동 택지 조성된 임야</t>
        </is>
      </c>
      <c r="I4478" s="5">
        <f>HYPERLINK("https://fin.land.naver.com/articles/2645862412", "매물Link")</f>
        <v/>
      </c>
      <c r="J4478" s="5">
        <f>HYPERLINK("https://map.naver.com/p/search/전동면 송정리 36-4", "지도Link")</f>
        <v/>
      </c>
      <c r="K4478" s="5">
        <f>HYPERLINK("http://www.eum.go.kr/web/ar/lu/luLandDet.jsp?pnu=3611038027100360004&amp;isNoScr=script&amp;mode=search", "토지이음")</f>
        <v/>
      </c>
      <c r="L4478" s="3" t="inlineStr">
        <is>
          <t>스마일세종</t>
        </is>
      </c>
      <c r="M4478" s="3" t="n">
        <v>1</v>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3" t="inlineStr">
        <is>
          <t>2차선 도로 접한 토지 매매</t>
        </is>
      </c>
      <c r="I4479" s="5">
        <f>HYPERLINK("https://fin.land.naver.com/articles/2647168378", "매물Link")</f>
        <v/>
      </c>
      <c r="J4479" s="5">
        <f>HYPERLINK("https://map.naver.com/p/search/전동면 송정리 372", "지도Link")</f>
        <v/>
      </c>
      <c r="K4479" s="5">
        <f>HYPERLINK("http://www.eum.go.kr/web/ar/lu/luLandDet.jsp?pnu=3611038027103720000&amp;isNoScr=script&amp;mode=search", "토지이음")</f>
        <v/>
      </c>
      <c r="L4479" s="3" t="inlineStr">
        <is>
          <t>스타트</t>
        </is>
      </c>
      <c r="M4479" s="3" t="n">
        <v>1</v>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3" t="inlineStr">
        <is>
          <t>급매 송정리 토지 매매</t>
        </is>
      </c>
      <c r="I4480" s="5">
        <f>HYPERLINK("https://fin.land.naver.com/articles/2649374059", "매물Link")</f>
        <v/>
      </c>
      <c r="J4480" s="5">
        <f>HYPERLINK("https://map.naver.com/p/search/전동면 송정리 382", "지도Link")</f>
        <v/>
      </c>
      <c r="K4480" s="5">
        <f>HYPERLINK("http://www.eum.go.kr/web/ar/lu/luLandDet.jsp?pnu=3611038027103820000&amp;isNoScr=script&amp;mode=search", "토지이음")</f>
        <v/>
      </c>
      <c r="L4480" s="3" t="inlineStr">
        <is>
          <t>스타트</t>
        </is>
      </c>
      <c r="M4480" s="3" t="n">
        <v>1</v>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3" t="inlineStr">
        <is>
          <t>송정리 위치 좋은 넓은 임야로 활용도가  좋은 매물이예요</t>
        </is>
      </c>
      <c r="I4481" s="5">
        <f>HYPERLINK("https://fin.land.naver.com/articles/2647516183", "매물Link")</f>
        <v/>
      </c>
      <c r="J4481" s="5">
        <f>HYPERLINK("https://map.naver.com/p/search/전동면 송정리 산12", "지도Link")</f>
        <v/>
      </c>
      <c r="K4481" s="5">
        <f>HYPERLINK("http://www.eum.go.kr/web/ar/lu/luLandDet.jsp?pnu=3611038027200120000&amp;isNoScr=script&amp;mode=search", "토지이음")</f>
        <v/>
      </c>
      <c r="L4481" s="3" t="inlineStr">
        <is>
          <t>4989명품</t>
        </is>
      </c>
      <c r="M4481" s="3" t="n">
        <v>1</v>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3" t="inlineStr">
        <is>
          <t>개발투자추천 가격조율가능</t>
        </is>
      </c>
      <c r="I4482" s="5">
        <f>HYPERLINK("https://fin.land.naver.com/articles/2649198203", "매물Link")</f>
        <v/>
      </c>
      <c r="J4482" s="5">
        <f>HYPERLINK("https://map.naver.com/p/search/전동면 송정리 산19", "지도Link")</f>
        <v/>
      </c>
      <c r="K4482" s="5">
        <f>HYPERLINK("http://www.eum.go.kr/web/ar/lu/luLandDet.jsp?pnu=3611038027200190000&amp;isNoScr=script&amp;mode=search", "토지이음")</f>
        <v/>
      </c>
      <c r="L4482" s="3" t="inlineStr">
        <is>
          <t>뉴엘리트탑</t>
        </is>
      </c>
      <c r="M4482" s="3" t="n">
        <v>1</v>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3" t="inlineStr">
        <is>
          <t>고복저수지와 1.2km 떨어진 완만하고 나즈막한 임야</t>
        </is>
      </c>
      <c r="I4483" s="5">
        <f>HYPERLINK("https://fin.land.naver.com/articles/2647392355", "매물Link")</f>
        <v/>
      </c>
      <c r="J4483" s="5">
        <f>HYPERLINK("https://map.naver.com/p/search/전동면 송정리 산65-1", "지도Link")</f>
        <v/>
      </c>
      <c r="K4483" s="5">
        <f>HYPERLINK("http://www.eum.go.kr/web/ar/lu/luLandDet.jsp?pnu=3611038027200650001&amp;isNoScr=script&amp;mode=search", "토지이음")</f>
        <v/>
      </c>
      <c r="L4483" s="3" t="inlineStr">
        <is>
          <t>신와촌</t>
        </is>
      </c>
      <c r="M4483" s="3" t="n">
        <v>1</v>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3" t="inlineStr">
        <is>
          <t>도로 여건 좋은 매물 관정, 컨테이너농막 ,전기 물류산업단지배후수요</t>
        </is>
      </c>
      <c r="I4484" s="5">
        <f>HYPERLINK("https://fin.land.naver.com/articles/2647835751", "매물Link")</f>
        <v/>
      </c>
      <c r="J4484" s="5">
        <f>HYPERLINK("https://map.naver.com/p/search/전동면 심중리 135", "지도Link")</f>
        <v/>
      </c>
      <c r="K4484" s="5">
        <f>HYPERLINK("http://www.eum.go.kr/web/ar/lu/luLandDet.jsp?pnu=3611038031101350000&amp;isNoScr=script&amp;mode=search", "토지이음")</f>
        <v/>
      </c>
      <c r="L4484" s="3" t="inlineStr">
        <is>
          <t>대박</t>
        </is>
      </c>
      <c r="M4484" s="3" t="n">
        <v>1</v>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3" t="inlineStr">
        <is>
          <t>심중리 계획관리지역, 현재 기지국설치로 연 280만원 수익</t>
        </is>
      </c>
      <c r="I4485" s="5">
        <f>HYPERLINK("https://fin.land.naver.com/articles/2647590932", "매물Link")</f>
        <v/>
      </c>
      <c r="J4485" s="5">
        <f>HYPERLINK("https://map.naver.com/p/search/전동면 심중리 191-1", "지도Link")</f>
        <v/>
      </c>
      <c r="K4485" s="5">
        <f>HYPERLINK("http://www.eum.go.kr/web/ar/lu/luLandDet.jsp?pnu=3611038031101910001&amp;isNoScr=script&amp;mode=search", "토지이음")</f>
        <v/>
      </c>
      <c r="L4485" s="3" t="inlineStr">
        <is>
          <t>KB세종</t>
        </is>
      </c>
      <c r="M4485" s="3" t="n">
        <v>1</v>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3" t="inlineStr">
        <is>
          <t>nan</t>
        </is>
      </c>
      <c r="I4486" s="5">
        <f>HYPERLINK("https://fin.land.naver.com/articles/2648753588", "매물Link")</f>
        <v/>
      </c>
      <c r="J4486" s="5">
        <f>HYPERLINK("https://map.naver.com/p/search/전동면 심중리 200", "지도Link")</f>
        <v/>
      </c>
      <c r="K4486" s="5">
        <f>HYPERLINK("http://www.eum.go.kr/web/ar/lu/luLandDet.jsp?pnu=3611038031102000000&amp;isNoScr=script&amp;mode=search", "토지이음")</f>
        <v/>
      </c>
      <c r="L4486" s="3" t="inlineStr">
        <is>
          <t>이서방</t>
        </is>
      </c>
      <c r="M4486" s="3" t="n">
        <v>1</v>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3" t="inlineStr">
        <is>
          <t>세종시 귀한 계획관리 토지임</t>
        </is>
      </c>
      <c r="I4487" s="5">
        <f>HYPERLINK("https://fin.land.naver.com/articles/2645250001", "매물Link")</f>
        <v/>
      </c>
      <c r="J4487" s="5">
        <f>HYPERLINK("https://map.naver.com/p/search/전동면 심중리 205", "지도Link")</f>
        <v/>
      </c>
      <c r="K4487" s="5">
        <f>HYPERLINK("http://www.eum.go.kr/web/ar/lu/luLandDet.jsp?pnu=3611038031102050000&amp;isNoScr=script&amp;mode=search", "토지이음")</f>
        <v/>
      </c>
      <c r="L4487" s="3" t="inlineStr">
        <is>
          <t>드림</t>
        </is>
      </c>
      <c r="M4487" s="3" t="n">
        <v>1</v>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3" t="inlineStr">
        <is>
          <t>주말농장 창고추천</t>
        </is>
      </c>
      <c r="I4488" s="5">
        <f>HYPERLINK("https://fin.land.naver.com/articles/2649738042", "매물Link")</f>
        <v/>
      </c>
      <c r="J4488" s="5">
        <f>HYPERLINK("https://map.naver.com/p/search/전동면 심중리 289-1", "지도Link")</f>
        <v/>
      </c>
      <c r="K4488" s="5">
        <f>HYPERLINK("http://www.eum.go.kr/web/ar/lu/luLandDet.jsp?pnu=3611038031102890001&amp;isNoScr=script&amp;mode=search", "토지이음")</f>
        <v/>
      </c>
      <c r="L4488" s="3" t="inlineStr">
        <is>
          <t>학사</t>
        </is>
      </c>
      <c r="M4488" s="3" t="n">
        <v>1</v>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3" t="inlineStr">
        <is>
          <t>세종벤처밸리일반산업단지 맞은편 투자가치 높은 계획관리 귀한 토지</t>
        </is>
      </c>
      <c r="I4489" s="5">
        <f>HYPERLINK("https://fin.land.naver.com/articles/2646172296", "매물Link")</f>
        <v/>
      </c>
      <c r="J4489" s="5">
        <f>HYPERLINK("https://map.naver.com/p/search/전동면 심중리 379-1", "지도Link")</f>
        <v/>
      </c>
      <c r="K4489" s="5">
        <f>HYPERLINK("http://www.eum.go.kr/web/ar/lu/luLandDet.jsp?pnu=3611038031103790001&amp;isNoScr=script&amp;mode=search", "토지이음")</f>
        <v/>
      </c>
      <c r="L4489" s="3" t="inlineStr">
        <is>
          <t>번영</t>
        </is>
      </c>
      <c r="M4489" s="3" t="n">
        <v>1</v>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3" t="inlineStr">
        <is>
          <t>계획관리 답,현재과수원,농막있음.대토추천</t>
        </is>
      </c>
      <c r="I4490" s="5">
        <f>HYPERLINK("https://fin.land.naver.com/articles/2644414367", "매물Link")</f>
        <v/>
      </c>
      <c r="J4490" s="5">
        <f>HYPERLINK("https://map.naver.com/p/search/전동면 심중리 391", "지도Link")</f>
        <v/>
      </c>
      <c r="K4490" s="5">
        <f>HYPERLINK("http://www.eum.go.kr/web/ar/lu/luLandDet.jsp?pnu=3611038031103910000&amp;isNoScr=script&amp;mode=search", "토지이음")</f>
        <v/>
      </c>
      <c r="L4490" s="3" t="inlineStr">
        <is>
          <t>신안무소</t>
        </is>
      </c>
      <c r="M4490" s="3" t="n">
        <v>1</v>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3" t="inlineStr">
        <is>
          <t>도로따라 긴토지 매매</t>
        </is>
      </c>
      <c r="I4491" s="5">
        <f>HYPERLINK("https://fin.land.naver.com/articles/2647111976", "매물Link")</f>
        <v/>
      </c>
      <c r="J4491" s="5">
        <f>HYPERLINK("https://map.naver.com/p/search/전동면 심중리 391", "지도Link")</f>
        <v/>
      </c>
      <c r="K4491" s="5">
        <f>HYPERLINK("http://www.eum.go.kr/web/ar/lu/luLandDet.jsp?pnu=3611038031103910000&amp;isNoScr=script&amp;mode=search", "토지이음")</f>
        <v/>
      </c>
      <c r="L4491" s="3" t="inlineStr">
        <is>
          <t>THE행복</t>
        </is>
      </c>
      <c r="M4491" s="3" t="n">
        <v>1</v>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3" t="inlineStr">
        <is>
          <t>계획관리지역 , 세종시시민스포츠센터인 세컨하우스 및 농장</t>
        </is>
      </c>
      <c r="I4492" s="5">
        <f>HYPERLINK("https://fin.land.naver.com/articles/2647633164", "매물Link")</f>
        <v/>
      </c>
      <c r="J4492" s="5">
        <f>HYPERLINK("https://map.naver.com/p/search/전동면 심중리 4", "지도Link")</f>
        <v/>
      </c>
      <c r="K4492" s="5">
        <f>HYPERLINK("http://www.eum.go.kr/web/ar/lu/luLandDet.jsp?pnu=3611038031100040000&amp;isNoScr=script&amp;mode=search", "토지이음")</f>
        <v/>
      </c>
      <c r="L4492" s="3" t="inlineStr">
        <is>
          <t>금온(ON)</t>
        </is>
      </c>
      <c r="M4492" s="3" t="n">
        <v>1</v>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3" t="inlineStr">
        <is>
          <t>남향,주말농장,전원주택추천</t>
        </is>
      </c>
      <c r="I4493" s="5">
        <f>HYPERLINK("https://fin.land.naver.com/articles/2645868836", "매물Link")</f>
        <v/>
      </c>
      <c r="J4493" s="5">
        <f>HYPERLINK("https://map.naver.com/p/search/전동면 심중리 407", "지도Link")</f>
        <v/>
      </c>
      <c r="K4493" s="5">
        <f>HYPERLINK("http://www.eum.go.kr/web/ar/lu/luLandDet.jsp?pnu=3611038031104070000&amp;isNoScr=script&amp;mode=search", "토지이음")</f>
        <v/>
      </c>
      <c r="L4493" s="3" t="inlineStr">
        <is>
          <t>OK수</t>
        </is>
      </c>
      <c r="M4493" s="3" t="n">
        <v>1</v>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3" t="inlineStr">
        <is>
          <t>세종 심중리   관리하기 좋은 농지</t>
        </is>
      </c>
      <c r="I4494" s="5">
        <f>HYPERLINK("https://fin.land.naver.com/articles/2648309739", "매물Link")</f>
        <v/>
      </c>
      <c r="J4494" s="5">
        <f>HYPERLINK("https://map.naver.com/p/search/전동면 심중리 407-1", "지도Link")</f>
        <v/>
      </c>
      <c r="K4494" s="5">
        <f>HYPERLINK("http://www.eum.go.kr/web/ar/lu/luLandDet.jsp?pnu=3611038031104070001&amp;isNoScr=script&amp;mode=search", "토지이음")</f>
        <v/>
      </c>
      <c r="L4494" s="3" t="inlineStr">
        <is>
          <t>세종몽땅</t>
        </is>
      </c>
      <c r="M4494" s="3" t="n">
        <v>1</v>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3" t="inlineStr">
        <is>
          <t>저렴한토지 매매 계획관리지역</t>
        </is>
      </c>
      <c r="I4495" s="5">
        <f>HYPERLINK("https://fin.land.naver.com/articles/2648801055", "매물Link")</f>
        <v/>
      </c>
      <c r="J4495" s="5">
        <f>HYPERLINK("https://map.naver.com/p/search/전동면 심중리 407-1", "지도Link")</f>
        <v/>
      </c>
      <c r="K4495" s="5">
        <f>HYPERLINK("http://www.eum.go.kr/web/ar/lu/luLandDet.jsp?pnu=3611038031104070001&amp;isNoScr=script&amp;mode=search", "토지이음")</f>
        <v/>
      </c>
      <c r="L4495" s="3" t="inlineStr">
        <is>
          <t>세종부부</t>
        </is>
      </c>
      <c r="M4495" s="3" t="n">
        <v>1</v>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3" t="inlineStr">
        <is>
          <t>급매 계획관리토지,개발,주말농장 등</t>
        </is>
      </c>
      <c r="I4496" s="5">
        <f>HYPERLINK("https://fin.land.naver.com/articles/2648813388", "매물Link")</f>
        <v/>
      </c>
      <c r="J4496" s="5">
        <f>HYPERLINK("https://map.naver.com/p/search/전동면 심중리 407-1", "지도Link")</f>
        <v/>
      </c>
      <c r="K4496" s="5">
        <f>HYPERLINK("http://www.eum.go.kr/web/ar/lu/luLandDet.jsp?pnu=3611038031104070001&amp;isNoScr=script&amp;mode=search", "토지이음")</f>
        <v/>
      </c>
      <c r="L4496" s="3" t="inlineStr">
        <is>
          <t>세종대박</t>
        </is>
      </c>
      <c r="M4496" s="3" t="n">
        <v>2</v>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3" t="inlineStr">
        <is>
          <t>급매,2면 도로접 계획관리지역,산조망권 뷰,다용도 사용 가능,투자용 추천</t>
        </is>
      </c>
      <c r="I4497" s="5">
        <f>HYPERLINK("https://fin.land.naver.com/articles/2647520750", "매물Link")</f>
        <v/>
      </c>
      <c r="J4497" s="5">
        <f>HYPERLINK("https://map.naver.com/p/search/전동면 심중리 407-1", "지도Link")</f>
        <v/>
      </c>
      <c r="K4497" s="5">
        <f>HYPERLINK("http://www.eum.go.kr/web/ar/lu/luLandDet.jsp?pnu=3611038031104070001&amp;isNoScr=script&amp;mode=search", "토지이음")</f>
        <v/>
      </c>
      <c r="L4497" s="3" t="inlineStr">
        <is>
          <t>고운맘</t>
        </is>
      </c>
      <c r="M4497" s="3" t="n">
        <v>1</v>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3" t="inlineStr">
        <is>
          <t>도로 접, 환한 토지, 계획관리, 지목 답, 전원생활 개발가능한 토지 급</t>
        </is>
      </c>
      <c r="I4498" s="5">
        <f>HYPERLINK("https://fin.land.naver.com/articles/2643993436", "매물Link")</f>
        <v/>
      </c>
      <c r="J4498" s="5">
        <f>HYPERLINK("https://map.naver.com/p/search/전동면 심중리 408", "지도Link")</f>
        <v/>
      </c>
      <c r="K4498" s="5">
        <f>HYPERLINK("http://www.eum.go.kr/web/ar/lu/luLandDet.jsp?pnu=3611038031104080000&amp;isNoScr=script&amp;mode=search", "토지이음")</f>
        <v/>
      </c>
      <c r="L4498" s="3" t="inlineStr">
        <is>
          <t>OK파라곤</t>
        </is>
      </c>
      <c r="M4498" s="3" t="n">
        <v>2</v>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3" t="inlineStr">
        <is>
          <t>계획관리 답 급매입니다. 대토 추천,조용하고 한가로운 곳으로 주말쉼터추천</t>
        </is>
      </c>
      <c r="I4499" s="5">
        <f>HYPERLINK("https://fin.land.naver.com/articles/2646175121", "매물Link")</f>
        <v/>
      </c>
      <c r="J4499" s="5">
        <f>HYPERLINK("https://map.naver.com/p/search/전동면 심중리 408", "지도Link")</f>
        <v/>
      </c>
      <c r="K4499" s="5">
        <f>HYPERLINK("http://www.eum.go.kr/web/ar/lu/luLandDet.jsp?pnu=3611038031104080000&amp;isNoScr=script&amp;mode=search", "토지이음")</f>
        <v/>
      </c>
      <c r="L4499" s="3" t="inlineStr">
        <is>
          <t>신안무소</t>
        </is>
      </c>
      <c r="M4499" s="3" t="n">
        <v>1</v>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3" t="inlineStr">
        <is>
          <t>전동면 심중리 단독부지 조용한 전원생활 최적지, 포장도로접</t>
        </is>
      </c>
      <c r="I4500" s="5">
        <f>HYPERLINK("https://fin.land.naver.com/articles/2644042527", "매물Link")</f>
        <v/>
      </c>
      <c r="J4500" s="5">
        <f>HYPERLINK("https://map.naver.com/p/search/전동면 심중리 461-2", "지도Link")</f>
        <v/>
      </c>
      <c r="K4500" s="5">
        <f>HYPERLINK("http://www.eum.go.kr/web/ar/lu/luLandDet.jsp?pnu=3611038031104610002&amp;isNoScr=script&amp;mode=search", "토지이음")</f>
        <v/>
      </c>
      <c r="L4500" s="3" t="inlineStr">
        <is>
          <t>세종공감</t>
        </is>
      </c>
      <c r="M4500" s="3" t="n">
        <v>1</v>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3" t="inlineStr">
        <is>
          <t>전동면 심중리 계획관리 토지, 산업단지 및 고속도로 예정지 인근</t>
        </is>
      </c>
      <c r="I4501" s="5">
        <f>HYPERLINK("https://fin.land.naver.com/articles/2647650525", "매물Link")</f>
        <v/>
      </c>
      <c r="J4501" s="5">
        <f>HYPERLINK("https://map.naver.com/p/search/전동면 심중리 463-1", "지도Link")</f>
        <v/>
      </c>
      <c r="K4501" s="5">
        <f>HYPERLINK("http://www.eum.go.kr/web/ar/lu/luLandDet.jsp?pnu=3611038031104630001&amp;isNoScr=script&amp;mode=search", "토지이음")</f>
        <v/>
      </c>
      <c r="L4501" s="3" t="inlineStr">
        <is>
          <t>스카이</t>
        </is>
      </c>
      <c r="M4501" s="3" t="n">
        <v>2</v>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3" t="inlineStr">
        <is>
          <t>nan</t>
        </is>
      </c>
      <c r="I4502" s="5">
        <f>HYPERLINK("https://fin.land.naver.com/articles/2644346255", "매물Link")</f>
        <v/>
      </c>
      <c r="J4502" s="5">
        <f>HYPERLINK("https://map.naver.com/p/search/전동면 심중리 53", "지도Link")</f>
        <v/>
      </c>
      <c r="K4502" s="5">
        <f>HYPERLINK("http://www.eum.go.kr/web/ar/lu/luLandDet.jsp?pnu=3611038031100530000&amp;isNoScr=script&amp;mode=search", "토지이음")</f>
        <v/>
      </c>
      <c r="L4502" s="3" t="inlineStr">
        <is>
          <t>금호무소</t>
        </is>
      </c>
      <c r="M4502" s="3" t="n">
        <v>1</v>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3" t="inlineStr">
        <is>
          <t>심중리 2차선변 계획관리지역</t>
        </is>
      </c>
      <c r="I4503" s="5">
        <f>HYPERLINK("https://fin.land.naver.com/articles/2648749371", "매물Link")</f>
        <v/>
      </c>
      <c r="J4503" s="5">
        <f>HYPERLINK("https://map.naver.com/p/search/전동면 심중리 60", "지도Link")</f>
        <v/>
      </c>
      <c r="K4503" s="5">
        <f>HYPERLINK("http://www.eum.go.kr/web/ar/lu/luLandDet.jsp?pnu=3611038031100600000&amp;isNoScr=script&amp;mode=search", "토지이음")</f>
        <v/>
      </c>
      <c r="L4503" s="3" t="inlineStr">
        <is>
          <t>KB세종</t>
        </is>
      </c>
      <c r="M4503" s="3" t="n">
        <v>1</v>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3" t="inlineStr">
        <is>
          <t>nan</t>
        </is>
      </c>
      <c r="I4504" s="5">
        <f>HYPERLINK("https://fin.land.naver.com/articles/2644888371", "매물Link")</f>
        <v/>
      </c>
      <c r="J4504" s="5">
        <f>HYPERLINK("https://map.naver.com/p/search/전동면 심중리 744", "지도Link")</f>
        <v/>
      </c>
      <c r="K4504" s="5">
        <f>HYPERLINK("http://www.eum.go.kr/web/ar/lu/luLandDet.jsp?pnu=3611038031107440000&amp;isNoScr=script&amp;mode=search", "토지이음")</f>
        <v/>
      </c>
      <c r="L4504" s="3" t="inlineStr">
        <is>
          <t>도안으뜸</t>
        </is>
      </c>
      <c r="M4504" s="3" t="n">
        <v>1</v>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3" t="inlineStr">
        <is>
          <t>nan</t>
        </is>
      </c>
      <c r="I4505" s="5">
        <f>HYPERLINK("https://fin.land.naver.com/articles/2647927516", "매물Link")</f>
        <v/>
      </c>
      <c r="J4505" s="5">
        <f>HYPERLINK("https://map.naver.com/p/search/전동면 심중리 산72", "지도Link")</f>
        <v/>
      </c>
      <c r="K4505" s="5">
        <f>HYPERLINK("http://www.eum.go.kr/web/ar/lu/luLandDet.jsp?pnu=3611038031200720000&amp;isNoScr=script&amp;mode=search", "토지이음")</f>
        <v/>
      </c>
      <c r="L4505" s="3" t="inlineStr">
        <is>
          <t>운산</t>
        </is>
      </c>
      <c r="M4505" s="3" t="n">
        <v>1</v>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3" t="inlineStr">
        <is>
          <t>대지, 건축가능카페 등</t>
        </is>
      </c>
      <c r="I4506" s="5">
        <f>HYPERLINK("https://fin.land.naver.com/articles/2648813390", "매물Link")</f>
        <v/>
      </c>
      <c r="J4506" s="5">
        <f>HYPERLINK("https://map.naver.com/p/search/전동면 청람리 115-4", "지도Link")</f>
        <v/>
      </c>
      <c r="K4506" s="5">
        <f>HYPERLINK("http://www.eum.go.kr/web/ar/lu/luLandDet.jsp?pnu=3611038028101150004&amp;isNoScr=script&amp;mode=search", "토지이음")</f>
        <v/>
      </c>
      <c r="L4506" s="3" t="inlineStr">
        <is>
          <t>세종대박</t>
        </is>
      </c>
      <c r="M4506" s="3" t="n">
        <v>1</v>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3" t="inlineStr">
        <is>
          <t>Point 시세보다 저렴, 투자 추천, 제2경부 연기IC,산단 입주 호재</t>
        </is>
      </c>
      <c r="I4507" s="5">
        <f>HYPERLINK("https://fin.land.naver.com/articles/2647900197", "매물Link")</f>
        <v/>
      </c>
      <c r="J4507" s="5">
        <f>HYPERLINK("https://map.naver.com/p/search/전동면 청람리 174", "지도Link")</f>
        <v/>
      </c>
      <c r="K4507" s="5">
        <f>HYPERLINK("http://www.eum.go.kr/web/ar/lu/luLandDet.jsp?pnu=3611038028101740000&amp;isNoScr=script&amp;mode=search", "토지이음")</f>
        <v/>
      </c>
      <c r="L4507" s="3" t="inlineStr">
        <is>
          <t>도마호반</t>
        </is>
      </c>
      <c r="M4507" s="3" t="n">
        <v>1</v>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3" t="inlineStr">
        <is>
          <t>옹벽을 설치하여 전원주택 2채 정도를 지을 수 있는 생산관리지역의 전</t>
        </is>
      </c>
      <c r="I4508" s="5">
        <f>HYPERLINK("https://fin.land.naver.com/articles/2648161537", "매물Link")</f>
        <v/>
      </c>
      <c r="J4508" s="5">
        <f>HYPERLINK("https://map.naver.com/p/search/전동면 청람리 204", "지도Link")</f>
        <v/>
      </c>
      <c r="K4508" s="5">
        <f>HYPERLINK("http://www.eum.go.kr/web/ar/lu/luLandDet.jsp?pnu=3611038028102040000&amp;isNoScr=script&amp;mode=search", "토지이음")</f>
        <v/>
      </c>
      <c r="L4508" s="3" t="inlineStr">
        <is>
          <t>스마일세종</t>
        </is>
      </c>
      <c r="M4508" s="3" t="n">
        <v>1</v>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3" t="inlineStr">
        <is>
          <t>가격조율가능,세종벤처밸리 일반산업단지 인접, 연기IC예정지 근접</t>
        </is>
      </c>
      <c r="I4509" s="5">
        <f>HYPERLINK("https://fin.land.naver.com/articles/2645497377", "매물Link")</f>
        <v/>
      </c>
      <c r="J4509" s="5">
        <f>HYPERLINK("https://map.naver.com/p/search/전동면 청람리 216-6", "지도Link")</f>
        <v/>
      </c>
      <c r="K4509" s="5">
        <f>HYPERLINK("http://www.eum.go.kr/web/ar/lu/luLandDet.jsp?pnu=3611038028102160006&amp;isNoScr=script&amp;mode=search", "토지이음")</f>
        <v/>
      </c>
      <c r="L4509" s="3" t="inlineStr">
        <is>
          <t>담뜰</t>
        </is>
      </c>
      <c r="M4509" s="3" t="n">
        <v>1</v>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3" t="inlineStr">
        <is>
          <t>도로접 막힘없는 조망권뷰 최상,가족 및 종중묘자리,가격조정가능</t>
        </is>
      </c>
      <c r="I4510" s="5">
        <f>HYPERLINK("https://fin.land.naver.com/articles/2645310836", "매물Link")</f>
        <v/>
      </c>
      <c r="J4510" s="5">
        <f>HYPERLINK("https://map.naver.com/p/search/전동면 청람리 216-6", "지도Link")</f>
        <v/>
      </c>
      <c r="K4510" s="5">
        <f>HYPERLINK("http://www.eum.go.kr/web/ar/lu/luLandDet.jsp?pnu=3611038028102160006&amp;isNoScr=script&amp;mode=search", "토지이음")</f>
        <v/>
      </c>
      <c r="L4510" s="3" t="inlineStr">
        <is>
          <t>고운맘</t>
        </is>
      </c>
      <c r="M4510" s="3" t="n">
        <v>1</v>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3" t="inlineStr">
        <is>
          <t>지자체에서 포장한 진입로 있는 계획관리지역 나대지,저렴한 토지</t>
        </is>
      </c>
      <c r="I4511" s="5">
        <f>HYPERLINK("https://fin.land.naver.com/articles/2648490232", "매물Link")</f>
        <v/>
      </c>
      <c r="J4511" s="5">
        <f>HYPERLINK("https://map.naver.com/p/search/전동면 청람리 228-2", "지도Link")</f>
        <v/>
      </c>
      <c r="K4511" s="5">
        <f>HYPERLINK("http://www.eum.go.kr/web/ar/lu/luLandDet.jsp?pnu=3611038028102280002&amp;isNoScr=script&amp;mode=search", "토지이음")</f>
        <v/>
      </c>
      <c r="L4511" s="3" t="inlineStr">
        <is>
          <t>유정희</t>
        </is>
      </c>
      <c r="M4511" s="3" t="n">
        <v>1</v>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3" t="inlineStr">
        <is>
          <t>청람리에 있는 마을 안길에 접해있는 계획관리지역의 지목이 대지입니다</t>
        </is>
      </c>
      <c r="I4512" s="5">
        <f>HYPERLINK("https://fin.land.naver.com/articles/2648880557", "매물Link")</f>
        <v/>
      </c>
      <c r="J4512" s="5">
        <f>HYPERLINK("https://map.naver.com/p/search/전동면 청람리 248", "지도Link")</f>
        <v/>
      </c>
      <c r="K4512" s="5">
        <f>HYPERLINK("http://www.eum.go.kr/web/ar/lu/luLandDet.jsp?pnu=3611038028102480000&amp;isNoScr=script&amp;mode=search", "토지이음")</f>
        <v/>
      </c>
      <c r="L4512" s="3" t="inlineStr">
        <is>
          <t>스마일세종</t>
        </is>
      </c>
      <c r="M4512" s="3" t="n">
        <v>2</v>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3" t="inlineStr">
        <is>
          <t>도로 상태 좋고 전원주택지로 딱 좋아요. 주변에 전원주택들이 있어요</t>
        </is>
      </c>
      <c r="I4513" s="5">
        <f>HYPERLINK("https://fin.land.naver.com/articles/2647253156", "매물Link")</f>
        <v/>
      </c>
      <c r="J4513" s="5">
        <f>HYPERLINK("https://map.naver.com/p/search/전동면 청람리 427", "지도Link")</f>
        <v/>
      </c>
      <c r="K4513" s="5">
        <f>HYPERLINK("http://www.eum.go.kr/web/ar/lu/luLandDet.jsp?pnu=3611038028104270000&amp;isNoScr=script&amp;mode=search", "토지이음")</f>
        <v/>
      </c>
      <c r="L4513" s="3" t="inlineStr">
        <is>
          <t>세종공감</t>
        </is>
      </c>
      <c r="M4513" s="3" t="n">
        <v>1</v>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3" t="inlineStr">
        <is>
          <t>세종에서 천안으로 가는 국도1변선변에 위치한 토지임</t>
        </is>
      </c>
      <c r="I4514" s="5">
        <f>HYPERLINK("https://fin.land.naver.com/articles/2648839855", "매물Link")</f>
        <v/>
      </c>
      <c r="J4514" s="5">
        <f>HYPERLINK("https://map.naver.com/p/search/전동면 청람리 44-3", "지도Link")</f>
        <v/>
      </c>
      <c r="K4514" s="5">
        <f>HYPERLINK("http://www.eum.go.kr/web/ar/lu/luLandDet.jsp?pnu=3611038028100440003&amp;isNoScr=script&amp;mode=search", "토지이음")</f>
        <v/>
      </c>
      <c r="L4514" s="3" t="inlineStr">
        <is>
          <t>교차로</t>
        </is>
      </c>
      <c r="M4514" s="3" t="n">
        <v>1</v>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3" t="inlineStr">
        <is>
          <t>연기IC 가까운 위치. 전원주택지로도 좋아요. 각각매도가능</t>
        </is>
      </c>
      <c r="I4515" s="5">
        <f>HYPERLINK("https://fin.land.naver.com/articles/2645602135", "매물Link")</f>
        <v/>
      </c>
      <c r="J4515" s="5">
        <f>HYPERLINK("https://map.naver.com/p/search/전동면 청람리 446-2", "지도Link")</f>
        <v/>
      </c>
      <c r="K4515" s="5">
        <f>HYPERLINK("http://www.eum.go.kr/web/ar/lu/luLandDet.jsp?pnu=3611038028104460002&amp;isNoScr=script&amp;mode=search", "토지이음")</f>
        <v/>
      </c>
      <c r="L4515" s="3" t="inlineStr">
        <is>
          <t>미스터홈즈강남지사</t>
        </is>
      </c>
      <c r="M4515" s="3" t="n">
        <v>1</v>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3" t="inlineStr">
        <is>
          <t>넓은 면적, 한적한 시골 주말농장, 귀촌, 대토 추천</t>
        </is>
      </c>
      <c r="I4516" s="5">
        <f>HYPERLINK("https://fin.land.naver.com/articles/2649101093", "매물Link")</f>
        <v/>
      </c>
      <c r="J4516" s="5">
        <f>HYPERLINK("https://map.naver.com/p/search/전동면 청람리 459", "지도Link")</f>
        <v/>
      </c>
      <c r="K4516" s="5">
        <f>HYPERLINK("http://www.eum.go.kr/web/ar/lu/luLandDet.jsp?pnu=3611038028104590000&amp;isNoScr=script&amp;mode=search", "토지이음")</f>
        <v/>
      </c>
      <c r="L4516" s="3" t="inlineStr">
        <is>
          <t>세종소담114</t>
        </is>
      </c>
      <c r="M4516" s="3" t="n">
        <v>1</v>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3" t="inlineStr">
        <is>
          <t>생산관리지역성장관리계획구역</t>
        </is>
      </c>
      <c r="I4517" s="5">
        <f>HYPERLINK("https://fin.land.naver.com/articles/2649735572", "매물Link")</f>
        <v/>
      </c>
      <c r="J4517" s="5">
        <f>HYPERLINK("https://map.naver.com/p/search/전동면 청람리 459", "지도Link")</f>
        <v/>
      </c>
      <c r="K4517" s="5">
        <f>HYPERLINK("http://www.eum.go.kr/web/ar/lu/luLandDet.jsp?pnu=3611038028104590000&amp;isNoScr=script&amp;mode=search", "토지이음")</f>
        <v/>
      </c>
      <c r="L4517" s="3" t="inlineStr">
        <is>
          <t>세종몽땅</t>
        </is>
      </c>
      <c r="M4517" s="3" t="n">
        <v>1</v>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3" t="inlineStr">
        <is>
          <t>이웃토지와 함께 매매원함,복숭아밭 농사중.</t>
        </is>
      </c>
      <c r="I4518" s="5">
        <f>HYPERLINK("https://fin.land.naver.com/articles/2646752698", "매물Link")</f>
        <v/>
      </c>
      <c r="J4518" s="5">
        <f>HYPERLINK("https://map.naver.com/p/search/전동면 청람리 465", "지도Link")</f>
        <v/>
      </c>
      <c r="K4518" s="5">
        <f>HYPERLINK("http://www.eum.go.kr/web/ar/lu/luLandDet.jsp?pnu=3611038028104650000&amp;isNoScr=script&amp;mode=search", "토지이음")</f>
        <v/>
      </c>
      <c r="L4518" s="3" t="inlineStr">
        <is>
          <t>주공그린빌</t>
        </is>
      </c>
      <c r="M4518" s="3" t="n">
        <v>1</v>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3" t="inlineStr">
        <is>
          <t>주말농장으로 추천</t>
        </is>
      </c>
      <c r="I4519" s="5">
        <f>HYPERLINK("https://fin.land.naver.com/articles/2649674368", "매물Link")</f>
        <v/>
      </c>
      <c r="J4519" s="5">
        <f>HYPERLINK("https://map.naver.com/p/search/전동면 청람리 467", "지도Link")</f>
        <v/>
      </c>
      <c r="K4519" s="5">
        <f>HYPERLINK("http://www.eum.go.kr/web/ar/lu/luLandDet.jsp?pnu=3611038028104670000&amp;isNoScr=script&amp;mode=search", "토지이음")</f>
        <v/>
      </c>
      <c r="L4519" s="3" t="inlineStr">
        <is>
          <t>세종베스트</t>
        </is>
      </c>
      <c r="M4519" s="3" t="n">
        <v>1</v>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3" t="inlineStr">
        <is>
          <t>도로에 접한 평평한, 놀기 좋은 토지</t>
        </is>
      </c>
      <c r="I4520" s="5">
        <f>HYPERLINK("https://fin.land.naver.com/articles/2648517805", "매물Link")</f>
        <v/>
      </c>
      <c r="J4520" s="5">
        <f>HYPERLINK("https://map.naver.com/p/search/전동면 청람리 470-2", "지도Link")</f>
        <v/>
      </c>
      <c r="K4520" s="5">
        <f>HYPERLINK("http://www.eum.go.kr/web/ar/lu/luLandDet.jsp?pnu=3611038028104700002&amp;isNoScr=script&amp;mode=search", "토지이음")</f>
        <v/>
      </c>
      <c r="L4520" s="3" t="inlineStr">
        <is>
          <t>OK파라곤</t>
        </is>
      </c>
      <c r="M4520" s="3" t="n">
        <v>1</v>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3" t="inlineStr">
        <is>
          <t>급매 세종시 전동면 청람리 토지 매매  토목건축 인허가 완료</t>
        </is>
      </c>
      <c r="I4521" s="5">
        <f>HYPERLINK("https://fin.land.naver.com/articles/2644762074", "매물Link")</f>
        <v/>
      </c>
      <c r="J4521" s="5">
        <f>HYPERLINK("https://map.naver.com/p/search/전동면 청람리 492-1", "지도Link")</f>
        <v/>
      </c>
      <c r="K4521" s="5">
        <f>HYPERLINK("http://www.eum.go.kr/web/ar/lu/luLandDet.jsp?pnu=3611038028104920001&amp;isNoScr=script&amp;mode=search", "토지이음")</f>
        <v/>
      </c>
      <c r="L4521" s="3" t="inlineStr">
        <is>
          <t>이로운 사무소</t>
        </is>
      </c>
      <c r="M4521" s="3" t="n">
        <v>1</v>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3" t="inlineStr">
        <is>
          <t>주말농장 및 상림경영가능</t>
        </is>
      </c>
      <c r="I4522" s="5">
        <f>HYPERLINK("https://fin.land.naver.com/articles/2647767262", "매물Link")</f>
        <v/>
      </c>
      <c r="J4522" s="5">
        <f>HYPERLINK("https://map.naver.com/p/search/전동면 청람리 497-25", "지도Link")</f>
        <v/>
      </c>
      <c r="K4522" s="5">
        <f>HYPERLINK("http://www.eum.go.kr/web/ar/lu/luLandDet.jsp?pnu=3611038028104970025&amp;isNoScr=script&amp;mode=search", "토지이음")</f>
        <v/>
      </c>
      <c r="L4522" s="3" t="inlineStr">
        <is>
          <t>지호주식회사</t>
        </is>
      </c>
      <c r="M4522" s="3" t="n">
        <v>1</v>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3" t="inlineStr">
        <is>
          <t>2차선도로에 접한 토지</t>
        </is>
      </c>
      <c r="I4523" s="5">
        <f>HYPERLINK("https://fin.land.naver.com/articles/2644444558", "매물Link")</f>
        <v/>
      </c>
      <c r="J4523" s="5">
        <f>HYPERLINK("https://map.naver.com/p/search/전동면 청람리 68-2", "지도Link")</f>
        <v/>
      </c>
      <c r="K4523" s="5">
        <f>HYPERLINK("http://www.eum.go.kr/web/ar/lu/luLandDet.jsp?pnu=3611038028100680002&amp;isNoScr=script&amp;mode=search", "토지이음")</f>
        <v/>
      </c>
      <c r="L4523" s="3" t="inlineStr">
        <is>
          <t>세종대박</t>
        </is>
      </c>
      <c r="M4523" s="3" t="n">
        <v>1</v>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3" t="inlineStr">
        <is>
          <t>2차선접한 계획관리토지,창고,공장,주택등 모두가능한 토지,</t>
        </is>
      </c>
      <c r="I4524" s="5">
        <f>HYPERLINK("https://fin.land.naver.com/articles/2644133763", "매물Link")</f>
        <v/>
      </c>
      <c r="J4524" s="5">
        <f>HYPERLINK("https://map.naver.com/p/search/전동면 청람리 89-10", "지도Link")</f>
        <v/>
      </c>
      <c r="K4524" s="5">
        <f>HYPERLINK("http://www.eum.go.kr/web/ar/lu/luLandDet.jsp?pnu=3611038028100890010&amp;isNoScr=script&amp;mode=search", "토지이음")</f>
        <v/>
      </c>
      <c r="L4524" s="3" t="inlineStr">
        <is>
          <t>신안무소</t>
        </is>
      </c>
      <c r="M4524" s="3" t="n">
        <v>1</v>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3" t="inlineStr">
        <is>
          <t>서울세종고속도로및세종벤처벨리인근 개발가능성 많은 임야</t>
        </is>
      </c>
      <c r="I4525" s="5">
        <f>HYPERLINK("https://fin.land.naver.com/articles/2646384206", "매물Link")</f>
        <v/>
      </c>
      <c r="J4525" s="5">
        <f>HYPERLINK("https://map.naver.com/p/search/전동면 청람리 산44-1", "지도Link")</f>
        <v/>
      </c>
      <c r="K4525" s="5">
        <f>HYPERLINK("http://www.eum.go.kr/web/ar/lu/luLandDet.jsp?pnu=3611038028200440001&amp;isNoScr=script&amp;mode=search", "토지이음")</f>
        <v/>
      </c>
      <c r="L4525" s="3" t="inlineStr">
        <is>
          <t>세종강남</t>
        </is>
      </c>
      <c r="M4525" s="3" t="n">
        <v>1</v>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3" t="inlineStr">
        <is>
          <t>도로접,임야,조율가능,향후 투자가지있음,주변산단</t>
        </is>
      </c>
      <c r="I4526" s="5">
        <f>HYPERLINK("https://fin.land.naver.com/articles/2648012538", "매물Link")</f>
        <v/>
      </c>
      <c r="J4526" s="5">
        <f>HYPERLINK("https://map.naver.com/p/search/전동면 청람리 산44-7", "지도Link")</f>
        <v/>
      </c>
      <c r="K4526" s="5">
        <f>HYPERLINK("http://www.eum.go.kr/web/ar/lu/luLandDet.jsp?pnu=3611038028200440007&amp;isNoScr=script&amp;mode=search", "토지이음")</f>
        <v/>
      </c>
      <c r="L4526" s="3" t="inlineStr">
        <is>
          <t>세종산울랜드마크</t>
        </is>
      </c>
      <c r="M4526" s="3" t="n">
        <v>1</v>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3" t="inlineStr">
        <is>
          <t>경사도 완만하고 마을 안길 포장도로에 접한 농림지역 임야입니다</t>
        </is>
      </c>
      <c r="I4527" s="5">
        <f>HYPERLINK("https://fin.land.naver.com/articles/2646319904", "매물Link")</f>
        <v/>
      </c>
      <c r="J4527" s="5">
        <f>HYPERLINK("https://map.naver.com/p/search/전동면 청람리 산80-5", "지도Link")</f>
        <v/>
      </c>
      <c r="K4527" s="5">
        <f>HYPERLINK("http://www.eum.go.kr/web/ar/lu/luLandDet.jsp?pnu=3611038028200800005&amp;isNoScr=script&amp;mode=search", "토지이음")</f>
        <v/>
      </c>
      <c r="L4527" s="3" t="inlineStr">
        <is>
          <t>스마일세종</t>
        </is>
      </c>
      <c r="M4527" s="3" t="n">
        <v>1</v>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3" t="inlineStr">
        <is>
          <t>보전관리 전, 노장농공단지, 청송농공단지,세종벤처벨리산업단지 접근성 최상</t>
        </is>
      </c>
      <c r="I4528" s="5">
        <f>HYPERLINK("https://fin.land.naver.com/articles/2643988838", "매물Link")</f>
        <v/>
      </c>
      <c r="J4528" s="5">
        <f>HYPERLINK("https://map.naver.com/p/search/전동면 청송리 118-2", "지도Link")</f>
        <v/>
      </c>
      <c r="K4528" s="5">
        <f>HYPERLINK("http://www.eum.go.kr/web/ar/lu/luLandDet.jsp?pnu=3611038023101180002&amp;isNoScr=script&amp;mode=search", "토지이음")</f>
        <v/>
      </c>
      <c r="L4528" s="3" t="inlineStr">
        <is>
          <t>세종일조</t>
        </is>
      </c>
      <c r="M4528" s="3" t="n">
        <v>1</v>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3" t="inlineStr">
        <is>
          <t>nan</t>
        </is>
      </c>
      <c r="I4529" s="5">
        <f>HYPERLINK("https://fin.land.naver.com/articles/2644905442", "매물Link")</f>
        <v/>
      </c>
      <c r="J4529" s="5">
        <f>HYPERLINK("https://map.naver.com/p/search/전동면 청송리 191-3", "지도Link")</f>
        <v/>
      </c>
      <c r="K4529" s="5">
        <f>HYPERLINK("http://www.eum.go.kr/web/ar/lu/luLandDet.jsp?pnu=3611038023101910003&amp;isNoScr=script&amp;mode=search", "토지이음")</f>
        <v/>
      </c>
      <c r="L4529" s="3" t="inlineStr">
        <is>
          <t>동원탑</t>
        </is>
      </c>
      <c r="M4529" s="3" t="n">
        <v>1</v>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3" t="inlineStr">
        <is>
          <t>nan</t>
        </is>
      </c>
      <c r="I4530" s="5">
        <f>HYPERLINK("https://fin.land.naver.com/articles/2649504092", "매물Link")</f>
        <v/>
      </c>
      <c r="J4530" s="5">
        <f>HYPERLINK("https://map.naver.com/p/search/전동면 청송리 253", "지도Link")</f>
        <v/>
      </c>
      <c r="K4530" s="5">
        <f>HYPERLINK("http://www.eum.go.kr/web/ar/lu/luLandDet.jsp?pnu=3611038023102530000&amp;isNoScr=script&amp;mode=search", "토지이음")</f>
        <v/>
      </c>
      <c r="L4530" s="3" t="inlineStr">
        <is>
          <t>동원탑</t>
        </is>
      </c>
      <c r="M4530" s="3" t="n">
        <v>1</v>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3" t="inlineStr">
        <is>
          <t>계획관리 전입니다.전망트여 전원주택지로도 추천합니다.</t>
        </is>
      </c>
      <c r="I4531" s="5">
        <f>HYPERLINK("https://fin.land.naver.com/articles/2646175786", "매물Link")</f>
        <v/>
      </c>
      <c r="J4531" s="5">
        <f>HYPERLINK("https://map.naver.com/p/search/전동면 청송리 286", "지도Link")</f>
        <v/>
      </c>
      <c r="K4531" s="5">
        <f>HYPERLINK("http://www.eum.go.kr/web/ar/lu/luLandDet.jsp?pnu=3611038023102860000&amp;isNoScr=script&amp;mode=search", "토지이음")</f>
        <v/>
      </c>
      <c r="L4531" s="3" t="inlineStr">
        <is>
          <t>신안무소</t>
        </is>
      </c>
      <c r="M4531" s="3" t="n">
        <v>1</v>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3" t="inlineStr">
        <is>
          <t>nan</t>
        </is>
      </c>
      <c r="I4532" s="5">
        <f>HYPERLINK("https://fin.land.naver.com/articles/2648741033", "매물Link")</f>
        <v/>
      </c>
      <c r="J4532" s="5">
        <f>HYPERLINK("https://map.naver.com/p/search/전동면 청송리 304-5", "지도Link")</f>
        <v/>
      </c>
      <c r="K4532" s="5">
        <f>HYPERLINK("http://www.eum.go.kr/web/ar/lu/luLandDet.jsp?pnu=3611038023103040005&amp;isNoScr=script&amp;mode=search", "토지이음")</f>
        <v/>
      </c>
      <c r="L4532" s="3" t="inlineStr">
        <is>
          <t>스카이</t>
        </is>
      </c>
      <c r="M4532" s="3" t="n">
        <v>1</v>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3" t="inlineStr">
        <is>
          <t>청송리 귀농인 주택 및 농장지로 추천 관리지역토지</t>
        </is>
      </c>
      <c r="I4533" s="5">
        <f>HYPERLINK("https://fin.land.naver.com/articles/2649692112", "매물Link")</f>
        <v/>
      </c>
      <c r="J4533" s="5">
        <f>HYPERLINK("https://map.naver.com/p/search/전동면 청송리 407", "지도Link")</f>
        <v/>
      </c>
      <c r="K4533" s="5">
        <f>HYPERLINK("http://www.eum.go.kr/web/ar/lu/luLandDet.jsp?pnu=3611038023104070000&amp;isNoScr=script&amp;mode=search", "토지이음")</f>
        <v/>
      </c>
      <c r="L4533" s="3" t="inlineStr">
        <is>
          <t>오송k랜드</t>
        </is>
      </c>
      <c r="M4533" s="3" t="n">
        <v>1</v>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3" t="inlineStr">
        <is>
          <t>계획관리 도로접 소형토지, 쉼터텃밭장기보유 검토지</t>
        </is>
      </c>
      <c r="I4534" s="5">
        <f>HYPERLINK("https://fin.land.naver.com/articles/2645206294", "매물Link")</f>
        <v/>
      </c>
      <c r="J4534" s="5">
        <f>HYPERLINK("https://map.naver.com/p/search/전동면 청송리 475-1", "지도Link")</f>
        <v/>
      </c>
      <c r="K4534" s="5">
        <f>HYPERLINK("http://www.eum.go.kr/web/ar/lu/luLandDet.jsp?pnu=3611038023104750001&amp;isNoScr=script&amp;mode=search", "토지이음")</f>
        <v/>
      </c>
      <c r="L4534" s="3" t="inlineStr">
        <is>
          <t>세종소담황금</t>
        </is>
      </c>
      <c r="M4534" s="3" t="n">
        <v>1</v>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3" t="inlineStr">
        <is>
          <t>노장농공단지 전동산업단지 인근 두필지 토지 매매, 가격 협의 가능</t>
        </is>
      </c>
      <c r="I4535" s="5">
        <f>HYPERLINK("https://fin.land.naver.com/articles/2646524598", "매물Link")</f>
        <v/>
      </c>
      <c r="J4535" s="5">
        <f>HYPERLINK("https://map.naver.com/p/search/전동면 청송리 69-1", "지도Link")</f>
        <v/>
      </c>
      <c r="K4535" s="5">
        <f>HYPERLINK("http://www.eum.go.kr/web/ar/lu/luLandDet.jsp?pnu=3611038023100690001&amp;isNoScr=script&amp;mode=search", "토지이음")</f>
        <v/>
      </c>
      <c r="L4535" s="3" t="inlineStr">
        <is>
          <t>봉담내리지구찐</t>
        </is>
      </c>
      <c r="M4535" s="3" t="n">
        <v>1</v>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3" t="inlineStr">
        <is>
          <t>후면 야산이 감싸안고 있는  조용하고 아늑한 남서향 전원주택부지로 추천</t>
        </is>
      </c>
      <c r="I4536" s="5">
        <f>HYPERLINK("https://fin.land.naver.com/articles/2644384210", "매물Link")</f>
        <v/>
      </c>
      <c r="J4536" s="5">
        <f>HYPERLINK("https://map.naver.com/p/search/전동면 청송리 69-4", "지도Link")</f>
        <v/>
      </c>
      <c r="K4536" s="5">
        <f>HYPERLINK("http://www.eum.go.kr/web/ar/lu/luLandDet.jsp?pnu=3611038023100690004&amp;isNoScr=script&amp;mode=search", "토지이음")</f>
        <v/>
      </c>
      <c r="L4536" s="3" t="inlineStr">
        <is>
          <t>오송랜드</t>
        </is>
      </c>
      <c r="M4536" s="3" t="n">
        <v>1</v>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3" t="inlineStr">
        <is>
          <t>세종시 계획관리에 성장관리지역 토지 매매.조절가능</t>
        </is>
      </c>
      <c r="I4537" s="5">
        <f>HYPERLINK("https://fin.land.naver.com/articles/2645317921", "매물Link")</f>
        <v/>
      </c>
      <c r="J4537" s="5">
        <f>HYPERLINK("https://map.naver.com/p/search/전동면 청송리 69-5", "지도Link")</f>
        <v/>
      </c>
      <c r="K4537" s="5">
        <f>HYPERLINK("http://www.eum.go.kr/web/ar/lu/luLandDet.jsp?pnu=3611038023100690005&amp;isNoScr=script&amp;mode=search", "토지이음")</f>
        <v/>
      </c>
      <c r="L4537" s="3" t="inlineStr">
        <is>
          <t>유성대박</t>
        </is>
      </c>
      <c r="M4537" s="3" t="n">
        <v>1</v>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3" t="inlineStr">
        <is>
          <t>세종시 계획관리에 성장관리지역 토지 매매.조절가능</t>
        </is>
      </c>
      <c r="I4538" s="5">
        <f>HYPERLINK("https://fin.land.naver.com/articles/2645317637", "매물Link")</f>
        <v/>
      </c>
      <c r="J4538" s="5">
        <f>HYPERLINK("https://map.naver.com/p/search/전동면 청송리 69-6", "지도Link")</f>
        <v/>
      </c>
      <c r="K4538" s="5">
        <f>HYPERLINK("http://www.eum.go.kr/web/ar/lu/luLandDet.jsp?pnu=3611038023100690006&amp;isNoScr=script&amp;mode=search", "토지이음")</f>
        <v/>
      </c>
      <c r="L4538" s="3" t="inlineStr">
        <is>
          <t>유성대박</t>
        </is>
      </c>
      <c r="M4538" s="3" t="n">
        <v>1</v>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3" t="inlineStr">
        <is>
          <t>소형농지, 현황도로있음</t>
        </is>
      </c>
      <c r="I4539" s="5">
        <f>HYPERLINK("https://fin.land.naver.com/articles/2647380005", "매물Link")</f>
        <v/>
      </c>
      <c r="J4539" s="5">
        <f>HYPERLINK("https://map.naver.com/p/search/전동면 청송리 73-16", "지도Link")</f>
        <v/>
      </c>
      <c r="K4539" s="5">
        <f>HYPERLINK("http://www.eum.go.kr/web/ar/lu/luLandDet.jsp?pnu=3611038023100730016&amp;isNoScr=script&amp;mode=search", "토지이음")</f>
        <v/>
      </c>
      <c r="L4539" s="3" t="inlineStr">
        <is>
          <t>미스터홈즈강남지사</t>
        </is>
      </c>
      <c r="M4539" s="3" t="n">
        <v>1</v>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3" t="inlineStr">
        <is>
          <t>보전관리지역</t>
        </is>
      </c>
      <c r="I4540" s="5">
        <f>HYPERLINK("https://fin.land.naver.com/articles/2648299046", "매물Link")</f>
        <v/>
      </c>
      <c r="J4540" s="5">
        <f>HYPERLINK("https://map.naver.com/p/search/전동면 청송리 산28", "지도Link")</f>
        <v/>
      </c>
      <c r="K4540" s="5">
        <f>HYPERLINK("http://www.eum.go.kr/web/ar/lu/luLandDet.jsp?pnu=3611038023200280000&amp;isNoScr=script&amp;mode=search", "토지이음")</f>
        <v/>
      </c>
      <c r="L4540" s="3" t="inlineStr">
        <is>
          <t>대원</t>
        </is>
      </c>
      <c r="M4540" s="3" t="n">
        <v>1</v>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3" t="inlineStr">
        <is>
          <t>해당토지로부터 1KM이내에 서울세종고속도로 북세종IC 2027년 개통예정</t>
        </is>
      </c>
      <c r="I4541" s="5">
        <f>HYPERLINK("https://fin.land.naver.com/articles/2644384778", "매물Link")</f>
        <v/>
      </c>
      <c r="J4541" s="5">
        <f>HYPERLINK("https://map.naver.com/p/search/전동면 청송리 산28", "지도Link")</f>
        <v/>
      </c>
      <c r="K4541" s="5">
        <f>HYPERLINK("http://www.eum.go.kr/web/ar/lu/luLandDet.jsp?pnu=3611038023200280000&amp;isNoScr=script&amp;mode=search", "토지이음")</f>
        <v/>
      </c>
      <c r="L4541" s="3" t="inlineStr">
        <is>
          <t>오송랜드</t>
        </is>
      </c>
      <c r="M4541" s="3" t="n">
        <v>1</v>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3" t="inlineStr">
        <is>
          <t>nan</t>
        </is>
      </c>
      <c r="I4542" s="5">
        <f>HYPERLINK("https://fin.land.naver.com/articles/2647871614", "매물Link")</f>
        <v/>
      </c>
      <c r="J4542" s="5">
        <f>HYPERLINK("https://map.naver.com/p/search/전의면 관정리 184-5", "지도Link")</f>
        <v/>
      </c>
      <c r="K4542" s="5">
        <f>HYPERLINK("http://www.eum.go.kr/web/ar/lu/luLandDet.jsp?pnu=3611037027101840005&amp;isNoScr=script&amp;mode=search", "토지이음")</f>
        <v/>
      </c>
      <c r="L4542" s="3" t="inlineStr">
        <is>
          <t>진선미</t>
        </is>
      </c>
      <c r="M4542" s="3" t="n">
        <v>1</v>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3" t="inlineStr">
        <is>
          <t>하이트진로 인근 임야 ,  전의전동면 산업단지  많은지역,계획관리</t>
        </is>
      </c>
      <c r="I4543" s="5">
        <f>HYPERLINK("https://fin.land.naver.com/articles/2645390129", "매물Link")</f>
        <v/>
      </c>
      <c r="J4543" s="5">
        <f>HYPERLINK("https://map.naver.com/p/search/전의면 관정리 191-14", "지도Link")</f>
        <v/>
      </c>
      <c r="K4543" s="5">
        <f>HYPERLINK("http://www.eum.go.kr/web/ar/lu/luLandDet.jsp?pnu=3611037027101910014&amp;isNoScr=script&amp;mode=search", "토지이음")</f>
        <v/>
      </c>
      <c r="L4543" s="3" t="inlineStr">
        <is>
          <t>세종특별시</t>
        </is>
      </c>
      <c r="M4543" s="3" t="n">
        <v>1</v>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3" t="inlineStr">
        <is>
          <t>토지보상가 이하 매도. 전의일반산단 북측 위치</t>
        </is>
      </c>
      <c r="I4544" s="5">
        <f>HYPERLINK("https://fin.land.naver.com/articles/2644332310", "매물Link")</f>
        <v/>
      </c>
      <c r="J4544" s="5">
        <f>HYPERLINK("https://map.naver.com/p/search/전의면 관정리 227", "지도Link")</f>
        <v/>
      </c>
      <c r="K4544" s="5">
        <f>HYPERLINK("http://www.eum.go.kr/web/ar/lu/luLandDet.jsp?pnu=3611037027102270000&amp;isNoScr=script&amp;mode=search", "토지이음")</f>
        <v/>
      </c>
      <c r="L4544" s="3" t="inlineStr">
        <is>
          <t>미스터홈즈강남지사</t>
        </is>
      </c>
      <c r="M4544" s="3" t="n">
        <v>1</v>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3" t="inlineStr">
        <is>
          <t>전의산단과 스마트그린산단 인접 계획관리지역 활용잠재 토지</t>
        </is>
      </c>
      <c r="I4545" s="5">
        <f>HYPERLINK("https://fin.land.naver.com/articles/2644881414", "매물Link")</f>
        <v/>
      </c>
      <c r="J4545" s="5">
        <f>HYPERLINK("https://map.naver.com/p/search/전의면 관정리 227", "지도Link")</f>
        <v/>
      </c>
      <c r="K4545" s="5">
        <f>HYPERLINK("http://www.eum.go.kr/web/ar/lu/luLandDet.jsp?pnu=3611037027102270000&amp;isNoScr=script&amp;mode=search", "토지이음")</f>
        <v/>
      </c>
      <c r="L4545" s="3" t="inlineStr">
        <is>
          <t>세종소담황금</t>
        </is>
      </c>
      <c r="M4545" s="3" t="n">
        <v>1</v>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3" t="inlineStr">
        <is>
          <t>예쁜 농막 있어요 실수요 투자 모두 가능한 대도로변 토지</t>
        </is>
      </c>
      <c r="I4546" s="5">
        <f>HYPERLINK("https://fin.land.naver.com/articles/2649237512", "매물Link")</f>
        <v/>
      </c>
      <c r="J4546" s="5">
        <f>HYPERLINK("https://map.naver.com/p/search/전의면 관정리 260-2", "지도Link")</f>
        <v/>
      </c>
      <c r="K4546" s="5">
        <f>HYPERLINK("http://www.eum.go.kr/web/ar/lu/luLandDet.jsp?pnu=3611037027102600002&amp;isNoScr=script&amp;mode=search", "토지이음")</f>
        <v/>
      </c>
      <c r="L4546" s="3" t="inlineStr">
        <is>
          <t>아임</t>
        </is>
      </c>
      <c r="M4546" s="3" t="n">
        <v>2</v>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3" t="inlineStr">
        <is>
          <t>전의면 스마트산업단지 도로변 계획관리지역 땅</t>
        </is>
      </c>
      <c r="I4547" s="5">
        <f>HYPERLINK("https://fin.land.naver.com/articles/2644970471", "매물Link")</f>
        <v/>
      </c>
      <c r="J4547" s="5">
        <f>HYPERLINK("https://map.naver.com/p/search/전의면 관정리 267-8", "지도Link")</f>
        <v/>
      </c>
      <c r="K4547" s="5">
        <f>HYPERLINK("http://www.eum.go.kr/web/ar/lu/luLandDet.jsp?pnu=3611037027102670008&amp;isNoScr=script&amp;mode=search", "토지이음")</f>
        <v/>
      </c>
      <c r="L4547" s="3" t="inlineStr">
        <is>
          <t>세종천지</t>
        </is>
      </c>
      <c r="M4547" s="3" t="n">
        <v>1</v>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3" t="inlineStr">
        <is>
          <t>전의일반산업단지 바로앞  위치좋은땅, 현재 나대지 , 투자가치 좋음.</t>
        </is>
      </c>
      <c r="I4548" s="5">
        <f>HYPERLINK("https://fin.land.naver.com/articles/2645384804", "매물Link")</f>
        <v/>
      </c>
      <c r="J4548" s="5">
        <f>HYPERLINK("https://map.naver.com/p/search/전의면 관정리 280", "지도Link")</f>
        <v/>
      </c>
      <c r="K4548" s="5">
        <f>HYPERLINK("http://www.eum.go.kr/web/ar/lu/luLandDet.jsp?pnu=3611037027102800000&amp;isNoScr=script&amp;mode=search", "토지이음")</f>
        <v/>
      </c>
      <c r="L4548" s="3" t="inlineStr">
        <is>
          <t>세종특별시</t>
        </is>
      </c>
      <c r="M4548" s="3" t="n">
        <v>1</v>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3" t="inlineStr">
        <is>
          <t>공장 및 근생용지로 허가득  토목공사 완료 전용비 납부완료</t>
        </is>
      </c>
      <c r="I4549" s="5">
        <f>HYPERLINK("https://fin.land.naver.com/articles/2645365010", "매물Link")</f>
        <v/>
      </c>
      <c r="J4549" s="5">
        <f>HYPERLINK("https://map.naver.com/p/search/전의면 관정리 428-2", "지도Link")</f>
        <v/>
      </c>
      <c r="K4549" s="5">
        <f>HYPERLINK("http://www.eum.go.kr/web/ar/lu/luLandDet.jsp?pnu=3611037027104280002&amp;isNoScr=script&amp;mode=search", "토지이음")</f>
        <v/>
      </c>
      <c r="L4549" s="3" t="inlineStr">
        <is>
          <t>번영</t>
        </is>
      </c>
      <c r="M4549" s="3" t="n">
        <v>1</v>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3" t="inlineStr">
        <is>
          <t>공장용지 허가완료 토목완료 물류 공자 창고 추천</t>
        </is>
      </c>
      <c r="I4550" s="5">
        <f>HYPERLINK("https://fin.land.naver.com/articles/2645506246", "매물Link")</f>
        <v/>
      </c>
      <c r="J4550" s="5">
        <f>HYPERLINK("https://map.naver.com/p/search/전의면 관정리 429-8", "지도Link")</f>
        <v/>
      </c>
      <c r="K4550" s="5">
        <f>HYPERLINK("http://www.eum.go.kr/web/ar/lu/luLandDet.jsp?pnu=3611037027104290008&amp;isNoScr=script&amp;mode=search", "토지이음")</f>
        <v/>
      </c>
      <c r="L4550" s="3" t="inlineStr">
        <is>
          <t>THE행복</t>
        </is>
      </c>
      <c r="M4550" s="3" t="n">
        <v>1</v>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3" t="inlineStr">
        <is>
          <t>공장 및 근생 허가 득하고 토목공사 완료되고 전용비 납부완료</t>
        </is>
      </c>
      <c r="I4551" s="5">
        <f>HYPERLINK("https://fin.land.naver.com/articles/2645365533", "매물Link")</f>
        <v/>
      </c>
      <c r="J4551" s="5">
        <f>HYPERLINK("https://map.naver.com/p/search/전의면 관정리 430", "지도Link")</f>
        <v/>
      </c>
      <c r="K4551" s="5">
        <f>HYPERLINK("http://www.eum.go.kr/web/ar/lu/luLandDet.jsp?pnu=3611037027104300000&amp;isNoScr=script&amp;mode=search", "토지이음")</f>
        <v/>
      </c>
      <c r="L4551" s="3" t="inlineStr">
        <is>
          <t>번영</t>
        </is>
      </c>
      <c r="M4551" s="3" t="n">
        <v>1</v>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3" t="inlineStr">
        <is>
          <t>산업단지들이 가까운 관정리 계획관리. 전으로 이용중</t>
        </is>
      </c>
      <c r="I4552" s="5">
        <f>HYPERLINK("https://fin.land.naver.com/articles/2645604714", "매물Link")</f>
        <v/>
      </c>
      <c r="J4552" s="5">
        <f>HYPERLINK("https://map.naver.com/p/search/전의면 관정리 504", "지도Link")</f>
        <v/>
      </c>
      <c r="K4552" s="5">
        <f>HYPERLINK("http://www.eum.go.kr/web/ar/lu/luLandDet.jsp?pnu=3611037027105040000&amp;isNoScr=script&amp;mode=search", "토지이음")</f>
        <v/>
      </c>
      <c r="L4552" s="3" t="inlineStr">
        <is>
          <t>미스터홈즈강남지사</t>
        </is>
      </c>
      <c r="M4552" s="3" t="n">
        <v>1</v>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3" t="inlineStr">
        <is>
          <t>4차선 도로 확장공사중 으로 활용도 좋은 매물</t>
        </is>
      </c>
      <c r="I4553" s="5">
        <f>HYPERLINK("https://fin.land.naver.com/articles/2647766745", "매물Link")</f>
        <v/>
      </c>
      <c r="J4553" s="5">
        <f>HYPERLINK("https://map.naver.com/p/search/전의면 관정리 534", "지도Link")</f>
        <v/>
      </c>
      <c r="K4553" s="5">
        <f>HYPERLINK("http://www.eum.go.kr/web/ar/lu/luLandDet.jsp?pnu=3611037027105340000&amp;isNoScr=script&amp;mode=search", "토지이음")</f>
        <v/>
      </c>
      <c r="L4553" s="3" t="inlineStr">
        <is>
          <t>지호주식회사</t>
        </is>
      </c>
      <c r="M4553" s="3" t="n">
        <v>1</v>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3" t="inlineStr">
        <is>
          <t>경부고속도로,세종전의 산단인접 대형 야적장,주차장부지</t>
        </is>
      </c>
      <c r="I4554" s="5">
        <f>HYPERLINK("https://fin.land.naver.com/articles/2646693480", "매물Link")</f>
        <v/>
      </c>
      <c r="J4554" s="5">
        <f>HYPERLINK("https://map.naver.com/p/search/전의면 관정리 600", "지도Link")</f>
        <v/>
      </c>
      <c r="K4554" s="5">
        <f>HYPERLINK("http://www.eum.go.kr/web/ar/lu/luLandDet.jsp?pnu=3611037027106000000&amp;isNoScr=script&amp;mode=search", "토지이음")</f>
        <v/>
      </c>
      <c r="L4554" s="3" t="inlineStr">
        <is>
          <t>한길</t>
        </is>
      </c>
      <c r="M4554" s="3" t="n">
        <v>1</v>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3" t="inlineStr">
        <is>
          <t>도로25m 4차선 접한  계획관리 다목적용 토지,필지별 분할매매가능</t>
        </is>
      </c>
      <c r="I4555" s="5">
        <f>HYPERLINK("https://fin.land.naver.com/articles/2646841201", "매물Link")</f>
        <v/>
      </c>
      <c r="J4555" s="5">
        <f>HYPERLINK("https://map.naver.com/p/search/전의면 관정리 660-20", "지도Link")</f>
        <v/>
      </c>
      <c r="K4555" s="5">
        <f>HYPERLINK("http://www.eum.go.kr/web/ar/lu/luLandDet.jsp?pnu=3611037027106600020&amp;isNoScr=script&amp;mode=search", "토지이음")</f>
        <v/>
      </c>
      <c r="L4555" s="3" t="inlineStr">
        <is>
          <t>신부다온</t>
        </is>
      </c>
      <c r="M4555" s="3" t="n">
        <v>1</v>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3" t="inlineStr">
        <is>
          <t>나대지 전의면 일반산업단지 내  지원시설구역</t>
        </is>
      </c>
      <c r="I4556" s="5">
        <f>HYPERLINK("https://fin.land.naver.com/articles/2649638775", "매물Link")</f>
        <v/>
      </c>
      <c r="J4556" s="5">
        <f>HYPERLINK("https://map.naver.com/p/search/전의면 관정리 721", "지도Link")</f>
        <v/>
      </c>
      <c r="K4556" s="5">
        <f>HYPERLINK("http://www.eum.go.kr/web/ar/lu/luLandDet.jsp?pnu=3611037027107210000&amp;isNoScr=script&amp;mode=search", "토지이음")</f>
        <v/>
      </c>
      <c r="L4556" s="3" t="inlineStr">
        <is>
          <t>트리풀신화</t>
        </is>
      </c>
      <c r="M4556" s="3" t="n">
        <v>1</v>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3" t="inlineStr">
        <is>
          <t>l S l 전의산업단지 l 지원시설용지 l 신축 용도 추천 l</t>
        </is>
      </c>
      <c r="I4557" s="5">
        <f>HYPERLINK("https://fin.land.naver.com/articles/2647314651", "매물Link")</f>
        <v/>
      </c>
      <c r="J4557" s="5">
        <f>HYPERLINK("https://map.naver.com/p/search/전의면 관정리 721", "지도Link")</f>
        <v/>
      </c>
      <c r="K4557" s="5">
        <f>HYPERLINK("http://www.eum.go.kr/web/ar/lu/luLandDet.jsp?pnu=3611037027107210000&amp;isNoScr=script&amp;mode=search", "토지이음")</f>
        <v/>
      </c>
      <c r="L4557" s="3" t="inlineStr">
        <is>
          <t>에스</t>
        </is>
      </c>
      <c r="M4557" s="3" t="n">
        <v>1</v>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3" t="inlineStr">
        <is>
          <t>4차선 및 2차선 도로접 계획관리 분할매도 가능</t>
        </is>
      </c>
      <c r="I4558" s="5">
        <f>HYPERLINK("https://fin.land.naver.com/articles/2649139887", "매물Link")</f>
        <v/>
      </c>
      <c r="J4558" s="5">
        <f>HYPERLINK("https://map.naver.com/p/search/전의면 관정리 산1-3", "지도Link")</f>
        <v/>
      </c>
      <c r="K4558" s="5">
        <f>HYPERLINK("http://www.eum.go.kr/web/ar/lu/luLandDet.jsp?pnu=3611037027200010003&amp;isNoScr=script&amp;mode=search", "토지이음")</f>
        <v/>
      </c>
      <c r="L4558" s="3" t="inlineStr">
        <is>
          <t>광장(프라자)</t>
        </is>
      </c>
      <c r="M4558" s="3" t="n">
        <v>1</v>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3" t="inlineStr">
        <is>
          <t>계획관리지역, 하이트진로공장 진입로 인접,급매 매매가격 협의가</t>
        </is>
      </c>
      <c r="I4559" s="5">
        <f>HYPERLINK("https://fin.land.naver.com/articles/2649647503", "매물Link")</f>
        <v/>
      </c>
      <c r="J4559" s="5">
        <f>HYPERLINK("https://map.naver.com/p/search/전의면 관정리 산62-8", "지도Link")</f>
        <v/>
      </c>
      <c r="K4559" s="5">
        <f>HYPERLINK("http://www.eum.go.kr/web/ar/lu/luLandDet.jsp?pnu=3611037027200620008&amp;isNoScr=script&amp;mode=search", "토지이음")</f>
        <v/>
      </c>
      <c r="L4559" s="3" t="inlineStr">
        <is>
          <t>프라임</t>
        </is>
      </c>
      <c r="M4559" s="3" t="n">
        <v>1</v>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3" t="inlineStr">
        <is>
          <t>도로접한 토지 추천</t>
        </is>
      </c>
      <c r="I4560" s="5">
        <f>HYPERLINK("https://fin.land.naver.com/articles/2646968483", "매물Link")</f>
        <v/>
      </c>
      <c r="J4560" s="5">
        <f>HYPERLINK("https://map.naver.com/p/search/전의면 관정리 산66", "지도Link")</f>
        <v/>
      </c>
      <c r="K4560" s="5">
        <f>HYPERLINK("http://www.eum.go.kr/web/ar/lu/luLandDet.jsp?pnu=3611037027200660000&amp;isNoScr=script&amp;mode=search", "토지이음")</f>
        <v/>
      </c>
      <c r="L4560" s="3" t="inlineStr">
        <is>
          <t>국제</t>
        </is>
      </c>
      <c r="M4560" s="3" t="n">
        <v>1</v>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3" t="inlineStr">
        <is>
          <t>계획관리토지매매</t>
        </is>
      </c>
      <c r="I4561" s="5">
        <f>HYPERLINK("https://fin.land.naver.com/articles/2648813391", "매물Link")</f>
        <v/>
      </c>
      <c r="J4561" s="5">
        <f>HYPERLINK("https://map.naver.com/p/search/전의면 금사리 130-2", "지도Link")</f>
        <v/>
      </c>
      <c r="K4561" s="5">
        <f>HYPERLINK("http://www.eum.go.kr/web/ar/lu/luLandDet.jsp?pnu=3611037034101300002&amp;isNoScr=script&amp;mode=search", "토지이음")</f>
        <v/>
      </c>
      <c r="L4561" s="3" t="inlineStr">
        <is>
          <t>세종대박</t>
        </is>
      </c>
      <c r="M4561" s="3" t="n">
        <v>1</v>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3" t="inlineStr">
        <is>
          <t>산업단지 인근 지역 대토용 토지</t>
        </is>
      </c>
      <c r="I4562" s="5">
        <f>HYPERLINK("https://fin.land.naver.com/articles/2646579953", "매물Link")</f>
        <v/>
      </c>
      <c r="J4562" s="5">
        <f>HYPERLINK("https://map.naver.com/p/search/전의면 금사리 131-2", "지도Link")</f>
        <v/>
      </c>
      <c r="K4562" s="5">
        <f>HYPERLINK("http://www.eum.go.kr/web/ar/lu/luLandDet.jsp?pnu=3611037034101310002&amp;isNoScr=script&amp;mode=search", "토지이음")</f>
        <v/>
      </c>
      <c r="L4562" s="3" t="inlineStr">
        <is>
          <t>강우림</t>
        </is>
      </c>
      <c r="M4562" s="3" t="n">
        <v>1</v>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3" t="inlineStr">
        <is>
          <t>2차선 도로에 접한 도로보다 높게 복토 완료된 토지</t>
        </is>
      </c>
      <c r="I4563" s="5">
        <f>HYPERLINK("https://fin.land.naver.com/articles/2644332574", "매물Link")</f>
        <v/>
      </c>
      <c r="J4563" s="5">
        <f>HYPERLINK("https://map.naver.com/p/search/전의면 금사리 159-2", "지도Link")</f>
        <v/>
      </c>
      <c r="K4563" s="5">
        <f>HYPERLINK("http://www.eum.go.kr/web/ar/lu/luLandDet.jsp?pnu=3611037034101590002&amp;isNoScr=script&amp;mode=search", "토지이음")</f>
        <v/>
      </c>
      <c r="L4563" s="3" t="inlineStr">
        <is>
          <t>신와촌</t>
        </is>
      </c>
      <c r="M4563" s="3" t="n">
        <v>1</v>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3" t="inlineStr">
        <is>
          <t>정안IC 인접, 토목완료된 세종 북부권 도로접 평탄지</t>
        </is>
      </c>
      <c r="I4564" s="5">
        <f>HYPERLINK("https://fin.land.naver.com/articles/2649343622", "매물Link")</f>
        <v/>
      </c>
      <c r="J4564" s="5">
        <f>HYPERLINK("https://map.naver.com/p/search/전의면 금사리 159-2", "지도Link")</f>
        <v/>
      </c>
      <c r="K4564" s="5">
        <f>HYPERLINK("http://www.eum.go.kr/web/ar/lu/luLandDet.jsp?pnu=3611037034101590002&amp;isNoScr=script&amp;mode=search", "토지이음")</f>
        <v/>
      </c>
      <c r="L4564" s="3" t="inlineStr">
        <is>
          <t>세종소담황금</t>
        </is>
      </c>
      <c r="M4564" s="3" t="n">
        <v>1</v>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3" t="inlineStr">
        <is>
          <t>nan</t>
        </is>
      </c>
      <c r="I4565" s="5">
        <f>HYPERLINK("https://fin.land.naver.com/articles/2647590875", "매물Link")</f>
        <v/>
      </c>
      <c r="J4565" s="5">
        <f>HYPERLINK("https://map.naver.com/p/search/전의면 금사리 182-2", "지도Link")</f>
        <v/>
      </c>
      <c r="K4565" s="5">
        <f>HYPERLINK("http://www.eum.go.kr/web/ar/lu/luLandDet.jsp?pnu=3611037034101820002&amp;isNoScr=script&amp;mode=search", "토지이음")</f>
        <v/>
      </c>
      <c r="L4565" s="3" t="inlineStr">
        <is>
          <t>양달</t>
        </is>
      </c>
      <c r="M4565" s="3" t="n">
        <v>1</v>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3" t="inlineStr">
        <is>
          <t>태양광 전기 시설 가능한 토지</t>
        </is>
      </c>
      <c r="I4566" s="5">
        <f>HYPERLINK("https://fin.land.naver.com/articles/2646258551", "매물Link")</f>
        <v/>
      </c>
      <c r="J4566" s="5">
        <f>HYPERLINK("https://map.naver.com/p/search/전의면 금사리 264-1", "지도Link")</f>
        <v/>
      </c>
      <c r="K4566" s="5">
        <f>HYPERLINK("http://www.eum.go.kr/web/ar/lu/luLandDet.jsp?pnu=3611037034102640001&amp;isNoScr=script&amp;mode=search", "토지이음")</f>
        <v/>
      </c>
      <c r="L4566" s="3" t="inlineStr">
        <is>
          <t>강우림</t>
        </is>
      </c>
      <c r="M4566" s="3" t="n">
        <v>1</v>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3" t="inlineStr">
        <is>
          <t>생산관리 저렴한 토지 농로 있음</t>
        </is>
      </c>
      <c r="I4567" s="5">
        <f>HYPERLINK("https://fin.land.naver.com/articles/2649616214", "매물Link")</f>
        <v/>
      </c>
      <c r="J4567" s="5">
        <f>HYPERLINK("https://map.naver.com/p/search/전의면 금사리 60", "지도Link")</f>
        <v/>
      </c>
      <c r="K4567" s="5">
        <f>HYPERLINK("http://www.eum.go.kr/web/ar/lu/luLandDet.jsp?pnu=3611037034100600000&amp;isNoScr=script&amp;mode=search", "토지이음")</f>
        <v/>
      </c>
      <c r="L4567" s="3" t="inlineStr">
        <is>
          <t>(주)정민근</t>
        </is>
      </c>
      <c r="M4567" s="3" t="n">
        <v>1</v>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3" t="inlineStr">
        <is>
          <t>전의면 금사리 생산관리 토지 매매, 도로 옆, 영농활동 및 농막 추천</t>
        </is>
      </c>
      <c r="I4568" s="5">
        <f>HYPERLINK("https://fin.land.naver.com/articles/2647406311", "매물Link")</f>
        <v/>
      </c>
      <c r="J4568" s="5">
        <f>HYPERLINK("https://map.naver.com/p/search/전의면 금사리 73", "지도Link")</f>
        <v/>
      </c>
      <c r="K4568" s="5">
        <f>HYPERLINK("http://www.eum.go.kr/web/ar/lu/luLandDet.jsp?pnu=3611037034100730000&amp;isNoScr=script&amp;mode=search", "토지이음")</f>
        <v/>
      </c>
      <c r="L4568" s="3" t="inlineStr">
        <is>
          <t>스카이</t>
        </is>
      </c>
      <c r="M4568" s="3" t="n">
        <v>1</v>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3" t="inlineStr">
        <is>
          <t>세종시 미래산업단지 인근 저렴한 급매 임야</t>
        </is>
      </c>
      <c r="I4569" s="5">
        <f>HYPERLINK("https://fin.land.naver.com/articles/2647894527", "매물Link")</f>
        <v/>
      </c>
      <c r="J4569" s="5">
        <f>HYPERLINK("https://map.naver.com/p/search/전의면 금사리 산 69", "지도Link")</f>
        <v/>
      </c>
      <c r="K4569" s="5">
        <f>HYPERLINK("http://www.eum.go.kr/web/ar/lu/luLandDet.jsp?pnu=3611037034200690000&amp;isNoScr=script&amp;mode=search", "토지이음")</f>
        <v/>
      </c>
      <c r="L4569" s="3" t="inlineStr">
        <is>
          <t>청담무소</t>
        </is>
      </c>
      <c r="M4569" s="3" t="n">
        <v>1</v>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3" t="inlineStr">
        <is>
          <t>묘를 쓰기에 아주 좋은 명당의 임야</t>
        </is>
      </c>
      <c r="I4570" s="5">
        <f>HYPERLINK("https://fin.land.naver.com/articles/2644522463", "매물Link")</f>
        <v/>
      </c>
      <c r="J4570" s="5">
        <f>HYPERLINK("https://map.naver.com/p/search/전의면 금사리 산26-4", "지도Link")</f>
        <v/>
      </c>
      <c r="K4570" s="5">
        <f>HYPERLINK("http://www.eum.go.kr/web/ar/lu/luLandDet.jsp?pnu=3611037034200260004&amp;isNoScr=script&amp;mode=search", "토지이음")</f>
        <v/>
      </c>
      <c r="L4570" s="3" t="inlineStr">
        <is>
          <t>용궁</t>
        </is>
      </c>
      <c r="M4570" s="3" t="n">
        <v>1</v>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3" t="inlineStr">
        <is>
          <t>급매, 국도와 근접하고 사로 연결, 계획관리 53퍼, 인근 미래산업단지</t>
        </is>
      </c>
      <c r="I4571" s="5">
        <f>HYPERLINK("https://fin.land.naver.com/articles/2648826002", "매물Link")</f>
        <v/>
      </c>
      <c r="J4571" s="5">
        <f>HYPERLINK("https://map.naver.com/p/search/전의면 금사리 산67-1", "지도Link")</f>
        <v/>
      </c>
      <c r="K4571" s="5">
        <f>HYPERLINK("http://www.eum.go.kr/web/ar/lu/luLandDet.jsp?pnu=3611037034200670001&amp;isNoScr=script&amp;mode=search", "토지이음")</f>
        <v/>
      </c>
      <c r="L4571" s="3" t="inlineStr">
        <is>
          <t>온뜰</t>
        </is>
      </c>
      <c r="M4571" s="3" t="n">
        <v>1</v>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3" t="inlineStr">
        <is>
          <t>급매, 세종미래산단과 레이캐슬CC 인근으로 향후 개발가능성 매우 높은지역</t>
        </is>
      </c>
      <c r="I4572" s="5">
        <f>HYPERLINK("https://fin.land.naver.com/articles/2648286289", "매물Link")</f>
        <v/>
      </c>
      <c r="J4572" s="5">
        <f>HYPERLINK("https://map.naver.com/p/search/전의면 금사리 산72-4", "지도Link")</f>
        <v/>
      </c>
      <c r="K4572" s="5">
        <f>HYPERLINK("http://www.eum.go.kr/web/ar/lu/luLandDet.jsp?pnu=3611037034200720004&amp;isNoScr=script&amp;mode=search", "토지이음")</f>
        <v/>
      </c>
      <c r="L4572" s="3" t="inlineStr">
        <is>
          <t>온뜰</t>
        </is>
      </c>
      <c r="M4572" s="3" t="n">
        <v>1</v>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3" t="inlineStr">
        <is>
          <t>2차선 접, 계획관리지역 토지투자</t>
        </is>
      </c>
      <c r="I4573" s="5">
        <f>HYPERLINK("https://fin.land.naver.com/articles/2645626006", "매물Link")</f>
        <v/>
      </c>
      <c r="J4573" s="5">
        <f>HYPERLINK("https://map.naver.com/p/search/전의면 노곡리 181-1", "지도Link")</f>
        <v/>
      </c>
      <c r="K4573" s="5">
        <f>HYPERLINK("http://www.eum.go.kr/web/ar/lu/luLandDet.jsp?pnu=3611037029101810001&amp;isNoScr=script&amp;mode=search", "토지이음")</f>
        <v/>
      </c>
      <c r="L4573" s="3" t="inlineStr">
        <is>
          <t>삼미</t>
        </is>
      </c>
      <c r="M4573" s="3" t="n">
        <v>1</v>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3" t="inlineStr">
        <is>
          <t>2274P  도로접</t>
        </is>
      </c>
      <c r="I4574" s="5">
        <f>HYPERLINK("https://fin.land.naver.com/articles/2649038981", "매물Link")</f>
        <v/>
      </c>
      <c r="J4574" s="5">
        <f>HYPERLINK("https://map.naver.com/p/search/전의면 노곡리 181-5", "지도Link")</f>
        <v/>
      </c>
      <c r="K4574" s="5">
        <f>HYPERLINK("http://www.eum.go.kr/web/ar/lu/luLandDet.jsp?pnu=3611037029101810005&amp;isNoScr=script&amp;mode=search", "토지이음")</f>
        <v/>
      </c>
      <c r="L4574" s="3" t="inlineStr">
        <is>
          <t>유명</t>
        </is>
      </c>
      <c r="M4574" s="3" t="n">
        <v>1</v>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3" t="inlineStr">
        <is>
          <t>전의일반산단 인근의 조용한 계획관리 전</t>
        </is>
      </c>
      <c r="I4575" s="5">
        <f>HYPERLINK("https://fin.land.naver.com/articles/2645605150", "매물Link")</f>
        <v/>
      </c>
      <c r="J4575" s="5">
        <f>HYPERLINK("https://map.naver.com/p/search/전의면 노곡리 315-2", "지도Link")</f>
        <v/>
      </c>
      <c r="K4575" s="5">
        <f>HYPERLINK("http://www.eum.go.kr/web/ar/lu/luLandDet.jsp?pnu=3611037029103150002&amp;isNoScr=script&amp;mode=search", "토지이음")</f>
        <v/>
      </c>
      <c r="L4575" s="3" t="inlineStr">
        <is>
          <t>미스터홈즈강남지사</t>
        </is>
      </c>
      <c r="M4575" s="3" t="n">
        <v>1</v>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3" t="inlineStr">
        <is>
          <t>임야 평당20만원</t>
        </is>
      </c>
      <c r="I4576" s="5">
        <f>HYPERLINK("https://fin.land.naver.com/articles/2649034645", "매물Link")</f>
        <v/>
      </c>
      <c r="J4576" s="5">
        <f>HYPERLINK("https://map.naver.com/p/search/전의면 노곡리 산 49-1", "지도Link")</f>
        <v/>
      </c>
      <c r="K4576" s="5">
        <f>HYPERLINK("http://www.eum.go.kr/web/ar/lu/luLandDet.jsp?pnu=3611037029200490001&amp;isNoScr=script&amp;mode=search", "토지이음")</f>
        <v/>
      </c>
      <c r="L4576" s="3" t="inlineStr">
        <is>
          <t>유명</t>
        </is>
      </c>
      <c r="M4576" s="3" t="n">
        <v>1</v>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3" t="inlineStr">
        <is>
          <t>2차선 도로에 접해있는 생산관리지역의 답입니다</t>
        </is>
      </c>
      <c r="I4577" s="5">
        <f>HYPERLINK("https://fin.land.naver.com/articles/2644902859", "매물Link")</f>
        <v/>
      </c>
      <c r="J4577" s="5">
        <f>HYPERLINK("https://map.naver.com/p/search/전의면 다방리 119-2", "지도Link")</f>
        <v/>
      </c>
      <c r="K4577" s="5">
        <f>HYPERLINK("http://www.eum.go.kr/web/ar/lu/luLandDet.jsp?pnu=3611037035101190002&amp;isNoScr=script&amp;mode=search", "토지이음")</f>
        <v/>
      </c>
      <c r="L4577" s="3" t="inlineStr">
        <is>
          <t>스마일세종</t>
        </is>
      </c>
      <c r="M4577" s="3" t="n">
        <v>1</v>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3" t="inlineStr">
        <is>
          <t>도로접한 소규모 대지입니다</t>
        </is>
      </c>
      <c r="I4578" s="5">
        <f>HYPERLINK("https://fin.land.naver.com/articles/2644075599", "매물Link")</f>
        <v/>
      </c>
      <c r="J4578" s="5">
        <f>HYPERLINK("https://map.naver.com/p/search/전의면 다방리 141", "지도Link")</f>
        <v/>
      </c>
      <c r="K4578" s="5">
        <f>HYPERLINK("http://www.eum.go.kr/web/ar/lu/luLandDet.jsp?pnu=3611037035101410000&amp;isNoScr=script&amp;mode=search", "토지이음")</f>
        <v/>
      </c>
      <c r="L4578" s="3" t="inlineStr">
        <is>
          <t>성환1번지</t>
        </is>
      </c>
      <c r="M4578" s="3" t="n">
        <v>1</v>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3" t="inlineStr">
        <is>
          <t>전의면 다방리 계획관리 나대지 매매, 단독주택 신축, 포장도로 접</t>
        </is>
      </c>
      <c r="I4579" s="5">
        <f>HYPERLINK("https://fin.land.naver.com/articles/2648395344", "매물Link")</f>
        <v/>
      </c>
      <c r="J4579" s="5">
        <f>HYPERLINK("https://map.naver.com/p/search/전의면 다방리 161-1", "지도Link")</f>
        <v/>
      </c>
      <c r="K4579" s="5">
        <f>HYPERLINK("http://www.eum.go.kr/web/ar/lu/luLandDet.jsp?pnu=3611037035101610001&amp;isNoScr=script&amp;mode=search", "토지이음")</f>
        <v/>
      </c>
      <c r="L4579" s="3" t="inlineStr">
        <is>
          <t>스카이</t>
        </is>
      </c>
      <c r="M4579" s="3" t="n">
        <v>2</v>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3" t="inlineStr">
        <is>
          <t>투자가치 좋은 자경지, 생산관리 농지, 가축사육 가능</t>
        </is>
      </c>
      <c r="I4580" s="5">
        <f>HYPERLINK("https://fin.land.naver.com/articles/2649716712", "매물Link")</f>
        <v/>
      </c>
      <c r="J4580" s="5">
        <f>HYPERLINK("https://map.naver.com/p/search/전의면 다방리 239", "지도Link")</f>
        <v/>
      </c>
      <c r="K4580" s="5">
        <f>HYPERLINK("http://www.eum.go.kr/web/ar/lu/luLandDet.jsp?pnu=3611037035102390000&amp;isNoScr=script&amp;mode=search", "토지이음")</f>
        <v/>
      </c>
      <c r="L4580" s="3" t="inlineStr">
        <is>
          <t>OK세종</t>
        </is>
      </c>
      <c r="M4580" s="3" t="n">
        <v>6</v>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3" t="inlineStr">
        <is>
          <t>급매,현재 밭으로 사용중이며,현황도로 ,가격 조율해 볼게요</t>
        </is>
      </c>
      <c r="I4581" s="5">
        <f>HYPERLINK("https://fin.land.naver.com/articles/2646241278", "매물Link")</f>
        <v/>
      </c>
      <c r="J4581" s="5">
        <f>HYPERLINK("https://map.naver.com/p/search/전의면 다방리 239", "지도Link")</f>
        <v/>
      </c>
      <c r="K4581" s="5">
        <f>HYPERLINK("http://www.eum.go.kr/web/ar/lu/luLandDet.jsp?pnu=3611037035102390000&amp;isNoScr=script&amp;mode=search", "토지이음")</f>
        <v/>
      </c>
      <c r="L4581" s="3" t="inlineStr">
        <is>
          <t>나릿재OK</t>
        </is>
      </c>
      <c r="M4581" s="3" t="n">
        <v>1</v>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3" t="inlineStr">
        <is>
          <t>포장도로에 접한 생산관리지역, 성장관리계획구역의 농촌체류형 쉼터로 적합</t>
        </is>
      </c>
      <c r="I4582" s="5">
        <f>HYPERLINK("https://fin.land.naver.com/articles/2647193413", "매물Link")</f>
        <v/>
      </c>
      <c r="J4582" s="5">
        <f>HYPERLINK("https://map.naver.com/p/search/전의면 다방리 274", "지도Link")</f>
        <v/>
      </c>
      <c r="K4582" s="5">
        <f>HYPERLINK("http://www.eum.go.kr/web/ar/lu/luLandDet.jsp?pnu=3611037035102740000&amp;isNoScr=script&amp;mode=search", "토지이음")</f>
        <v/>
      </c>
      <c r="L4582" s="3" t="inlineStr">
        <is>
          <t>스마일세종</t>
        </is>
      </c>
      <c r="M4582" s="3" t="n">
        <v>1</v>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3" t="inlineStr">
        <is>
          <t>급매물로 6236.6㎡ 매매 및 3필지로 분할해서 매매도 가능합니다.</t>
        </is>
      </c>
      <c r="I4583" s="5">
        <f>HYPERLINK("https://fin.land.naver.com/articles/2650157509", "매물Link")</f>
        <v/>
      </c>
      <c r="J4583" s="5">
        <f>HYPERLINK("https://map.naver.com/p/search/전의면 다방리 300", "지도Link")</f>
        <v/>
      </c>
      <c r="K4583" s="5">
        <f>HYPERLINK("http://www.eum.go.kr/web/ar/lu/luLandDet.jsp?pnu=3611037035103000000&amp;isNoScr=script&amp;mode=search", "토지이음")</f>
        <v/>
      </c>
      <c r="L4583" s="3" t="inlineStr">
        <is>
          <t>가람</t>
        </is>
      </c>
      <c r="M4583" s="3" t="n">
        <v>2</v>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3" t="inlineStr">
        <is>
          <t>관리지역토지</t>
        </is>
      </c>
      <c r="I4584" s="5">
        <f>HYPERLINK("https://fin.land.naver.com/articles/2646007809", "매물Link")</f>
        <v/>
      </c>
      <c r="J4584" s="5">
        <f>HYPERLINK("https://map.naver.com/p/search/전의면 다방리 330", "지도Link")</f>
        <v/>
      </c>
      <c r="K4584" s="5">
        <f>HYPERLINK("http://www.eum.go.kr/web/ar/lu/luLandDet.jsp?pnu=3611037035103300000&amp;isNoScr=script&amp;mode=search", "토지이음")</f>
        <v/>
      </c>
      <c r="L4584" s="3" t="inlineStr">
        <is>
          <t>세종대박</t>
        </is>
      </c>
      <c r="M4584" s="3" t="n">
        <v>1</v>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3" t="inlineStr">
        <is>
          <t>리모델링한 단독주택, 창고3동. 냉동고, 저온고 있음.</t>
        </is>
      </c>
      <c r="I4585" s="5">
        <f>HYPERLINK("https://fin.land.naver.com/articles/2647380309", "매물Link")</f>
        <v/>
      </c>
      <c r="J4585" s="5">
        <f>HYPERLINK("https://map.naver.com/p/search/전의면 다방리 367", "지도Link")</f>
        <v/>
      </c>
      <c r="K4585" s="5">
        <f>HYPERLINK("http://www.eum.go.kr/web/ar/lu/luLandDet.jsp?pnu=3611037035103670000&amp;isNoScr=script&amp;mode=search", "토지이음")</f>
        <v/>
      </c>
      <c r="L4585" s="3" t="inlineStr">
        <is>
          <t>미스터홈즈강남지사</t>
        </is>
      </c>
      <c r="M4585" s="3" t="n">
        <v>1</v>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3" t="inlineStr">
        <is>
          <t>도로 접한 생산관리지역, 성장관리계획구역 토지</t>
        </is>
      </c>
      <c r="I4586" s="5">
        <f>HYPERLINK("https://fin.land.naver.com/articles/2646142980", "매물Link")</f>
        <v/>
      </c>
      <c r="J4586" s="5">
        <f>HYPERLINK("https://map.naver.com/p/search/전의면 다방리 490-1", "지도Link")</f>
        <v/>
      </c>
      <c r="K4586" s="5">
        <f>HYPERLINK("http://www.eum.go.kr/web/ar/lu/luLandDet.jsp?pnu=3611037035104900001&amp;isNoScr=script&amp;mode=search", "토지이음")</f>
        <v/>
      </c>
      <c r="L4586" s="3" t="inlineStr">
        <is>
          <t>새롬삼둥이</t>
        </is>
      </c>
      <c r="M4586" s="3" t="n">
        <v>1</v>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3" t="inlineStr">
        <is>
          <t>생산관리,성장관리 계획구역에 토지입니다</t>
        </is>
      </c>
      <c r="I4587" s="5">
        <f>HYPERLINK("https://fin.land.naver.com/articles/2647832079", "매물Link")</f>
        <v/>
      </c>
      <c r="J4587" s="5">
        <f>HYPERLINK("https://map.naver.com/p/search/전의면 다방리 490-10", "지도Link")</f>
        <v/>
      </c>
      <c r="K4587" s="5">
        <f>HYPERLINK("http://www.eum.go.kr/web/ar/lu/luLandDet.jsp?pnu=3611037035104900010&amp;isNoScr=script&amp;mode=search", "토지이음")</f>
        <v/>
      </c>
      <c r="L4587" s="3" t="inlineStr">
        <is>
          <t>복댕이</t>
        </is>
      </c>
      <c r="M4587" s="3" t="n">
        <v>1</v>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3" t="inlineStr">
        <is>
          <t>급매 시세보다 훨씬 저렴하게 매매합니다</t>
        </is>
      </c>
      <c r="I4588" s="5">
        <f>HYPERLINK("https://fin.land.naver.com/articles/2648486577", "매물Link")</f>
        <v/>
      </c>
      <c r="J4588" s="5">
        <f>HYPERLINK("https://map.naver.com/p/search/전의면 다방리 산26-9", "지도Link")</f>
        <v/>
      </c>
      <c r="K4588" s="5">
        <f>HYPERLINK("http://www.eum.go.kr/web/ar/lu/luLandDet.jsp?pnu=3611037035200260009&amp;isNoScr=script&amp;mode=search", "토지이음")</f>
        <v/>
      </c>
      <c r="L4588" s="3" t="inlineStr">
        <is>
          <t>다해사무소</t>
        </is>
      </c>
      <c r="M4588" s="3" t="n">
        <v>1</v>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3" t="inlineStr">
        <is>
          <t>nan</t>
        </is>
      </c>
      <c r="I4589" s="5">
        <f>HYPERLINK("https://fin.land.naver.com/articles/2644190869", "매물Link")</f>
        <v/>
      </c>
      <c r="J4589" s="5">
        <f>HYPERLINK("https://map.naver.com/p/search/전의면 달전리 152-14", "지도Link")</f>
        <v/>
      </c>
      <c r="K4589" s="5">
        <f>HYPERLINK("http://www.eum.go.kr/web/ar/lu/luLandDet.jsp?pnu=3611037033101520014&amp;isNoScr=script&amp;mode=search", "토지이음")</f>
        <v/>
      </c>
      <c r="L4589" s="3" t="inlineStr">
        <is>
          <t>나침반</t>
        </is>
      </c>
      <c r="M4589" s="3" t="n">
        <v>1</v>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3" t="inlineStr">
        <is>
          <t>조용하고 전망좋은 전원주택지</t>
        </is>
      </c>
      <c r="I4590" s="5">
        <f>HYPERLINK("https://fin.land.naver.com/articles/2645605021", "매물Link")</f>
        <v/>
      </c>
      <c r="J4590" s="5">
        <f>HYPERLINK("https://map.naver.com/p/search/전의면 달전리 152-14", "지도Link")</f>
        <v/>
      </c>
      <c r="K4590" s="5">
        <f>HYPERLINK("http://www.eum.go.kr/web/ar/lu/luLandDet.jsp?pnu=3611037033101520014&amp;isNoScr=script&amp;mode=search", "토지이음")</f>
        <v/>
      </c>
      <c r="L4590" s="3" t="inlineStr">
        <is>
          <t>미스터홈즈강남지사</t>
        </is>
      </c>
      <c r="M4590" s="3" t="n">
        <v>1</v>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3" t="inlineStr">
        <is>
          <t>평당25만원, 저렴하게 구입가능합니다.</t>
        </is>
      </c>
      <c r="I4591" s="5">
        <f>HYPERLINK("https://fin.land.naver.com/articles/2646167791", "매물Link")</f>
        <v/>
      </c>
      <c r="J4591" s="5">
        <f>HYPERLINK("https://map.naver.com/p/search/전의면 달전리 162-1", "지도Link")</f>
        <v/>
      </c>
      <c r="K4591" s="5">
        <f>HYPERLINK("http://www.eum.go.kr/web/ar/lu/luLandDet.jsp?pnu=3611037033101620001&amp;isNoScr=script&amp;mode=search", "토지이음")</f>
        <v/>
      </c>
      <c r="L4591" s="3" t="inlineStr">
        <is>
          <t>킹</t>
        </is>
      </c>
      <c r="M4591" s="3" t="n">
        <v>1</v>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3" t="inlineStr">
        <is>
          <t>계획관리, 2차선접</t>
        </is>
      </c>
      <c r="I4592" s="5">
        <f>HYPERLINK("https://fin.land.naver.com/articles/2645325735", "매물Link")</f>
        <v/>
      </c>
      <c r="J4592" s="5">
        <f>HYPERLINK("https://map.naver.com/p/search/전의면 달전리 264-2", "지도Link")</f>
        <v/>
      </c>
      <c r="K4592" s="5">
        <f>HYPERLINK("http://www.eum.go.kr/web/ar/lu/luLandDet.jsp?pnu=3611037033102640002&amp;isNoScr=script&amp;mode=search", "토지이음")</f>
        <v/>
      </c>
      <c r="L4592" s="3" t="inlineStr">
        <is>
          <t>이기영</t>
        </is>
      </c>
      <c r="M4592" s="3" t="n">
        <v>1</v>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3" t="inlineStr">
        <is>
          <t>생산관리지역</t>
        </is>
      </c>
      <c r="I4593" s="5">
        <f>HYPERLINK("https://fin.land.naver.com/articles/2648666354", "매물Link")</f>
        <v/>
      </c>
      <c r="J4593" s="5">
        <f>HYPERLINK("https://map.naver.com/p/search/전의면 달전리 322", "지도Link")</f>
        <v/>
      </c>
      <c r="K4593" s="5">
        <f>HYPERLINK("http://www.eum.go.kr/web/ar/lu/luLandDet.jsp?pnu=3611037033103220000&amp;isNoScr=script&amp;mode=search", "토지이음")</f>
        <v/>
      </c>
      <c r="L4593" s="3" t="inlineStr">
        <is>
          <t>라임</t>
        </is>
      </c>
      <c r="M4593" s="3" t="n">
        <v>1</v>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3" t="inlineStr">
        <is>
          <t>nan</t>
        </is>
      </c>
      <c r="I4594" s="5">
        <f>HYPERLINK("https://fin.land.naver.com/articles/2644177819", "매물Link")</f>
        <v/>
      </c>
      <c r="J4594" s="5">
        <f>HYPERLINK("https://map.naver.com/p/search/전의면 달전리 361-3", "지도Link")</f>
        <v/>
      </c>
      <c r="K4594" s="5">
        <f>HYPERLINK("http://www.eum.go.kr/web/ar/lu/luLandDet.jsp?pnu=3611037033103610003&amp;isNoScr=script&amp;mode=search", "토지이음")</f>
        <v/>
      </c>
      <c r="L4594" s="3" t="inlineStr">
        <is>
          <t>최프로</t>
        </is>
      </c>
      <c r="M4594" s="3" t="n">
        <v>1</v>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3" t="inlineStr">
        <is>
          <t>레이캐슬 인근 2차선 변 계획관리 토지, 근생, 공장 창고, 주택</t>
        </is>
      </c>
      <c r="I4595" s="5">
        <f>HYPERLINK("https://fin.land.naver.com/articles/2647887258", "매물Link")</f>
        <v/>
      </c>
      <c r="J4595" s="5">
        <f>HYPERLINK("https://map.naver.com/p/search/전의면 달전리 404-4", "지도Link")</f>
        <v/>
      </c>
      <c r="K4595" s="5">
        <f>HYPERLINK("http://www.eum.go.kr/web/ar/lu/luLandDet.jsp?pnu=3611037033104040004&amp;isNoScr=script&amp;mode=search", "토지이음")</f>
        <v/>
      </c>
      <c r="L4595" s="3" t="inlineStr">
        <is>
          <t>미스터홈즈강남지사</t>
        </is>
      </c>
      <c r="M4595" s="3" t="n">
        <v>1</v>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3" t="inlineStr">
        <is>
          <t>세종시 전의면에 위치한 2차선 도로 접한 토지 매매</t>
        </is>
      </c>
      <c r="I4596" s="5">
        <f>HYPERLINK("https://fin.land.naver.com/articles/2647593018", "매물Link")</f>
        <v/>
      </c>
      <c r="J4596" s="5">
        <f>HYPERLINK("https://map.naver.com/p/search/전의면 달전리 406-1", "지도Link")</f>
        <v/>
      </c>
      <c r="K4596" s="5">
        <f>HYPERLINK("http://www.eum.go.kr/web/ar/lu/luLandDet.jsp?pnu=3611037033104060001&amp;isNoScr=script&amp;mode=search", "토지이음")</f>
        <v/>
      </c>
      <c r="L4596" s="3" t="inlineStr">
        <is>
          <t>대지</t>
        </is>
      </c>
      <c r="M4596" s="3" t="n">
        <v>1</v>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3" t="inlineStr">
        <is>
          <t>nan</t>
        </is>
      </c>
      <c r="I4597" s="5">
        <f>HYPERLINK("https://fin.land.naver.com/articles/2649619592", "매물Link")</f>
        <v/>
      </c>
      <c r="J4597" s="5">
        <f>HYPERLINK("https://map.naver.com/p/search/전의면 달전리 406-1", "지도Link")</f>
        <v/>
      </c>
      <c r="K4597" s="5">
        <f>HYPERLINK("http://www.eum.go.kr/web/ar/lu/luLandDet.jsp?pnu=3611037033104060001&amp;isNoScr=script&amp;mode=search", "토지이음")</f>
        <v/>
      </c>
      <c r="L4597" s="3" t="inlineStr">
        <is>
          <t>그래그</t>
        </is>
      </c>
      <c r="M4597" s="3" t="n">
        <v>1</v>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3" t="inlineStr">
        <is>
          <t>전의면 달전리 2차선 접한 계획관리 토지, 근생시설 건축, 하천 옆</t>
        </is>
      </c>
      <c r="I4598" s="5">
        <f>HYPERLINK("https://fin.land.naver.com/articles/2645819871", "매물Link")</f>
        <v/>
      </c>
      <c r="J4598" s="5">
        <f>HYPERLINK("https://map.naver.com/p/search/전의면 달전리 406-10", "지도Link")</f>
        <v/>
      </c>
      <c r="K4598" s="5">
        <f>HYPERLINK("http://www.eum.go.kr/web/ar/lu/luLandDet.jsp?pnu=3611037033104060010&amp;isNoScr=script&amp;mode=search", "토지이음")</f>
        <v/>
      </c>
      <c r="L4598" s="3" t="inlineStr">
        <is>
          <t>스카이</t>
        </is>
      </c>
      <c r="M4598" s="3" t="n">
        <v>1</v>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3" t="inlineStr">
        <is>
          <t>2차선 도로 인접한 계획관리 토지매매</t>
        </is>
      </c>
      <c r="I4599" s="5">
        <f>HYPERLINK("https://fin.land.naver.com/articles/2648545685", "매물Link")</f>
        <v/>
      </c>
      <c r="J4599" s="5">
        <f>HYPERLINK("https://map.naver.com/p/search/전의면 달전리 409-3", "지도Link")</f>
        <v/>
      </c>
      <c r="K4599" s="5">
        <f>HYPERLINK("http://www.eum.go.kr/web/ar/lu/luLandDet.jsp?pnu=3611037033104090003&amp;isNoScr=script&amp;mode=search", "토지이음")</f>
        <v/>
      </c>
      <c r="L4599" s="3" t="inlineStr">
        <is>
          <t>에이스</t>
        </is>
      </c>
      <c r="M4599" s="3" t="n">
        <v>1</v>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3" t="inlineStr">
        <is>
          <t>전의면 달전리 2차선변 계획관리 토지, 초급매, 건축 및 투자용</t>
        </is>
      </c>
      <c r="I4600" s="5">
        <f>HYPERLINK("https://fin.land.naver.com/articles/2647406435", "매물Link")</f>
        <v/>
      </c>
      <c r="J4600" s="5">
        <f>HYPERLINK("https://map.naver.com/p/search/전의면 달전리 411-10", "지도Link")</f>
        <v/>
      </c>
      <c r="K4600" s="5">
        <f>HYPERLINK("http://www.eum.go.kr/web/ar/lu/luLandDet.jsp?pnu=3611037033104110010&amp;isNoScr=script&amp;mode=search", "토지이음")</f>
        <v/>
      </c>
      <c r="L4600" s="3" t="inlineStr">
        <is>
          <t>스카이</t>
        </is>
      </c>
      <c r="M4600" s="3" t="n">
        <v>2</v>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3" t="inlineStr">
        <is>
          <t>텃밭 가꾸며 체류형쉼터나 농막 놓고 시냇물 흐르는 곳에서 쉬기 좋아요.</t>
        </is>
      </c>
      <c r="I4601" s="5">
        <f>HYPERLINK("https://fin.land.naver.com/articles/2644716744", "매물Link")</f>
        <v/>
      </c>
      <c r="J4601" s="5">
        <f>HYPERLINK("https://map.naver.com/p/search/전의면 달전리 516-1", "지도Link")</f>
        <v/>
      </c>
      <c r="K4601" s="5">
        <f>HYPERLINK("http://www.eum.go.kr/web/ar/lu/luLandDet.jsp?pnu=3611037033105160001&amp;isNoScr=script&amp;mode=search", "토지이음")</f>
        <v/>
      </c>
      <c r="L4601" s="3" t="inlineStr">
        <is>
          <t>효자</t>
        </is>
      </c>
      <c r="M4601" s="3" t="n">
        <v>1</v>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3" t="inlineStr">
        <is>
          <t>nan</t>
        </is>
      </c>
      <c r="I4602" s="5">
        <f>HYPERLINK("https://fin.land.naver.com/articles/2645620156", "매물Link")</f>
        <v/>
      </c>
      <c r="J4602" s="5">
        <f>HYPERLINK("https://map.naver.com/p/search/전의면 달전리 61", "지도Link")</f>
        <v/>
      </c>
      <c r="K4602" s="5">
        <f>HYPERLINK("http://www.eum.go.kr/web/ar/lu/luLandDet.jsp?pnu=3611037033100610000&amp;isNoScr=script&amp;mode=search", "토지이음")</f>
        <v/>
      </c>
      <c r="L4602" s="3" t="inlineStr">
        <is>
          <t>다정현대</t>
        </is>
      </c>
      <c r="M4602" s="3" t="n">
        <v>1</v>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3" t="inlineStr">
        <is>
          <t>체류형쉼터 가능한 농지. 평당45만원</t>
        </is>
      </c>
      <c r="I4603" s="5">
        <f>HYPERLINK("https://fin.land.naver.com/articles/2645604661", "매물Link")</f>
        <v/>
      </c>
      <c r="J4603" s="5">
        <f>HYPERLINK("https://map.naver.com/p/search/전의면 달전리 75", "지도Link")</f>
        <v/>
      </c>
      <c r="K4603" s="5">
        <f>HYPERLINK("http://www.eum.go.kr/web/ar/lu/luLandDet.jsp?pnu=3611037033100750000&amp;isNoScr=script&amp;mode=search", "토지이음")</f>
        <v/>
      </c>
      <c r="L4603" s="3" t="inlineStr">
        <is>
          <t>미스터홈즈강남지사</t>
        </is>
      </c>
      <c r="M4603" s="3" t="n">
        <v>1</v>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3" t="inlineStr">
        <is>
          <t>nan</t>
        </is>
      </c>
      <c r="I4604" s="5">
        <f>HYPERLINK("https://fin.land.naver.com/articles/2644138137", "매물Link")</f>
        <v/>
      </c>
      <c r="J4604" s="5">
        <f>HYPERLINK("https://map.naver.com/p/search/전의면 달전리 산 105", "지도Link")</f>
        <v/>
      </c>
      <c r="K4604" s="5">
        <f>HYPERLINK("http://www.eum.go.kr/web/ar/lu/luLandDet.jsp?pnu=3611037033201050000&amp;isNoScr=script&amp;mode=search", "토지이음")</f>
        <v/>
      </c>
      <c r="L4604" s="3" t="inlineStr">
        <is>
          <t>바른</t>
        </is>
      </c>
      <c r="M4604" s="3" t="n">
        <v>1</v>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3" t="inlineStr">
        <is>
          <t>포장도로접, 입구 보전관리지역에 건축가능</t>
        </is>
      </c>
      <c r="I4605" s="5">
        <f>HYPERLINK("https://fin.land.naver.com/articles/2645620862", "매물Link")</f>
        <v/>
      </c>
      <c r="J4605" s="5">
        <f>HYPERLINK("https://map.naver.com/p/search/전의면 달전리 산 26", "지도Link")</f>
        <v/>
      </c>
      <c r="K4605" s="5">
        <f>HYPERLINK("http://www.eum.go.kr/web/ar/lu/luLandDet.jsp?pnu=3611037033200260000&amp;isNoScr=script&amp;mode=search", "토지이음")</f>
        <v/>
      </c>
      <c r="L4605" s="3" t="inlineStr">
        <is>
          <t>으뜸</t>
        </is>
      </c>
      <c r="M4605" s="3" t="n">
        <v>1</v>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3" t="inlineStr">
        <is>
          <t>nan</t>
        </is>
      </c>
      <c r="I4606" s="5">
        <f>HYPERLINK("https://fin.land.naver.com/articles/2647252914", "매물Link")</f>
        <v/>
      </c>
      <c r="J4606" s="5">
        <f>HYPERLINK("https://map.naver.com/p/search/전의면 달전리 산109-2", "지도Link")</f>
        <v/>
      </c>
      <c r="K4606" s="5">
        <f>HYPERLINK("http://www.eum.go.kr/web/ar/lu/luLandDet.jsp?pnu=3611037033201090002&amp;isNoScr=script&amp;mode=search", "토지이음")</f>
        <v/>
      </c>
      <c r="L4606" s="3" t="inlineStr">
        <is>
          <t>돈방석</t>
        </is>
      </c>
      <c r="M4606" s="3" t="n">
        <v>1</v>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3" t="inlineStr">
        <is>
          <t>세종미래일반산업단지부근.임야.남향산지.</t>
        </is>
      </c>
      <c r="I4607" s="5">
        <f>HYPERLINK("https://fin.land.naver.com/articles/2649820277", "매물Link")</f>
        <v/>
      </c>
      <c r="J4607" s="5">
        <f>HYPERLINK("https://map.naver.com/p/search/전의면 달전리 산110", "지도Link")</f>
        <v/>
      </c>
      <c r="K4607" s="5">
        <f>HYPERLINK("http://www.eum.go.kr/web/ar/lu/luLandDet.jsp?pnu=3611037033201100000&amp;isNoScr=script&amp;mode=search", "토지이음")</f>
        <v/>
      </c>
      <c r="L4607" s="3" t="inlineStr">
        <is>
          <t>와와</t>
        </is>
      </c>
      <c r="M4607" s="3" t="n">
        <v>1</v>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3" t="inlineStr">
        <is>
          <t>계획관리지역 토지 매매,</t>
        </is>
      </c>
      <c r="I4608" s="5">
        <f>HYPERLINK("https://fin.land.naver.com/articles/2644042451", "매물Link")</f>
        <v/>
      </c>
      <c r="J4608" s="5">
        <f>HYPERLINK("https://map.naver.com/p/search/전의면 동교리 111", "지도Link")</f>
        <v/>
      </c>
      <c r="K4608" s="5">
        <f>HYPERLINK("http://www.eum.go.kr/web/ar/lu/luLandDet.jsp?pnu=3611037022101110000&amp;isNoScr=script&amp;mode=search", "토지이음")</f>
        <v/>
      </c>
      <c r="L4608" s="3" t="inlineStr">
        <is>
          <t>세종공감</t>
        </is>
      </c>
      <c r="M4608" s="3" t="n">
        <v>1</v>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3" t="inlineStr">
        <is>
          <t>전의면 동교리 도로접 계획관리 토지매매</t>
        </is>
      </c>
      <c r="I4609" s="5">
        <f>HYPERLINK("https://fin.land.naver.com/articles/2647313205", "매물Link")</f>
        <v/>
      </c>
      <c r="J4609" s="5">
        <f>HYPERLINK("https://map.naver.com/p/search/전의면 동교리 111", "지도Link")</f>
        <v/>
      </c>
      <c r="K4609" s="5">
        <f>HYPERLINK("http://www.eum.go.kr/web/ar/lu/luLandDet.jsp?pnu=3611037022101110000&amp;isNoScr=script&amp;mode=search", "토지이음")</f>
        <v/>
      </c>
      <c r="L4609" s="3" t="inlineStr">
        <is>
          <t>재화</t>
        </is>
      </c>
      <c r="M4609" s="3" t="n">
        <v>1</v>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3" t="inlineStr">
        <is>
          <t>전의면 동교리 자연녹지 토지, 전의역 및 면소재지 인근</t>
        </is>
      </c>
      <c r="I4610" s="5">
        <f>HYPERLINK("https://fin.land.naver.com/articles/2647316164", "매물Link")</f>
        <v/>
      </c>
      <c r="J4610" s="5">
        <f>HYPERLINK("https://map.naver.com/p/search/전의면 동교리 124", "지도Link")</f>
        <v/>
      </c>
      <c r="K4610" s="5">
        <f>HYPERLINK("http://www.eum.go.kr/web/ar/lu/luLandDet.jsp?pnu=3611037022101240000&amp;isNoScr=script&amp;mode=search", "토지이음")</f>
        <v/>
      </c>
      <c r="L4610" s="3" t="inlineStr">
        <is>
          <t>스카이</t>
        </is>
      </c>
      <c r="M4610" s="3" t="n">
        <v>1</v>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3" t="inlineStr">
        <is>
          <t>금액협의 건물 멸실된 나대지, 조용한 주거지</t>
        </is>
      </c>
      <c r="I4611" s="5">
        <f>HYPERLINK("https://fin.land.naver.com/articles/2645603922", "매물Link")</f>
        <v/>
      </c>
      <c r="J4611" s="5">
        <f>HYPERLINK("https://map.naver.com/p/search/전의면 동교리 146-6", "지도Link")</f>
        <v/>
      </c>
      <c r="K4611" s="5">
        <f>HYPERLINK("http://www.eum.go.kr/web/ar/lu/luLandDet.jsp?pnu=3611037022101460006&amp;isNoScr=script&amp;mode=search", "토지이음")</f>
        <v/>
      </c>
      <c r="L4611" s="3" t="inlineStr">
        <is>
          <t>미스터홈즈강남지사</t>
        </is>
      </c>
      <c r="M4611" s="3" t="n">
        <v>1</v>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3" t="inlineStr">
        <is>
          <t>계획관리지역 임야와 전, 투자용으로 추천합니다.</t>
        </is>
      </c>
      <c r="I4612" s="5">
        <f>HYPERLINK("https://fin.land.naver.com/articles/2649453374", "매물Link")</f>
        <v/>
      </c>
      <c r="J4612" s="5">
        <f>HYPERLINK("https://map.naver.com/p/search/전의면 동교리 152-7", "지도Link")</f>
        <v/>
      </c>
      <c r="K4612" s="5">
        <f>HYPERLINK("http://www.eum.go.kr/web/ar/lu/luLandDet.jsp?pnu=3611037022101520007&amp;isNoScr=script&amp;mode=search", "토지이음")</f>
        <v/>
      </c>
      <c r="L4612" s="3" t="inlineStr">
        <is>
          <t>으뜸</t>
        </is>
      </c>
      <c r="M4612" s="3" t="n">
        <v>1</v>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3" t="inlineStr">
        <is>
          <t>1번국도 2차선 대로변 접함.</t>
        </is>
      </c>
      <c r="I4613" s="5">
        <f>HYPERLINK("https://fin.land.naver.com/articles/2648087903", "매물Link")</f>
        <v/>
      </c>
      <c r="J4613" s="5">
        <f>HYPERLINK("https://map.naver.com/p/search/전의면 동교리 163", "지도Link")</f>
        <v/>
      </c>
      <c r="K4613" s="5">
        <f>HYPERLINK("http://www.eum.go.kr/web/ar/lu/luLandDet.jsp?pnu=3611037022101630000&amp;isNoScr=script&amp;mode=search", "토지이음")</f>
        <v/>
      </c>
      <c r="L4613" s="3" t="inlineStr">
        <is>
          <t>현담</t>
        </is>
      </c>
      <c r="M4613" s="3" t="n">
        <v>1</v>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3" t="inlineStr">
        <is>
          <t>전의 1,2 산업단지, 스마트그린일반산압단지 근거리에 위치</t>
        </is>
      </c>
      <c r="I4614" s="5">
        <f>HYPERLINK("https://fin.land.naver.com/articles/2648849545", "매물Link")</f>
        <v/>
      </c>
      <c r="J4614" s="5">
        <f>HYPERLINK("https://map.naver.com/p/search/전의면 동교리 209-8", "지도Link")</f>
        <v/>
      </c>
      <c r="K4614" s="5">
        <f>HYPERLINK("http://www.eum.go.kr/web/ar/lu/luLandDet.jsp?pnu=3611037022102090008&amp;isNoScr=script&amp;mode=search", "토지이음")</f>
        <v/>
      </c>
      <c r="L4614" s="3" t="inlineStr">
        <is>
          <t>신태양</t>
        </is>
      </c>
      <c r="M4614" s="3" t="n">
        <v>1</v>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3" t="inlineStr">
        <is>
          <t>지대높아서 조망확보되는 주거지역. 단독주택 다가구 추천</t>
        </is>
      </c>
      <c r="I4615" s="5">
        <f>HYPERLINK("https://fin.land.naver.com/articles/2645605658", "매물Link")</f>
        <v/>
      </c>
      <c r="J4615" s="5">
        <f>HYPERLINK("https://map.naver.com/p/search/전의면 동교리 213-15", "지도Link")</f>
        <v/>
      </c>
      <c r="K4615" s="5">
        <f>HYPERLINK("http://www.eum.go.kr/web/ar/lu/luLandDet.jsp?pnu=3611037022102130015&amp;isNoScr=script&amp;mode=search", "토지이음")</f>
        <v/>
      </c>
      <c r="L4615" s="3" t="inlineStr">
        <is>
          <t>미스터홈즈강남지사</t>
        </is>
      </c>
      <c r="M4615" s="3" t="n">
        <v>1</v>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3" t="inlineStr">
        <is>
          <t>nan</t>
        </is>
      </c>
      <c r="I4616" s="5">
        <f>HYPERLINK("https://fin.land.naver.com/articles/2644190803", "매물Link")</f>
        <v/>
      </c>
      <c r="J4616" s="5">
        <f>HYPERLINK("https://map.naver.com/p/search/전의면 동교리 213-8", "지도Link")</f>
        <v/>
      </c>
      <c r="K4616" s="5">
        <f>HYPERLINK("http://www.eum.go.kr/web/ar/lu/luLandDet.jsp?pnu=3611037022102130008&amp;isNoScr=script&amp;mode=search", "토지이음")</f>
        <v/>
      </c>
      <c r="L4616" s="3" t="inlineStr">
        <is>
          <t>나침반</t>
        </is>
      </c>
      <c r="M4616" s="3" t="n">
        <v>1</v>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3" t="inlineStr">
        <is>
          <t>전의역 도보 10분, 주변 산단 접근성 좋은 토지. 예쁜 주택지</t>
        </is>
      </c>
      <c r="I4617" s="5">
        <f>HYPERLINK("https://fin.land.naver.com/articles/2645127390", "매물Link")</f>
        <v/>
      </c>
      <c r="J4617" s="5">
        <f>HYPERLINK("https://map.naver.com/p/search/전의면 동교리 221-19", "지도Link")</f>
        <v/>
      </c>
      <c r="K4617" s="5">
        <f>HYPERLINK("http://www.eum.go.kr/web/ar/lu/luLandDet.jsp?pnu=3611037022102210019&amp;isNoScr=script&amp;mode=search", "토지이음")</f>
        <v/>
      </c>
      <c r="L4617" s="3" t="inlineStr">
        <is>
          <t>미스터홈즈강남지사</t>
        </is>
      </c>
      <c r="M4617" s="3" t="n">
        <v>1</v>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3" t="inlineStr">
        <is>
          <t>스마트산단 인근 자연녹지토지 공장 창고 근생부지 추천</t>
        </is>
      </c>
      <c r="I4618" s="5">
        <f>HYPERLINK("https://fin.land.naver.com/articles/2644522183", "매물Link")</f>
        <v/>
      </c>
      <c r="J4618" s="5">
        <f>HYPERLINK("https://map.naver.com/p/search/전의면 동교리 223", "지도Link")</f>
        <v/>
      </c>
      <c r="K4618" s="5">
        <f>HYPERLINK("http://www.eum.go.kr/web/ar/lu/luLandDet.jsp?pnu=3611037022102230000&amp;isNoScr=script&amp;mode=search", "토지이음")</f>
        <v/>
      </c>
      <c r="L4618" s="3" t="inlineStr">
        <is>
          <t>신중동래미안</t>
        </is>
      </c>
      <c r="M4618" s="3" t="n">
        <v>2</v>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3" t="inlineStr">
        <is>
          <t>nan</t>
        </is>
      </c>
      <c r="I4619" s="5">
        <f>HYPERLINK("https://fin.land.naver.com/articles/2649600249", "매물Link")</f>
        <v/>
      </c>
      <c r="J4619" s="5">
        <f>HYPERLINK("https://map.naver.com/p/search/전의면 동교리 24", "지도Link")</f>
        <v/>
      </c>
      <c r="K4619" s="5">
        <f>HYPERLINK("http://www.eum.go.kr/web/ar/lu/luLandDet.jsp?pnu=3611037022100240000&amp;isNoScr=script&amp;mode=search", "토지이음")</f>
        <v/>
      </c>
      <c r="L4619" s="3" t="inlineStr">
        <is>
          <t>성훈</t>
        </is>
      </c>
      <c r="M4619" s="3" t="n">
        <v>1</v>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3" t="inlineStr">
        <is>
          <t>2차선 도로에 접한 계획관리 토지</t>
        </is>
      </c>
      <c r="I4620" s="5">
        <f>HYPERLINK("https://fin.land.naver.com/articles/2644444564", "매물Link")</f>
        <v/>
      </c>
      <c r="J4620" s="5">
        <f>HYPERLINK("https://map.naver.com/p/search/전의면 동교리 24", "지도Link")</f>
        <v/>
      </c>
      <c r="K4620" s="5">
        <f>HYPERLINK("http://www.eum.go.kr/web/ar/lu/luLandDet.jsp?pnu=3611037022100240000&amp;isNoScr=script&amp;mode=search", "토지이음")</f>
        <v/>
      </c>
      <c r="L4620" s="3" t="inlineStr">
        <is>
          <t>세종대박</t>
        </is>
      </c>
      <c r="M4620" s="3" t="n">
        <v>1</v>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3" t="inlineStr">
        <is>
          <t>계획관리지역,협의가능</t>
        </is>
      </c>
      <c r="I4621" s="5">
        <f>HYPERLINK("https://fin.land.naver.com/articles/2644337272", "매물Link")</f>
        <v/>
      </c>
      <c r="J4621" s="5">
        <f>HYPERLINK("https://map.naver.com/p/search/전의면 동교리 51", "지도Link")</f>
        <v/>
      </c>
      <c r="K4621" s="5">
        <f>HYPERLINK("http://www.eum.go.kr/web/ar/lu/luLandDet.jsp?pnu=3611037022100510000&amp;isNoScr=script&amp;mode=search", "토지이음")</f>
        <v/>
      </c>
      <c r="L4621" s="3" t="inlineStr">
        <is>
          <t>다산</t>
        </is>
      </c>
      <c r="M4621" s="3" t="n">
        <v>2</v>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3" t="inlineStr">
        <is>
          <t>급매. 전의면 동교리 주택</t>
        </is>
      </c>
      <c r="I4622" s="5">
        <f>HYPERLINK("https://fin.land.naver.com/articles/2647620851", "매물Link")</f>
        <v/>
      </c>
      <c r="J4622" s="5">
        <f>HYPERLINK("https://map.naver.com/p/search/전의면 동교리 60", "지도Link")</f>
        <v/>
      </c>
      <c r="K4622" s="5">
        <f>HYPERLINK("http://www.eum.go.kr/web/ar/lu/luLandDet.jsp?pnu=3611037022100600000&amp;isNoScr=script&amp;mode=search", "토지이음")</f>
        <v/>
      </c>
      <c r="L4622" s="3" t="inlineStr">
        <is>
          <t>강아지풀</t>
        </is>
      </c>
      <c r="M4622" s="3" t="n">
        <v>1</v>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3" t="inlineStr">
        <is>
          <t>전의면 동교리 교차로 옆 계획관리 토지, 근생 및 창고 건축, 이동편리</t>
        </is>
      </c>
      <c r="I4623" s="5">
        <f>HYPERLINK("https://fin.land.naver.com/articles/2645819898", "매물Link")</f>
        <v/>
      </c>
      <c r="J4623" s="5">
        <f>HYPERLINK("https://map.naver.com/p/search/전의면 동교리 64-12", "지도Link")</f>
        <v/>
      </c>
      <c r="K4623" s="5">
        <f>HYPERLINK("http://www.eum.go.kr/web/ar/lu/luLandDet.jsp?pnu=3611037022100640012&amp;isNoScr=script&amp;mode=search", "토지이음")</f>
        <v/>
      </c>
      <c r="L4623" s="3" t="inlineStr">
        <is>
          <t>스카이</t>
        </is>
      </c>
      <c r="M4623" s="3" t="n">
        <v>1</v>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3" t="inlineStr">
        <is>
          <t>급매,투자추천</t>
        </is>
      </c>
      <c r="I4624" s="5">
        <f>HYPERLINK("https://fin.land.naver.com/articles/2649950421", "매물Link")</f>
        <v/>
      </c>
      <c r="J4624" s="5">
        <f>HYPERLINK("https://map.naver.com/p/search/전의면 동교리 77-8", "지도Link")</f>
        <v/>
      </c>
      <c r="K4624" s="5">
        <f>HYPERLINK("http://www.eum.go.kr/web/ar/lu/luLandDet.jsp?pnu=3611037022100770008&amp;isNoScr=script&amp;mode=search", "토지이음")</f>
        <v/>
      </c>
      <c r="L4624" s="3" t="inlineStr">
        <is>
          <t>다산</t>
        </is>
      </c>
      <c r="M4624" s="3" t="n">
        <v>2</v>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3" t="inlineStr">
        <is>
          <t>전의 외곽도로 부근. 전의일반산단,스마트산단 인근으로 튜자 유망.</t>
        </is>
      </c>
      <c r="I4625" s="5">
        <f>HYPERLINK("https://fin.land.naver.com/articles/2644183514", "매물Link")</f>
        <v/>
      </c>
      <c r="J4625" s="5">
        <f>HYPERLINK("https://map.naver.com/p/search/전의면 동교리 77-8", "지도Link")</f>
        <v/>
      </c>
      <c r="K4625" s="5">
        <f>HYPERLINK("http://www.eum.go.kr/web/ar/lu/luLandDet.jsp?pnu=3611037022100770008&amp;isNoScr=script&amp;mode=search", "토지이음")</f>
        <v/>
      </c>
      <c r="L4625" s="3" t="inlineStr">
        <is>
          <t>세종소담114</t>
        </is>
      </c>
      <c r="M4625" s="3" t="n">
        <v>1</v>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3" t="inlineStr">
        <is>
          <t>급매, 도로접한 계획관리지역, 스마트그린산단 인근, 투자가치 최상</t>
        </is>
      </c>
      <c r="I4626" s="5">
        <f>HYPERLINK("https://fin.land.naver.com/articles/2646420048", "매물Link")</f>
        <v/>
      </c>
      <c r="J4626" s="5">
        <f>HYPERLINK("https://map.naver.com/p/search/전의면 서정리 127", "지도Link")</f>
        <v/>
      </c>
      <c r="K4626" s="5">
        <f>HYPERLINK("http://www.eum.go.kr/web/ar/lu/luLandDet.jsp?pnu=3611037023101270000&amp;isNoScr=script&amp;mode=search", "토지이음")</f>
        <v/>
      </c>
      <c r="L4626" s="3" t="inlineStr">
        <is>
          <t>온뜰</t>
        </is>
      </c>
      <c r="M4626" s="3" t="n">
        <v>1</v>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3" t="inlineStr">
        <is>
          <t>급매</t>
        </is>
      </c>
      <c r="I4627" s="5">
        <f>HYPERLINK("https://fin.land.naver.com/articles/2649610463", "매물Link")</f>
        <v/>
      </c>
      <c r="J4627" s="5">
        <f>HYPERLINK("https://map.naver.com/p/search/전의면 서정리 127", "지도Link")</f>
        <v/>
      </c>
      <c r="K4627" s="5">
        <f>HYPERLINK("http://www.eum.go.kr/web/ar/lu/luLandDet.jsp?pnu=3611037023101270000&amp;isNoScr=script&amp;mode=search", "토지이음")</f>
        <v/>
      </c>
      <c r="L4627" s="3" t="inlineStr">
        <is>
          <t>그래그</t>
        </is>
      </c>
      <c r="M4627" s="3" t="n">
        <v>3</v>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3" t="inlineStr">
        <is>
          <t>전의면 서정리 계획관리 도로접 토지매매</t>
        </is>
      </c>
      <c r="I4628" s="5">
        <f>HYPERLINK("https://fin.land.naver.com/articles/2647315707", "매물Link")</f>
        <v/>
      </c>
      <c r="J4628" s="5">
        <f>HYPERLINK("https://map.naver.com/p/search/전의면 서정리 127", "지도Link")</f>
        <v/>
      </c>
      <c r="K4628" s="5">
        <f>HYPERLINK("http://www.eum.go.kr/web/ar/lu/luLandDet.jsp?pnu=3611037023101270000&amp;isNoScr=script&amp;mode=search", "토지이음")</f>
        <v/>
      </c>
      <c r="L4628" s="3" t="inlineStr">
        <is>
          <t>재화</t>
        </is>
      </c>
      <c r="M4628" s="3" t="n">
        <v>1</v>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3" t="inlineStr">
        <is>
          <t>매력적인 가격, 2차선 도로접한 접근성 좋은토지, 계획관리</t>
        </is>
      </c>
      <c r="I4629" s="5">
        <f>HYPERLINK("https://fin.land.naver.com/articles/2645976760", "매물Link")</f>
        <v/>
      </c>
      <c r="J4629" s="5">
        <f>HYPERLINK("https://map.naver.com/p/search/전의면 서정리 170-3", "지도Link")</f>
        <v/>
      </c>
      <c r="K4629" s="5">
        <f>HYPERLINK("http://www.eum.go.kr/web/ar/lu/luLandDet.jsp?pnu=3611037023101700003&amp;isNoScr=script&amp;mode=search", "토지이음")</f>
        <v/>
      </c>
      <c r="L4629" s="3" t="inlineStr">
        <is>
          <t>스마트OK</t>
        </is>
      </c>
      <c r="M4629" s="3" t="n">
        <v>1</v>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3" t="inlineStr">
        <is>
          <t>스마트 산업단지 인근 , 개발효과 있음, 하천 국유지 접 ,</t>
        </is>
      </c>
      <c r="I4630" s="5">
        <f>HYPERLINK("https://fin.land.naver.com/articles/2645205692", "매물Link")</f>
        <v/>
      </c>
      <c r="J4630" s="5">
        <f>HYPERLINK("https://map.naver.com/p/search/전의면 서정리 187", "지도Link")</f>
        <v/>
      </c>
      <c r="K4630" s="5">
        <f>HYPERLINK("http://www.eum.go.kr/web/ar/lu/luLandDet.jsp?pnu=3611037023101870000&amp;isNoScr=script&amp;mode=search", "토지이음")</f>
        <v/>
      </c>
      <c r="L4630" s="3" t="inlineStr">
        <is>
          <t>세종특별시</t>
        </is>
      </c>
      <c r="M4630" s="3" t="n">
        <v>1</v>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3" t="inlineStr">
        <is>
          <t>nan</t>
        </is>
      </c>
      <c r="I4631" s="5">
        <f>HYPERLINK("https://fin.land.naver.com/articles/2644892287", "매물Link")</f>
        <v/>
      </c>
      <c r="J4631" s="5">
        <f>HYPERLINK("https://map.naver.com/p/search/전의면 서정리 215-1", "지도Link")</f>
        <v/>
      </c>
      <c r="K4631" s="5">
        <f>HYPERLINK("http://www.eum.go.kr/web/ar/lu/luLandDet.jsp?pnu=3611037023102150001&amp;isNoScr=script&amp;mode=search", "토지이음")</f>
        <v/>
      </c>
      <c r="L4631" s="3" t="inlineStr">
        <is>
          <t>세종대박</t>
        </is>
      </c>
      <c r="M4631" s="3" t="n">
        <v>1</v>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3" t="inlineStr">
        <is>
          <t>세종시 전의면에 소재한 중형 토지로 투자하실 분께 추천</t>
        </is>
      </c>
      <c r="I4632" s="5">
        <f>HYPERLINK("https://fin.land.naver.com/articles/2644404988", "매물Link")</f>
        <v/>
      </c>
      <c r="J4632" s="5">
        <f>HYPERLINK("https://map.naver.com/p/search/전의면 서정리 225", "지도Link")</f>
        <v/>
      </c>
      <c r="K4632" s="5">
        <f>HYPERLINK("http://www.eum.go.kr/web/ar/lu/luLandDet.jsp?pnu=3611037023102250000&amp;isNoScr=script&amp;mode=search", "토지이음")</f>
        <v/>
      </c>
      <c r="L4632" s="3" t="inlineStr">
        <is>
          <t>대전역명품</t>
        </is>
      </c>
      <c r="M4632" s="3" t="n">
        <v>1</v>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3" t="inlineStr">
        <is>
          <t>전의면 서정리 농림지역 답, 맹지, 시세대비 저렴</t>
        </is>
      </c>
      <c r="I4633" s="5">
        <f>HYPERLINK("https://fin.land.naver.com/articles/2649500247", "매물Link")</f>
        <v/>
      </c>
      <c r="J4633" s="5">
        <f>HYPERLINK("https://map.naver.com/p/search/전의면 서정리 236-1", "지도Link")</f>
        <v/>
      </c>
      <c r="K4633" s="5">
        <f>HYPERLINK("http://www.eum.go.kr/web/ar/lu/luLandDet.jsp?pnu=3611037023102360001&amp;isNoScr=script&amp;mode=search", "토지이음")</f>
        <v/>
      </c>
      <c r="L4633" s="3" t="inlineStr">
        <is>
          <t>스카이</t>
        </is>
      </c>
      <c r="M4633" s="3" t="n">
        <v>1</v>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3" t="inlineStr">
        <is>
          <t>nan</t>
        </is>
      </c>
      <c r="I4634" s="5">
        <f>HYPERLINK("https://fin.land.naver.com/articles/2646008692", "매물Link")</f>
        <v/>
      </c>
      <c r="J4634" s="5">
        <f>HYPERLINK("https://map.naver.com/p/search/전의면 서정리 268-1", "지도Link")</f>
        <v/>
      </c>
      <c r="K4634" s="5">
        <f>HYPERLINK("http://www.eum.go.kr/web/ar/lu/luLandDet.jsp?pnu=3611037023102680001&amp;isNoScr=script&amp;mode=search", "토지이음")</f>
        <v/>
      </c>
      <c r="L4634" s="3" t="inlineStr">
        <is>
          <t>조은터</t>
        </is>
      </c>
      <c r="M4634" s="3" t="n">
        <v>1</v>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3" t="inlineStr">
        <is>
          <t>약 5미터도로접한 계획관리 토지. 분할가능</t>
        </is>
      </c>
      <c r="I4635" s="5">
        <f>HYPERLINK("https://fin.land.naver.com/articles/2645602372", "매물Link")</f>
        <v/>
      </c>
      <c r="J4635" s="5">
        <f>HYPERLINK("https://map.naver.com/p/search/전의면 서정리 288", "지도Link")</f>
        <v/>
      </c>
      <c r="K4635" s="5">
        <f>HYPERLINK("http://www.eum.go.kr/web/ar/lu/luLandDet.jsp?pnu=3611037023102880000&amp;isNoScr=script&amp;mode=search", "토지이음")</f>
        <v/>
      </c>
      <c r="L4635" s="3" t="inlineStr">
        <is>
          <t>미스터홈즈강남지사</t>
        </is>
      </c>
      <c r="M4635" s="3" t="n">
        <v>1</v>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3" t="inlineStr">
        <is>
          <t>nan</t>
        </is>
      </c>
      <c r="I4636" s="5">
        <f>HYPERLINK("https://fin.land.naver.com/articles/2645136122", "매물Link")</f>
        <v/>
      </c>
      <c r="J4636" s="5">
        <f>HYPERLINK("https://map.naver.com/p/search/전의면 서정리 380", "지도Link")</f>
        <v/>
      </c>
      <c r="K4636" s="5">
        <f>HYPERLINK("http://www.eum.go.kr/web/ar/lu/luLandDet.jsp?pnu=3611037023103800000&amp;isNoScr=script&amp;mode=search", "토지이음")</f>
        <v/>
      </c>
      <c r="L4636" s="3" t="inlineStr">
        <is>
          <t>미스터홈즈강남지사</t>
        </is>
      </c>
      <c r="M4636" s="3" t="n">
        <v>1</v>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3" t="inlineStr">
        <is>
          <t>스마트그린산업단지 인근 계획관리 3000여평입니다.일괄매매원합니다.</t>
        </is>
      </c>
      <c r="I4637" s="5">
        <f>HYPERLINK("https://fin.land.naver.com/articles/2647838730", "매물Link")</f>
        <v/>
      </c>
      <c r="J4637" s="5">
        <f>HYPERLINK("https://map.naver.com/p/search/전의면 서정리 48", "지도Link")</f>
        <v/>
      </c>
      <c r="K4637" s="5">
        <f>HYPERLINK("http://www.eum.go.kr/web/ar/lu/luLandDet.jsp?pnu=3611037023100480000&amp;isNoScr=script&amp;mode=search", "토지이음")</f>
        <v/>
      </c>
      <c r="L4637" s="3" t="inlineStr">
        <is>
          <t>대박</t>
        </is>
      </c>
      <c r="M4637" s="3" t="n">
        <v>1</v>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3" t="inlineStr">
        <is>
          <t>진짜 금액협상 잘해드림. 강력추천토지. 현황도로 있음. 건축가능</t>
        </is>
      </c>
      <c r="I4638" s="5">
        <f>HYPERLINK("https://fin.land.naver.com/articles/2647380770", "매물Link")</f>
        <v/>
      </c>
      <c r="J4638" s="5">
        <f>HYPERLINK("https://map.naver.com/p/search/전의면 서정리 77-3", "지도Link")</f>
        <v/>
      </c>
      <c r="K4638" s="5">
        <f>HYPERLINK("http://www.eum.go.kr/web/ar/lu/luLandDet.jsp?pnu=3611037023100770003&amp;isNoScr=script&amp;mode=search", "토지이음")</f>
        <v/>
      </c>
      <c r="L4638" s="3" t="inlineStr">
        <is>
          <t>미스터홈즈강남지사</t>
        </is>
      </c>
      <c r="M4638" s="3" t="n">
        <v>1</v>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3" t="inlineStr">
        <is>
          <t>nan</t>
        </is>
      </c>
      <c r="I4639" s="5">
        <f>HYPERLINK("https://fin.land.naver.com/articles/2645779804", "매물Link")</f>
        <v/>
      </c>
      <c r="J4639" s="5">
        <f>HYPERLINK("https://map.naver.com/p/search/전의면 서정리 78", "지도Link")</f>
        <v/>
      </c>
      <c r="K4639" s="5">
        <f>HYPERLINK("http://www.eum.go.kr/web/ar/lu/luLandDet.jsp?pnu=3611037023100780000&amp;isNoScr=script&amp;mode=search", "토지이음")</f>
        <v/>
      </c>
      <c r="L4639" s="3" t="inlineStr">
        <is>
          <t>그림</t>
        </is>
      </c>
      <c r="M4639" s="3" t="n">
        <v>1</v>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3" t="inlineStr">
        <is>
          <t>세종시 전의면 전원주택부지 매매, 세종 스마트그린 일반산업단지 인근</t>
        </is>
      </c>
      <c r="I4640" s="5">
        <f>HYPERLINK("https://fin.land.naver.com/articles/2648374022", "매물Link")</f>
        <v/>
      </c>
      <c r="J4640" s="5">
        <f>HYPERLINK("https://map.naver.com/p/search/전의면 서정리 80-12", "지도Link")</f>
        <v/>
      </c>
      <c r="K4640" s="5">
        <f>HYPERLINK("http://www.eum.go.kr/web/ar/lu/luLandDet.jsp?pnu=3611037023100800012&amp;isNoScr=script&amp;mode=search", "토지이음")</f>
        <v/>
      </c>
      <c r="L4640" s="3" t="inlineStr">
        <is>
          <t>테크노비타사사무소</t>
        </is>
      </c>
      <c r="M4640" s="3" t="n">
        <v>1</v>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3" t="inlineStr">
        <is>
          <t>지가 상승여력높은지역 , 주변  스마트산업단지등, 개발계획,전의역복선전철</t>
        </is>
      </c>
      <c r="I4641" s="5">
        <f>HYPERLINK("https://fin.land.naver.com/articles/2645426813", "매물Link")</f>
        <v/>
      </c>
      <c r="J4641" s="5">
        <f>HYPERLINK("https://map.naver.com/p/search/전의면 서정리 80-31", "지도Link")</f>
        <v/>
      </c>
      <c r="K4641" s="5">
        <f>HYPERLINK("http://www.eum.go.kr/web/ar/lu/luLandDet.jsp?pnu=3611037023100800031&amp;isNoScr=script&amp;mode=search", "토지이음")</f>
        <v/>
      </c>
      <c r="L4641" s="3" t="inlineStr">
        <is>
          <t>세종특별시</t>
        </is>
      </c>
      <c r="M4641" s="3" t="n">
        <v>1</v>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3" t="inlineStr">
        <is>
          <t>조망좋은 계획관리지역의 택지개발 완료한 전원주택단지 지목 대지 급매</t>
        </is>
      </c>
      <c r="I4642" s="5">
        <f>HYPERLINK("https://fin.land.naver.com/articles/2644975188", "매물Link")</f>
        <v/>
      </c>
      <c r="J4642" s="5">
        <f>HYPERLINK("https://map.naver.com/p/search/전의면 서정리 80-31", "지도Link")</f>
        <v/>
      </c>
      <c r="K4642" s="5">
        <f>HYPERLINK("http://www.eum.go.kr/web/ar/lu/luLandDet.jsp?pnu=3611037023100800031&amp;isNoScr=script&amp;mode=search", "토지이음")</f>
        <v/>
      </c>
      <c r="L4642" s="3" t="inlineStr">
        <is>
          <t>스마일세종</t>
        </is>
      </c>
      <c r="M4642" s="3" t="n">
        <v>1</v>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3" t="inlineStr">
        <is>
          <t>계획관리지역, 포장된 사로 연결, 인근에 전원주택단지 및 산업단지</t>
        </is>
      </c>
      <c r="I4643" s="5">
        <f>HYPERLINK("https://fin.land.naver.com/articles/2650017589", "매물Link")</f>
        <v/>
      </c>
      <c r="J4643" s="5">
        <f>HYPERLINK("https://map.naver.com/p/search/전의면 서정리 93", "지도Link")</f>
        <v/>
      </c>
      <c r="K4643" s="5">
        <f>HYPERLINK("http://www.eum.go.kr/web/ar/lu/luLandDet.jsp?pnu=3611037023100930000&amp;isNoScr=script&amp;mode=search", "토지이음")</f>
        <v/>
      </c>
      <c r="L4643" s="3" t="inlineStr">
        <is>
          <t>온뜰</t>
        </is>
      </c>
      <c r="M4643" s="3" t="n">
        <v>1</v>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3" t="inlineStr">
        <is>
          <t>농막가능한 텃밭 소형토지</t>
        </is>
      </c>
      <c r="I4644" s="5">
        <f>HYPERLINK("https://fin.land.naver.com/articles/2649604859", "매물Link")</f>
        <v/>
      </c>
      <c r="J4644" s="5">
        <f>HYPERLINK("https://map.naver.com/p/search/전의면 신방리 343-1", "지도Link")</f>
        <v/>
      </c>
      <c r="K4644" s="5">
        <f>HYPERLINK("http://www.eum.go.kr/web/ar/lu/luLandDet.jsp?pnu=3611037030103430001&amp;isNoScr=script&amp;mode=search", "토지이음")</f>
        <v/>
      </c>
      <c r="L4644" s="3" t="inlineStr">
        <is>
          <t>88</t>
        </is>
      </c>
      <c r="M4644" s="3" t="n">
        <v>1</v>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3" t="inlineStr">
        <is>
          <t>냇가 옆, 차량진입, 전원주택, 주말농장, 체류형 쉼터 적지</t>
        </is>
      </c>
      <c r="I4645" s="5">
        <f>HYPERLINK("https://fin.land.naver.com/articles/2647524531", "매물Link")</f>
        <v/>
      </c>
      <c r="J4645" s="5">
        <f>HYPERLINK("https://map.naver.com/p/search/전의면 신방리 350-1", "지도Link")</f>
        <v/>
      </c>
      <c r="K4645" s="5">
        <f>HYPERLINK("http://www.eum.go.kr/web/ar/lu/luLandDet.jsp?pnu=3611037030103500001&amp;isNoScr=script&amp;mode=search", "토지이음")</f>
        <v/>
      </c>
      <c r="L4645" s="3" t="inlineStr">
        <is>
          <t>우리들</t>
        </is>
      </c>
      <c r="M4645" s="3" t="n">
        <v>1</v>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3" t="inlineStr">
        <is>
          <t>급매로 누구나 매매 할수 있는 편당가 저렴한 신방리 토지</t>
        </is>
      </c>
      <c r="I4646" s="5">
        <f>HYPERLINK("https://fin.land.naver.com/articles/2647679543", "매물Link")</f>
        <v/>
      </c>
      <c r="J4646" s="5">
        <f>HYPERLINK("https://map.naver.com/p/search/전의면 신방리 505-1", "지도Link")</f>
        <v/>
      </c>
      <c r="K4646" s="5">
        <f>HYPERLINK("http://www.eum.go.kr/web/ar/lu/luLandDet.jsp?pnu=3611037030105050001&amp;isNoScr=script&amp;mode=search", "토지이음")</f>
        <v/>
      </c>
      <c r="L4646" s="3" t="inlineStr">
        <is>
          <t>지성</t>
        </is>
      </c>
      <c r="M4646" s="3" t="n">
        <v>1</v>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3" t="inlineStr">
        <is>
          <t>nan</t>
        </is>
      </c>
      <c r="I4647" s="5">
        <f>HYPERLINK("https://fin.land.naver.com/articles/2644333032", "매물Link")</f>
        <v/>
      </c>
      <c r="J4647" s="5">
        <f>HYPERLINK("https://map.naver.com/p/search/전의면 신방리 68-2", "지도Link")</f>
        <v/>
      </c>
      <c r="K4647" s="5">
        <f>HYPERLINK("http://www.eum.go.kr/web/ar/lu/luLandDet.jsp?pnu=3611037030100680002&amp;isNoScr=script&amp;mode=search", "토지이음")</f>
        <v/>
      </c>
      <c r="L4647" s="3" t="inlineStr">
        <is>
          <t>신와촌</t>
        </is>
      </c>
      <c r="M4647" s="3" t="n">
        <v>1</v>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3" t="inlineStr">
        <is>
          <t>세종시 공업지역 예정구역 3.800여평</t>
        </is>
      </c>
      <c r="I4648" s="5">
        <f>HYPERLINK("https://fin.land.naver.com/articles/2645317577", "매물Link")</f>
        <v/>
      </c>
      <c r="J4648" s="5">
        <f>HYPERLINK("https://map.naver.com/p/search/전의면 신방리 산30", "지도Link")</f>
        <v/>
      </c>
      <c r="K4648" s="5">
        <f>HYPERLINK("http://www.eum.go.kr/web/ar/lu/luLandDet.jsp?pnu=3611037030200300000&amp;isNoScr=script&amp;mode=search", "토지이음")</f>
        <v/>
      </c>
      <c r="L4648" s="3" t="inlineStr">
        <is>
          <t>유성대박</t>
        </is>
      </c>
      <c r="M4648" s="3" t="n">
        <v>1</v>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3" t="inlineStr">
        <is>
          <t>전의면 신방리 도로접 임야 매매</t>
        </is>
      </c>
      <c r="I4649" s="5">
        <f>HYPERLINK("https://fin.land.naver.com/articles/2646380064", "매물Link")</f>
        <v/>
      </c>
      <c r="J4649" s="5">
        <f>HYPERLINK("https://map.naver.com/p/search/전의면 신방리 산37", "지도Link")</f>
        <v/>
      </c>
      <c r="K4649" s="5">
        <f>HYPERLINK("http://www.eum.go.kr/web/ar/lu/luLandDet.jsp?pnu=3611037030200370000&amp;isNoScr=script&amp;mode=search", "토지이음")</f>
        <v/>
      </c>
      <c r="L4649" s="3" t="inlineStr">
        <is>
          <t>재화</t>
        </is>
      </c>
      <c r="M4649" s="3" t="n">
        <v>1</v>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3" t="inlineStr">
        <is>
          <t>도로있음, 전원주택 포함</t>
        </is>
      </c>
      <c r="I4650" s="5">
        <f>HYPERLINK("https://fin.land.naver.com/articles/2645322958", "매물Link")</f>
        <v/>
      </c>
      <c r="J4650" s="5">
        <f>HYPERLINK("https://map.naver.com/p/search/전의면 신정리 170", "지도Link")</f>
        <v/>
      </c>
      <c r="K4650" s="5">
        <f>HYPERLINK("http://www.eum.go.kr/web/ar/lu/luLandDet.jsp?pnu=3611037028101700000&amp;isNoScr=script&amp;mode=search", "토지이음")</f>
        <v/>
      </c>
      <c r="L4650" s="3" t="inlineStr">
        <is>
          <t>북세종</t>
        </is>
      </c>
      <c r="M4650" s="3" t="n">
        <v>1</v>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3" t="inlineStr">
        <is>
          <t>전원주택지 주말농장 추천</t>
        </is>
      </c>
      <c r="I4651" s="5">
        <f>HYPERLINK("https://fin.land.naver.com/articles/2644916489", "매물Link")</f>
        <v/>
      </c>
      <c r="J4651" s="5">
        <f>HYPERLINK("https://map.naver.com/p/search/전의면 신정리 227", "지도Link")</f>
        <v/>
      </c>
      <c r="K4651" s="5">
        <f>HYPERLINK("http://www.eum.go.kr/web/ar/lu/luLandDet.jsp?pnu=3611037028102270000&amp;isNoScr=script&amp;mode=search", "토지이음")</f>
        <v/>
      </c>
      <c r="L4651" s="3" t="inlineStr">
        <is>
          <t>성성친한</t>
        </is>
      </c>
      <c r="M4651" s="3" t="n">
        <v>1</v>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3" t="inlineStr">
        <is>
          <t>주말농장 및 전원주택부지</t>
        </is>
      </c>
      <c r="I4652" s="5">
        <f>HYPERLINK("https://fin.land.naver.com/articles/2644916493", "매물Link")</f>
        <v/>
      </c>
      <c r="J4652" s="5">
        <f>HYPERLINK("https://map.naver.com/p/search/전의면 신정리 251", "지도Link")</f>
        <v/>
      </c>
      <c r="K4652" s="5">
        <f>HYPERLINK("http://www.eum.go.kr/web/ar/lu/luLandDet.jsp?pnu=3611037028102510000&amp;isNoScr=script&amp;mode=search", "토지이음")</f>
        <v/>
      </c>
      <c r="L4652" s="3" t="inlineStr">
        <is>
          <t>성성친한</t>
        </is>
      </c>
      <c r="M4652" s="3" t="n">
        <v>2</v>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3" t="inlineStr">
        <is>
          <t>평단가 저렴한 계획관리지역 전원주택부지, 체류형쉼터 부지</t>
        </is>
      </c>
      <c r="I4653" s="5">
        <f>HYPERLINK("https://fin.land.naver.com/articles/2645609390", "매물Link")</f>
        <v/>
      </c>
      <c r="J4653" s="5">
        <f>HYPERLINK("https://map.naver.com/p/search/전의면 신정리 258-13", "지도Link")</f>
        <v/>
      </c>
      <c r="K4653" s="5">
        <f>HYPERLINK("http://www.eum.go.kr/web/ar/lu/luLandDet.jsp?pnu=3611037028102580013&amp;isNoScr=script&amp;mode=search", "토지이음")</f>
        <v/>
      </c>
      <c r="L4653" s="3" t="inlineStr">
        <is>
          <t>청담</t>
        </is>
      </c>
      <c r="M4653" s="3" t="n">
        <v>1</v>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3" t="inlineStr">
        <is>
          <t>전의일반산단 인근 계획관리 토지. 전의역 2.5km 반경</t>
        </is>
      </c>
      <c r="I4654" s="5">
        <f>HYPERLINK("https://fin.land.naver.com/articles/2645575509", "매물Link")</f>
        <v/>
      </c>
      <c r="J4654" s="5">
        <f>HYPERLINK("https://map.naver.com/p/search/전의면 신정리 258-3", "지도Link")</f>
        <v/>
      </c>
      <c r="K4654" s="5">
        <f>HYPERLINK("http://www.eum.go.kr/web/ar/lu/luLandDet.jsp?pnu=3611037028102580003&amp;isNoScr=script&amp;mode=search", "토지이음")</f>
        <v/>
      </c>
      <c r="L4654" s="3" t="inlineStr">
        <is>
          <t>미스터홈즈강남지사</t>
        </is>
      </c>
      <c r="M4654" s="3" t="n">
        <v>2</v>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3" t="inlineStr">
        <is>
          <t>필지가 여러개임.</t>
        </is>
      </c>
      <c r="I4655" s="5">
        <f>HYPERLINK("https://fin.land.naver.com/articles/2648550761", "매물Link")</f>
        <v/>
      </c>
      <c r="J4655" s="5">
        <f>HYPERLINK("https://map.naver.com/p/search/전의면 신정리 265", "지도Link")</f>
        <v/>
      </c>
      <c r="K4655" s="5">
        <f>HYPERLINK("http://www.eum.go.kr/web/ar/lu/luLandDet.jsp?pnu=3611037028102650000&amp;isNoScr=script&amp;mode=search", "토지이음")</f>
        <v/>
      </c>
      <c r="L4655" s="3" t="inlineStr">
        <is>
          <t>세종리츠</t>
        </is>
      </c>
      <c r="M4655" s="3" t="n">
        <v>1</v>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3" t="inlineStr">
        <is>
          <t>2차선접한 농림지역 전. 무허가주택은 멸실 또는 양성화 가능</t>
        </is>
      </c>
      <c r="I4656" s="5">
        <f>HYPERLINK("https://fin.land.naver.com/articles/2645133020", "매물Link")</f>
        <v/>
      </c>
      <c r="J4656" s="5">
        <f>HYPERLINK("https://map.naver.com/p/search/전의면 신정리 301", "지도Link")</f>
        <v/>
      </c>
      <c r="K4656" s="5">
        <f>HYPERLINK("http://www.eum.go.kr/web/ar/lu/luLandDet.jsp?pnu=3611037028103010000&amp;isNoScr=script&amp;mode=search", "토지이음")</f>
        <v/>
      </c>
      <c r="L4656" s="3" t="inlineStr">
        <is>
          <t>미스터홈즈강남지사</t>
        </is>
      </c>
      <c r="M4656" s="3" t="n">
        <v>1</v>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3" t="inlineStr">
        <is>
          <t>가,감차선 진,출입로 설치됨</t>
        </is>
      </c>
      <c r="I4657" s="5">
        <f>HYPERLINK("https://fin.land.naver.com/articles/2648843871", "매물Link")</f>
        <v/>
      </c>
      <c r="J4657" s="5">
        <f>HYPERLINK("https://map.naver.com/p/search/전의면 신정리 486-2", "지도Link")</f>
        <v/>
      </c>
      <c r="K4657" s="5">
        <f>HYPERLINK("http://www.eum.go.kr/web/ar/lu/luLandDet.jsp?pnu=3611037028104860002&amp;isNoScr=script&amp;mode=search", "토지이음")</f>
        <v/>
      </c>
      <c r="L4657" s="3" t="inlineStr">
        <is>
          <t>으뜸</t>
        </is>
      </c>
      <c r="M4657" s="3" t="n">
        <v>1</v>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3" t="inlineStr">
        <is>
          <t>도로 접한 토지로 건축용이함 전원주택및 창고용지 좋음</t>
        </is>
      </c>
      <c r="I4658" s="5">
        <f>HYPERLINK("https://fin.land.naver.com/articles/2647050240", "매물Link")</f>
        <v/>
      </c>
      <c r="J4658" s="5">
        <f>HYPERLINK("https://map.naver.com/p/search/전의면 신정리 564-10", "지도Link")</f>
        <v/>
      </c>
      <c r="K4658" s="5">
        <f>HYPERLINK("http://www.eum.go.kr/web/ar/lu/luLandDet.jsp?pnu=3611037028105640010&amp;isNoScr=script&amp;mode=search", "토지이음")</f>
        <v/>
      </c>
      <c r="L4658" s="3" t="inlineStr">
        <is>
          <t>큰길</t>
        </is>
      </c>
      <c r="M4658" s="3" t="n">
        <v>1</v>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3" t="inlineStr">
        <is>
          <t>세종시 저렴한 대토용지</t>
        </is>
      </c>
      <c r="I4659" s="5">
        <f>HYPERLINK("https://fin.land.naver.com/articles/2645322890", "매물Link")</f>
        <v/>
      </c>
      <c r="J4659" s="5">
        <f>HYPERLINK("https://map.naver.com/p/search/전의면 신정리 590", "지도Link")</f>
        <v/>
      </c>
      <c r="K4659" s="5">
        <f>HYPERLINK("http://www.eum.go.kr/web/ar/lu/luLandDet.jsp?pnu=3611037028105900000&amp;isNoScr=script&amp;mode=search", "토지이음")</f>
        <v/>
      </c>
      <c r="L4659" s="3" t="inlineStr">
        <is>
          <t>북세종</t>
        </is>
      </c>
      <c r="M4659" s="3" t="n">
        <v>1</v>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3" t="inlineStr">
        <is>
          <t>세종시 계획관리토지 급매</t>
        </is>
      </c>
      <c r="I4660" s="5">
        <f>HYPERLINK("https://fin.land.naver.com/articles/2648149908", "매물Link")</f>
        <v/>
      </c>
      <c r="J4660" s="5">
        <f>HYPERLINK("https://map.naver.com/p/search/전의면 신정리 61-2", "지도Link")</f>
        <v/>
      </c>
      <c r="K4660" s="5">
        <f>HYPERLINK("http://www.eum.go.kr/web/ar/lu/luLandDet.jsp?pnu=3611037028100610002&amp;isNoScr=script&amp;mode=search", "토지이음")</f>
        <v/>
      </c>
      <c r="L4660" s="3" t="inlineStr">
        <is>
          <t>그린</t>
        </is>
      </c>
      <c r="M4660" s="3" t="n">
        <v>1</v>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3" t="inlineStr">
        <is>
          <t>전의일반산단인근 구거 접한 농지. 대토추천</t>
        </is>
      </c>
      <c r="I4661" s="5">
        <f>HYPERLINK("https://fin.land.naver.com/articles/2645605319", "매물Link")</f>
        <v/>
      </c>
      <c r="J4661" s="5">
        <f>HYPERLINK("https://map.naver.com/p/search/전의면 신정리 61-2", "지도Link")</f>
        <v/>
      </c>
      <c r="K4661" s="5">
        <f>HYPERLINK("http://www.eum.go.kr/web/ar/lu/luLandDet.jsp?pnu=3611037028100610002&amp;isNoScr=script&amp;mode=search", "토지이음")</f>
        <v/>
      </c>
      <c r="L4661" s="3" t="inlineStr">
        <is>
          <t>미스터홈즈강남지사</t>
        </is>
      </c>
      <c r="M4661" s="3" t="n">
        <v>1</v>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3" t="inlineStr">
        <is>
          <t>nan</t>
        </is>
      </c>
      <c r="I4662" s="5">
        <f>HYPERLINK("https://fin.land.naver.com/articles/2649776188", "매물Link")</f>
        <v/>
      </c>
      <c r="J4662" s="5">
        <f>HYPERLINK("https://map.naver.com/p/search/전의면 신정리 62-1", "지도Link")</f>
        <v/>
      </c>
      <c r="K4662" s="5">
        <f>HYPERLINK("http://www.eum.go.kr/web/ar/lu/luLandDet.jsp?pnu=3611037028100620001&amp;isNoScr=script&amp;mode=search", "토지이음")</f>
        <v/>
      </c>
      <c r="L4662" s="3" t="inlineStr">
        <is>
          <t>이림 사무소</t>
        </is>
      </c>
      <c r="M4662" s="3" t="n">
        <v>1</v>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3" t="inlineStr">
        <is>
          <t>nan</t>
        </is>
      </c>
      <c r="I4663" s="5">
        <f>HYPERLINK("https://fin.land.naver.com/articles/2649776676", "매물Link")</f>
        <v/>
      </c>
      <c r="J4663" s="5">
        <f>HYPERLINK("https://map.naver.com/p/search/전의면 신정리 62-2", "지도Link")</f>
        <v/>
      </c>
      <c r="K4663" s="5">
        <f>HYPERLINK("http://www.eum.go.kr/web/ar/lu/luLandDet.jsp?pnu=3611037028100620002&amp;isNoScr=script&amp;mode=search", "토지이음")</f>
        <v/>
      </c>
      <c r="L4663" s="3" t="inlineStr">
        <is>
          <t>시티프라디움</t>
        </is>
      </c>
      <c r="M4663" s="3" t="n">
        <v>1</v>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3" t="inlineStr">
        <is>
          <t>2차선 접한 총 10필지로 공장 및 대형물류센터로 적극추천</t>
        </is>
      </c>
      <c r="I4664" s="5">
        <f>HYPERLINK("https://fin.land.naver.com/articles/2646388580", "매물Link")</f>
        <v/>
      </c>
      <c r="J4664" s="5">
        <f>HYPERLINK("https://map.naver.com/p/search/전의면 신정리 659", "지도Link")</f>
        <v/>
      </c>
      <c r="K4664" s="5">
        <f>HYPERLINK("http://www.eum.go.kr/web/ar/lu/luLandDet.jsp?pnu=3611037028106590000&amp;isNoScr=script&amp;mode=search", "토지이음")</f>
        <v/>
      </c>
      <c r="L4664" s="3" t="inlineStr">
        <is>
          <t>금화랜드</t>
        </is>
      </c>
      <c r="M4664" s="3" t="n">
        <v>1</v>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3" t="inlineStr">
        <is>
          <t>세종시 권역 2차선접한 계획관리지역,공장용지로 조성된곳,대형공장추천</t>
        </is>
      </c>
      <c r="I4665" s="5">
        <f>HYPERLINK("https://fin.land.naver.com/articles/2648259702", "매물Link")</f>
        <v/>
      </c>
      <c r="J4665" s="5">
        <f>HYPERLINK("https://map.naver.com/p/search/전의면 신정리 660", "지도Link")</f>
        <v/>
      </c>
      <c r="K4665" s="5">
        <f>HYPERLINK("http://www.eum.go.kr/web/ar/lu/luLandDet.jsp?pnu=3611037028106600000&amp;isNoScr=script&amp;mode=search", "토지이음")</f>
        <v/>
      </c>
      <c r="L4665" s="3" t="inlineStr">
        <is>
          <t>(주)미르</t>
        </is>
      </c>
      <c r="M4665" s="3" t="n">
        <v>3</v>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3" t="inlineStr">
        <is>
          <t>세종 전의면 계획관리내 공장용지 매매</t>
        </is>
      </c>
      <c r="I4666" s="5">
        <f>HYPERLINK("https://fin.land.naver.com/articles/2644236090", "매물Link")</f>
        <v/>
      </c>
      <c r="J4666" s="5">
        <f>HYPERLINK("https://map.naver.com/p/search/전의면 신정리 661", "지도Link")</f>
        <v/>
      </c>
      <c r="K4666" s="5">
        <f>HYPERLINK("http://www.eum.go.kr/web/ar/lu/luLandDet.jsp?pnu=3611037028106610000&amp;isNoScr=script&amp;mode=search", "토지이음")</f>
        <v/>
      </c>
      <c r="L4666" s="3" t="inlineStr">
        <is>
          <t>SK랜드</t>
        </is>
      </c>
      <c r="M4666" s="3" t="n">
        <v>1</v>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3" t="inlineStr">
        <is>
          <t>세종 전의면 계획관리내 대형 공장용지 매매</t>
        </is>
      </c>
      <c r="I4667" s="5">
        <f>HYPERLINK("https://fin.land.naver.com/articles/2644233777", "매물Link")</f>
        <v/>
      </c>
      <c r="J4667" s="5">
        <f>HYPERLINK("https://map.naver.com/p/search/전의면 신정리 663", "지도Link")</f>
        <v/>
      </c>
      <c r="K4667" s="5">
        <f>HYPERLINK("http://www.eum.go.kr/web/ar/lu/luLandDet.jsp?pnu=3611037028106630000&amp;isNoScr=script&amp;mode=search", "토지이음")</f>
        <v/>
      </c>
      <c r="L4667" s="3" t="inlineStr">
        <is>
          <t>SK랜드</t>
        </is>
      </c>
      <c r="M4667" s="3" t="n">
        <v>1</v>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3" t="inlineStr">
        <is>
          <t>세종시 전의면 2차선 접한 계획관리지역.공장용지로 조성된 곳</t>
        </is>
      </c>
      <c r="I4668" s="5">
        <f>HYPERLINK("https://fin.land.naver.com/articles/2645328117", "매물Link")</f>
        <v/>
      </c>
      <c r="J4668" s="5">
        <f>HYPERLINK("https://map.naver.com/p/search/전의면 신정리 665", "지도Link")</f>
        <v/>
      </c>
      <c r="K4668" s="5">
        <f>HYPERLINK("http://www.eum.go.kr/web/ar/lu/luLandDet.jsp?pnu=3611037028106650000&amp;isNoScr=script&amp;mode=search", "토지이음")</f>
        <v/>
      </c>
      <c r="L4668" s="3" t="inlineStr">
        <is>
          <t>(주)미르</t>
        </is>
      </c>
      <c r="M4668" s="3" t="n">
        <v>1</v>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3" t="inlineStr">
        <is>
          <t>평당50, 전의일반산단 5분, 전의역 5분거리</t>
        </is>
      </c>
      <c r="I4669" s="5">
        <f>HYPERLINK("https://fin.land.naver.com/articles/2648348012", "매물Link")</f>
        <v/>
      </c>
      <c r="J4669" s="5">
        <f>HYPERLINK("https://map.naver.com/p/search/전의면 신정리 산105-1", "지도Link")</f>
        <v/>
      </c>
      <c r="K4669" s="5">
        <f>HYPERLINK("http://www.eum.go.kr/web/ar/lu/luLandDet.jsp?pnu=3611037028201050001&amp;isNoScr=script&amp;mode=search", "토지이음")</f>
        <v/>
      </c>
      <c r="L4669" s="3" t="inlineStr">
        <is>
          <t>미스터홈즈강남지사</t>
        </is>
      </c>
      <c r="M4669" s="3" t="n">
        <v>1</v>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3" t="inlineStr">
        <is>
          <t>투자가치 좋은 계획관리 지역, 좋은기회</t>
        </is>
      </c>
      <c r="I4670" s="5">
        <f>HYPERLINK("https://fin.land.naver.com/articles/2645123147", "매물Link")</f>
        <v/>
      </c>
      <c r="J4670" s="5">
        <f>HYPERLINK("https://map.naver.com/p/search/전의면 신흥리 130-2", "지도Link")</f>
        <v/>
      </c>
      <c r="K4670" s="5">
        <f>HYPERLINK("http://www.eum.go.kr/web/ar/lu/luLandDet.jsp?pnu=3611037025101300002&amp;isNoScr=script&amp;mode=search", "토지이음")</f>
        <v/>
      </c>
      <c r="L4670" s="3" t="inlineStr">
        <is>
          <t>OK세종</t>
        </is>
      </c>
      <c r="M4670" s="3" t="n">
        <v>1</v>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3" t="inlineStr">
        <is>
          <t>전의 면소재지 인접한 투자용 매물</t>
        </is>
      </c>
      <c r="I4671" s="5">
        <f>HYPERLINK("https://fin.land.naver.com/articles/2645776462", "매물Link")</f>
        <v/>
      </c>
      <c r="J4671" s="5">
        <f>HYPERLINK("https://map.naver.com/p/search/전의면 신흥리 159-3", "지도Link")</f>
        <v/>
      </c>
      <c r="K4671" s="5">
        <f>HYPERLINK("http://www.eum.go.kr/web/ar/lu/luLandDet.jsp?pnu=3611037025101590003&amp;isNoScr=script&amp;mode=search", "토지이음")</f>
        <v/>
      </c>
      <c r="L4671" s="3" t="inlineStr">
        <is>
          <t>지호주식회사</t>
        </is>
      </c>
      <c r="M4671" s="3" t="n">
        <v>1</v>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3" t="inlineStr">
        <is>
          <t>전의역 가까운지역 계획관리지역의 토지</t>
        </is>
      </c>
      <c r="I4672" s="5">
        <f>HYPERLINK("https://fin.land.naver.com/articles/2648497958", "매물Link")</f>
        <v/>
      </c>
      <c r="J4672" s="5">
        <f>HYPERLINK("https://map.naver.com/p/search/전의면 신흥리 16-1", "지도Link")</f>
        <v/>
      </c>
      <c r="K4672" s="5">
        <f>HYPERLINK("http://www.eum.go.kr/web/ar/lu/luLandDet.jsp?pnu=3611037025100160001&amp;isNoScr=script&amp;mode=search", "토지이음")</f>
        <v/>
      </c>
      <c r="L4672" s="3" t="inlineStr">
        <is>
          <t>지성</t>
        </is>
      </c>
      <c r="M4672" s="3" t="n">
        <v>1</v>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3" t="inlineStr">
        <is>
          <t>농지은행 임대중 비닐하우스 7동 있음 하천옆 주변토지  불하가능</t>
        </is>
      </c>
      <c r="I4673" s="5">
        <f>HYPERLINK("https://fin.land.naver.com/articles/2649177854", "매물Link")</f>
        <v/>
      </c>
      <c r="J4673" s="5">
        <f>HYPERLINK("https://map.naver.com/p/search/전의면 신흥리 56", "지도Link")</f>
        <v/>
      </c>
      <c r="K4673" s="5">
        <f>HYPERLINK("http://www.eum.go.kr/web/ar/lu/luLandDet.jsp?pnu=3611037025100560000&amp;isNoScr=script&amp;mode=search", "토지이음")</f>
        <v/>
      </c>
      <c r="L4673" s="3" t="inlineStr">
        <is>
          <t>그래그</t>
        </is>
      </c>
      <c r="M4673" s="3" t="n">
        <v>1</v>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3" t="inlineStr">
        <is>
          <t>급매  계획관리,지목상 도로 접함</t>
        </is>
      </c>
      <c r="I4674" s="5">
        <f>HYPERLINK("https://fin.land.naver.com/articles/2644693188", "매물Link")</f>
        <v/>
      </c>
      <c r="J4674" s="5">
        <f>HYPERLINK("https://map.naver.com/p/search/전의면 신흥리 산3-1", "지도Link")</f>
        <v/>
      </c>
      <c r="K4674" s="5">
        <f>HYPERLINK("http://www.eum.go.kr/web/ar/lu/luLandDet.jsp?pnu=3611037025200030001&amp;isNoScr=script&amp;mode=search", "토지이음")</f>
        <v/>
      </c>
      <c r="L4674" s="3" t="inlineStr">
        <is>
          <t>금강이편한</t>
        </is>
      </c>
      <c r="M4674" s="3" t="n">
        <v>1</v>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3" t="inlineStr">
        <is>
          <t>전의면 양곡리 생산관리 토지, 주말영농 및 농막, 조용한 위치</t>
        </is>
      </c>
      <c r="I4675" s="5">
        <f>HYPERLINK("https://fin.land.naver.com/articles/2649501184", "매물Link")</f>
        <v/>
      </c>
      <c r="J4675" s="5">
        <f>HYPERLINK("https://map.naver.com/p/search/전의면 양곡리 196-3", "지도Link")</f>
        <v/>
      </c>
      <c r="K4675" s="5">
        <f>HYPERLINK("http://www.eum.go.kr/web/ar/lu/luLandDet.jsp?pnu=3611037032101960003&amp;isNoScr=script&amp;mode=search", "토지이음")</f>
        <v/>
      </c>
      <c r="L4675" s="3" t="inlineStr">
        <is>
          <t>스카이</t>
        </is>
      </c>
      <c r="M4675" s="3" t="n">
        <v>1</v>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3" t="inlineStr">
        <is>
          <t>세종 전의면 계획관리지역 대지.  따뜻한 주거와 텃밭을 가꿀 수 있어요</t>
        </is>
      </c>
      <c r="I4676" s="5">
        <f>HYPERLINK("https://fin.land.naver.com/articles/2643960624", "매물Link")</f>
        <v/>
      </c>
      <c r="J4676" s="5">
        <f>HYPERLINK("https://map.naver.com/p/search/전의면 양곡리 207-4", "지도Link")</f>
        <v/>
      </c>
      <c r="K4676" s="5">
        <f>HYPERLINK("http://www.eum.go.kr/web/ar/lu/luLandDet.jsp?pnu=3611037032102070004&amp;isNoScr=script&amp;mode=search", "토지이음")</f>
        <v/>
      </c>
      <c r="L4676" s="3" t="inlineStr">
        <is>
          <t>OK파라곤</t>
        </is>
      </c>
      <c r="M4676" s="3" t="n">
        <v>1</v>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3" t="inlineStr">
        <is>
          <t>급매. 세종시 1억원대 토지</t>
        </is>
      </c>
      <c r="I4677" s="5">
        <f>HYPERLINK("https://fin.land.naver.com/articles/2645466012", "매물Link")</f>
        <v/>
      </c>
      <c r="J4677" s="5">
        <f>HYPERLINK("https://map.naver.com/p/search/전의면 양곡리 218-2", "지도Link")</f>
        <v/>
      </c>
      <c r="K4677" s="5">
        <f>HYPERLINK("http://www.eum.go.kr/web/ar/lu/luLandDet.jsp?pnu=3611037032102180002&amp;isNoScr=script&amp;mode=search", "토지이음")</f>
        <v/>
      </c>
      <c r="L4677" s="3" t="inlineStr">
        <is>
          <t>강아지풀</t>
        </is>
      </c>
      <c r="M4677" s="3" t="n">
        <v>1</v>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3" t="inlineStr">
        <is>
          <t>부담스럽지 않은 가격으로 집 지어 살기 좋은 땅</t>
        </is>
      </c>
      <c r="I4678" s="5">
        <f>HYPERLINK("https://fin.land.naver.com/articles/2646243182", "매물Link")</f>
        <v/>
      </c>
      <c r="J4678" s="5">
        <f>HYPERLINK("https://map.naver.com/p/search/전의면 양곡리 218-2", "지도Link")</f>
        <v/>
      </c>
      <c r="K4678" s="5">
        <f>HYPERLINK("http://www.eum.go.kr/web/ar/lu/luLandDet.jsp?pnu=3611037032102180002&amp;isNoScr=script&amp;mode=search", "토지이음")</f>
        <v/>
      </c>
      <c r="L4678" s="3" t="inlineStr">
        <is>
          <t>수자인</t>
        </is>
      </c>
      <c r="M4678" s="3" t="n">
        <v>1</v>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3" t="inlineStr">
        <is>
          <t>nan</t>
        </is>
      </c>
      <c r="I4679" s="5">
        <f>HYPERLINK("https://fin.land.naver.com/articles/2645606614", "매물Link")</f>
        <v/>
      </c>
      <c r="J4679" s="5">
        <f>HYPERLINK("https://map.naver.com/p/search/전의면 양곡리 249-1", "지도Link")</f>
        <v/>
      </c>
      <c r="K4679" s="5">
        <f>HYPERLINK("http://www.eum.go.kr/web/ar/lu/luLandDet.jsp?pnu=3611037032102490001&amp;isNoScr=script&amp;mode=search", "토지이음")</f>
        <v/>
      </c>
      <c r="L4679" s="3" t="inlineStr">
        <is>
          <t>미스터홈즈강남지사</t>
        </is>
      </c>
      <c r="M4679" s="3" t="n">
        <v>1</v>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3" t="inlineStr">
        <is>
          <t>세종미래산단 인근 계획관리지역 장기보유형 농지</t>
        </is>
      </c>
      <c r="I4680" s="5">
        <f>HYPERLINK("https://fin.land.naver.com/articles/2648862308", "매물Link")</f>
        <v/>
      </c>
      <c r="J4680" s="5">
        <f>HYPERLINK("https://map.naver.com/p/search/전의면 양곡리 300-2", "지도Link")</f>
        <v/>
      </c>
      <c r="K4680" s="5">
        <f>HYPERLINK("http://www.eum.go.kr/web/ar/lu/luLandDet.jsp?pnu=3611037032103000002&amp;isNoScr=script&amp;mode=search", "토지이음")</f>
        <v/>
      </c>
      <c r="L4680" s="3" t="inlineStr">
        <is>
          <t>세종소담황금</t>
        </is>
      </c>
      <c r="M4680" s="3" t="n">
        <v>1</v>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3" t="inlineStr">
        <is>
          <t>일반사업단지 근처 토지</t>
        </is>
      </c>
      <c r="I4681" s="5">
        <f>HYPERLINK("https://fin.land.naver.com/articles/2644034669", "매물Link")</f>
        <v/>
      </c>
      <c r="J4681" s="5">
        <f>HYPERLINK("https://map.naver.com/p/search/전의면 양곡리 329-1", "지도Link")</f>
        <v/>
      </c>
      <c r="K4681" s="5">
        <f>HYPERLINK("http://www.eum.go.kr/web/ar/lu/luLandDet.jsp?pnu=3611037032103290001&amp;isNoScr=script&amp;mode=search", "토지이음")</f>
        <v/>
      </c>
      <c r="L4681" s="3" t="inlineStr">
        <is>
          <t>동원탑</t>
        </is>
      </c>
      <c r="M4681" s="3" t="n">
        <v>1</v>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3" t="inlineStr">
        <is>
          <t>nan</t>
        </is>
      </c>
      <c r="I4682" s="5">
        <f>HYPERLINK("https://fin.land.naver.com/articles/2646242031", "매물Link")</f>
        <v/>
      </c>
      <c r="J4682" s="5">
        <f>HYPERLINK("https://map.naver.com/p/search/전의면 양곡리 367-2", "지도Link")</f>
        <v/>
      </c>
      <c r="K4682" s="5">
        <f>HYPERLINK("http://www.eum.go.kr/web/ar/lu/luLandDet.jsp?pnu=3611037032103670002&amp;isNoScr=script&amp;mode=search", "토지이음")</f>
        <v/>
      </c>
      <c r="L4682" s="3" t="inlineStr">
        <is>
          <t>수자인</t>
        </is>
      </c>
      <c r="M4682" s="3" t="n">
        <v>1</v>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3" t="inlineStr">
        <is>
          <t>nan</t>
        </is>
      </c>
      <c r="I4683" s="5">
        <f>HYPERLINK("https://fin.land.naver.com/articles/2646242750", "매물Link")</f>
        <v/>
      </c>
      <c r="J4683" s="5">
        <f>HYPERLINK("https://map.naver.com/p/search/전의면 양곡리 368-2", "지도Link")</f>
        <v/>
      </c>
      <c r="K4683" s="5">
        <f>HYPERLINK("http://www.eum.go.kr/web/ar/lu/luLandDet.jsp?pnu=3611037032103680002&amp;isNoScr=script&amp;mode=search", "토지이음")</f>
        <v/>
      </c>
      <c r="L4683" s="3" t="inlineStr">
        <is>
          <t>수자인</t>
        </is>
      </c>
      <c r="M4683" s="3" t="n">
        <v>1</v>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3" t="inlineStr">
        <is>
          <t>전의면 양곡리 2차선변 접한 계획관리 토지, 창고 및 야적장 등</t>
        </is>
      </c>
      <c r="I4684" s="5">
        <f>HYPERLINK("https://fin.land.naver.com/articles/2649513311", "매물Link")</f>
        <v/>
      </c>
      <c r="J4684" s="5">
        <f>HYPERLINK("https://map.naver.com/p/search/전의면 양곡리 381-2", "지도Link")</f>
        <v/>
      </c>
      <c r="K4684" s="5">
        <f>HYPERLINK("http://www.eum.go.kr/web/ar/lu/luLandDet.jsp?pnu=3611037032103810002&amp;isNoScr=script&amp;mode=search", "토지이음")</f>
        <v/>
      </c>
      <c r="L4684" s="3" t="inlineStr">
        <is>
          <t>스카이</t>
        </is>
      </c>
      <c r="M4684" s="3" t="n">
        <v>2</v>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3" t="inlineStr">
        <is>
          <t>2차선도로 접한 밭 농업경영체토지 주기장 고물상 창고 공장 야적장 가능지</t>
        </is>
      </c>
      <c r="I4685" s="5">
        <f>HYPERLINK("https://fin.land.naver.com/articles/2649965559", "매물Link")</f>
        <v/>
      </c>
      <c r="J4685" s="5">
        <f>HYPERLINK("https://map.naver.com/p/search/전의면 양곡리 381-2", "지도Link")</f>
        <v/>
      </c>
      <c r="K4685" s="5">
        <f>HYPERLINK("http://www.eum.go.kr/web/ar/lu/luLandDet.jsp?pnu=3611037032103810002&amp;isNoScr=script&amp;mode=search", "토지이음")</f>
        <v/>
      </c>
      <c r="L4685" s="3" t="inlineStr">
        <is>
          <t>지성</t>
        </is>
      </c>
      <c r="M4685" s="3" t="n">
        <v>1</v>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3" t="inlineStr">
        <is>
          <t>도로변 각지로 계획관리지역 개발 등 다양업 추천</t>
        </is>
      </c>
      <c r="I4686" s="5">
        <f>HYPERLINK("https://fin.land.naver.com/articles/2648753395", "매물Link")</f>
        <v/>
      </c>
      <c r="J4686" s="5">
        <f>HYPERLINK("https://map.naver.com/p/search/전의면 양곡리 381-2", "지도Link")</f>
        <v/>
      </c>
      <c r="K4686" s="5">
        <f>HYPERLINK("http://www.eum.go.kr/web/ar/lu/luLandDet.jsp?pnu=3611037032103810002&amp;isNoScr=script&amp;mode=search", "토지이음")</f>
        <v/>
      </c>
      <c r="L4686" s="3" t="inlineStr">
        <is>
          <t>이서방</t>
        </is>
      </c>
      <c r="M4686" s="3" t="n">
        <v>1</v>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3" t="inlineStr">
        <is>
          <t>세종시 전의면 양곡리 농막과 유실수 포함 토지 매매</t>
        </is>
      </c>
      <c r="I4687" s="5">
        <f>HYPERLINK("https://fin.land.naver.com/articles/2646832259", "매물Link")</f>
        <v/>
      </c>
      <c r="J4687" s="5">
        <f>HYPERLINK("https://map.naver.com/p/search/전의면 양곡리 40-5", "지도Link")</f>
        <v/>
      </c>
      <c r="K4687" s="5">
        <f>HYPERLINK("http://www.eum.go.kr/web/ar/lu/luLandDet.jsp?pnu=3611037032100400005&amp;isNoScr=script&amp;mode=search", "토지이음")</f>
        <v/>
      </c>
      <c r="L4687" s="3" t="inlineStr">
        <is>
          <t>뉴스카이</t>
        </is>
      </c>
      <c r="M4687" s="3" t="n">
        <v>1</v>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3" t="inlineStr">
        <is>
          <t>도시 인접 생산관리 농지. 주택지로도 좋아요</t>
        </is>
      </c>
      <c r="I4688" s="5">
        <f>HYPERLINK("https://fin.land.naver.com/articles/2645128061", "매물Link")</f>
        <v/>
      </c>
      <c r="J4688" s="5">
        <f>HYPERLINK("https://map.naver.com/p/search/전의면 양곡리 40-5", "지도Link")</f>
        <v/>
      </c>
      <c r="K4688" s="5">
        <f>HYPERLINK("http://www.eum.go.kr/web/ar/lu/luLandDet.jsp?pnu=3611037032100400005&amp;isNoScr=script&amp;mode=search", "토지이음")</f>
        <v/>
      </c>
      <c r="L4688" s="3" t="inlineStr">
        <is>
          <t>미스터홈즈강남지사</t>
        </is>
      </c>
      <c r="M4688" s="3" t="n">
        <v>1</v>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3" t="inlineStr">
        <is>
          <t>대로변 광고효과 좋음,  미래산업단지 지원용지 ,  투자추천</t>
        </is>
      </c>
      <c r="I4689" s="5">
        <f>HYPERLINK("https://fin.land.naver.com/articles/2645380289", "매물Link")</f>
        <v/>
      </c>
      <c r="J4689" s="5">
        <f>HYPERLINK("https://map.naver.com/p/search/전의면 양곡리 573", "지도Link")</f>
        <v/>
      </c>
      <c r="K4689" s="5">
        <f>HYPERLINK("http://www.eum.go.kr/web/ar/lu/luLandDet.jsp?pnu=3611037032105730000&amp;isNoScr=script&amp;mode=search", "토지이음")</f>
        <v/>
      </c>
      <c r="L4689" s="3" t="inlineStr">
        <is>
          <t>세종특별시</t>
        </is>
      </c>
      <c r="M4689" s="3" t="n">
        <v>1</v>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3" t="inlineStr">
        <is>
          <t>전의면 미래산업단지내 준주거지역 대지, 상가건축용, 대로변 옆</t>
        </is>
      </c>
      <c r="I4690" s="5">
        <f>HYPERLINK("https://fin.land.naver.com/articles/2648395435", "매물Link")</f>
        <v/>
      </c>
      <c r="J4690" s="5">
        <f>HYPERLINK("https://map.naver.com/p/search/전의면 양곡리 573", "지도Link")</f>
        <v/>
      </c>
      <c r="K4690" s="5">
        <f>HYPERLINK("http://www.eum.go.kr/web/ar/lu/luLandDet.jsp?pnu=3611037032105730000&amp;isNoScr=script&amp;mode=search", "토지이음")</f>
        <v/>
      </c>
      <c r="L4690" s="3" t="inlineStr">
        <is>
          <t>스카이</t>
        </is>
      </c>
      <c r="M4690" s="3" t="n">
        <v>1</v>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3" t="inlineStr">
        <is>
          <t>평당2만원 완전 저렴</t>
        </is>
      </c>
      <c r="I4691" s="5">
        <f>HYPERLINK("https://fin.land.naver.com/articles/2648779802", "매물Link")</f>
        <v/>
      </c>
      <c r="J4691" s="5">
        <f>HYPERLINK("https://map.naver.com/p/search/전의면 양곡리 산 46-3", "지도Link")</f>
        <v/>
      </c>
      <c r="K4691" s="5">
        <f>HYPERLINK("http://www.eum.go.kr/web/ar/lu/luLandDet.jsp?pnu=3611037032200460003&amp;isNoScr=script&amp;mode=search", "토지이음")</f>
        <v/>
      </c>
      <c r="L4691" s="3" t="inlineStr">
        <is>
          <t>몰리브</t>
        </is>
      </c>
      <c r="M4691" s="3" t="n">
        <v>1</v>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3" t="inlineStr">
        <is>
          <t>nan</t>
        </is>
      </c>
      <c r="I4692" s="5">
        <f>HYPERLINK("https://fin.land.naver.com/articles/2645406051", "매물Link")</f>
        <v/>
      </c>
      <c r="J4692" s="5">
        <f>HYPERLINK("https://map.naver.com/p/search/전의면 영당리 11-4", "지도Link")</f>
        <v/>
      </c>
      <c r="K4692" s="5">
        <f>HYPERLINK("http://www.eum.go.kr/web/ar/lu/luLandDet.jsp?pnu=3611037031100110004&amp;isNoScr=script&amp;mode=search", "토지이음")</f>
        <v/>
      </c>
      <c r="L4692" s="3" t="inlineStr">
        <is>
          <t>그래그</t>
        </is>
      </c>
      <c r="M4692" s="3" t="n">
        <v>1</v>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3" t="inlineStr">
        <is>
          <t>nan</t>
        </is>
      </c>
      <c r="I4693" s="5">
        <f>HYPERLINK("https://fin.land.naver.com/articles/2645405063", "매물Link")</f>
        <v/>
      </c>
      <c r="J4693" s="5">
        <f>HYPERLINK("https://map.naver.com/p/search/전의면 영당리 11-5", "지도Link")</f>
        <v/>
      </c>
      <c r="K4693" s="5">
        <f>HYPERLINK("http://www.eum.go.kr/web/ar/lu/luLandDet.jsp?pnu=3611037031100110005&amp;isNoScr=script&amp;mode=search", "토지이음")</f>
        <v/>
      </c>
      <c r="L4693" s="3" t="inlineStr">
        <is>
          <t>그래그</t>
        </is>
      </c>
      <c r="M4693" s="3" t="n">
        <v>1</v>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3" t="inlineStr">
        <is>
          <t>nan</t>
        </is>
      </c>
      <c r="I4694" s="5">
        <f>HYPERLINK("https://fin.land.naver.com/articles/2645410382", "매물Link")</f>
        <v/>
      </c>
      <c r="J4694" s="5">
        <f>HYPERLINK("https://map.naver.com/p/search/전의면 영당리 11-9", "지도Link")</f>
        <v/>
      </c>
      <c r="K4694" s="5">
        <f>HYPERLINK("http://www.eum.go.kr/web/ar/lu/luLandDet.jsp?pnu=3611037031100110009&amp;isNoScr=script&amp;mode=search", "토지이음")</f>
        <v/>
      </c>
      <c r="L4694" s="3" t="inlineStr">
        <is>
          <t>그래그</t>
        </is>
      </c>
      <c r="M4694" s="3" t="n">
        <v>1</v>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3" t="inlineStr">
        <is>
          <t>전의면 영당리 계획관리 공장용지, 6m 도로 접, 주변 산업단지 개발</t>
        </is>
      </c>
      <c r="I4695" s="5">
        <f>HYPERLINK("https://fin.land.naver.com/articles/2645819970", "매물Link")</f>
        <v/>
      </c>
      <c r="J4695" s="5">
        <f>HYPERLINK("https://map.naver.com/p/search/전의면 영당리 118-1", "지도Link")</f>
        <v/>
      </c>
      <c r="K4695" s="5">
        <f>HYPERLINK("http://www.eum.go.kr/web/ar/lu/luLandDet.jsp?pnu=3611037031101180001&amp;isNoScr=script&amp;mode=search", "토지이음")</f>
        <v/>
      </c>
      <c r="L4695" s="3" t="inlineStr">
        <is>
          <t>스카이</t>
        </is>
      </c>
      <c r="M4695" s="3" t="n">
        <v>1</v>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3" t="inlineStr">
        <is>
          <t>전원주택지 계획관리 전. 전용 711m</t>
        </is>
      </c>
      <c r="I4696" s="5">
        <f>HYPERLINK("https://fin.land.naver.com/articles/2648349559", "매물Link")</f>
        <v/>
      </c>
      <c r="J4696" s="5">
        <f>HYPERLINK("https://map.naver.com/p/search/전의면 영당리 40-6", "지도Link")</f>
        <v/>
      </c>
      <c r="K4696" s="5">
        <f>HYPERLINK("http://www.eum.go.kr/web/ar/lu/luLandDet.jsp?pnu=3611037031100400006&amp;isNoScr=script&amp;mode=search", "토지이음")</f>
        <v/>
      </c>
      <c r="L4696" s="3" t="inlineStr">
        <is>
          <t>미스터홈즈강남지사</t>
        </is>
      </c>
      <c r="M4696" s="3" t="n">
        <v>1</v>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3" t="inlineStr">
        <is>
          <t>nan</t>
        </is>
      </c>
      <c r="I4697" s="5">
        <f>HYPERLINK("https://fin.land.naver.com/articles/2648342679", "매물Link")</f>
        <v/>
      </c>
      <c r="J4697" s="5">
        <f>HYPERLINK("https://map.naver.com/p/search/전의면 영당리 43-1", "지도Link")</f>
        <v/>
      </c>
      <c r="K4697" s="5">
        <f>HYPERLINK("http://www.eum.go.kr/web/ar/lu/luLandDet.jsp?pnu=3611037031100430001&amp;isNoScr=script&amp;mode=search", "토지이음")</f>
        <v/>
      </c>
      <c r="L4697" s="3" t="inlineStr">
        <is>
          <t>미스터홈즈강남지사</t>
        </is>
      </c>
      <c r="M4697" s="3" t="n">
        <v>1</v>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3" t="inlineStr">
        <is>
          <t>세종시 2차선에 접한 계획관리지역내 코너각지</t>
        </is>
      </c>
      <c r="I4698" s="5">
        <f>HYPERLINK("https://fin.land.naver.com/articles/2648929076", "매물Link")</f>
        <v/>
      </c>
      <c r="J4698" s="5">
        <f>HYPERLINK("https://map.naver.com/p/search/전의면 영당리 86-1", "지도Link")</f>
        <v/>
      </c>
      <c r="K4698" s="5">
        <f>HYPERLINK("http://www.eum.go.kr/web/ar/lu/luLandDet.jsp?pnu=3611037031100860001&amp;isNoScr=script&amp;mode=search", "토지이음")</f>
        <v/>
      </c>
      <c r="L4698" s="3" t="inlineStr">
        <is>
          <t>조아  사무소</t>
        </is>
      </c>
      <c r="M4698" s="3" t="n">
        <v>1</v>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3" t="inlineStr">
        <is>
          <t>1번국도, 전의역 가까운지역이며, 서울세종간고속도로5km반경</t>
        </is>
      </c>
      <c r="I4699" s="5">
        <f>HYPERLINK("https://fin.land.naver.com/articles/2645604508", "매물Link")</f>
        <v/>
      </c>
      <c r="J4699" s="5">
        <f>HYPERLINK("https://map.naver.com/p/search/전의면 원성리 103", "지도Link")</f>
        <v/>
      </c>
      <c r="K4699" s="5">
        <f>HYPERLINK("http://www.eum.go.kr/web/ar/lu/luLandDet.jsp?pnu=3611037024101030000&amp;isNoScr=script&amp;mode=search", "토지이음")</f>
        <v/>
      </c>
      <c r="L4699" s="3" t="inlineStr">
        <is>
          <t>미스터홈즈강남지사</t>
        </is>
      </c>
      <c r="M4699" s="3" t="n">
        <v>2</v>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3" t="inlineStr">
        <is>
          <t>전의역 부근 계획관리지역 토지</t>
        </is>
      </c>
      <c r="I4700" s="5">
        <f>HYPERLINK("https://fin.land.naver.com/articles/2646474323", "매물Link")</f>
        <v/>
      </c>
      <c r="J4700" s="5">
        <f>HYPERLINK("https://map.naver.com/p/search/전의면 원성리 164-2", "지도Link")</f>
        <v/>
      </c>
      <c r="K4700" s="5">
        <f>HYPERLINK("http://www.eum.go.kr/web/ar/lu/luLandDet.jsp?pnu=3611037024101640002&amp;isNoScr=script&amp;mode=search", "토지이음")</f>
        <v/>
      </c>
      <c r="L4700" s="3" t="inlineStr">
        <is>
          <t>우림</t>
        </is>
      </c>
      <c r="M4700" s="3" t="n">
        <v>1</v>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3" t="inlineStr">
        <is>
          <t>도로접한 계획관리 매매</t>
        </is>
      </c>
      <c r="I4701" s="5">
        <f>HYPERLINK("https://fin.land.naver.com/articles/2644888120", "매물Link")</f>
        <v/>
      </c>
      <c r="J4701" s="5">
        <f>HYPERLINK("https://map.naver.com/p/search/전의면 원성리 176", "지도Link")</f>
        <v/>
      </c>
      <c r="K4701" s="5">
        <f>HYPERLINK("http://www.eum.go.kr/web/ar/lu/luLandDet.jsp?pnu=3611037024101760000&amp;isNoScr=script&amp;mode=search", "토지이음")</f>
        <v/>
      </c>
      <c r="L4701" s="3" t="inlineStr">
        <is>
          <t>태양</t>
        </is>
      </c>
      <c r="M4701" s="3" t="n">
        <v>1</v>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3" t="inlineStr">
        <is>
          <t>양봉업자최적토지 아카시아꿀 밀원 토지 매매</t>
        </is>
      </c>
      <c r="I4702" s="5">
        <f>HYPERLINK("https://fin.land.naver.com/articles/2648900821", "매물Link")</f>
        <v/>
      </c>
      <c r="J4702" s="5">
        <f>HYPERLINK("https://map.naver.com/p/search/전의면 원성리 244", "지도Link")</f>
        <v/>
      </c>
      <c r="K4702" s="5">
        <f>HYPERLINK("http://www.eum.go.kr/web/ar/lu/luLandDet.jsp?pnu=3611037024102440000&amp;isNoScr=script&amp;mode=search", "토지이음")</f>
        <v/>
      </c>
      <c r="L4702" s="3" t="inlineStr">
        <is>
          <t>도담</t>
        </is>
      </c>
      <c r="M4702" s="3" t="n">
        <v>1</v>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3" t="inlineStr">
        <is>
          <t>nan</t>
        </is>
      </c>
      <c r="I4703" s="5">
        <f>HYPERLINK("https://fin.land.naver.com/articles/2649782051", "매물Link")</f>
        <v/>
      </c>
      <c r="J4703" s="5">
        <f>HYPERLINK("https://map.naver.com/p/search/전의면 원성리 산1-11", "지도Link")</f>
        <v/>
      </c>
      <c r="K4703" s="5">
        <f>HYPERLINK("http://www.eum.go.kr/web/ar/lu/luLandDet.jsp?pnu=3611037024200010011&amp;isNoScr=script&amp;mode=search", "토지이음")</f>
        <v/>
      </c>
      <c r="L4703" s="3" t="inlineStr">
        <is>
          <t>이서방</t>
        </is>
      </c>
      <c r="M4703" s="3" t="n">
        <v>1</v>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3" t="inlineStr">
        <is>
          <t>투자용, 전의역세권 토지, 산업단지인근, 2차선도로 인접</t>
        </is>
      </c>
      <c r="I4704" s="5">
        <f>HYPERLINK("https://fin.land.naver.com/articles/2647258404", "매물Link")</f>
        <v/>
      </c>
      <c r="J4704" s="5">
        <f>HYPERLINK("https://map.naver.com/p/search/전의면 원성리 산21-12", "지도Link")</f>
        <v/>
      </c>
      <c r="K4704" s="5">
        <f>HYPERLINK("http://www.eum.go.kr/web/ar/lu/luLandDet.jsp?pnu=3611037024200210012&amp;isNoScr=script&amp;mode=search", "토지이음")</f>
        <v/>
      </c>
      <c r="L4704" s="3" t="inlineStr">
        <is>
          <t>세종공감</t>
        </is>
      </c>
      <c r="M4704" s="3" t="n">
        <v>1</v>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3" t="inlineStr">
        <is>
          <t>세종시 전의면 유천리 저렴한 계획관리 토지 매매</t>
        </is>
      </c>
      <c r="I4705" s="5">
        <f>HYPERLINK("https://fin.land.naver.com/articles/2645498499", "매물Link")</f>
        <v/>
      </c>
      <c r="J4705" s="5">
        <f>HYPERLINK("https://map.naver.com/p/search/전의면 유천리 110-1", "지도Link")</f>
        <v/>
      </c>
      <c r="K4705" s="5">
        <f>HYPERLINK("http://www.eum.go.kr/web/ar/lu/luLandDet.jsp?pnu=3611037026101100001&amp;isNoScr=script&amp;mode=search", "토지이음")</f>
        <v/>
      </c>
      <c r="L4705" s="3" t="inlineStr">
        <is>
          <t>뉴스카이</t>
        </is>
      </c>
      <c r="M4705" s="3" t="n">
        <v>3</v>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3" t="inlineStr">
        <is>
          <t>세종시 전의면 전의 제2일반산업단지인근 구옥이 있는 대지</t>
        </is>
      </c>
      <c r="I4706" s="5">
        <f>HYPERLINK("https://fin.land.naver.com/articles/2650170618", "매물Link")</f>
        <v/>
      </c>
      <c r="J4706" s="5">
        <f>HYPERLINK("https://map.naver.com/p/search/전의면 유천리 249-2", "지도Link")</f>
        <v/>
      </c>
      <c r="K4706" s="5">
        <f>HYPERLINK("http://www.eum.go.kr/web/ar/lu/luLandDet.jsp?pnu=3611037026102490002&amp;isNoScr=script&amp;mode=search", "토지이음")</f>
        <v/>
      </c>
      <c r="L4706" s="3" t="inlineStr">
        <is>
          <t>그린</t>
        </is>
      </c>
      <c r="M4706" s="3" t="n">
        <v>1</v>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3" t="inlineStr">
        <is>
          <t>전기,수도 모두 인입된 대지와 답</t>
        </is>
      </c>
      <c r="I4707" s="5">
        <f>HYPERLINK("https://fin.land.naver.com/articles/2645606723", "매물Link")</f>
        <v/>
      </c>
      <c r="J4707" s="5">
        <f>HYPERLINK("https://map.naver.com/p/search/전의면 유천리 296", "지도Link")</f>
        <v/>
      </c>
      <c r="K4707" s="5">
        <f>HYPERLINK("http://www.eum.go.kr/web/ar/lu/luLandDet.jsp?pnu=3611037026102960000&amp;isNoScr=script&amp;mode=search", "토지이음")</f>
        <v/>
      </c>
      <c r="L4707" s="3" t="inlineStr">
        <is>
          <t>미스터홈즈강남지사</t>
        </is>
      </c>
      <c r="M4707" s="3" t="n">
        <v>1</v>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3" t="inlineStr">
        <is>
          <t>세종에머슨cc 입구로 도로접한 각지, 창고나  음식점 추천합니다</t>
        </is>
      </c>
      <c r="I4708" s="5">
        <f>HYPERLINK("https://fin.land.naver.com/articles/2649070039", "매물Link")</f>
        <v/>
      </c>
      <c r="J4708" s="5">
        <f>HYPERLINK("https://map.naver.com/p/search/전의면 유천리 303-4", "지도Link")</f>
        <v/>
      </c>
      <c r="K4708" s="5">
        <f>HYPERLINK("http://www.eum.go.kr/web/ar/lu/luLandDet.jsp?pnu=3611037026103030004&amp;isNoScr=script&amp;mode=search", "토지이음")</f>
        <v/>
      </c>
      <c r="L4708" s="3" t="inlineStr">
        <is>
          <t>세종새롬</t>
        </is>
      </c>
      <c r="M4708" s="3" t="n">
        <v>1</v>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3" t="inlineStr">
        <is>
          <t>세종 땅 투자할분 추천</t>
        </is>
      </c>
      <c r="I4709" s="5">
        <f>HYPERLINK("https://fin.land.naver.com/articles/2649757777", "매물Link")</f>
        <v/>
      </c>
      <c r="J4709" s="5">
        <f>HYPERLINK("https://map.naver.com/p/search/전의면 유천리 372-1", "지도Link")</f>
        <v/>
      </c>
      <c r="K4709" s="5">
        <f>HYPERLINK("http://www.eum.go.kr/web/ar/lu/luLandDet.jsp?pnu=3611037026103720001&amp;isNoScr=script&amp;mode=search", "토지이음")</f>
        <v/>
      </c>
      <c r="L4709" s="3" t="inlineStr">
        <is>
          <t>신도시</t>
        </is>
      </c>
      <c r="M4709" s="3" t="n">
        <v>1</v>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3" t="inlineStr">
        <is>
          <t>생명나무, 1번국도 접한 땅 노출 좋아요</t>
        </is>
      </c>
      <c r="I4710" s="5">
        <f>HYPERLINK("https://fin.land.naver.com/articles/2648877872", "매물Link")</f>
        <v/>
      </c>
      <c r="J4710" s="5">
        <f>HYPERLINK("https://map.naver.com/p/search/전의면 유천리 384", "지도Link")</f>
        <v/>
      </c>
      <c r="K4710" s="5">
        <f>HYPERLINK("http://www.eum.go.kr/web/ar/lu/luLandDet.jsp?pnu=3611037026103840000&amp;isNoScr=script&amp;mode=search", "토지이음")</f>
        <v/>
      </c>
      <c r="L4710" s="3" t="inlineStr">
        <is>
          <t>생명나무</t>
        </is>
      </c>
      <c r="M4710" s="3" t="n">
        <v>1</v>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3" t="inlineStr">
        <is>
          <t>남풍세IC 접근성 좋은 포장농로 접 평탄 농지</t>
        </is>
      </c>
      <c r="I4711" s="5">
        <f>HYPERLINK("https://fin.land.naver.com/articles/2648860093", "매물Link")</f>
        <v/>
      </c>
      <c r="J4711" s="5">
        <f>HYPERLINK("https://map.naver.com/p/search/전의면 유천리 392-1", "지도Link")</f>
        <v/>
      </c>
      <c r="K4711" s="5">
        <f>HYPERLINK("http://www.eum.go.kr/web/ar/lu/luLandDet.jsp?pnu=3611037026103920001&amp;isNoScr=script&amp;mode=search", "토지이음")</f>
        <v/>
      </c>
      <c r="L4711" s="3" t="inlineStr">
        <is>
          <t>세종소담황금</t>
        </is>
      </c>
      <c r="M4711" s="3" t="n">
        <v>1</v>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3" t="inlineStr">
        <is>
          <t>도로접한 계획관리지역 대지 및 전</t>
        </is>
      </c>
      <c r="I4712" s="5">
        <f>HYPERLINK("https://fin.land.naver.com/articles/2646539328", "매물Link")</f>
        <v/>
      </c>
      <c r="J4712" s="5">
        <f>HYPERLINK("https://map.naver.com/p/search/전의면 유천리 497-5", "지도Link")</f>
        <v/>
      </c>
      <c r="K4712" s="5">
        <f>HYPERLINK("http://www.eum.go.kr/web/ar/lu/luLandDet.jsp?pnu=3611037026104970005&amp;isNoScr=script&amp;mode=search", "토지이음")</f>
        <v/>
      </c>
      <c r="L4712" s="3" t="inlineStr">
        <is>
          <t>세종나라</t>
        </is>
      </c>
      <c r="M4712" s="3" t="n">
        <v>1</v>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3" t="inlineStr">
        <is>
          <t>w 1번국도 교통망 너무좋은 위치 w 공장, 창고 하기 좋은 위치</t>
        </is>
      </c>
      <c r="I4713" s="5">
        <f>HYPERLINK("https://fin.land.naver.com/articles/2645658564", "매물Link")</f>
        <v/>
      </c>
      <c r="J4713" s="5">
        <f>HYPERLINK("https://map.naver.com/p/search/전의면 유천리 76-4", "지도Link")</f>
        <v/>
      </c>
      <c r="K4713" s="5">
        <f>HYPERLINK("http://www.eum.go.kr/web/ar/lu/luLandDet.jsp?pnu=3611037026100760004&amp;isNoScr=script&amp;mode=search", "토지이음")</f>
        <v/>
      </c>
      <c r="L4713" s="3" t="inlineStr">
        <is>
          <t>원탑</t>
        </is>
      </c>
      <c r="M4713" s="3" t="n">
        <v>1</v>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3" t="inlineStr">
        <is>
          <t>2차선도로접 평탄한임야 민원소지적음 다목적개발용이</t>
        </is>
      </c>
      <c r="I4714" s="5">
        <f>HYPERLINK("https://fin.land.naver.com/articles/2649069699", "매물Link")</f>
        <v/>
      </c>
      <c r="J4714" s="5">
        <f>HYPERLINK("https://map.naver.com/p/search/전의면 유천리 84-1", "지도Link")</f>
        <v/>
      </c>
      <c r="K4714" s="5">
        <f>HYPERLINK("http://www.eum.go.kr/web/ar/lu/luLandDet.jsp?pnu=3611037026100840001&amp;isNoScr=script&amp;mode=search", "토지이음")</f>
        <v/>
      </c>
      <c r="L4714" s="3" t="inlineStr">
        <is>
          <t>한마음</t>
        </is>
      </c>
      <c r="M4714" s="3" t="n">
        <v>1</v>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3" t="inlineStr">
        <is>
          <t>1번국도접한 광고효과 좋은 토지매매</t>
        </is>
      </c>
      <c r="I4715" s="5">
        <f>HYPERLINK("https://fin.land.naver.com/articles/2647351571", "매물Link")</f>
        <v/>
      </c>
      <c r="J4715" s="5">
        <f>HYPERLINK("https://map.naver.com/p/search/전의면 유천리 84-1", "지도Link")</f>
        <v/>
      </c>
      <c r="K4715" s="5">
        <f>HYPERLINK("http://www.eum.go.kr/web/ar/lu/luLandDet.jsp?pnu=3611037026100840001&amp;isNoScr=script&amp;mode=search", "토지이음")</f>
        <v/>
      </c>
      <c r="L4715" s="3" t="inlineStr">
        <is>
          <t>복전</t>
        </is>
      </c>
      <c r="M4715" s="3" t="n">
        <v>1</v>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3" t="inlineStr">
        <is>
          <t>접근성 좋고 민원 발생여지 적어 개발이 용이한 토지</t>
        </is>
      </c>
      <c r="I4716" s="5">
        <f>HYPERLINK("https://fin.land.naver.com/articles/2648170977", "매물Link")</f>
        <v/>
      </c>
      <c r="J4716" s="5">
        <f>HYPERLINK("https://map.naver.com/p/search/전의면 유천리 84-1", "지도Link")</f>
        <v/>
      </c>
      <c r="K4716" s="5">
        <f>HYPERLINK("http://www.eum.go.kr/web/ar/lu/luLandDet.jsp?pnu=3611037026100840001&amp;isNoScr=script&amp;mode=search", "토지이음")</f>
        <v/>
      </c>
      <c r="L4716" s="3" t="inlineStr">
        <is>
          <t>연호</t>
        </is>
      </c>
      <c r="M4716" s="3" t="n">
        <v>1</v>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3" t="inlineStr">
        <is>
          <t>2차선 도로변 계획관리 토지</t>
        </is>
      </c>
      <c r="I4717" s="5">
        <f>HYPERLINK("https://fin.land.naver.com/articles/2645604873", "매물Link")</f>
        <v/>
      </c>
      <c r="J4717" s="5">
        <f>HYPERLINK("https://map.naver.com/p/search/전의면 읍내리 103-5", "지도Link")</f>
        <v/>
      </c>
      <c r="K4717" s="5">
        <f>HYPERLINK("http://www.eum.go.kr/web/ar/lu/luLandDet.jsp?pnu=3611037021101030005&amp;isNoScr=script&amp;mode=search", "토지이음")</f>
        <v/>
      </c>
      <c r="L4717" s="3" t="inlineStr">
        <is>
          <t>미스터홈즈강남지사</t>
        </is>
      </c>
      <c r="M4717" s="3" t="n">
        <v>1</v>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3" t="inlineStr">
        <is>
          <t>nan</t>
        </is>
      </c>
      <c r="I4718" s="5">
        <f>HYPERLINK("https://fin.land.naver.com/articles/2645620975", "매물Link")</f>
        <v/>
      </c>
      <c r="J4718" s="5">
        <f>HYPERLINK("https://map.naver.com/p/search/전의면 읍내리 11-16", "지도Link")</f>
        <v/>
      </c>
      <c r="K4718" s="5">
        <f>HYPERLINK("http://www.eum.go.kr/web/ar/lu/luLandDet.jsp?pnu=3611037021100110016&amp;isNoScr=script&amp;mode=search", "토지이음")</f>
        <v/>
      </c>
      <c r="L4718" s="3" t="inlineStr">
        <is>
          <t>으뜸</t>
        </is>
      </c>
      <c r="M4718" s="3" t="n">
        <v>1</v>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3" t="inlineStr">
        <is>
          <t>신규주거단지 및 체육공원 바로 앞 계획관리 토지</t>
        </is>
      </c>
      <c r="I4719" s="5">
        <f>HYPERLINK("https://fin.land.naver.com/articles/2645550644", "매물Link")</f>
        <v/>
      </c>
      <c r="J4719" s="5">
        <f>HYPERLINK("https://map.naver.com/p/search/전의면 읍내리 11-2", "지도Link")</f>
        <v/>
      </c>
      <c r="K4719" s="5">
        <f>HYPERLINK("http://www.eum.go.kr/web/ar/lu/luLandDet.jsp?pnu=3611037021100110002&amp;isNoScr=script&amp;mode=search", "토지이음")</f>
        <v/>
      </c>
      <c r="L4719" s="3" t="inlineStr">
        <is>
          <t>미스터홈즈강남지사</t>
        </is>
      </c>
      <c r="M4719" s="3" t="n">
        <v>1</v>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3" t="inlineStr">
        <is>
          <t>nan</t>
        </is>
      </c>
      <c r="I4720" s="5">
        <f>HYPERLINK("https://fin.land.naver.com/articles/2648767736", "매물Link")</f>
        <v/>
      </c>
      <c r="J4720" s="5">
        <f>HYPERLINK("https://map.naver.com/p/search/전의면 읍내리 11-20", "지도Link")</f>
        <v/>
      </c>
      <c r="K4720" s="5">
        <f>HYPERLINK("http://www.eum.go.kr/web/ar/lu/luLandDet.jsp?pnu=3611037021100110020&amp;isNoScr=script&amp;mode=search", "토지이음")</f>
        <v/>
      </c>
      <c r="L4720" s="3" t="inlineStr">
        <is>
          <t>강아지풀</t>
        </is>
      </c>
      <c r="M4720" s="3" t="n">
        <v>1</v>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3" t="inlineStr">
        <is>
          <t>전의 향교 뒷쪽 저렴한 매물</t>
        </is>
      </c>
      <c r="I4721" s="5">
        <f>HYPERLINK("https://fin.land.naver.com/articles/2646666723", "매물Link")</f>
        <v/>
      </c>
      <c r="J4721" s="5">
        <f>HYPERLINK("https://map.naver.com/p/search/전의면 읍내리 168", "지도Link")</f>
        <v/>
      </c>
      <c r="K4721" s="5">
        <f>HYPERLINK("http://www.eum.go.kr/web/ar/lu/luLandDet.jsp?pnu=3611037021101680000&amp;isNoScr=script&amp;mode=search", "토지이음")</f>
        <v/>
      </c>
      <c r="L4721" s="3" t="inlineStr">
        <is>
          <t>강나루</t>
        </is>
      </c>
      <c r="M4721" s="3" t="n">
        <v>1</v>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3" t="inlineStr">
        <is>
          <t>투자 물건으로 적합</t>
        </is>
      </c>
      <c r="I4722" s="5">
        <f>HYPERLINK("https://fin.land.naver.com/articles/2644320894", "매물Link")</f>
        <v/>
      </c>
      <c r="J4722" s="5">
        <f>HYPERLINK("https://map.naver.com/p/search/전의면 읍내리 24-6", "지도Link")</f>
        <v/>
      </c>
      <c r="K4722" s="5">
        <f>HYPERLINK("http://www.eum.go.kr/web/ar/lu/luLandDet.jsp?pnu=3611037021100240006&amp;isNoScr=script&amp;mode=search", "토지이음")</f>
        <v/>
      </c>
      <c r="L4722" s="3" t="inlineStr">
        <is>
          <t>주식회사 경진컨설팅</t>
        </is>
      </c>
      <c r="M4722" s="3" t="n">
        <v>1</v>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3" t="inlineStr">
        <is>
          <t>세종시 그린산업단지 인접토지 세종시에 얼마남지 않은 넓은면적에토지</t>
        </is>
      </c>
      <c r="I4723" s="5">
        <f>HYPERLINK("https://fin.land.naver.com/articles/2649549843", "매물Link")</f>
        <v/>
      </c>
      <c r="J4723" s="5">
        <f>HYPERLINK("https://map.naver.com/p/search/전의면 읍내리 27", "지도Link")</f>
        <v/>
      </c>
      <c r="K4723" s="5">
        <f>HYPERLINK("http://www.eum.go.kr/web/ar/lu/luLandDet.jsp?pnu=3611037021100270000&amp;isNoScr=script&amp;mode=search", "토지이음")</f>
        <v/>
      </c>
      <c r="L4723" s="3" t="inlineStr">
        <is>
          <t>효성해링턴오복</t>
        </is>
      </c>
      <c r="M4723" s="3" t="n">
        <v>1</v>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3" t="inlineStr">
        <is>
          <t>세종 스마트 산업단지 지원시설아파트단지, 단독, 상업시설 접함</t>
        </is>
      </c>
      <c r="I4724" s="5">
        <f>HYPERLINK("https://fin.land.naver.com/articles/2647424361", "매물Link")</f>
        <v/>
      </c>
      <c r="J4724" s="5">
        <f>HYPERLINK("https://map.naver.com/p/search/전의면 읍내리 27-4", "지도Link")</f>
        <v/>
      </c>
      <c r="K4724" s="5">
        <f>HYPERLINK("http://www.eum.go.kr/web/ar/lu/luLandDet.jsp?pnu=3611037021100270004&amp;isNoScr=script&amp;mode=search", "토지이음")</f>
        <v/>
      </c>
      <c r="L4724" s="3" t="inlineStr">
        <is>
          <t>황제</t>
        </is>
      </c>
      <c r="M4724" s="3" t="n">
        <v>1</v>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3" t="inlineStr">
        <is>
          <t>전의역앞 2차선 도로변 2종일반 주거지역 투자또는 건축용으로 추천합니다.</t>
        </is>
      </c>
      <c r="I4725" s="5">
        <f>HYPERLINK("https://fin.land.naver.com/articles/2648193618", "매물Link")</f>
        <v/>
      </c>
      <c r="J4725" s="5">
        <f>HYPERLINK("https://map.naver.com/p/search/전의면 읍내리 297-1", "지도Link")</f>
        <v/>
      </c>
      <c r="K4725" s="5">
        <f>HYPERLINK("http://www.eum.go.kr/web/ar/lu/luLandDet.jsp?pnu=3611037021102970001&amp;isNoScr=script&amp;mode=search", "토지이음")</f>
        <v/>
      </c>
      <c r="L4725" s="3" t="inlineStr">
        <is>
          <t>으뜸</t>
        </is>
      </c>
      <c r="M4725" s="3" t="n">
        <v>1</v>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3" t="inlineStr">
        <is>
          <t>위치 좋은 창고용지, 태양광 설치로 년4000만원 수익 창출, 가격 조율</t>
        </is>
      </c>
      <c r="I4726" s="5">
        <f>HYPERLINK("https://fin.land.naver.com/articles/2648938465", "매물Link")</f>
        <v/>
      </c>
      <c r="J4726" s="5">
        <f>HYPERLINK("https://map.naver.com/p/search/전의면 읍내리 315-20", "지도Link")</f>
        <v/>
      </c>
      <c r="K4726" s="5">
        <f>HYPERLINK("http://www.eum.go.kr/web/ar/lu/luLandDet.jsp?pnu=3611037021103150020&amp;isNoScr=script&amp;mode=search", "토지이음")</f>
        <v/>
      </c>
      <c r="L4726" s="3" t="inlineStr">
        <is>
          <t>세종웅진</t>
        </is>
      </c>
      <c r="M4726" s="3" t="n">
        <v>1</v>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3" t="inlineStr">
        <is>
          <t>전원주택 부지 적합</t>
        </is>
      </c>
      <c r="I4727" s="5">
        <f>HYPERLINK("https://fin.land.naver.com/articles/2644741267", "매물Link")</f>
        <v/>
      </c>
      <c r="J4727" s="5">
        <f>HYPERLINK("https://map.naver.com/p/search/전의면 읍내리 334-2", "지도Link")</f>
        <v/>
      </c>
      <c r="K4727" s="5">
        <f>HYPERLINK("http://www.eum.go.kr/web/ar/lu/luLandDet.jsp?pnu=3611037021103340002&amp;isNoScr=script&amp;mode=search", "토지이음")</f>
        <v/>
      </c>
      <c r="L4727" s="3" t="inlineStr">
        <is>
          <t>오늘의사무소</t>
        </is>
      </c>
      <c r="M4727" s="3" t="n">
        <v>1</v>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3" t="inlineStr">
        <is>
          <t>근생 및 다가구주택을 지을수 있는 3거리 코너각지의 일반주거지역의 대지</t>
        </is>
      </c>
      <c r="I4728" s="5">
        <f>HYPERLINK("https://fin.land.naver.com/articles/2645180791", "매물Link")</f>
        <v/>
      </c>
      <c r="J4728" s="5">
        <f>HYPERLINK("https://map.naver.com/p/search/전의면 읍내리 386", "지도Link")</f>
        <v/>
      </c>
      <c r="K4728" s="5">
        <f>HYPERLINK("http://www.eum.go.kr/web/ar/lu/luLandDet.jsp?pnu=3611037021103860000&amp;isNoScr=script&amp;mode=search", "토지이음")</f>
        <v/>
      </c>
      <c r="L4728" s="3" t="inlineStr">
        <is>
          <t>스마일세종</t>
        </is>
      </c>
      <c r="M4728" s="3" t="n">
        <v>1</v>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3" t="inlineStr">
        <is>
          <t>nan</t>
        </is>
      </c>
      <c r="I4729" s="5">
        <f>HYPERLINK("https://fin.land.naver.com/articles/2645322974", "매물Link")</f>
        <v/>
      </c>
      <c r="J4729" s="5">
        <f>HYPERLINK("https://map.naver.com/p/search/전의면 읍내리 393", "지도Link")</f>
        <v/>
      </c>
      <c r="K4729" s="5">
        <f>HYPERLINK("http://www.eum.go.kr/web/ar/lu/luLandDet.jsp?pnu=3611037021103930000&amp;isNoScr=script&amp;mode=search", "토지이음")</f>
        <v/>
      </c>
      <c r="L4729" s="3" t="inlineStr">
        <is>
          <t>북세종</t>
        </is>
      </c>
      <c r="M4729" s="3" t="n">
        <v>1</v>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3" t="inlineStr">
        <is>
          <t>스마트그린 코너자리 점포겸용택지</t>
        </is>
      </c>
      <c r="I4730" s="5">
        <f>HYPERLINK("https://fin.land.naver.com/articles/2645322987", "매물Link")</f>
        <v/>
      </c>
      <c r="J4730" s="5">
        <f>HYPERLINK("https://map.naver.com/p/search/전의면 읍내리 396", "지도Link")</f>
        <v/>
      </c>
      <c r="K4730" s="5">
        <f>HYPERLINK("http://www.eum.go.kr/web/ar/lu/luLandDet.jsp?pnu=3611037021103960000&amp;isNoScr=script&amp;mode=search", "토지이음")</f>
        <v/>
      </c>
      <c r="L4730" s="3" t="inlineStr">
        <is>
          <t>북세종</t>
        </is>
      </c>
      <c r="M4730" s="3" t="n">
        <v>2</v>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3" t="inlineStr">
        <is>
          <t>전의 스마트그린산단 지역 일반 택지</t>
        </is>
      </c>
      <c r="I4731" s="5">
        <f>HYPERLINK("https://fin.land.naver.com/articles/2646666764", "매물Link")</f>
        <v/>
      </c>
      <c r="J4731" s="5">
        <f>HYPERLINK("https://map.naver.com/p/search/전의면 읍내리 410", "지도Link")</f>
        <v/>
      </c>
      <c r="K4731" s="5">
        <f>HYPERLINK("http://www.eum.go.kr/web/ar/lu/luLandDet.jsp?pnu=3611037021104100000&amp;isNoScr=script&amp;mode=search", "토지이음")</f>
        <v/>
      </c>
      <c r="L4731" s="3" t="inlineStr">
        <is>
          <t>강나루</t>
        </is>
      </c>
      <c r="M4731" s="3" t="n">
        <v>2</v>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3" t="inlineStr">
        <is>
          <t>초급매 3거리 코너각지의 공원 옆에 있는 대지로 상가주택부지로 좋은 대지</t>
        </is>
      </c>
      <c r="I4732" s="5">
        <f>HYPERLINK("https://fin.land.naver.com/articles/2647004452", "매물Link")</f>
        <v/>
      </c>
      <c r="J4732" s="5">
        <f>HYPERLINK("https://map.naver.com/p/search/전의면 읍내리 410", "지도Link")</f>
        <v/>
      </c>
      <c r="K4732" s="5">
        <f>HYPERLINK("http://www.eum.go.kr/web/ar/lu/luLandDet.jsp?pnu=3611037021104100000&amp;isNoScr=script&amp;mode=search", "토지이음")</f>
        <v/>
      </c>
      <c r="L4732" s="3" t="inlineStr">
        <is>
          <t>스마일세종</t>
        </is>
      </c>
      <c r="M4732" s="3" t="n">
        <v>1</v>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3" t="inlineStr">
        <is>
          <t>소액투자 매물, 전의 산업단지 배후 , 상가 , 원룸, 카페,식당 등</t>
        </is>
      </c>
      <c r="I4733" s="5">
        <f>HYPERLINK("https://fin.land.naver.com/articles/2648151625", "매물Link")</f>
        <v/>
      </c>
      <c r="J4733" s="5">
        <f>HYPERLINK("https://map.naver.com/p/search/전의면 읍내리 421", "지도Link")</f>
        <v/>
      </c>
      <c r="K4733" s="5">
        <f>HYPERLINK("http://www.eum.go.kr/web/ar/lu/luLandDet.jsp?pnu=3611037021104210000&amp;isNoScr=script&amp;mode=search", "토지이음")</f>
        <v/>
      </c>
      <c r="L4733" s="3" t="inlineStr">
        <is>
          <t>세종특별시</t>
        </is>
      </c>
      <c r="M4733" s="3" t="n">
        <v>1</v>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3" t="inlineStr">
        <is>
          <t>세종스마트그린지원단지 R4 점포겸용주택지</t>
        </is>
      </c>
      <c r="I4734" s="5">
        <f>HYPERLINK("https://fin.land.naver.com/articles/2644609712", "매물Link")</f>
        <v/>
      </c>
      <c r="J4734" s="5">
        <f>HYPERLINK("https://map.naver.com/p/search/전의면 읍내리 448", "지도Link")</f>
        <v/>
      </c>
      <c r="K4734" s="5">
        <f>HYPERLINK("http://www.eum.go.kr/web/ar/lu/luLandDet.jsp?pnu=3611037021104480000&amp;isNoScr=script&amp;mode=search", "토지이음")</f>
        <v/>
      </c>
      <c r="L4734" s="3" t="inlineStr">
        <is>
          <t>하늘채</t>
        </is>
      </c>
      <c r="M4734" s="3" t="n">
        <v>1</v>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3" t="inlineStr">
        <is>
          <t>소액투자 추천매물,  세종산업단지 대규모 지원단지, 상가, 주택,카페 등</t>
        </is>
      </c>
      <c r="I4735" s="5">
        <f>HYPERLINK("https://fin.land.naver.com/articles/2645181991", "매물Link")</f>
        <v/>
      </c>
      <c r="J4735" s="5">
        <f>HYPERLINK("https://map.naver.com/p/search/전의면 읍내리 458", "지도Link")</f>
        <v/>
      </c>
      <c r="K4735" s="5">
        <f>HYPERLINK("http://www.eum.go.kr/web/ar/lu/luLandDet.jsp?pnu=3611037021104580000&amp;isNoScr=script&amp;mode=search", "토지이음")</f>
        <v/>
      </c>
      <c r="L4735" s="3" t="inlineStr">
        <is>
          <t>세종특별시</t>
        </is>
      </c>
      <c r="M4735" s="3" t="n">
        <v>1</v>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3" t="inlineStr">
        <is>
          <t>급매 세종스마트그린 지원단지내  상가 및 주택을 건축할 수 있는 택지</t>
        </is>
      </c>
      <c r="I4736" s="5">
        <f>HYPERLINK("https://fin.land.naver.com/articles/2649120671", "매물Link")</f>
        <v/>
      </c>
      <c r="J4736" s="5">
        <f>HYPERLINK("https://map.naver.com/p/search/전의면 읍내리 476", "지도Link")</f>
        <v/>
      </c>
      <c r="K4736" s="5">
        <f>HYPERLINK("http://www.eum.go.kr/web/ar/lu/luLandDet.jsp?pnu=3611037021104760000&amp;isNoScr=script&amp;mode=search", "토지이음")</f>
        <v/>
      </c>
      <c r="L4736" s="3" t="inlineStr">
        <is>
          <t>스마일세종</t>
        </is>
      </c>
      <c r="M4736" s="3" t="n">
        <v>1</v>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3" t="inlineStr">
        <is>
          <t>코너각지 식당, 근생업종가능 ,  소액으로 투자추천,산업단지 수요많음</t>
        </is>
      </c>
      <c r="I4737" s="5">
        <f>HYPERLINK("https://fin.land.naver.com/articles/2644439896", "매물Link")</f>
        <v/>
      </c>
      <c r="J4737" s="5">
        <f>HYPERLINK("https://map.naver.com/p/search/전의면 읍내리 476", "지도Link")</f>
        <v/>
      </c>
      <c r="K4737" s="5">
        <f>HYPERLINK("http://www.eum.go.kr/web/ar/lu/luLandDet.jsp?pnu=3611037021104760000&amp;isNoScr=script&amp;mode=search", "토지이음")</f>
        <v/>
      </c>
      <c r="L4737" s="3" t="inlineStr">
        <is>
          <t>세종특별시</t>
        </is>
      </c>
      <c r="M4737" s="3" t="n">
        <v>1</v>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3" t="inlineStr">
        <is>
          <t>산업단지 배후, 카페 , 식당, 원룸 다가구 등  추천 .  소액투자</t>
        </is>
      </c>
      <c r="I4738" s="5">
        <f>HYPERLINK("https://fin.land.naver.com/articles/2648155054", "매물Link")</f>
        <v/>
      </c>
      <c r="J4738" s="5">
        <f>HYPERLINK("https://map.naver.com/p/search/전의면 읍내리 496", "지도Link")</f>
        <v/>
      </c>
      <c r="K4738" s="5">
        <f>HYPERLINK("http://www.eum.go.kr/web/ar/lu/luLandDet.jsp?pnu=3611037021104960000&amp;isNoScr=script&amp;mode=search", "토지이음")</f>
        <v/>
      </c>
      <c r="L4738" s="3" t="inlineStr">
        <is>
          <t>세종특별시</t>
        </is>
      </c>
      <c r="M4738" s="3" t="n">
        <v>1</v>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3" t="inlineStr">
        <is>
          <t>급매 분양가 이하 세종스마트그린 지원단지에 있는 택지 상가 및 주택 가능</t>
        </is>
      </c>
      <c r="I4739" s="5">
        <f>HYPERLINK("https://fin.land.naver.com/articles/2647948252", "매물Link")</f>
        <v/>
      </c>
      <c r="J4739" s="5">
        <f>HYPERLINK("https://map.naver.com/p/search/전의면 읍내리 508", "지도Link")</f>
        <v/>
      </c>
      <c r="K4739" s="5">
        <f>HYPERLINK("http://www.eum.go.kr/web/ar/lu/luLandDet.jsp?pnu=3611037021105080000&amp;isNoScr=script&amp;mode=search", "토지이음")</f>
        <v/>
      </c>
      <c r="L4739" s="3" t="inlineStr">
        <is>
          <t>스마일세종</t>
        </is>
      </c>
      <c r="M4739" s="3" t="n">
        <v>1</v>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3" t="inlineStr">
        <is>
          <t>소액 투자추천  토지, 근생 ,원룸 ,식당등 가능 ,산업단지수요많은곳</t>
        </is>
      </c>
      <c r="I4740" s="5">
        <f>HYPERLINK("https://fin.land.naver.com/articles/2645182174", "매물Link")</f>
        <v/>
      </c>
      <c r="J4740" s="5">
        <f>HYPERLINK("https://map.naver.com/p/search/전의면 읍내리 508", "지도Link")</f>
        <v/>
      </c>
      <c r="K4740" s="5">
        <f>HYPERLINK("http://www.eum.go.kr/web/ar/lu/luLandDet.jsp?pnu=3611037021105080000&amp;isNoScr=script&amp;mode=search", "토지이음")</f>
        <v/>
      </c>
      <c r="L4740" s="3" t="inlineStr">
        <is>
          <t>세종특별시</t>
        </is>
      </c>
      <c r="M4740" s="3" t="n">
        <v>1</v>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3" t="inlineStr">
        <is>
          <t>산조망 카페 추천 , 근생가능 . 소액투자. 산업단지 풍부한 수요,</t>
        </is>
      </c>
      <c r="I4741" s="5">
        <f>HYPERLINK("https://fin.land.naver.com/articles/2646545760", "매물Link")</f>
        <v/>
      </c>
      <c r="J4741" s="5">
        <f>HYPERLINK("https://map.naver.com/p/search/전의면 읍내리 515", "지도Link")</f>
        <v/>
      </c>
      <c r="K4741" s="5">
        <f>HYPERLINK("http://www.eum.go.kr/web/ar/lu/luLandDet.jsp?pnu=3611037021105150000&amp;isNoScr=script&amp;mode=search", "토지이음")</f>
        <v/>
      </c>
      <c r="L4741" s="3" t="inlineStr">
        <is>
          <t>세종특별시</t>
        </is>
      </c>
      <c r="M4741" s="3" t="n">
        <v>1</v>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3" t="inlineStr">
        <is>
          <t>급매 분양가 이하 세종스마트그린 지원단지에 있는 택지로 상가 및 주택</t>
        </is>
      </c>
      <c r="I4742" s="5">
        <f>HYPERLINK("https://fin.land.naver.com/articles/2645379358", "매물Link")</f>
        <v/>
      </c>
      <c r="J4742" s="5">
        <f>HYPERLINK("https://map.naver.com/p/search/전의면 읍내리 515", "지도Link")</f>
        <v/>
      </c>
      <c r="K4742" s="5">
        <f>HYPERLINK("http://www.eum.go.kr/web/ar/lu/luLandDet.jsp?pnu=3611037021105150000&amp;isNoScr=script&amp;mode=search", "토지이음")</f>
        <v/>
      </c>
      <c r="L4742" s="3" t="inlineStr">
        <is>
          <t>스마일세종</t>
        </is>
      </c>
      <c r="M4742" s="3" t="n">
        <v>1</v>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3" t="inlineStr">
        <is>
          <t>카페 식당등 추천 ,  조망좋은 산뷰 , 산업단지 배후 ,소액투자추천</t>
        </is>
      </c>
      <c r="I4743" s="5">
        <f>HYPERLINK("https://fin.land.naver.com/articles/2646412947", "매물Link")</f>
        <v/>
      </c>
      <c r="J4743" s="5">
        <f>HYPERLINK("https://map.naver.com/p/search/전의면 읍내리 516", "지도Link")</f>
        <v/>
      </c>
      <c r="K4743" s="5">
        <f>HYPERLINK("http://www.eum.go.kr/web/ar/lu/luLandDet.jsp?pnu=3611037021105160000&amp;isNoScr=script&amp;mode=search", "토지이음")</f>
        <v/>
      </c>
      <c r="L4743" s="3" t="inlineStr">
        <is>
          <t>세종특별시</t>
        </is>
      </c>
      <c r="M4743" s="3" t="n">
        <v>1</v>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3" t="inlineStr">
        <is>
          <t>2차도로접한 가격저렴한토지,1종일반주거지역,분할매매도 가능</t>
        </is>
      </c>
      <c r="I4744" s="5">
        <f>HYPERLINK("https://fin.land.naver.com/articles/2647443082", "매물Link")</f>
        <v/>
      </c>
      <c r="J4744" s="5">
        <f>HYPERLINK("https://map.naver.com/p/search/전의면 읍내리 87-3", "지도Link")</f>
        <v/>
      </c>
      <c r="K4744" s="5">
        <f>HYPERLINK("http://www.eum.go.kr/web/ar/lu/luLandDet.jsp?pnu=3611037021100870003&amp;isNoScr=script&amp;mode=search", "토지이음")</f>
        <v/>
      </c>
      <c r="L4744" s="3" t="inlineStr">
        <is>
          <t>신부다온</t>
        </is>
      </c>
      <c r="M4744" s="3" t="n">
        <v>1</v>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3" t="inlineStr">
        <is>
          <t>조치원역 가까운 주거지역 토지매매</t>
        </is>
      </c>
      <c r="I4745" s="5">
        <f>HYPERLINK("https://fin.land.naver.com/articles/2648993356", "매물Link")</f>
        <v/>
      </c>
      <c r="J4745" s="5">
        <f>HYPERLINK("https://map.naver.com/p/search/조치원읍 교리 16-5", "지도Link")</f>
        <v/>
      </c>
      <c r="K4745" s="5">
        <f>HYPERLINK("http://www.eum.go.kr/web/ar/lu/luLandDet.jsp?pnu=3611025024100160005&amp;isNoScr=script&amp;mode=search", "토지이음")</f>
        <v/>
      </c>
      <c r="L4745" s="3" t="inlineStr">
        <is>
          <t>김준희</t>
        </is>
      </c>
      <c r="M4745" s="3" t="n">
        <v>1</v>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3" t="inlineStr">
        <is>
          <t>nan</t>
        </is>
      </c>
      <c r="I4746" s="5">
        <f>HYPERLINK("https://fin.land.naver.com/articles/2647461785", "매물Link")</f>
        <v/>
      </c>
      <c r="J4746" s="5">
        <f>HYPERLINK("https://map.naver.com/p/search/조치원읍 교리 18-11", "지도Link")</f>
        <v/>
      </c>
      <c r="K4746" s="5">
        <f>HYPERLINK("http://www.eum.go.kr/web/ar/lu/luLandDet.jsp?pnu=3611025024100180011&amp;isNoScr=script&amp;mode=search", "토지이음")</f>
        <v/>
      </c>
      <c r="L4746" s="3" t="inlineStr">
        <is>
          <t>정인</t>
        </is>
      </c>
      <c r="M4746" s="3" t="n">
        <v>1</v>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3" t="inlineStr">
        <is>
          <t>nan</t>
        </is>
      </c>
      <c r="I4747" s="5">
        <f>HYPERLINK("https://fin.land.naver.com/articles/2645603693", "매물Link")</f>
        <v/>
      </c>
      <c r="J4747" s="5">
        <f>HYPERLINK("https://map.naver.com/p/search/조치원읍 교리 22-20", "지도Link")</f>
        <v/>
      </c>
      <c r="K4747" s="5">
        <f>HYPERLINK("http://www.eum.go.kr/web/ar/lu/luLandDet.jsp?pnu=3611025024100220020&amp;isNoScr=script&amp;mode=search", "토지이음")</f>
        <v/>
      </c>
      <c r="L4747" s="3" t="inlineStr">
        <is>
          <t>미스터홈즈강남지사</t>
        </is>
      </c>
      <c r="M4747" s="3" t="n">
        <v>1</v>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3" t="inlineStr">
        <is>
          <t>급매,2차로변에 위치,조치원역에서 도보5분거리로 접근성좋음</t>
        </is>
      </c>
      <c r="I4748" s="5">
        <f>HYPERLINK("https://fin.land.naver.com/articles/2645449725", "매물Link")</f>
        <v/>
      </c>
      <c r="J4748" s="5">
        <f>HYPERLINK("https://map.naver.com/p/search/조치원읍 남리 103-68", "지도Link")</f>
        <v/>
      </c>
      <c r="K4748" s="5">
        <f>HYPERLINK("http://www.eum.go.kr/web/ar/lu/luLandDet.jsp?pnu=3611025027101030068&amp;isNoScr=script&amp;mode=search", "토지이음")</f>
        <v/>
      </c>
      <c r="L4748" s="3" t="inlineStr">
        <is>
          <t>담뜰</t>
        </is>
      </c>
      <c r="M4748" s="3" t="n">
        <v>4</v>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3" t="inlineStr">
        <is>
          <t>4차선 코너 토지238P,통건물 3동포함,사옥 병원,카페등 추천</t>
        </is>
      </c>
      <c r="I4749" s="5">
        <f>HYPERLINK("https://fin.land.naver.com/articles/2644245512", "매물Link")</f>
        <v/>
      </c>
      <c r="J4749" s="5">
        <f>HYPERLINK("https://map.naver.com/p/search/조치원읍 남리 307-2", "지도Link")</f>
        <v/>
      </c>
      <c r="K4749" s="5">
        <f>HYPERLINK("http://www.eum.go.kr/web/ar/lu/luLandDet.jsp?pnu=3611025027103070002&amp;isNoScr=script&amp;mode=search", "토지이음")</f>
        <v/>
      </c>
      <c r="L4749" s="3" t="inlineStr">
        <is>
          <t>광장</t>
        </is>
      </c>
      <c r="M4749" s="3" t="n">
        <v>1</v>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3" t="inlineStr">
        <is>
          <t>남리 예쁜땅모양 주택및원룸 추천</t>
        </is>
      </c>
      <c r="I4750" s="5">
        <f>HYPERLINK("https://fin.land.naver.com/articles/2645866110", "매물Link")</f>
        <v/>
      </c>
      <c r="J4750" s="5">
        <f>HYPERLINK("https://map.naver.com/p/search/조치원읍 남리 347", "지도Link")</f>
        <v/>
      </c>
      <c r="K4750" s="5">
        <f>HYPERLINK("http://www.eum.go.kr/web/ar/lu/luLandDet.jsp?pnu=3611025027103470000&amp;isNoScr=script&amp;mode=search", "토지이음")</f>
        <v/>
      </c>
      <c r="L4750" s="3" t="inlineStr">
        <is>
          <t>OK수</t>
        </is>
      </c>
      <c r="M4750" s="3" t="n">
        <v>1</v>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3" t="inlineStr">
        <is>
          <t>남리 저렴한 토지 다가구원룸,사옥,상가 추천</t>
        </is>
      </c>
      <c r="I4751" s="5">
        <f>HYPERLINK("https://fin.land.naver.com/articles/2649281845", "매물Link")</f>
        <v/>
      </c>
      <c r="J4751" s="5">
        <f>HYPERLINK("https://map.naver.com/p/search/조치원읍 남리 419", "지도Link")</f>
        <v/>
      </c>
      <c r="K4751" s="5">
        <f>HYPERLINK("http://www.eum.go.kr/web/ar/lu/luLandDet.jsp?pnu=3611025027104190000&amp;isNoScr=script&amp;mode=search", "토지이음")</f>
        <v/>
      </c>
      <c r="L4751" s="3" t="inlineStr">
        <is>
          <t>OK수</t>
        </is>
      </c>
      <c r="M4751" s="3" t="n">
        <v>2</v>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3" t="inlineStr">
        <is>
          <t>10m 도로 접, 공영주차장 접, 나대지. 착한가격의 투자매물</t>
        </is>
      </c>
      <c r="I4752" s="5">
        <f>HYPERLINK("https://fin.land.naver.com/articles/2644627492", "매물Link")</f>
        <v/>
      </c>
      <c r="J4752" s="5">
        <f>HYPERLINK("https://map.naver.com/p/search/조치원읍 남리 436", "지도Link")</f>
        <v/>
      </c>
      <c r="K4752" s="5">
        <f>HYPERLINK("http://www.eum.go.kr/web/ar/lu/luLandDet.jsp?pnu=3611025027104360000&amp;isNoScr=script&amp;mode=search", "토지이음")</f>
        <v/>
      </c>
      <c r="L4752" s="3" t="inlineStr">
        <is>
          <t>오송3산단  사무소</t>
        </is>
      </c>
      <c r="M4752" s="3" t="n">
        <v>2</v>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3" t="inlineStr">
        <is>
          <t>잘 정리된 사각형 나대지</t>
        </is>
      </c>
      <c r="I4753" s="5">
        <f>HYPERLINK("https://fin.land.naver.com/articles/2645606868", "매물Link")</f>
        <v/>
      </c>
      <c r="J4753" s="5">
        <f>HYPERLINK("https://map.naver.com/p/search/조치원읍 명리 48-10", "지도Link")</f>
        <v/>
      </c>
      <c r="K4753" s="5">
        <f>HYPERLINK("http://www.eum.go.kr/web/ar/lu/luLandDet.jsp?pnu=3611025026100480010&amp;isNoScr=script&amp;mode=search", "토지이음")</f>
        <v/>
      </c>
      <c r="L4753" s="3" t="inlineStr">
        <is>
          <t>미스터홈즈강남지사</t>
        </is>
      </c>
      <c r="M4753" s="3" t="n">
        <v>1</v>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3" t="inlineStr">
        <is>
          <t>세종산단과 오송산단을 잇는 대로 접, 광고 시인성 뛰어남, 적극조율</t>
        </is>
      </c>
      <c r="I4754" s="5">
        <f>HYPERLINK("https://fin.land.naver.com/articles/2649267602", "매물Link")</f>
        <v/>
      </c>
      <c r="J4754" s="5">
        <f>HYPERLINK("https://map.naver.com/p/search/조치원읍 번암리 121-4", "지도Link")</f>
        <v/>
      </c>
      <c r="K4754" s="5">
        <f>HYPERLINK("http://www.eum.go.kr/web/ar/lu/luLandDet.jsp?pnu=3611025031101210004&amp;isNoScr=script&amp;mode=search", "토지이음")</f>
        <v/>
      </c>
      <c r="L4754" s="3" t="inlineStr">
        <is>
          <t>새롬시티</t>
        </is>
      </c>
      <c r="M4754" s="3" t="n">
        <v>1</v>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3" t="inlineStr">
        <is>
          <t>조치원 일반공업지역 차량진입 우수 산업형 부지</t>
        </is>
      </c>
      <c r="I4755" s="5">
        <f>HYPERLINK("https://fin.land.naver.com/articles/2648846717", "매물Link")</f>
        <v/>
      </c>
      <c r="J4755" s="5">
        <f>HYPERLINK("https://map.naver.com/p/search/조치원읍 번암리 121-4", "지도Link")</f>
        <v/>
      </c>
      <c r="K4755" s="5">
        <f>HYPERLINK("http://www.eum.go.kr/web/ar/lu/luLandDet.jsp?pnu=3611025031101210004&amp;isNoScr=script&amp;mode=search", "토지이음")</f>
        <v/>
      </c>
      <c r="L4755" s="3" t="inlineStr">
        <is>
          <t>세종소담황금</t>
        </is>
      </c>
      <c r="M4755" s="3" t="n">
        <v>1</v>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3" t="inlineStr">
        <is>
          <t>최고의 입지, 대도로 접합, 진입로 있음, 명당,현재 주유소부지.</t>
        </is>
      </c>
      <c r="I4756" s="5">
        <f>HYPERLINK("https://fin.land.naver.com/articles/2647562954", "매물Link")</f>
        <v/>
      </c>
      <c r="J4756" s="5">
        <f>HYPERLINK("https://map.naver.com/p/search/조치원읍 번암리 133", "지도Link")</f>
        <v/>
      </c>
      <c r="K4756" s="5">
        <f>HYPERLINK("http://www.eum.go.kr/web/ar/lu/luLandDet.jsp?pnu=3611025031101330000&amp;isNoScr=script&amp;mode=search", "토지이음")</f>
        <v/>
      </c>
      <c r="L4756" s="3" t="inlineStr">
        <is>
          <t>송죽</t>
        </is>
      </c>
      <c r="M4756" s="3" t="n">
        <v>1</v>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3" t="inlineStr">
        <is>
          <t>조율가,대도로인접,소방포장도로 접,노출효과 좋음,근린상가,소형공장등 추천</t>
        </is>
      </c>
      <c r="I4757" s="5">
        <f>HYPERLINK("https://fin.land.naver.com/articles/2650121496", "매물Link")</f>
        <v/>
      </c>
      <c r="J4757" s="5">
        <f>HYPERLINK("https://map.naver.com/p/search/조치원읍 번암리 171-48", "지도Link")</f>
        <v/>
      </c>
      <c r="K4757" s="5">
        <f>HYPERLINK("http://www.eum.go.kr/web/ar/lu/luLandDet.jsp?pnu=3611025031101710048&amp;isNoScr=script&amp;mode=search", "토지이음")</f>
        <v/>
      </c>
      <c r="L4757" s="3" t="inlineStr">
        <is>
          <t>어반통</t>
        </is>
      </c>
      <c r="M4757" s="3" t="n">
        <v>1</v>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3" t="inlineStr">
        <is>
          <t>대로변 광고효과 소로1류1012m접함 일반공업지역 공장 근생적합</t>
        </is>
      </c>
      <c r="I4758" s="5">
        <f>HYPERLINK("https://fin.land.naver.com/articles/2645503733", "매물Link")</f>
        <v/>
      </c>
      <c r="J4758" s="5">
        <f>HYPERLINK("https://map.naver.com/p/search/조치원읍 번암리 171-48", "지도Link")</f>
        <v/>
      </c>
      <c r="K4758" s="5">
        <f>HYPERLINK("http://www.eum.go.kr/web/ar/lu/luLandDet.jsp?pnu=3611025031101710048&amp;isNoScr=script&amp;mode=search", "토지이음")</f>
        <v/>
      </c>
      <c r="L4758" s="3" t="inlineStr">
        <is>
          <t>세종이룸</t>
        </is>
      </c>
      <c r="M4758" s="3" t="n">
        <v>1</v>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3" t="inlineStr">
        <is>
          <t>조율가,대도로근접,소방포장도로 접,노출효과 좋음,근린상가,소형공장등 추천</t>
        </is>
      </c>
      <c r="I4759" s="5">
        <f>HYPERLINK("https://fin.land.naver.com/articles/2650121155", "매물Link")</f>
        <v/>
      </c>
      <c r="J4759" s="5">
        <f>HYPERLINK("https://map.naver.com/p/search/조치원읍 번암리 171-49", "지도Link")</f>
        <v/>
      </c>
      <c r="K4759" s="5">
        <f>HYPERLINK("http://www.eum.go.kr/web/ar/lu/luLandDet.jsp?pnu=3611025031101710049&amp;isNoScr=script&amp;mode=search", "토지이음")</f>
        <v/>
      </c>
      <c r="L4759" s="3" t="inlineStr">
        <is>
          <t>어반통</t>
        </is>
      </c>
      <c r="M4759" s="3" t="n">
        <v>1</v>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3" t="inlineStr">
        <is>
          <t>오송역 10분대국가산단 배후, 완경사 대형토지</t>
        </is>
      </c>
      <c r="I4760" s="5">
        <f>HYPERLINK("https://fin.land.naver.com/articles/2647348739", "매물Link")</f>
        <v/>
      </c>
      <c r="J4760" s="5">
        <f>HYPERLINK("https://map.naver.com/p/search/조치원읍 번암리 2-4", "지도Link")</f>
        <v/>
      </c>
      <c r="K4760" s="5">
        <f>HYPERLINK("http://www.eum.go.kr/web/ar/lu/luLandDet.jsp?pnu=3611025031100020004&amp;isNoScr=script&amp;mode=search", "토지이음")</f>
        <v/>
      </c>
      <c r="L4760" s="3" t="inlineStr">
        <is>
          <t>세종소담황금</t>
        </is>
      </c>
      <c r="M4760" s="3" t="n">
        <v>1</v>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3" t="inlineStr">
        <is>
          <t>죽림리 2차선 접한 저렴한토지 상업용건물 추천</t>
        </is>
      </c>
      <c r="I4761" s="5">
        <f>HYPERLINK("https://fin.land.naver.com/articles/2645873630", "매물Link")</f>
        <v/>
      </c>
      <c r="J4761" s="5">
        <f>HYPERLINK("https://map.naver.com/p/search/조치원읍 번암리 66-1", "지도Link")</f>
        <v/>
      </c>
      <c r="K4761" s="5">
        <f>HYPERLINK("http://www.eum.go.kr/web/ar/lu/luLandDet.jsp?pnu=3611025031100660001&amp;isNoScr=script&amp;mode=search", "토지이음")</f>
        <v/>
      </c>
      <c r="L4761" s="3" t="inlineStr">
        <is>
          <t>OK수</t>
        </is>
      </c>
      <c r="M4761" s="3" t="n">
        <v>1</v>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3" t="inlineStr">
        <is>
          <t>초기 투자 부담 적고 활용도 높은 규모</t>
        </is>
      </c>
      <c r="I4762" s="5">
        <f>HYPERLINK("https://fin.land.naver.com/articles/2648621896", "매물Link")</f>
        <v/>
      </c>
      <c r="J4762" s="5">
        <f>HYPERLINK("https://map.naver.com/p/search/조치원읍 번암리 86-1", "지도Link")</f>
        <v/>
      </c>
      <c r="K4762" s="5">
        <f>HYPERLINK("http://www.eum.go.kr/web/ar/lu/luLandDet.jsp?pnu=3611025031100860001&amp;isNoScr=script&amp;mode=search", "토지이음")</f>
        <v/>
      </c>
      <c r="L4762" s="3" t="inlineStr">
        <is>
          <t>더KEY</t>
        </is>
      </c>
      <c r="M4762" s="3" t="n">
        <v>1</v>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3" t="inlineStr">
        <is>
          <t>도시지역내 2종일반주거지역 토지</t>
        </is>
      </c>
      <c r="I4763" s="5">
        <f>HYPERLINK("https://fin.land.naver.com/articles/2644444574", "매물Link")</f>
        <v/>
      </c>
      <c r="J4763" s="5">
        <f>HYPERLINK("https://map.naver.com/p/search/조치원읍 번암리 96-2", "지도Link")</f>
        <v/>
      </c>
      <c r="K4763" s="5">
        <f>HYPERLINK("http://www.eum.go.kr/web/ar/lu/luLandDet.jsp?pnu=3611025031100960002&amp;isNoScr=script&amp;mode=search", "토지이음")</f>
        <v/>
      </c>
      <c r="L4763" s="3" t="inlineStr">
        <is>
          <t>세종대박</t>
        </is>
      </c>
      <c r="M4763" s="3" t="n">
        <v>1</v>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3" t="inlineStr">
        <is>
          <t>추천. 조치원 근생용지 추천</t>
        </is>
      </c>
      <c r="I4764" s="5">
        <f>HYPERLINK("https://fin.land.naver.com/articles/2645464476", "매물Link")</f>
        <v/>
      </c>
      <c r="J4764" s="5">
        <f>HYPERLINK("https://map.naver.com/p/search/조치원읍 봉산리 108-1", "지도Link")</f>
        <v/>
      </c>
      <c r="K4764" s="5">
        <f>HYPERLINK("http://www.eum.go.kr/web/ar/lu/luLandDet.jsp?pnu=3611025033101080001&amp;isNoScr=script&amp;mode=search", "토지이음")</f>
        <v/>
      </c>
      <c r="L4764" s="3" t="inlineStr">
        <is>
          <t>강아지풀</t>
        </is>
      </c>
      <c r="M4764" s="3" t="n">
        <v>1</v>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3" t="inlineStr">
        <is>
          <t>세종시 조치원읍 봉산리 토지 2필지 일괄매매입니다.</t>
        </is>
      </c>
      <c r="I4765" s="5">
        <f>HYPERLINK("https://fin.land.naver.com/articles/2648778213", "매물Link")</f>
        <v/>
      </c>
      <c r="J4765" s="5">
        <f>HYPERLINK("https://map.naver.com/p/search/조치원읍 봉산리 171-5", "지도Link")</f>
        <v/>
      </c>
      <c r="K4765" s="5">
        <f>HYPERLINK("http://www.eum.go.kr/web/ar/lu/luLandDet.jsp?pnu=3611025033101710005&amp;isNoScr=script&amp;mode=search", "토지이음")</f>
        <v/>
      </c>
      <c r="L4765" s="3" t="inlineStr">
        <is>
          <t>세종공감</t>
        </is>
      </c>
      <c r="M4765" s="3" t="n">
        <v>1</v>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3" t="inlineStr">
        <is>
          <t>nan</t>
        </is>
      </c>
      <c r="I4766" s="5">
        <f>HYPERLINK("https://fin.land.naver.com/articles/2647840843", "매물Link")</f>
        <v/>
      </c>
      <c r="J4766" s="5">
        <f>HYPERLINK("https://map.naver.com/p/search/조치원읍 봉산리 225-2", "지도Link")</f>
        <v/>
      </c>
      <c r="K4766" s="5">
        <f>HYPERLINK("http://www.eum.go.kr/web/ar/lu/luLandDet.jsp?pnu=3611025033102250002&amp;isNoScr=script&amp;mode=search", "토지이음")</f>
        <v/>
      </c>
      <c r="L4766" s="3" t="inlineStr">
        <is>
          <t>덕천</t>
        </is>
      </c>
      <c r="M4766" s="3" t="n">
        <v>1</v>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3" t="inlineStr">
        <is>
          <t>지가 상승 확실한 투자처 성장계획구역 포함 미래 가치 높은 땅</t>
        </is>
      </c>
      <c r="I4767" s="5">
        <f>HYPERLINK("https://fin.land.naver.com/articles/2647330001", "매물Link")</f>
        <v/>
      </c>
      <c r="J4767" s="5">
        <f>HYPERLINK("https://map.naver.com/p/search/조치원읍 봉산리 235", "지도Link")</f>
        <v/>
      </c>
      <c r="K4767" s="5">
        <f>HYPERLINK("http://www.eum.go.kr/web/ar/lu/luLandDet.jsp?pnu=3611025033102350000&amp;isNoScr=script&amp;mode=search", "토지이음")</f>
        <v/>
      </c>
      <c r="L4767" s="3" t="inlineStr">
        <is>
          <t>신동아랜드</t>
        </is>
      </c>
      <c r="M4767" s="3" t="n">
        <v>1</v>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3" t="inlineStr">
        <is>
          <t>투자가치가 높은 세종시 조치원읍 봉산리 토지매매</t>
        </is>
      </c>
      <c r="I4768" s="5">
        <f>HYPERLINK("https://fin.land.naver.com/articles/2645229143", "매물Link")</f>
        <v/>
      </c>
      <c r="J4768" s="5">
        <f>HYPERLINK("https://map.naver.com/p/search/조치원읍 봉산리 262-5", "지도Link")</f>
        <v/>
      </c>
      <c r="K4768" s="5">
        <f>HYPERLINK("http://www.eum.go.kr/web/ar/lu/luLandDet.jsp?pnu=3611025033102620005&amp;isNoScr=script&amp;mode=search", "토지이음")</f>
        <v/>
      </c>
      <c r="L4768" s="3" t="inlineStr">
        <is>
          <t>비전</t>
        </is>
      </c>
      <c r="M4768" s="3" t="n">
        <v>1</v>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3" t="inlineStr">
        <is>
          <t>가격협의가능,2차선도로접, 개발호재지역근접, 투자용추천</t>
        </is>
      </c>
      <c r="I4769" s="5">
        <f>HYPERLINK("https://fin.land.naver.com/articles/2645980234", "매물Link")</f>
        <v/>
      </c>
      <c r="J4769" s="5">
        <f>HYPERLINK("https://map.naver.com/p/search/조치원읍 봉산리 270-2", "지도Link")</f>
        <v/>
      </c>
      <c r="K4769" s="5">
        <f>HYPERLINK("http://www.eum.go.kr/web/ar/lu/luLandDet.jsp?pnu=3611025033102700002&amp;isNoScr=script&amp;mode=search", "토지이음")</f>
        <v/>
      </c>
      <c r="L4769" s="3" t="inlineStr">
        <is>
          <t>현대아이파크</t>
        </is>
      </c>
      <c r="M4769" s="3" t="n">
        <v>1</v>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3" t="inlineStr">
        <is>
          <t>봉산리  귀한 계획관리지역  2차선도로 접.토지거래허가구역. 투자추천매물</t>
        </is>
      </c>
      <c r="I4770" s="5">
        <f>HYPERLINK("https://fin.land.naver.com/articles/2647140613", "매물Link")</f>
        <v/>
      </c>
      <c r="J4770" s="5">
        <f>HYPERLINK("https://map.naver.com/p/search/조치원읍 봉산리 273-2", "지도Link")</f>
        <v/>
      </c>
      <c r="K4770" s="5">
        <f>HYPERLINK("http://www.eum.go.kr/web/ar/lu/luLandDet.jsp?pnu=3611025033102730002&amp;isNoScr=script&amp;mode=search", "토지이음")</f>
        <v/>
      </c>
      <c r="L4770" s="3" t="inlineStr">
        <is>
          <t>세종특별시</t>
        </is>
      </c>
      <c r="M4770" s="3" t="n">
        <v>1</v>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3" t="inlineStr">
        <is>
          <t>투자용</t>
        </is>
      </c>
      <c r="I4771" s="5">
        <f>HYPERLINK("https://fin.land.naver.com/articles/2648555645", "매물Link")</f>
        <v/>
      </c>
      <c r="J4771" s="5">
        <f>HYPERLINK("https://map.naver.com/p/search/조치원읍 봉산리 287-2", "지도Link")</f>
        <v/>
      </c>
      <c r="K4771" s="5">
        <f>HYPERLINK("http://www.eum.go.kr/web/ar/lu/luLandDet.jsp?pnu=3611025033102870002&amp;isNoScr=script&amp;mode=search", "토지이음")</f>
        <v/>
      </c>
      <c r="L4771" s="3" t="inlineStr">
        <is>
          <t>세종리츠</t>
        </is>
      </c>
      <c r="M4771" s="3" t="n">
        <v>1</v>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3" t="inlineStr">
        <is>
          <t>nan</t>
        </is>
      </c>
      <c r="I4772" s="5">
        <f>HYPERLINK("https://fin.land.naver.com/articles/2646456412", "매물Link")</f>
        <v/>
      </c>
      <c r="J4772" s="5">
        <f>HYPERLINK("https://map.naver.com/p/search/조치원읍 봉산리 295", "지도Link")</f>
        <v/>
      </c>
      <c r="K4772" s="5">
        <f>HYPERLINK("http://www.eum.go.kr/web/ar/lu/luLandDet.jsp?pnu=3611025033102950000&amp;isNoScr=script&amp;mode=search", "토지이음")</f>
        <v/>
      </c>
      <c r="L4772" s="3" t="inlineStr">
        <is>
          <t>오송랜드</t>
        </is>
      </c>
      <c r="M4772" s="3" t="n">
        <v>1</v>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3" t="inlineStr">
        <is>
          <t>조치원 서북부지구 도시개발사업인접. 향후 유동 인구와 인프라 확충높음</t>
        </is>
      </c>
      <c r="I4773" s="5">
        <f>HYPERLINK("https://fin.land.naver.com/articles/2649013256", "매물Link")</f>
        <v/>
      </c>
      <c r="J4773" s="5">
        <f>HYPERLINK("https://map.naver.com/p/search/조치원읍 봉산리 296", "지도Link")</f>
        <v/>
      </c>
      <c r="K4773" s="5">
        <f>HYPERLINK("http://www.eum.go.kr/web/ar/lu/luLandDet.jsp?pnu=3611025033102960000&amp;isNoScr=script&amp;mode=search", "토지이음")</f>
        <v/>
      </c>
      <c r="L4773" s="3" t="inlineStr">
        <is>
          <t>우리동네</t>
        </is>
      </c>
      <c r="M4773" s="3" t="n">
        <v>1</v>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3" t="inlineStr">
        <is>
          <t>nan</t>
        </is>
      </c>
      <c r="I4774" s="5">
        <f>HYPERLINK("https://fin.land.naver.com/articles/2646469696", "매물Link")</f>
        <v/>
      </c>
      <c r="J4774" s="5">
        <f>HYPERLINK("https://map.naver.com/p/search/조치원읍 봉산리 303", "지도Link")</f>
        <v/>
      </c>
      <c r="K4774" s="5">
        <f>HYPERLINK("http://www.eum.go.kr/web/ar/lu/luLandDet.jsp?pnu=3611025033103030000&amp;isNoScr=script&amp;mode=search", "토지이음")</f>
        <v/>
      </c>
      <c r="L4774" s="3" t="inlineStr">
        <is>
          <t>오송랜드</t>
        </is>
      </c>
      <c r="M4774" s="3" t="n">
        <v>1</v>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3" t="inlineStr">
        <is>
          <t>급.조치원역인근 투자용 계획관리</t>
        </is>
      </c>
      <c r="I4775" s="5">
        <f>HYPERLINK("https://fin.land.naver.com/articles/2645465983", "매물Link")</f>
        <v/>
      </c>
      <c r="J4775" s="5">
        <f>HYPERLINK("https://map.naver.com/p/search/조치원읍 봉산리 320", "지도Link")</f>
        <v/>
      </c>
      <c r="K4775" s="5">
        <f>HYPERLINK("http://www.eum.go.kr/web/ar/lu/luLandDet.jsp?pnu=3611025033103200000&amp;isNoScr=script&amp;mode=search", "토지이음")</f>
        <v/>
      </c>
      <c r="L4775" s="3" t="inlineStr">
        <is>
          <t>강아지풀</t>
        </is>
      </c>
      <c r="M4775" s="3" t="n">
        <v>1</v>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3" t="inlineStr">
        <is>
          <t>nan</t>
        </is>
      </c>
      <c r="I4776" s="5">
        <f>HYPERLINK("https://fin.land.naver.com/articles/2645947588", "매물Link")</f>
        <v/>
      </c>
      <c r="J4776" s="5">
        <f>HYPERLINK("https://map.naver.com/p/search/조치원읍 봉산리 365", "지도Link")</f>
        <v/>
      </c>
      <c r="K4776" s="5">
        <f>HYPERLINK("http://www.eum.go.kr/web/ar/lu/luLandDet.jsp?pnu=3611025033103650000&amp;isNoScr=script&amp;mode=search", "토지이음")</f>
        <v/>
      </c>
      <c r="L4776" s="3" t="inlineStr">
        <is>
          <t>테이트한남  주식회사</t>
        </is>
      </c>
      <c r="M4776" s="3" t="n">
        <v>2</v>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3" t="inlineStr">
        <is>
          <t>준주거 대지</t>
        </is>
      </c>
      <c r="I4777" s="5">
        <f>HYPERLINK("https://fin.land.naver.com/articles/2649750743", "매물Link")</f>
        <v/>
      </c>
      <c r="J4777" s="5">
        <f>HYPERLINK("https://map.naver.com/p/search/조치원읍 봉산리 393", "지도Link")</f>
        <v/>
      </c>
      <c r="K4777" s="5">
        <f>HYPERLINK("http://www.eum.go.kr/web/ar/lu/luLandDet.jsp?pnu=3611025033103930000&amp;isNoScr=script&amp;mode=search", "토지이음")</f>
        <v/>
      </c>
      <c r="L4777" s="3" t="inlineStr">
        <is>
          <t>세종몽땅</t>
        </is>
      </c>
      <c r="M4777" s="3" t="n">
        <v>1</v>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3" t="inlineStr">
        <is>
          <t>조치원 서북부지구 아파트 앞 중심상권 토지</t>
        </is>
      </c>
      <c r="I4778" s="5">
        <f>HYPERLINK("https://fin.land.naver.com/articles/2644444573", "매물Link")</f>
        <v/>
      </c>
      <c r="J4778" s="5">
        <f>HYPERLINK("https://map.naver.com/p/search/조치원읍 봉산리 393", "지도Link")</f>
        <v/>
      </c>
      <c r="K4778" s="5">
        <f>HYPERLINK("http://www.eum.go.kr/web/ar/lu/luLandDet.jsp?pnu=3611025033103930000&amp;isNoScr=script&amp;mode=search", "토지이음")</f>
        <v/>
      </c>
      <c r="L4778" s="3" t="inlineStr">
        <is>
          <t>세종대박</t>
        </is>
      </c>
      <c r="M4778" s="3" t="n">
        <v>1</v>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3" t="inlineStr">
        <is>
          <t>봉산리 임야 매매</t>
        </is>
      </c>
      <c r="I4779" s="5">
        <f>HYPERLINK("https://fin.land.naver.com/articles/2647628421", "매물Link")</f>
        <v/>
      </c>
      <c r="J4779" s="5">
        <f>HYPERLINK("https://map.naver.com/p/search/조치원읍 봉산리 산 20-16", "지도Link")</f>
        <v/>
      </c>
      <c r="K4779" s="5">
        <f>HYPERLINK("http://www.eum.go.kr/web/ar/lu/luLandDet.jsp?pnu=3611025033200200016&amp;isNoScr=script&amp;mode=search", "토지이음")</f>
        <v/>
      </c>
      <c r="L4779" s="3" t="inlineStr">
        <is>
          <t>스마트</t>
        </is>
      </c>
      <c r="M4779" s="3" t="n">
        <v>1</v>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3" t="inlineStr">
        <is>
          <t>맹지 빠른매도원함 조치원읍  주변 땅 발전성 높고요 매물 가치 좋아요</t>
        </is>
      </c>
      <c r="I4780" s="5">
        <f>HYPERLINK("https://fin.land.naver.com/articles/2649267318", "매물Link")</f>
        <v/>
      </c>
      <c r="J4780" s="5">
        <f>HYPERLINK("https://map.naver.com/p/search/조치원읍 봉산리 산20-15", "지도Link")</f>
        <v/>
      </c>
      <c r="K4780" s="5">
        <f>HYPERLINK("http://www.eum.go.kr/web/ar/lu/luLandDet.jsp?pnu=3611025033200200015&amp;isNoScr=script&amp;mode=search", "토지이음")</f>
        <v/>
      </c>
      <c r="L4780" s="3" t="inlineStr">
        <is>
          <t>삼성래미안</t>
        </is>
      </c>
      <c r="M4780" s="3" t="n">
        <v>3</v>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3" t="inlineStr">
        <is>
          <t>일반상업지역 대지 매매</t>
        </is>
      </c>
      <c r="I4781" s="5">
        <f>HYPERLINK("https://fin.land.naver.com/articles/2644569861", "매물Link")</f>
        <v/>
      </c>
      <c r="J4781" s="5">
        <f>HYPERLINK("https://map.naver.com/p/search/조치원읍 상리 98", "지도Link")</f>
        <v/>
      </c>
      <c r="K4781" s="5">
        <f>HYPERLINK("http://www.eum.go.kr/web/ar/lu/luLandDet.jsp?pnu=3611025022100980000&amp;isNoScr=script&amp;mode=search", "토지이음")</f>
        <v/>
      </c>
      <c r="L4781" s="3" t="inlineStr">
        <is>
          <t>김준희</t>
        </is>
      </c>
      <c r="M4781" s="3" t="n">
        <v>1</v>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3" t="inlineStr">
        <is>
          <t>급매 조치원 터미널 인근 도시지역 일반상업지역 지목 대</t>
        </is>
      </c>
      <c r="I4782" s="5">
        <f>HYPERLINK("https://fin.land.naver.com/articles/2648912392", "매물Link")</f>
        <v/>
      </c>
      <c r="J4782" s="5">
        <f>HYPERLINK("https://map.naver.com/p/search/조치원읍 상리 98", "지도Link")</f>
        <v/>
      </c>
      <c r="K4782" s="5">
        <f>HYPERLINK("http://www.eum.go.kr/web/ar/lu/luLandDet.jsp?pnu=3611025022100980000&amp;isNoScr=script&amp;mode=search", "토지이음")</f>
        <v/>
      </c>
      <c r="L4782" s="3" t="inlineStr">
        <is>
          <t>오송퍼스트영웅</t>
        </is>
      </c>
      <c r="M4782" s="3" t="n">
        <v>2</v>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3" t="inlineStr">
        <is>
          <t>조치원 버스터미널 인접 도로접 일반상업지역 9억대 나대지</t>
        </is>
      </c>
      <c r="I4783" s="5">
        <f>HYPERLINK("https://fin.land.naver.com/articles/2649751054", "매물Link")</f>
        <v/>
      </c>
      <c r="J4783" s="5">
        <f>HYPERLINK("https://map.naver.com/p/search/조치원읍 상리 98", "지도Link")</f>
        <v/>
      </c>
      <c r="K4783" s="5">
        <f>HYPERLINK("http://www.eum.go.kr/web/ar/lu/luLandDet.jsp?pnu=3611025022100980000&amp;isNoScr=script&amp;mode=search", "토지이음")</f>
        <v/>
      </c>
      <c r="L4783" s="3" t="inlineStr">
        <is>
          <t>세종소담황금</t>
        </is>
      </c>
      <c r="M4783" s="3" t="n">
        <v>1</v>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3" t="inlineStr">
        <is>
          <t>4차선 대로접, 물류 및 자동차 관련시설 추천</t>
        </is>
      </c>
      <c r="I4784" s="5">
        <f>HYPERLINK("https://fin.land.naver.com/articles/2649100924", "매물Link")</f>
        <v/>
      </c>
      <c r="J4784" s="5">
        <f>HYPERLINK("https://map.naver.com/p/search/조치원읍 서창리 105-10", "지도Link")</f>
        <v/>
      </c>
      <c r="K4784" s="5">
        <f>HYPERLINK("http://www.eum.go.kr/web/ar/lu/luLandDet.jsp?pnu=3611025034101050010&amp;isNoScr=script&amp;mode=search", "토지이음")</f>
        <v/>
      </c>
      <c r="L4784" s="3" t="inlineStr">
        <is>
          <t>세종소담114</t>
        </is>
      </c>
      <c r="M4784" s="3" t="n">
        <v>1</v>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3" t="inlineStr">
        <is>
          <t>카센타 세차장 등으로 활용하면 좋을 근생시설과 단독주택을 일괄매매합니다</t>
        </is>
      </c>
      <c r="I4785" s="5">
        <f>HYPERLINK("https://fin.land.naver.com/articles/2644717830", "매물Link")</f>
        <v/>
      </c>
      <c r="J4785" s="5">
        <f>HYPERLINK("https://map.naver.com/p/search/조치원읍 서창리 106-4", "지도Link")</f>
        <v/>
      </c>
      <c r="K4785" s="5">
        <f>HYPERLINK("http://www.eum.go.kr/web/ar/lu/luLandDet.jsp?pnu=3611025034101060004&amp;isNoScr=script&amp;mode=search", "토지이음")</f>
        <v/>
      </c>
      <c r="L4785" s="3" t="inlineStr">
        <is>
          <t>스마일세종</t>
        </is>
      </c>
      <c r="M4785" s="3" t="n">
        <v>1</v>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3" t="inlineStr">
        <is>
          <t>도시지역.자연녹지지역.공공청사</t>
        </is>
      </c>
      <c r="I4786" s="5">
        <f>HYPERLINK("https://fin.land.naver.com/articles/2645175421", "매물Link")</f>
        <v/>
      </c>
      <c r="J4786" s="5">
        <f>HYPERLINK("https://map.naver.com/p/search/조치원읍 서창리 124-2", "지도Link")</f>
        <v/>
      </c>
      <c r="K4786" s="5">
        <f>HYPERLINK("http://www.eum.go.kr/web/ar/lu/luLandDet.jsp?pnu=3611025034101240002&amp;isNoScr=script&amp;mode=search", "토지이음")</f>
        <v/>
      </c>
      <c r="L4786" s="3" t="inlineStr">
        <is>
          <t>광주역포스코</t>
        </is>
      </c>
      <c r="M4786" s="3" t="n">
        <v>1</v>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3" t="inlineStr">
        <is>
          <t>서창리 토지 매매</t>
        </is>
      </c>
      <c r="I4787" s="5">
        <f>HYPERLINK("https://fin.land.naver.com/articles/2648992439", "매물Link")</f>
        <v/>
      </c>
      <c r="J4787" s="5">
        <f>HYPERLINK("https://map.naver.com/p/search/조치원읍 서창리 138-2", "지도Link")</f>
        <v/>
      </c>
      <c r="K4787" s="5">
        <f>HYPERLINK("http://www.eum.go.kr/web/ar/lu/luLandDet.jsp?pnu=3611025034101380002&amp;isNoScr=script&amp;mode=search", "토지이음")</f>
        <v/>
      </c>
      <c r="L4787" s="3" t="inlineStr">
        <is>
          <t>김준희</t>
        </is>
      </c>
      <c r="M4787" s="3" t="n">
        <v>1</v>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3" t="inlineStr">
        <is>
          <t>서창리 2종일반주거,2차선접 코너 나대지 토지 급매</t>
        </is>
      </c>
      <c r="I4788" s="5">
        <f>HYPERLINK("https://fin.land.naver.com/articles/2649393495", "매물Link")</f>
        <v/>
      </c>
      <c r="J4788" s="5">
        <f>HYPERLINK("https://map.naver.com/p/search/조치원읍 서창리 138-2", "지도Link")</f>
        <v/>
      </c>
      <c r="K4788" s="5">
        <f>HYPERLINK("http://www.eum.go.kr/web/ar/lu/luLandDet.jsp?pnu=3611025034101380002&amp;isNoScr=script&amp;mode=search", "토지이음")</f>
        <v/>
      </c>
      <c r="L4788" s="3" t="inlineStr">
        <is>
          <t>광장</t>
        </is>
      </c>
      <c r="M4788" s="3" t="n">
        <v>2</v>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3" t="inlineStr">
        <is>
          <t>nan</t>
        </is>
      </c>
      <c r="I4789" s="5">
        <f>HYPERLINK("https://fin.land.naver.com/articles/2649067843", "매물Link")</f>
        <v/>
      </c>
      <c r="J4789" s="5">
        <f>HYPERLINK("https://map.naver.com/p/search/조치원읍 서창리 138-2", "지도Link")</f>
        <v/>
      </c>
      <c r="K4789" s="5">
        <f>HYPERLINK("http://www.eum.go.kr/web/ar/lu/luLandDet.jsp?pnu=3611025034101380002&amp;isNoScr=script&amp;mode=search", "토지이음")</f>
        <v/>
      </c>
      <c r="L4789" s="3" t="inlineStr">
        <is>
          <t>번암주공</t>
        </is>
      </c>
      <c r="M4789" s="3" t="n">
        <v>2</v>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3" t="inlineStr">
        <is>
          <t>세종시 조치원읍 서창리 토지 급매 고려대,세종여고옆 제2종주거620㎡급매</t>
        </is>
      </c>
      <c r="I4790" s="5">
        <f>HYPERLINK("https://fin.land.naver.com/articles/2649357983", "매물Link")</f>
        <v/>
      </c>
      <c r="J4790" s="5">
        <f>HYPERLINK("https://map.naver.com/p/search/조치원읍 서창리 138-2", "지도Link")</f>
        <v/>
      </c>
      <c r="K4790" s="5">
        <f>HYPERLINK("http://www.eum.go.kr/web/ar/lu/luLandDet.jsp?pnu=3611025034101380002&amp;isNoScr=script&amp;mode=search", "토지이음")</f>
        <v/>
      </c>
      <c r="L4790" s="3" t="inlineStr">
        <is>
          <t>세종</t>
        </is>
      </c>
      <c r="M4790" s="3" t="n">
        <v>2</v>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3" t="inlineStr">
        <is>
          <t>급매,고려대학교 인근,도로접 도시.2종일반주거지역,다용도 건축가능</t>
        </is>
      </c>
      <c r="I4791" s="5">
        <f>HYPERLINK("https://fin.land.naver.com/articles/2649493845", "매물Link")</f>
        <v/>
      </c>
      <c r="J4791" s="5">
        <f>HYPERLINK("https://map.naver.com/p/search/조치원읍 서창리 152-2", "지도Link")</f>
        <v/>
      </c>
      <c r="K4791" s="5">
        <f>HYPERLINK("http://www.eum.go.kr/web/ar/lu/luLandDet.jsp?pnu=3611025034101520002&amp;isNoScr=script&amp;mode=search", "토지이음")</f>
        <v/>
      </c>
      <c r="L4791" s="3" t="inlineStr">
        <is>
          <t>고운맘</t>
        </is>
      </c>
      <c r="M4791" s="3" t="n">
        <v>1</v>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3" t="inlineStr">
        <is>
          <t>nan</t>
        </is>
      </c>
      <c r="I4792" s="5">
        <f>HYPERLINK("https://fin.land.naver.com/articles/2645382334", "매물Link")</f>
        <v/>
      </c>
      <c r="J4792" s="5">
        <f>HYPERLINK("https://map.naver.com/p/search/조치원읍 서창리 154-1", "지도Link")</f>
        <v/>
      </c>
      <c r="K4792" s="5">
        <f>HYPERLINK("http://www.eum.go.kr/web/ar/lu/luLandDet.jsp?pnu=3611025034101540001&amp;isNoScr=script&amp;mode=search", "토지이음")</f>
        <v/>
      </c>
      <c r="L4792" s="3" t="inlineStr">
        <is>
          <t>오송랜드</t>
        </is>
      </c>
      <c r="M4792" s="3" t="n">
        <v>1</v>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3" t="inlineStr">
        <is>
          <t>근생부지로 좋은 고려대학교 인근 3거리 코너 각지에 있는 준주거지역 대지</t>
        </is>
      </c>
      <c r="I4793" s="5">
        <f>HYPERLINK("https://fin.land.naver.com/articles/2645811664", "매물Link")</f>
        <v/>
      </c>
      <c r="J4793" s="5">
        <f>HYPERLINK("https://map.naver.com/p/search/조치원읍 서창리 168-2", "지도Link")</f>
        <v/>
      </c>
      <c r="K4793" s="5">
        <f>HYPERLINK("http://www.eum.go.kr/web/ar/lu/luLandDet.jsp?pnu=3611025034101680002&amp;isNoScr=script&amp;mode=search", "토지이음")</f>
        <v/>
      </c>
      <c r="L4793" s="3" t="inlineStr">
        <is>
          <t>스마일세종</t>
        </is>
      </c>
      <c r="M4793" s="3" t="n">
        <v>1</v>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3" t="inlineStr">
        <is>
          <t>준주거지역 추천매물 고대 정문근처</t>
        </is>
      </c>
      <c r="I4794" s="5">
        <f>HYPERLINK("https://fin.land.naver.com/articles/2648069706", "매물Link")</f>
        <v/>
      </c>
      <c r="J4794" s="5">
        <f>HYPERLINK("https://map.naver.com/p/search/조치원읍 서창리 168-2", "지도Link")</f>
        <v/>
      </c>
      <c r="K4794" s="5">
        <f>HYPERLINK("http://www.eum.go.kr/web/ar/lu/luLandDet.jsp?pnu=3611025034101680002&amp;isNoScr=script&amp;mode=search", "토지이음")</f>
        <v/>
      </c>
      <c r="L4794" s="3" t="inlineStr">
        <is>
          <t>김준희</t>
        </is>
      </c>
      <c r="M4794" s="3" t="n">
        <v>1</v>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3" t="inlineStr">
        <is>
          <t>급매, 서창리 준주거지역 토지</t>
        </is>
      </c>
      <c r="I4795" s="5">
        <f>HYPERLINK("https://fin.land.naver.com/articles/2647570748", "매물Link")</f>
        <v/>
      </c>
      <c r="J4795" s="5">
        <f>HYPERLINK("https://map.naver.com/p/search/조치원읍 서창리 168-31", "지도Link")</f>
        <v/>
      </c>
      <c r="K4795" s="5">
        <f>HYPERLINK("http://www.eum.go.kr/web/ar/lu/luLandDet.jsp?pnu=3611025034101680031&amp;isNoScr=script&amp;mode=search", "토지이음")</f>
        <v/>
      </c>
      <c r="L4795" s="3" t="inlineStr">
        <is>
          <t>KB세종</t>
        </is>
      </c>
      <c r="M4795" s="3" t="n">
        <v>1</v>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3" t="inlineStr">
        <is>
          <t>세종여고 인근 토지매매</t>
        </is>
      </c>
      <c r="I4796" s="5">
        <f>HYPERLINK("https://fin.land.naver.com/articles/2648993268", "매물Link")</f>
        <v/>
      </c>
      <c r="J4796" s="5">
        <f>HYPERLINK("https://map.naver.com/p/search/조치원읍 서창리 248-18", "지도Link")</f>
        <v/>
      </c>
      <c r="K4796" s="5">
        <f>HYPERLINK("http://www.eum.go.kr/web/ar/lu/luLandDet.jsp?pnu=3611025034102480018&amp;isNoScr=script&amp;mode=search", "토지이음")</f>
        <v/>
      </c>
      <c r="L4796" s="3" t="inlineStr">
        <is>
          <t>김준희</t>
        </is>
      </c>
      <c r="M4796" s="3" t="n">
        <v>2</v>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3" t="inlineStr">
        <is>
          <t>조치원 서창리 제2종일반주거지역 코너각지 토지매매</t>
        </is>
      </c>
      <c r="I4797" s="5">
        <f>HYPERLINK("https://fin.land.naver.com/articles/2647993873", "매물Link")</f>
        <v/>
      </c>
      <c r="J4797" s="5">
        <f>HYPERLINK("https://map.naver.com/p/search/조치원읍 서창리 250", "지도Link")</f>
        <v/>
      </c>
      <c r="K4797" s="5">
        <f>HYPERLINK("http://www.eum.go.kr/web/ar/lu/luLandDet.jsp?pnu=3611025034102500000&amp;isNoScr=script&amp;mode=search", "토지이음")</f>
        <v/>
      </c>
      <c r="L4797" s="3" t="inlineStr">
        <is>
          <t>the다올</t>
        </is>
      </c>
      <c r="M4797" s="3" t="n">
        <v>2</v>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3" t="inlineStr">
        <is>
          <t>시세보다 저렴하며,
근생 및 단독주택, 월세 90만원</t>
        </is>
      </c>
      <c r="I4798" s="5">
        <f>HYPERLINK("https://fin.land.naver.com/articles/2646313740", "매물Link")</f>
        <v/>
      </c>
      <c r="J4798" s="5">
        <f>HYPERLINK("https://map.naver.com/p/search/조치원읍 서창리 26-3", "지도Link")</f>
        <v/>
      </c>
      <c r="K4798" s="5">
        <f>HYPERLINK("http://www.eum.go.kr/web/ar/lu/luLandDet.jsp?pnu=3611025034100260003&amp;isNoScr=script&amp;mode=search", "토지이음")</f>
        <v/>
      </c>
      <c r="L4798" s="3" t="inlineStr">
        <is>
          <t>세종땅전문</t>
        </is>
      </c>
      <c r="M4798" s="3" t="n">
        <v>1</v>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3" t="inlineStr">
        <is>
          <t>서창리 다가구주택이나 상가를 지을수 있는 제2종일반주거지역의 대지입니다</t>
        </is>
      </c>
      <c r="I4799" s="5">
        <f>HYPERLINK("https://fin.land.naver.com/articles/2647452131", "매물Link")</f>
        <v/>
      </c>
      <c r="J4799" s="5">
        <f>HYPERLINK("https://map.naver.com/p/search/조치원읍 서창리 291-8", "지도Link")</f>
        <v/>
      </c>
      <c r="K4799" s="5">
        <f>HYPERLINK("http://www.eum.go.kr/web/ar/lu/luLandDet.jsp?pnu=3611025034102910008&amp;isNoScr=script&amp;mode=search", "토지이음")</f>
        <v/>
      </c>
      <c r="L4799" s="3" t="inlineStr">
        <is>
          <t>스마일세종</t>
        </is>
      </c>
      <c r="M4799" s="3" t="n">
        <v>1</v>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3" t="inlineStr">
        <is>
          <t>nan</t>
        </is>
      </c>
      <c r="I4800" s="5">
        <f>HYPERLINK("https://fin.land.naver.com/articles/2646527911", "매물Link")</f>
        <v/>
      </c>
      <c r="J4800" s="5">
        <f>HYPERLINK("https://map.naver.com/p/search/조치원읍 서창리 293-4", "지도Link")</f>
        <v/>
      </c>
      <c r="K4800" s="5">
        <f>HYPERLINK("http://www.eum.go.kr/web/ar/lu/luLandDet.jsp?pnu=3611025034102930004&amp;isNoScr=script&amp;mode=search", "토지이음")</f>
        <v/>
      </c>
      <c r="L4800" s="3" t="inlineStr">
        <is>
          <t>한일</t>
        </is>
      </c>
      <c r="M4800" s="3" t="n">
        <v>1</v>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3" t="inlineStr">
        <is>
          <t>조치원서북부지구 가치상승. 투자가치 우수.</t>
        </is>
      </c>
      <c r="I4801" s="5">
        <f>HYPERLINK("https://fin.land.naver.com/articles/2646107991", "매물Link")</f>
        <v/>
      </c>
      <c r="J4801" s="5">
        <f>HYPERLINK("https://map.naver.com/p/search/조치원읍 서창리 306", "지도Link")</f>
        <v/>
      </c>
      <c r="K4801" s="5">
        <f>HYPERLINK("http://www.eum.go.kr/web/ar/lu/luLandDet.jsp?pnu=3611025034103060000&amp;isNoScr=script&amp;mode=search", "토지이음")</f>
        <v/>
      </c>
      <c r="L4801" s="3" t="inlineStr">
        <is>
          <t>진행</t>
        </is>
      </c>
      <c r="M4801" s="3" t="n">
        <v>1</v>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3" t="inlineStr">
        <is>
          <t>북쪽과 동쪽으로 도로를 낀 코너토지. 주택지추천</t>
        </is>
      </c>
      <c r="I4802" s="5">
        <f>HYPERLINK("https://fin.land.naver.com/articles/2649914344", "매물Link")</f>
        <v/>
      </c>
      <c r="J4802" s="5">
        <f>HYPERLINK("https://map.naver.com/p/search/조치원읍 서창리 42-254", "지도Link")</f>
        <v/>
      </c>
      <c r="K4802" s="5">
        <f>HYPERLINK("http://www.eum.go.kr/web/ar/lu/luLandDet.jsp?pnu=3611025034100420254&amp;isNoScr=script&amp;mode=search", "토지이음")</f>
        <v/>
      </c>
      <c r="L4802" s="3" t="inlineStr">
        <is>
          <t>미스터홈즈강남지사</t>
        </is>
      </c>
      <c r="M4802" s="3" t="n">
        <v>1</v>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3" t="inlineStr">
        <is>
          <t>1번 국도 진출입 점용허가 및 제2종근생 허가득한 토지 매매</t>
        </is>
      </c>
      <c r="I4803" s="5">
        <f>HYPERLINK("https://fin.land.naver.com/articles/2645609473", "매물Link")</f>
        <v/>
      </c>
      <c r="J4803" s="5">
        <f>HYPERLINK("https://map.naver.com/p/search/조치원읍 서창리 54-1", "지도Link")</f>
        <v/>
      </c>
      <c r="K4803" s="5">
        <f>HYPERLINK("http://www.eum.go.kr/web/ar/lu/luLandDet.jsp?pnu=3611025034100540001&amp;isNoScr=script&amp;mode=search", "토지이음")</f>
        <v/>
      </c>
      <c r="L4803" s="3" t="inlineStr">
        <is>
          <t>청담</t>
        </is>
      </c>
      <c r="M4803" s="3" t="n">
        <v>1</v>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3" t="inlineStr">
        <is>
          <t>조치원 생활권 평탄 대형부지 소형창고 차량보관시설 검토</t>
        </is>
      </c>
      <c r="I4804" s="5">
        <f>HYPERLINK("https://fin.land.naver.com/articles/2644124377", "매물Link")</f>
        <v/>
      </c>
      <c r="J4804" s="5">
        <f>HYPERLINK("https://map.naver.com/p/search/조치원읍 서창리 93-20", "지도Link")</f>
        <v/>
      </c>
      <c r="K4804" s="5">
        <f>HYPERLINK("http://www.eum.go.kr/web/ar/lu/luLandDet.jsp?pnu=3611025034100930020&amp;isNoScr=script&amp;mode=search", "토지이음")</f>
        <v/>
      </c>
      <c r="L4804" s="3" t="inlineStr">
        <is>
          <t>세종소담황금</t>
        </is>
      </c>
      <c r="M4804" s="3" t="n">
        <v>1</v>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3" t="inlineStr">
        <is>
          <t>3필지 일괄매매</t>
        </is>
      </c>
      <c r="I4805" s="5">
        <f>HYPERLINK("https://fin.land.naver.com/articles/2646586067", "매물Link")</f>
        <v/>
      </c>
      <c r="J4805" s="5">
        <f>HYPERLINK("https://map.naver.com/p/search/조치원읍 서창리 93-20", "지도Link")</f>
        <v/>
      </c>
      <c r="K4805" s="5">
        <f>HYPERLINK("http://www.eum.go.kr/web/ar/lu/luLandDet.jsp?pnu=3611025034100930020&amp;isNoScr=script&amp;mode=search", "토지이음")</f>
        <v/>
      </c>
      <c r="L4805" s="3" t="inlineStr">
        <is>
          <t>오송좋은날</t>
        </is>
      </c>
      <c r="M4805" s="3" t="n">
        <v>1</v>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3" t="inlineStr">
        <is>
          <t>토지급매 조치원역 인근 대규모 부지 정비소, 세차장, 요양원 추천</t>
        </is>
      </c>
      <c r="I4806" s="5">
        <f>HYPERLINK("https://fin.land.naver.com/articles/2646235676", "매물Link")</f>
        <v/>
      </c>
      <c r="J4806" s="5">
        <f>HYPERLINK("https://map.naver.com/p/search/조치원읍 서창리 93-20", "지도Link")</f>
        <v/>
      </c>
      <c r="K4806" s="5">
        <f>HYPERLINK("http://www.eum.go.kr/web/ar/lu/luLandDet.jsp?pnu=3611025034100930020&amp;isNoScr=script&amp;mode=search", "토지이음")</f>
        <v/>
      </c>
      <c r="L4806" s="3" t="inlineStr">
        <is>
          <t>다모아</t>
        </is>
      </c>
      <c r="M4806" s="3" t="n">
        <v>1</v>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3" t="inlineStr">
        <is>
          <t>nan</t>
        </is>
      </c>
      <c r="I4807" s="5">
        <f>HYPERLINK("https://fin.land.naver.com/articles/2644060761", "매물Link")</f>
        <v/>
      </c>
      <c r="J4807" s="5">
        <f>HYPERLINK("https://map.naver.com/p/search/조치원읍 서창리 93-20", "지도Link")</f>
        <v/>
      </c>
      <c r="K4807" s="5">
        <f>HYPERLINK("http://www.eum.go.kr/web/ar/lu/luLandDet.jsp?pnu=3611025034100930020&amp;isNoScr=script&amp;mode=search", "토지이음")</f>
        <v/>
      </c>
      <c r="L4807" s="3" t="inlineStr">
        <is>
          <t>현대</t>
        </is>
      </c>
      <c r="M4807" s="3" t="n">
        <v>1</v>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3" t="inlineStr">
        <is>
          <t>서창리 자연녹지 토지,  대형토지, 창고 및 자동차시설 등</t>
        </is>
      </c>
      <c r="I4808" s="5">
        <f>HYPERLINK("https://fin.land.naver.com/articles/2649930474", "매물Link")</f>
        <v/>
      </c>
      <c r="J4808" s="5">
        <f>HYPERLINK("https://map.naver.com/p/search/조치원읍 서창리 93-20", "지도Link")</f>
        <v/>
      </c>
      <c r="K4808" s="5">
        <f>HYPERLINK("http://www.eum.go.kr/web/ar/lu/luLandDet.jsp?pnu=3611025034100930020&amp;isNoScr=script&amp;mode=search", "토지이음")</f>
        <v/>
      </c>
      <c r="L4808" s="3" t="inlineStr">
        <is>
          <t>스카이</t>
        </is>
      </c>
      <c r="M4808" s="3" t="n">
        <v>5</v>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3" t="inlineStr">
        <is>
          <t>nan</t>
        </is>
      </c>
      <c r="I4809" s="5">
        <f>HYPERLINK("https://fin.land.naver.com/articles/2644378085", "매물Link")</f>
        <v/>
      </c>
      <c r="J4809" s="5">
        <f>HYPERLINK("https://map.naver.com/p/search/조치원읍 서창리 94-3", "지도Link")</f>
        <v/>
      </c>
      <c r="K4809" s="5">
        <f>HYPERLINK("http://www.eum.go.kr/web/ar/lu/luLandDet.jsp?pnu=3611025034100940003&amp;isNoScr=script&amp;mode=search", "토지이음")</f>
        <v/>
      </c>
      <c r="L4809" s="3" t="inlineStr">
        <is>
          <t>오송랜드</t>
        </is>
      </c>
      <c r="M4809" s="3" t="n">
        <v>1</v>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3" t="inlineStr">
        <is>
          <t>서창리 토지 매매 자연녹지</t>
        </is>
      </c>
      <c r="I4810" s="5">
        <f>HYPERLINK("https://fin.land.naver.com/articles/2648069701", "매물Link")</f>
        <v/>
      </c>
      <c r="J4810" s="5">
        <f>HYPERLINK("https://map.naver.com/p/search/조치원읍 서창리 95-3", "지도Link")</f>
        <v/>
      </c>
      <c r="K4810" s="5">
        <f>HYPERLINK("http://www.eum.go.kr/web/ar/lu/luLandDet.jsp?pnu=3611025034100950003&amp;isNoScr=script&amp;mode=search", "토지이음")</f>
        <v/>
      </c>
      <c r="L4810" s="3" t="inlineStr">
        <is>
          <t>김준희</t>
        </is>
      </c>
      <c r="M4810" s="3" t="n">
        <v>1</v>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3" t="inlineStr">
        <is>
          <t>l S l 홍익대세종캠퍼스 인근 l 자연녹지 l 자연취락지구 l</t>
        </is>
      </c>
      <c r="I4811" s="5">
        <f>HYPERLINK("https://fin.land.naver.com/articles/2647317827", "매물Link")</f>
        <v/>
      </c>
      <c r="J4811" s="5">
        <f>HYPERLINK("https://map.naver.com/p/search/조치원읍 신안리 179-5", "지도Link")</f>
        <v/>
      </c>
      <c r="K4811" s="5">
        <f>HYPERLINK("http://www.eum.go.kr/web/ar/lu/luLandDet.jsp?pnu=3611025032101790005&amp;isNoScr=script&amp;mode=search", "토지이음")</f>
        <v/>
      </c>
      <c r="L4811" s="3" t="inlineStr">
        <is>
          <t>에스</t>
        </is>
      </c>
      <c r="M4811" s="3" t="n">
        <v>1</v>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3" t="inlineStr">
        <is>
          <t>급매,국도1호선 서창역 인근 알토란 나대지,월룸.단독주택.투자용추천</t>
        </is>
      </c>
      <c r="I4812" s="5">
        <f>HYPERLINK("https://fin.land.naver.com/articles/2646088912", "매물Link")</f>
        <v/>
      </c>
      <c r="J4812" s="5">
        <f>HYPERLINK("https://map.naver.com/p/search/조치원읍 신안리 193-2", "지도Link")</f>
        <v/>
      </c>
      <c r="K4812" s="5">
        <f>HYPERLINK("http://www.eum.go.kr/web/ar/lu/luLandDet.jsp?pnu=3611025032101930002&amp;isNoScr=script&amp;mode=search", "토지이음")</f>
        <v/>
      </c>
      <c r="L4812" s="3" t="inlineStr">
        <is>
          <t>고운맘</t>
        </is>
      </c>
      <c r="M4812" s="3" t="n">
        <v>1</v>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3" t="inlineStr">
        <is>
          <t>서창역 도보거리 1번국도 광고효과 매우 우수한 상가부지용 토지</t>
        </is>
      </c>
      <c r="I4813" s="5">
        <f>HYPERLINK("https://fin.land.naver.com/articles/2645609178", "매물Link")</f>
        <v/>
      </c>
      <c r="J4813" s="5">
        <f>HYPERLINK("https://map.naver.com/p/search/조치원읍 신안리 206-7", "지도Link")</f>
        <v/>
      </c>
      <c r="K4813" s="5">
        <f>HYPERLINK("http://www.eum.go.kr/web/ar/lu/luLandDet.jsp?pnu=3611025032102060007&amp;isNoScr=script&amp;mode=search", "토지이음")</f>
        <v/>
      </c>
      <c r="L4813" s="3" t="inlineStr">
        <is>
          <t>청담</t>
        </is>
      </c>
      <c r="M4813" s="3" t="n">
        <v>1</v>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3" t="inlineStr">
        <is>
          <t>1번국도변 가시성좋은 자연녹지. 서창역300미터거리</t>
        </is>
      </c>
      <c r="I4814" s="5">
        <f>HYPERLINK("https://fin.land.naver.com/articles/2649892785", "매물Link")</f>
        <v/>
      </c>
      <c r="J4814" s="5">
        <f>HYPERLINK("https://map.naver.com/p/search/조치원읍 신안리 207-53", "지도Link")</f>
        <v/>
      </c>
      <c r="K4814" s="5">
        <f>HYPERLINK("http://www.eum.go.kr/web/ar/lu/luLandDet.jsp?pnu=3611025032102070053&amp;isNoScr=script&amp;mode=search", "토지이음")</f>
        <v/>
      </c>
      <c r="L4814" s="3" t="inlineStr">
        <is>
          <t>미스터홈즈강남지사</t>
        </is>
      </c>
      <c r="M4814" s="3" t="n">
        <v>1</v>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3" t="inlineStr">
        <is>
          <t>서창역 역세권토지,4차선 도로접,향후 투자가지 기대 토지</t>
        </is>
      </c>
      <c r="I4815" s="5">
        <f>HYPERLINK("https://fin.land.naver.com/articles/2644134802", "매물Link")</f>
        <v/>
      </c>
      <c r="J4815" s="5">
        <f>HYPERLINK("https://map.naver.com/p/search/조치원읍 신안리 207-9", "지도Link")</f>
        <v/>
      </c>
      <c r="K4815" s="5">
        <f>HYPERLINK("http://www.eum.go.kr/web/ar/lu/luLandDet.jsp?pnu=3611025032102070009&amp;isNoScr=script&amp;mode=search", "토지이음")</f>
        <v/>
      </c>
      <c r="L4815" s="3" t="inlineStr">
        <is>
          <t>신안무소</t>
        </is>
      </c>
      <c r="M4815" s="3" t="n">
        <v>1</v>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3" t="inlineStr">
        <is>
          <t>서창역세권 개발예정지, 홍익대학교 인접, 철도보호지구</t>
        </is>
      </c>
      <c r="I4816" s="5">
        <f>HYPERLINK("https://fin.land.naver.com/articles/2645604979", "매물Link")</f>
        <v/>
      </c>
      <c r="J4816" s="5">
        <f>HYPERLINK("https://map.naver.com/p/search/조치원읍 신안리 243-10", "지도Link")</f>
        <v/>
      </c>
      <c r="K4816" s="5">
        <f>HYPERLINK("http://www.eum.go.kr/web/ar/lu/luLandDet.jsp?pnu=3611025032102430010&amp;isNoScr=script&amp;mode=search", "토지이음")</f>
        <v/>
      </c>
      <c r="L4816" s="3" t="inlineStr">
        <is>
          <t>미스터홈즈강남지사</t>
        </is>
      </c>
      <c r="M4816" s="3" t="n">
        <v>1</v>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3" t="inlineStr">
        <is>
          <t>홍익대 근접 거리, 원룸 지으실 분 추천요.</t>
        </is>
      </c>
      <c r="I4817" s="5">
        <f>HYPERLINK("https://fin.land.naver.com/articles/2644042478", "매물Link")</f>
        <v/>
      </c>
      <c r="J4817" s="5">
        <f>HYPERLINK("https://map.naver.com/p/search/조치원읍 신안리 341-17", "지도Link")</f>
        <v/>
      </c>
      <c r="K4817" s="5">
        <f>HYPERLINK("http://www.eum.go.kr/web/ar/lu/luLandDet.jsp?pnu=3611025032103410017&amp;isNoScr=script&amp;mode=search", "토지이음")</f>
        <v/>
      </c>
      <c r="L4817" s="3" t="inlineStr">
        <is>
          <t>세종공감</t>
        </is>
      </c>
      <c r="M4817" s="3" t="n">
        <v>1</v>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3" t="inlineStr">
        <is>
          <t>도시지역 대로접, 2종일반주거지역,넓은 면적 위치좋은 토지</t>
        </is>
      </c>
      <c r="I4818" s="5">
        <f>HYPERLINK("https://fin.land.naver.com/articles/2647781403", "매물Link")</f>
        <v/>
      </c>
      <c r="J4818" s="5">
        <f>HYPERLINK("https://map.naver.com/p/search/조치원읍 신안리 35-17", "지도Link")</f>
        <v/>
      </c>
      <c r="K4818" s="5">
        <f>HYPERLINK("http://www.eum.go.kr/web/ar/lu/luLandDet.jsp?pnu=3611025032100350017&amp;isNoScr=script&amp;mode=search", "토지이음")</f>
        <v/>
      </c>
      <c r="L4818" s="3" t="inlineStr">
        <is>
          <t>고운맘</t>
        </is>
      </c>
      <c r="M4818" s="3" t="n">
        <v>1</v>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3" t="inlineStr">
        <is>
          <t>2차선도로접,대학교 주변 상권좋음</t>
        </is>
      </c>
      <c r="I4819" s="5">
        <f>HYPERLINK("https://fin.land.naver.com/articles/2643941725", "매물Link")</f>
        <v/>
      </c>
      <c r="J4819" s="5">
        <f>HYPERLINK("https://map.naver.com/p/search/조치원읍 신안리 383-1", "지도Link")</f>
        <v/>
      </c>
      <c r="K4819" s="5">
        <f>HYPERLINK("http://www.eum.go.kr/web/ar/lu/luLandDet.jsp?pnu=3611025032103830001&amp;isNoScr=script&amp;mode=search", "토지이음")</f>
        <v/>
      </c>
      <c r="L4819" s="3" t="inlineStr">
        <is>
          <t>세종연동탑</t>
        </is>
      </c>
      <c r="M4819" s="3" t="n">
        <v>2</v>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3" t="inlineStr">
        <is>
          <t>대지가격으로 매매합니다.12억평750만원</t>
        </is>
      </c>
      <c r="I4820" s="5">
        <f>HYPERLINK("https://fin.land.naver.com/articles/2644326062", "매물Link")</f>
        <v/>
      </c>
      <c r="J4820" s="5">
        <f>HYPERLINK("https://map.naver.com/p/search/조치원읍 신안리 390", "지도Link")</f>
        <v/>
      </c>
      <c r="K4820" s="5">
        <f>HYPERLINK("http://www.eum.go.kr/web/ar/lu/luLandDet.jsp?pnu=3611025032103900000&amp;isNoScr=script&amp;mode=search", "토지이음")</f>
        <v/>
      </c>
      <c r="L4820" s="3" t="inlineStr">
        <is>
          <t>고잔역</t>
        </is>
      </c>
      <c r="M4820" s="3" t="n">
        <v>1</v>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3" t="inlineStr">
        <is>
          <t>nan</t>
        </is>
      </c>
      <c r="I4821" s="5">
        <f>HYPERLINK("https://fin.land.naver.com/articles/2646714026", "매물Link")</f>
        <v/>
      </c>
      <c r="J4821" s="5">
        <f>HYPERLINK("https://map.naver.com/p/search/조치원읍 신안리 399-2", "지도Link")</f>
        <v/>
      </c>
      <c r="K4821" s="5">
        <f>HYPERLINK("http://www.eum.go.kr/web/ar/lu/luLandDet.jsp?pnu=3611025032103990002&amp;isNoScr=script&amp;mode=search", "토지이음")</f>
        <v/>
      </c>
      <c r="L4821" s="3" t="inlineStr">
        <is>
          <t>빛나</t>
        </is>
      </c>
      <c r="M4821" s="3" t="n">
        <v>1</v>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3" t="inlineStr">
        <is>
          <t>10~12m 도로접한 조치원 주거배후 대형 개발형 토지</t>
        </is>
      </c>
      <c r="I4822" s="5">
        <f>HYPERLINK("https://fin.land.naver.com/articles/2648848431", "매물Link")</f>
        <v/>
      </c>
      <c r="J4822" s="5">
        <f>HYPERLINK("https://map.naver.com/p/search/조치원읍 신안리 427-21", "지도Link")</f>
        <v/>
      </c>
      <c r="K4822" s="5">
        <f>HYPERLINK("http://www.eum.go.kr/web/ar/lu/luLandDet.jsp?pnu=3611025032104270021&amp;isNoScr=script&amp;mode=search", "토지이음")</f>
        <v/>
      </c>
      <c r="L4822" s="3" t="inlineStr">
        <is>
          <t>세종소담황금</t>
        </is>
      </c>
      <c r="M4822" s="3" t="n">
        <v>1</v>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3" t="inlineStr">
        <is>
          <t>조치원읍 신안리 자연녹지 토지, 네모반듯, 신안지구 개발지, 단독주택</t>
        </is>
      </c>
      <c r="I4823" s="5">
        <f>HYPERLINK("https://fin.land.naver.com/articles/2645819987", "매물Link")</f>
        <v/>
      </c>
      <c r="J4823" s="5">
        <f>HYPERLINK("https://map.naver.com/p/search/조치원읍 신안리 436-3", "지도Link")</f>
        <v/>
      </c>
      <c r="K4823" s="5">
        <f>HYPERLINK("http://www.eum.go.kr/web/ar/lu/luLandDet.jsp?pnu=3611025032104360003&amp;isNoScr=script&amp;mode=search", "토지이음")</f>
        <v/>
      </c>
      <c r="L4823" s="3" t="inlineStr">
        <is>
          <t>스카이</t>
        </is>
      </c>
      <c r="M4823" s="3" t="n">
        <v>1</v>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3" t="inlineStr">
        <is>
          <t>이편한세상 아파트 983세대  초인접 공영주차장 이용가능</t>
        </is>
      </c>
      <c r="I4824" s="5">
        <f>HYPERLINK("https://fin.land.naver.com/articles/2649611209", "매물Link")</f>
        <v/>
      </c>
      <c r="J4824" s="5">
        <f>HYPERLINK("https://map.naver.com/p/search/조치원읍 신안리 436-3", "지도Link")</f>
        <v/>
      </c>
      <c r="K4824" s="5">
        <f>HYPERLINK("http://www.eum.go.kr/web/ar/lu/luLandDet.jsp?pnu=3611025032104360003&amp;isNoScr=script&amp;mode=search", "토지이음")</f>
        <v/>
      </c>
      <c r="L4824" s="3" t="inlineStr">
        <is>
          <t>그래그</t>
        </is>
      </c>
      <c r="M4824" s="3" t="n">
        <v>2</v>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3" t="inlineStr">
        <is>
          <t>3면 포장도로 접함 이편한세상 984세대 인접 공영주차장이용가능</t>
        </is>
      </c>
      <c r="I4825" s="5">
        <f>HYPERLINK("https://fin.land.naver.com/articles/2649618845", "매물Link")</f>
        <v/>
      </c>
      <c r="J4825" s="5">
        <f>HYPERLINK("https://map.naver.com/p/search/조치원읍 신안리 436-4", "지도Link")</f>
        <v/>
      </c>
      <c r="K4825" s="5">
        <f>HYPERLINK("http://www.eum.go.kr/web/ar/lu/luLandDet.jsp?pnu=3611025032104360004&amp;isNoScr=script&amp;mode=search", "토지이음")</f>
        <v/>
      </c>
      <c r="L4825" s="3" t="inlineStr">
        <is>
          <t>그래그</t>
        </is>
      </c>
      <c r="M4825" s="3" t="n">
        <v>1</v>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3" t="inlineStr">
        <is>
          <t>신안리 이편한세상 아파트 초인접, 3면 포장도로 접한 음식점,커피숍</t>
        </is>
      </c>
      <c r="I4826" s="5">
        <f>HYPERLINK("https://fin.land.naver.com/articles/2645198043", "매물Link")</f>
        <v/>
      </c>
      <c r="J4826" s="5">
        <f>HYPERLINK("https://map.naver.com/p/search/조치원읍 신안리 436-4", "지도Link")</f>
        <v/>
      </c>
      <c r="K4826" s="5">
        <f>HYPERLINK("http://www.eum.go.kr/web/ar/lu/luLandDet.jsp?pnu=3611025032104360004&amp;isNoScr=script&amp;mode=search", "토지이음")</f>
        <v/>
      </c>
      <c r="L4826" s="3" t="inlineStr">
        <is>
          <t>세종나라</t>
        </is>
      </c>
      <c r="M4826" s="3" t="n">
        <v>1</v>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3" t="inlineStr">
        <is>
          <t>신안리 자연녹지 토지, 3면도로 접, 아파트개발지 옆, 근생시설 등</t>
        </is>
      </c>
      <c r="I4827" s="5">
        <f>HYPERLINK("https://fin.land.naver.com/articles/2645820022", "매물Link")</f>
        <v/>
      </c>
      <c r="J4827" s="5">
        <f>HYPERLINK("https://map.naver.com/p/search/조치원읍 신안리 436-4", "지도Link")</f>
        <v/>
      </c>
      <c r="K4827" s="5">
        <f>HYPERLINK("http://www.eum.go.kr/web/ar/lu/luLandDet.jsp?pnu=3611025032104360004&amp;isNoScr=script&amp;mode=search", "토지이음")</f>
        <v/>
      </c>
      <c r="L4827" s="3" t="inlineStr">
        <is>
          <t>스카이</t>
        </is>
      </c>
      <c r="M4827" s="3" t="n">
        <v>1</v>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3" t="inlineStr">
        <is>
          <t>입지가 최상인 토지입니다.</t>
        </is>
      </c>
      <c r="I4828" s="5">
        <f>HYPERLINK("https://fin.land.naver.com/articles/2649402434", "매물Link")</f>
        <v/>
      </c>
      <c r="J4828" s="5">
        <f>HYPERLINK("https://map.naver.com/p/search/조치원읍 신안리 445-4", "지도Link")</f>
        <v/>
      </c>
      <c r="K4828" s="5">
        <f>HYPERLINK("http://www.eum.go.kr/web/ar/lu/luLandDet.jsp?pnu=3611025032104450004&amp;isNoScr=script&amp;mode=search", "토지이음")</f>
        <v/>
      </c>
      <c r="L4828" s="3" t="inlineStr">
        <is>
          <t>부자터</t>
        </is>
      </c>
      <c r="M4828" s="3" t="n">
        <v>1</v>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3" t="inlineStr">
        <is>
          <t>하우스,전기,지하수 관정이 있는 밭</t>
        </is>
      </c>
      <c r="I4829" s="5">
        <f>HYPERLINK("https://fin.land.naver.com/articles/2648499050", "매물Link")</f>
        <v/>
      </c>
      <c r="J4829" s="5">
        <f>HYPERLINK("https://map.naver.com/p/search/조치원읍 신안리 68-19", "지도Link")</f>
        <v/>
      </c>
      <c r="K4829" s="5">
        <f>HYPERLINK("http://www.eum.go.kr/web/ar/lu/luLandDet.jsp?pnu=3611025032100680019&amp;isNoScr=script&amp;mode=search", "토지이음")</f>
        <v/>
      </c>
      <c r="L4829" s="3" t="inlineStr">
        <is>
          <t>지성</t>
        </is>
      </c>
      <c r="M4829" s="3" t="n">
        <v>1</v>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3" t="inlineStr">
        <is>
          <t>제2종일반주거지역 성장관리계획구역</t>
        </is>
      </c>
      <c r="I4830" s="5">
        <f>HYPERLINK("https://fin.land.naver.com/articles/2646637900", "매물Link")</f>
        <v/>
      </c>
      <c r="J4830" s="5">
        <f>HYPERLINK("https://map.naver.com/p/search/조치원읍 신안리 산13", "지도Link")</f>
        <v/>
      </c>
      <c r="K4830" s="5">
        <f>HYPERLINK("http://www.eum.go.kr/web/ar/lu/luLandDet.jsp?pnu=3611025032200130000&amp;isNoScr=script&amp;mode=search", "토지이음")</f>
        <v/>
      </c>
      <c r="L4830" s="3" t="inlineStr">
        <is>
          <t>건국</t>
        </is>
      </c>
      <c r="M4830" s="3" t="n">
        <v>1</v>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3" t="inlineStr">
        <is>
          <t>총5필지,세종 홍대근접,도로접</t>
        </is>
      </c>
      <c r="I4831" s="5">
        <f>HYPERLINK("https://fin.land.naver.com/articles/2645456042", "매물Link")</f>
        <v/>
      </c>
      <c r="J4831" s="5">
        <f>HYPERLINK("https://map.naver.com/p/search/조치원읍 신안리 산8-37", "지도Link")</f>
        <v/>
      </c>
      <c r="K4831" s="5">
        <f>HYPERLINK("http://www.eum.go.kr/web/ar/lu/luLandDet.jsp?pnu=3611025032200080037&amp;isNoScr=script&amp;mode=search", "토지이음")</f>
        <v/>
      </c>
      <c r="L4831" s="3" t="inlineStr">
        <is>
          <t>담뜰</t>
        </is>
      </c>
      <c r="M4831" s="3" t="n">
        <v>1</v>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3" t="inlineStr">
        <is>
          <t>신흥리 코너 넓은나대지 활용가치좋음</t>
        </is>
      </c>
      <c r="I4832" s="5">
        <f>HYPERLINK("https://fin.land.naver.com/articles/2646394433", "매물Link")</f>
        <v/>
      </c>
      <c r="J4832" s="5">
        <f>HYPERLINK("https://map.naver.com/p/search/조치원읍 신흥리 1-5", "지도Link")</f>
        <v/>
      </c>
      <c r="K4832" s="5">
        <f>HYPERLINK("http://www.eum.go.kr/web/ar/lu/luLandDet.jsp?pnu=3611025029100010005&amp;isNoScr=script&amp;mode=search", "토지이음")</f>
        <v/>
      </c>
      <c r="L4832" s="3" t="inlineStr">
        <is>
          <t>다옴</t>
        </is>
      </c>
      <c r="M4832" s="3" t="n">
        <v>1</v>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3" t="inlineStr">
        <is>
          <t>신흥리 2종일반주거지역 급매. 맹지이나 진입로 있음</t>
        </is>
      </c>
      <c r="I4833" s="5">
        <f>HYPERLINK("https://fin.land.naver.com/articles/2645324837", "매물Link")</f>
        <v/>
      </c>
      <c r="J4833" s="5">
        <f>HYPERLINK("https://map.naver.com/p/search/조치원읍 신흥리 100-2", "지도Link")</f>
        <v/>
      </c>
      <c r="K4833" s="5">
        <f>HYPERLINK("http://www.eum.go.kr/web/ar/lu/luLandDet.jsp?pnu=3611025029101000002&amp;isNoScr=script&amp;mode=search", "토지이음")</f>
        <v/>
      </c>
      <c r="L4833" s="3" t="inlineStr">
        <is>
          <t>세종대장</t>
        </is>
      </c>
      <c r="M4833" s="3" t="n">
        <v>1</v>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3" t="inlineStr">
        <is>
          <t>신흥 아파트단지 중심지역 대도로변 코너각지</t>
        </is>
      </c>
      <c r="I4834" s="5">
        <f>HYPERLINK("https://fin.land.naver.com/articles/2648777123", "매물Link")</f>
        <v/>
      </c>
      <c r="J4834" s="5">
        <f>HYPERLINK("https://map.naver.com/p/search/조치원읍 신흥리 198-1", "지도Link")</f>
        <v/>
      </c>
      <c r="K4834" s="5">
        <f>HYPERLINK("http://www.eum.go.kr/web/ar/lu/luLandDet.jsp?pnu=3611025029101980001&amp;isNoScr=script&amp;mode=search", "토지이음")</f>
        <v/>
      </c>
      <c r="L4834" s="3" t="inlineStr">
        <is>
          <t>뉴신세계</t>
        </is>
      </c>
      <c r="M4834" s="3" t="n">
        <v>2</v>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3" t="inlineStr">
        <is>
          <t>투자가치가 높은 세종시 조치원읍 신흥리 토지</t>
        </is>
      </c>
      <c r="I4835" s="5">
        <f>HYPERLINK("https://fin.land.naver.com/articles/2648407574", "매물Link")</f>
        <v/>
      </c>
      <c r="J4835" s="5">
        <f>HYPERLINK("https://map.naver.com/p/search/조치원읍 신흥리 288-1", "지도Link")</f>
        <v/>
      </c>
      <c r="K4835" s="5">
        <f>HYPERLINK("http://www.eum.go.kr/web/ar/lu/luLandDet.jsp?pnu=3611025029102880001&amp;isNoScr=script&amp;mode=search", "토지이음")</f>
        <v/>
      </c>
      <c r="L4835" s="3" t="inlineStr">
        <is>
          <t>비전</t>
        </is>
      </c>
      <c r="M4835" s="3" t="n">
        <v>1</v>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3" t="inlineStr">
        <is>
          <t>추천. 조치원 신흥사거리 대지</t>
        </is>
      </c>
      <c r="I4836" s="5">
        <f>HYPERLINK("https://fin.land.naver.com/articles/2649193837", "매물Link")</f>
        <v/>
      </c>
      <c r="J4836" s="5">
        <f>HYPERLINK("https://map.naver.com/p/search/조치원읍 신흥리 288-1", "지도Link")</f>
        <v/>
      </c>
      <c r="K4836" s="5">
        <f>HYPERLINK("http://www.eum.go.kr/web/ar/lu/luLandDet.jsp?pnu=3611025029102880001&amp;isNoScr=script&amp;mode=search", "토지이음")</f>
        <v/>
      </c>
      <c r="L4836" s="3" t="inlineStr">
        <is>
          <t>강아지풀</t>
        </is>
      </c>
      <c r="M4836" s="3" t="n">
        <v>1</v>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3" t="inlineStr">
        <is>
          <t>투자가치가 높은 세종시 조치원읍 신흥리 토지</t>
        </is>
      </c>
      <c r="I4837" s="5">
        <f>HYPERLINK("https://fin.land.naver.com/articles/2647920832", "매물Link")</f>
        <v/>
      </c>
      <c r="J4837" s="5">
        <f>HYPERLINK("https://map.naver.com/p/search/조치원읍 신흥리 288-2", "지도Link")</f>
        <v/>
      </c>
      <c r="K4837" s="5">
        <f>HYPERLINK("http://www.eum.go.kr/web/ar/lu/luLandDet.jsp?pnu=3611025029102880002&amp;isNoScr=script&amp;mode=search", "토지이음")</f>
        <v/>
      </c>
      <c r="L4837" s="3" t="inlineStr">
        <is>
          <t>비전</t>
        </is>
      </c>
      <c r="M4837" s="3" t="n">
        <v>1</v>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3" t="inlineStr">
        <is>
          <t>신흥파닭인근 신축투자,보유 좋은 저렴토지</t>
        </is>
      </c>
      <c r="I4838" s="5">
        <f>HYPERLINK("https://fin.land.naver.com/articles/2646394684", "매물Link")</f>
        <v/>
      </c>
      <c r="J4838" s="5">
        <f>HYPERLINK("https://map.naver.com/p/search/조치원읍 신흥리 49-19", "지도Link")</f>
        <v/>
      </c>
      <c r="K4838" s="5">
        <f>HYPERLINK("http://www.eum.go.kr/web/ar/lu/luLandDet.jsp?pnu=3611025029100490019&amp;isNoScr=script&amp;mode=search", "토지이음")</f>
        <v/>
      </c>
      <c r="L4838" s="3" t="inlineStr">
        <is>
          <t>다옴</t>
        </is>
      </c>
      <c r="M4838" s="3" t="n">
        <v>1</v>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3" t="inlineStr">
        <is>
          <t>보건소옆 코너각지 토지매매</t>
        </is>
      </c>
      <c r="I4839" s="5">
        <f>HYPERLINK("https://fin.land.naver.com/articles/2646862734", "매물Link")</f>
        <v/>
      </c>
      <c r="J4839" s="5">
        <f>HYPERLINK("https://map.naver.com/p/search/조치원읍 신흥리 55-2", "지도Link")</f>
        <v/>
      </c>
      <c r="K4839" s="5">
        <f>HYPERLINK("http://www.eum.go.kr/web/ar/lu/luLandDet.jsp?pnu=3611025029100550002&amp;isNoScr=script&amp;mode=search", "토지이음")</f>
        <v/>
      </c>
      <c r="L4839" s="3" t="inlineStr">
        <is>
          <t>세종땅사랑</t>
        </is>
      </c>
      <c r="M4839" s="3" t="n">
        <v>1</v>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3" t="inlineStr">
        <is>
          <t>신흥리 2차선 접한 토지 사옥및주택추천</t>
        </is>
      </c>
      <c r="I4840" s="5">
        <f>HYPERLINK("https://fin.land.naver.com/articles/2645871900", "매물Link")</f>
        <v/>
      </c>
      <c r="J4840" s="5">
        <f>HYPERLINK("https://map.naver.com/p/search/조치원읍 신흥리 62-8", "지도Link")</f>
        <v/>
      </c>
      <c r="K4840" s="5">
        <f>HYPERLINK("http://www.eum.go.kr/web/ar/lu/luLandDet.jsp?pnu=3611025029100620008&amp;isNoScr=script&amp;mode=search", "토지이음")</f>
        <v/>
      </c>
      <c r="L4840" s="3" t="inlineStr">
        <is>
          <t>OK수</t>
        </is>
      </c>
      <c r="M4840" s="3" t="n">
        <v>1</v>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3" t="inlineStr">
        <is>
          <t>nan</t>
        </is>
      </c>
      <c r="I4841" s="5">
        <f>HYPERLINK("https://fin.land.naver.com/articles/2645024365", "매물Link")</f>
        <v/>
      </c>
      <c r="J4841" s="5">
        <f>HYPERLINK("https://map.naver.com/p/search/조치원읍 원리 8-9", "지도Link")</f>
        <v/>
      </c>
      <c r="K4841" s="5">
        <f>HYPERLINK("http://www.eum.go.kr/web/ar/lu/luLandDet.jsp?pnu=3611025021100080009&amp;isNoScr=script&amp;mode=search", "토지이음")</f>
        <v/>
      </c>
      <c r="L4841" s="3" t="inlineStr">
        <is>
          <t>한아름</t>
        </is>
      </c>
      <c r="M4841" s="3" t="n">
        <v>1</v>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3" t="inlineStr">
        <is>
          <t>전통시장 근접한 대지로 단독주택 또는 원룸건축에 좋은 위치입니다.</t>
        </is>
      </c>
      <c r="I4842" s="5">
        <f>HYPERLINK("https://fin.land.naver.com/articles/2649493411", "매물Link")</f>
        <v/>
      </c>
      <c r="J4842" s="5">
        <f>HYPERLINK("https://map.naver.com/p/search/조치원읍 정리 52-6", "지도Link")</f>
        <v/>
      </c>
      <c r="K4842" s="5">
        <f>HYPERLINK("http://www.eum.go.kr/web/ar/lu/luLandDet.jsp?pnu=3611025025100520006&amp;isNoScr=script&amp;mode=search", "토지이음")</f>
        <v/>
      </c>
      <c r="L4842" s="3" t="inlineStr">
        <is>
          <t>가람</t>
        </is>
      </c>
      <c r="M4842" s="3" t="n">
        <v>1</v>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3" t="inlineStr">
        <is>
          <t>2차선3거리코너,주변아파트.상가주택형성,투자가치좋아요</t>
        </is>
      </c>
      <c r="I4843" s="5">
        <f>HYPERLINK("https://fin.land.naver.com/articles/2646023344", "매물Link")</f>
        <v/>
      </c>
      <c r="J4843" s="5">
        <f>HYPERLINK("https://map.naver.com/p/search/조치원읍 죽림리 184-15", "지도Link")</f>
        <v/>
      </c>
      <c r="K4843" s="5">
        <f>HYPERLINK("http://www.eum.go.kr/web/ar/lu/luLandDet.jsp?pnu=3611025030101840015&amp;isNoScr=script&amp;mode=search", "토지이음")</f>
        <v/>
      </c>
      <c r="L4843" s="3" t="inlineStr">
        <is>
          <t>힐스테이트행복</t>
        </is>
      </c>
      <c r="M4843" s="3" t="n">
        <v>1</v>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3" t="inlineStr">
        <is>
          <t>2면 도로접한 도시지역,근생시설,제2종일반주거지역,다용도 사용가능</t>
        </is>
      </c>
      <c r="I4844" s="5">
        <f>HYPERLINK("https://fin.land.naver.com/articles/2647778364", "매물Link")</f>
        <v/>
      </c>
      <c r="J4844" s="5">
        <f>HYPERLINK("https://map.naver.com/p/search/조치원읍 죽림리 240", "지도Link")</f>
        <v/>
      </c>
      <c r="K4844" s="5">
        <f>HYPERLINK("http://www.eum.go.kr/web/ar/lu/luLandDet.jsp?pnu=3611025030102400000&amp;isNoScr=script&amp;mode=search", "토지이음")</f>
        <v/>
      </c>
      <c r="L4844" s="3" t="inlineStr">
        <is>
          <t>고운맘</t>
        </is>
      </c>
      <c r="M4844" s="3" t="n">
        <v>1</v>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3" t="inlineStr">
        <is>
          <t>Click 홈플러스 옆 3필지 도로접 Click</t>
        </is>
      </c>
      <c r="I4845" s="5">
        <f>HYPERLINK("https://fin.land.naver.com/articles/2645847490", "매물Link")</f>
        <v/>
      </c>
      <c r="J4845" s="5">
        <f>HYPERLINK("https://map.naver.com/p/search/조치원읍 죽림리 315-2", "지도Link")</f>
        <v/>
      </c>
      <c r="K4845" s="5">
        <f>HYPERLINK("http://www.eum.go.kr/web/ar/lu/luLandDet.jsp?pnu=3611025030103150002&amp;isNoScr=script&amp;mode=search", "토지이음")</f>
        <v/>
      </c>
      <c r="L4845" s="3" t="inlineStr">
        <is>
          <t>해뜰</t>
        </is>
      </c>
      <c r="M4845" s="3" t="n">
        <v>1</v>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3" t="inlineStr">
        <is>
          <t>세종북부경찰서와 파밀리에아파트, 그리고 원룸이 인접해 있음</t>
        </is>
      </c>
      <c r="I4846" s="5">
        <f>HYPERLINK("https://fin.land.naver.com/articles/2646696438", "매물Link")</f>
        <v/>
      </c>
      <c r="J4846" s="5">
        <f>HYPERLINK("https://map.naver.com/p/search/조치원읍 죽림리 342", "지도Link")</f>
        <v/>
      </c>
      <c r="K4846" s="5">
        <f>HYPERLINK("http://www.eum.go.kr/web/ar/lu/luLandDet.jsp?pnu=3611025030103420000&amp;isNoScr=script&amp;mode=search", "토지이음")</f>
        <v/>
      </c>
      <c r="L4846" s="3" t="inlineStr">
        <is>
          <t>가람</t>
        </is>
      </c>
      <c r="M4846" s="3" t="n">
        <v>1</v>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3" t="inlineStr">
        <is>
          <t>죽림오거리 엘지전자샾 주변,도시지역,제2종일반주거지역.도로접함,다용도 굿</t>
        </is>
      </c>
      <c r="I4847" s="5">
        <f>HYPERLINK("https://fin.land.naver.com/articles/2649742867", "매물Link")</f>
        <v/>
      </c>
      <c r="J4847" s="5">
        <f>HYPERLINK("https://map.naver.com/p/search/조치원읍 죽림리 46-2", "지도Link")</f>
        <v/>
      </c>
      <c r="K4847" s="5">
        <f>HYPERLINK("http://www.eum.go.kr/web/ar/lu/luLandDet.jsp?pnu=3611025030100460002&amp;isNoScr=script&amp;mode=search", "토지이음")</f>
        <v/>
      </c>
      <c r="L4847" s="3" t="inlineStr">
        <is>
          <t>미래타운</t>
        </is>
      </c>
      <c r="M4847" s="3" t="n">
        <v>1</v>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3" t="inlineStr">
        <is>
          <t>조치원 침산리 토지 매매 102㎡ 단독필지</t>
        </is>
      </c>
      <c r="I4848" s="5">
        <f>HYPERLINK("https://fin.land.naver.com/articles/2645278744", "매물Link")</f>
        <v/>
      </c>
      <c r="J4848" s="5">
        <f>HYPERLINK("https://map.naver.com/p/search/조치원읍 침산리 111-18", "지도Link")</f>
        <v/>
      </c>
      <c r="K4848" s="5">
        <f>HYPERLINK("http://www.eum.go.kr/web/ar/lu/luLandDet.jsp?pnu=3611025028101110018&amp;isNoScr=script&amp;mode=search", "토지이음")</f>
        <v/>
      </c>
      <c r="L4848" s="3" t="inlineStr">
        <is>
          <t>세종공감</t>
        </is>
      </c>
      <c r="M4848" s="3" t="n">
        <v>1</v>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3" t="inlineStr">
        <is>
          <t>조치원역인접.나대지상태.상가주택부지.장기투자가치.교통편리.제2종주거지역</t>
        </is>
      </c>
      <c r="I4849" s="5">
        <f>HYPERLINK("https://fin.land.naver.com/articles/2649220962", "매물Link")</f>
        <v/>
      </c>
      <c r="J4849" s="5">
        <f>HYPERLINK("https://map.naver.com/p/search/조치원읍 침산리 123-2", "지도Link")</f>
        <v/>
      </c>
      <c r="K4849" s="5">
        <f>HYPERLINK("http://www.eum.go.kr/web/ar/lu/luLandDet.jsp?pnu=3611025028101230002&amp;isNoScr=script&amp;mode=search", "토지이음")</f>
        <v/>
      </c>
      <c r="L4849" s="3" t="inlineStr">
        <is>
          <t>돈방석</t>
        </is>
      </c>
      <c r="M4849" s="3" t="n">
        <v>1</v>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3" t="inlineStr">
        <is>
          <t>조치원역 도보권, 입지좋은상가 2층건물 포함 일괄매매</t>
        </is>
      </c>
      <c r="I4850" s="5">
        <f>HYPERLINK("https://fin.land.naver.com/articles/2646909998", "매물Link")</f>
        <v/>
      </c>
      <c r="J4850" s="5">
        <f>HYPERLINK("https://map.naver.com/p/search/조치원읍 침산리 144-9", "지도Link")</f>
        <v/>
      </c>
      <c r="K4850" s="5">
        <f>HYPERLINK("http://www.eum.go.kr/web/ar/lu/luLandDet.jsp?pnu=3611025028101440009&amp;isNoScr=script&amp;mode=search", "토지이음")</f>
        <v/>
      </c>
      <c r="L4850" s="3" t="inlineStr">
        <is>
          <t>다옴</t>
        </is>
      </c>
      <c r="M4850" s="3" t="n">
        <v>1</v>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3" t="inlineStr">
        <is>
          <t>조치원역뒤, 상가포함 좋은입지 일괄매매</t>
        </is>
      </c>
      <c r="I4851" s="5">
        <f>HYPERLINK("https://fin.land.naver.com/articles/2644592261", "매물Link")</f>
        <v/>
      </c>
      <c r="J4851" s="5">
        <f>HYPERLINK("https://map.naver.com/p/search/조치원읍 침산리 167-10", "지도Link")</f>
        <v/>
      </c>
      <c r="K4851" s="5">
        <f>HYPERLINK("http://www.eum.go.kr/web/ar/lu/luLandDet.jsp?pnu=3611025028101670010&amp;isNoScr=script&amp;mode=search", "토지이음")</f>
        <v/>
      </c>
      <c r="L4851" s="3" t="inlineStr">
        <is>
          <t>다옴</t>
        </is>
      </c>
      <c r="M4851" s="3" t="n">
        <v>1</v>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3" t="inlineStr">
        <is>
          <t>조치원역세권 개발 배후지.도시가스.상하수도 연결 완료</t>
        </is>
      </c>
      <c r="I4852" s="5">
        <f>HYPERLINK("https://fin.land.naver.com/articles/2644538359", "매물Link")</f>
        <v/>
      </c>
      <c r="J4852" s="5">
        <f>HYPERLINK("https://map.naver.com/p/search/조치원읍 침산리 185-13", "지도Link")</f>
        <v/>
      </c>
      <c r="K4852" s="5">
        <f>HYPERLINK("http://www.eum.go.kr/web/ar/lu/luLandDet.jsp?pnu=3611025028101850013&amp;isNoScr=script&amp;mode=search", "토지이음")</f>
        <v/>
      </c>
      <c r="L4852" s="3" t="inlineStr">
        <is>
          <t>굿모닝</t>
        </is>
      </c>
      <c r="M4852" s="3" t="n">
        <v>1</v>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3" t="inlineStr">
        <is>
          <t>침산리 위치 좋은 곳으로 커피숍이나 음식점 자리</t>
        </is>
      </c>
      <c r="I4853" s="5">
        <f>HYPERLINK("https://fin.land.naver.com/articles/2647576266", "매물Link")</f>
        <v/>
      </c>
      <c r="J4853" s="5">
        <f>HYPERLINK("https://map.naver.com/p/search/조치원읍 침산리 185-19", "지도Link")</f>
        <v/>
      </c>
      <c r="K4853" s="5">
        <f>HYPERLINK("http://www.eum.go.kr/web/ar/lu/luLandDet.jsp?pnu=3611025028101850019&amp;isNoScr=script&amp;mode=search", "토지이음")</f>
        <v/>
      </c>
      <c r="L4853" s="3" t="inlineStr">
        <is>
          <t>KB세종</t>
        </is>
      </c>
      <c r="M4853" s="3" t="n">
        <v>1</v>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3" t="inlineStr">
        <is>
          <t>1번국도 인근토지로 지대가 높고 다양한 용도로 활용가능. 가격조율 가능.</t>
        </is>
      </c>
      <c r="I4854" s="5">
        <f>HYPERLINK("https://fin.land.naver.com/articles/2647427896", "매물Link")</f>
        <v/>
      </c>
      <c r="J4854" s="5">
        <f>HYPERLINK("https://map.naver.com/p/search/조치원읍 침산리 203", "지도Link")</f>
        <v/>
      </c>
      <c r="K4854" s="5">
        <f>HYPERLINK("http://www.eum.go.kr/web/ar/lu/luLandDet.jsp?pnu=3611025028102030000&amp;isNoScr=script&amp;mode=search", "토지이음")</f>
        <v/>
      </c>
      <c r="L4854" s="3" t="inlineStr">
        <is>
          <t>세종대장</t>
        </is>
      </c>
      <c r="M4854" s="3" t="n">
        <v>1</v>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3" t="inlineStr">
        <is>
          <t>도도리파크, 문화예술회관 맞은편 토지</t>
        </is>
      </c>
      <c r="I4855" s="5">
        <f>HYPERLINK("https://fin.land.naver.com/articles/2648317472", "매물Link")</f>
        <v/>
      </c>
      <c r="J4855" s="5">
        <f>HYPERLINK("https://map.naver.com/p/search/조치원읍 침산리 219-3", "지도Link")</f>
        <v/>
      </c>
      <c r="K4855" s="5">
        <f>HYPERLINK("http://www.eum.go.kr/web/ar/lu/luLandDet.jsp?pnu=3611025028102190003&amp;isNoScr=script&amp;mode=search", "토지이음")</f>
        <v/>
      </c>
      <c r="L4855" s="3" t="inlineStr">
        <is>
          <t>KB세종</t>
        </is>
      </c>
      <c r="M4855" s="3" t="n">
        <v>1</v>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3" t="inlineStr">
        <is>
          <t>제1종일반주거지역, 코너토지,조치원하이마트,예술회관,조치원복컴등 인근위치</t>
        </is>
      </c>
      <c r="I4856" s="5">
        <f>HYPERLINK("https://fin.land.naver.com/articles/2643989277", "매물Link")</f>
        <v/>
      </c>
      <c r="J4856" s="5">
        <f>HYPERLINK("https://map.naver.com/p/search/조치원읍 침산리 219-3", "지도Link")</f>
        <v/>
      </c>
      <c r="K4856" s="5">
        <f>HYPERLINK("http://www.eum.go.kr/web/ar/lu/luLandDet.jsp?pnu=3611025028102190003&amp;isNoScr=script&amp;mode=search", "토지이음")</f>
        <v/>
      </c>
      <c r="L4856" s="3" t="inlineStr">
        <is>
          <t>세종일조</t>
        </is>
      </c>
      <c r="M4856" s="3" t="n">
        <v>1</v>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3" t="inlineStr">
        <is>
          <t>침산리 대로변 활용만점 넓고반듯한 토지 매매</t>
        </is>
      </c>
      <c r="I4857" s="5">
        <f>HYPERLINK("https://fin.land.naver.com/articles/2646395308", "매물Link")</f>
        <v/>
      </c>
      <c r="J4857" s="5">
        <f>HYPERLINK("https://map.naver.com/p/search/조치원읍 침산리 219-7", "지도Link")</f>
        <v/>
      </c>
      <c r="K4857" s="5">
        <f>HYPERLINK("http://www.eum.go.kr/web/ar/lu/luLandDet.jsp?pnu=3611025028102190007&amp;isNoScr=script&amp;mode=search", "토지이음")</f>
        <v/>
      </c>
      <c r="L4857" s="3" t="inlineStr">
        <is>
          <t>다옴</t>
        </is>
      </c>
      <c r="M4857" s="3" t="n">
        <v>1</v>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3" t="inlineStr">
        <is>
          <t>침산리 건축가능한 대지매물</t>
        </is>
      </c>
      <c r="I4858" s="5">
        <f>HYPERLINK("https://fin.land.naver.com/articles/2644454795", "매물Link")</f>
        <v/>
      </c>
      <c r="J4858" s="5">
        <f>HYPERLINK("https://map.naver.com/p/search/조치원읍 침산리 255-7", "지도Link")</f>
        <v/>
      </c>
      <c r="K4858" s="5">
        <f>HYPERLINK("http://www.eum.go.kr/web/ar/lu/luLandDet.jsp?pnu=3611025028102550007&amp;isNoScr=script&amp;mode=search", "토지이음")</f>
        <v/>
      </c>
      <c r="L4858" s="3" t="inlineStr">
        <is>
          <t>상희</t>
        </is>
      </c>
      <c r="M4858" s="3" t="n">
        <v>1</v>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3" t="inlineStr">
        <is>
          <t>nan</t>
        </is>
      </c>
      <c r="I4859" s="5">
        <f>HYPERLINK("https://fin.land.naver.com/articles/2647365125", "매물Link")</f>
        <v/>
      </c>
      <c r="J4859" s="5">
        <f>HYPERLINK("https://map.naver.com/p/search/조치원읍 침산리 272-9", "지도Link")</f>
        <v/>
      </c>
      <c r="K4859" s="5">
        <f>HYPERLINK("http://www.eum.go.kr/web/ar/lu/luLandDet.jsp?pnu=3611025028102720009&amp;isNoScr=script&amp;mode=search", "토지이음")</f>
        <v/>
      </c>
      <c r="L4859" s="3" t="inlineStr">
        <is>
          <t>KB세종</t>
        </is>
      </c>
      <c r="M4859" s="3" t="n">
        <v>1</v>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3" t="inlineStr">
        <is>
          <t>침산리 신봉초맞은편 1번국도초입 큰도로 접함</t>
        </is>
      </c>
      <c r="I4860" s="5">
        <f>HYPERLINK("https://fin.land.naver.com/articles/2645227377", "매물Link")</f>
        <v/>
      </c>
      <c r="J4860" s="5">
        <f>HYPERLINK("https://map.naver.com/p/search/조치원읍 침산리 275-4", "지도Link")</f>
        <v/>
      </c>
      <c r="K4860" s="5">
        <f>HYPERLINK("http://www.eum.go.kr/web/ar/lu/luLandDet.jsp?pnu=3611025028102750004&amp;isNoScr=script&amp;mode=search", "토지이음")</f>
        <v/>
      </c>
      <c r="L4860" s="3" t="inlineStr">
        <is>
          <t>OK수</t>
        </is>
      </c>
      <c r="M4860" s="3" t="n">
        <v>1</v>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3" t="inlineStr">
        <is>
          <t>침산리 대로접한 귀한토지</t>
        </is>
      </c>
      <c r="I4861" s="5">
        <f>HYPERLINK("https://fin.land.naver.com/articles/2648014040", "매물Link")</f>
        <v/>
      </c>
      <c r="J4861" s="5">
        <f>HYPERLINK("https://map.naver.com/p/search/조치원읍 침산리 278-1", "지도Link")</f>
        <v/>
      </c>
      <c r="K4861" s="5">
        <f>HYPERLINK("http://www.eum.go.kr/web/ar/lu/luLandDet.jsp?pnu=3611025028102780001&amp;isNoScr=script&amp;mode=search", "토지이음")</f>
        <v/>
      </c>
      <c r="L4861" s="3" t="inlineStr">
        <is>
          <t>동백</t>
        </is>
      </c>
      <c r="M4861" s="3" t="n">
        <v>1</v>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3" t="inlineStr">
        <is>
          <t>코너 대지 매매</t>
        </is>
      </c>
      <c r="I4862" s="5">
        <f>HYPERLINK("https://fin.land.naver.com/articles/2646280200", "매물Link")</f>
        <v/>
      </c>
      <c r="J4862" s="5">
        <f>HYPERLINK("https://map.naver.com/p/search/조치원읍 침산리 283-8", "지도Link")</f>
        <v/>
      </c>
      <c r="K4862" s="5">
        <f>HYPERLINK("http://www.eum.go.kr/web/ar/lu/luLandDet.jsp?pnu=3611025028102830008&amp;isNoScr=script&amp;mode=search", "토지이음")</f>
        <v/>
      </c>
      <c r="L4862" s="3" t="inlineStr">
        <is>
          <t>찬스</t>
        </is>
      </c>
      <c r="M4862" s="3" t="n">
        <v>1</v>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3" t="inlineStr">
        <is>
          <t>스타벅스가 선택한 그 입지, 세종 조치원 침산리 금쪽같은 토지 매매</t>
        </is>
      </c>
      <c r="I4863" s="5">
        <f>HYPERLINK("https://fin.land.naver.com/articles/2648828796", "매물Link")</f>
        <v/>
      </c>
      <c r="J4863" s="5">
        <f>HYPERLINK("https://map.naver.com/p/search/조치원읍 침산리 284-9", "지도Link")</f>
        <v/>
      </c>
      <c r="K4863" s="5">
        <f>HYPERLINK("http://www.eum.go.kr/web/ar/lu/luLandDet.jsp?pnu=3611025028102840009&amp;isNoScr=script&amp;mode=search", "토지이음")</f>
        <v/>
      </c>
      <c r="L4863" s="3" t="inlineStr">
        <is>
          <t>찬스</t>
        </is>
      </c>
      <c r="M4863" s="3" t="n">
        <v>1</v>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3" t="inlineStr">
        <is>
          <t>구역정리된 지역임</t>
        </is>
      </c>
      <c r="I4864" s="5">
        <f>HYPERLINK("https://fin.land.naver.com/articles/2646527314", "매물Link")</f>
        <v/>
      </c>
      <c r="J4864" s="5">
        <f>HYPERLINK("https://map.naver.com/p/search/조치원읍 침산리 285-16", "지도Link")</f>
        <v/>
      </c>
      <c r="K4864" s="5">
        <f>HYPERLINK("http://www.eum.go.kr/web/ar/lu/luLandDet.jsp?pnu=3611025028102850016&amp;isNoScr=script&amp;mode=search", "토지이음")</f>
        <v/>
      </c>
      <c r="L4864" s="3" t="inlineStr">
        <is>
          <t>한일</t>
        </is>
      </c>
      <c r="M4864" s="3" t="n">
        <v>1</v>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3" t="inlineStr">
        <is>
          <t>침산리 토지매매</t>
        </is>
      </c>
      <c r="I4865" s="5">
        <f>HYPERLINK("https://fin.land.naver.com/articles/2648993462", "매물Link")</f>
        <v/>
      </c>
      <c r="J4865" s="5">
        <f>HYPERLINK("https://map.naver.com/p/search/조치원읍 침산리 40", "지도Link")</f>
        <v/>
      </c>
      <c r="K4865" s="5">
        <f>HYPERLINK("http://www.eum.go.kr/web/ar/lu/luLandDet.jsp?pnu=3611025028100400000&amp;isNoScr=script&amp;mode=search", "토지이음")</f>
        <v/>
      </c>
      <c r="L4865" s="3" t="inlineStr">
        <is>
          <t>김준희</t>
        </is>
      </c>
      <c r="M4865" s="3" t="n">
        <v>1</v>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3" t="inlineStr">
        <is>
          <t>8미터도로연접, 다가구부지 추천매매</t>
        </is>
      </c>
      <c r="I4866" s="5">
        <f>HYPERLINK("https://fin.land.naver.com/articles/2646874049", "매물Link")</f>
        <v/>
      </c>
      <c r="J4866" s="5">
        <f>HYPERLINK("https://map.naver.com/p/search/조치원읍 평리 101-2", "지도Link")</f>
        <v/>
      </c>
      <c r="K4866" s="5">
        <f>HYPERLINK("http://www.eum.go.kr/web/ar/lu/luLandDet.jsp?pnu=3611025023101010002&amp;isNoScr=script&amp;mode=search", "토지이음")</f>
        <v/>
      </c>
      <c r="L4866" s="3" t="inlineStr">
        <is>
          <t>Home</t>
        </is>
      </c>
      <c r="M4866" s="3" t="n">
        <v>1</v>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3" t="inlineStr">
        <is>
          <t>일반음식점 가능 2종근생, 자이 1200세대 정문 앞 횡단보도 버스정류장</t>
        </is>
      </c>
      <c r="I4867" s="5">
        <f>HYPERLINK("https://fin.land.naver.com/articles/2650179158", "매물Link")</f>
        <v/>
      </c>
      <c r="J4867" s="5">
        <f>HYPERLINK("https://map.naver.com/p/search/집현동 1203", "지도Link")</f>
        <v/>
      </c>
      <c r="K4867" s="5">
        <f>HYPERLINK("http://www.eum.go.kr/web/ar/lu/luLandDet.jsp?pnu=3611011800112030000&amp;isNoScr=script&amp;mode=search", "토지이음")</f>
        <v/>
      </c>
      <c r="L4867" s="3" t="inlineStr">
        <is>
          <t>오송3산단  사무소</t>
        </is>
      </c>
      <c r="M4867" s="3" t="n">
        <v>1</v>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3" t="inlineStr">
        <is>
          <t>nan</t>
        </is>
      </c>
      <c r="I4868" s="5">
        <f>HYPERLINK("https://fin.land.naver.com/articles/2647860306", "매물Link")</f>
        <v/>
      </c>
      <c r="J4868" s="5">
        <f>HYPERLINK("https://map.naver.com/p/search/집현동 1217", "지도Link")</f>
        <v/>
      </c>
      <c r="K4868" s="5">
        <f>HYPERLINK("http://www.eum.go.kr/web/ar/lu/luLandDet.jsp?pnu=3611011800112170000&amp;isNoScr=script&amp;mode=search", "토지이음")</f>
        <v/>
      </c>
      <c r="L4868" s="3" t="inlineStr">
        <is>
          <t>열린자이</t>
        </is>
      </c>
      <c r="M4868" s="3" t="n">
        <v>3</v>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3" t="inlineStr">
        <is>
          <t>급매 집현동 택지</t>
        </is>
      </c>
      <c r="I4869" s="5">
        <f>HYPERLINK("https://fin.land.naver.com/articles/2646823668", "매물Link")</f>
        <v/>
      </c>
      <c r="J4869" s="5">
        <f>HYPERLINK("https://map.naver.com/p/search/집현동 1219", "지도Link")</f>
        <v/>
      </c>
      <c r="K4869" s="5">
        <f>HYPERLINK("http://www.eum.go.kr/web/ar/lu/luLandDet.jsp?pnu=3611011800112190000&amp;isNoScr=script&amp;mode=search", "토지이음")</f>
        <v/>
      </c>
      <c r="L4869" s="3" t="inlineStr">
        <is>
          <t>강아지풀</t>
        </is>
      </c>
      <c r="M4869" s="3" t="n">
        <v>1</v>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3" t="inlineStr">
        <is>
          <t>삼성천인근 남북트인위치 남쪽 보행로접함</t>
        </is>
      </c>
      <c r="I4870" s="5">
        <f>HYPERLINK("https://fin.land.naver.com/articles/2647126098", "매물Link")</f>
        <v/>
      </c>
      <c r="J4870" s="5">
        <f>HYPERLINK("https://map.naver.com/p/search/집현동 1226", "지도Link")</f>
        <v/>
      </c>
      <c r="K4870" s="5">
        <f>HYPERLINK("http://www.eum.go.kr/web/ar/lu/luLandDet.jsp?pnu=3611011800112260000&amp;isNoScr=script&amp;mode=search", "토지이음")</f>
        <v/>
      </c>
      <c r="L4870" s="3" t="inlineStr">
        <is>
          <t>세종스타</t>
        </is>
      </c>
      <c r="M4870" s="3" t="n">
        <v>2</v>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3" t="inlineStr">
        <is>
          <t>집현동 위치 좋은 단독주택, 사거리 코너 입지</t>
        </is>
      </c>
      <c r="I4871" s="5">
        <f>HYPERLINK("https://fin.land.naver.com/articles/2646691295", "매물Link")</f>
        <v/>
      </c>
      <c r="J4871" s="5">
        <f>HYPERLINK("https://map.naver.com/p/search/집현동 1226", "지도Link")</f>
        <v/>
      </c>
      <c r="K4871" s="5">
        <f>HYPERLINK("http://www.eum.go.kr/web/ar/lu/luLandDet.jsp?pnu=3611011800112260000&amp;isNoScr=script&amp;mode=search", "토지이음")</f>
        <v/>
      </c>
      <c r="L4871" s="3" t="inlineStr">
        <is>
          <t>세종무지개</t>
        </is>
      </c>
      <c r="M4871" s="3" t="n">
        <v>1</v>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3" t="inlineStr">
        <is>
          <t>집현동 위치 좋은 단독주택 토지매매, 사거리 코너 입지</t>
        </is>
      </c>
      <c r="I4872" s="5">
        <f>HYPERLINK("https://fin.land.naver.com/articles/2648137252", "매물Link")</f>
        <v/>
      </c>
      <c r="J4872" s="5">
        <f>HYPERLINK("https://map.naver.com/p/search/집현동 1226", "지도Link")</f>
        <v/>
      </c>
      <c r="K4872" s="5">
        <f>HYPERLINK("http://www.eum.go.kr/web/ar/lu/luLandDet.jsp?pnu=3611011800112260000&amp;isNoScr=script&amp;mode=search", "토지이음")</f>
        <v/>
      </c>
      <c r="L4872" s="3" t="inlineStr">
        <is>
          <t>명진</t>
        </is>
      </c>
      <c r="M4872" s="3" t="n">
        <v>1</v>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3" t="inlineStr">
        <is>
          <t>최고위치 코너각지 공원뷰 삼성천뷰</t>
        </is>
      </c>
      <c r="I4873" s="5">
        <f>HYPERLINK("https://fin.land.naver.com/articles/2649295673", "매물Link")</f>
        <v/>
      </c>
      <c r="J4873" s="5">
        <f>HYPERLINK("https://map.naver.com/p/search/집현동 1244", "지도Link")</f>
        <v/>
      </c>
      <c r="K4873" s="5">
        <f>HYPERLINK("http://www.eum.go.kr/web/ar/lu/luLandDet.jsp?pnu=3611011800112440000&amp;isNoScr=script&amp;mode=search", "토지이음")</f>
        <v/>
      </c>
      <c r="L4873" s="3" t="inlineStr">
        <is>
          <t>세종스타</t>
        </is>
      </c>
      <c r="M4873" s="3" t="n">
        <v>2</v>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3" t="inlineStr">
        <is>
          <t>코너각지 위치한 토지매매, 공원과 삼성천 뷰 가능</t>
        </is>
      </c>
      <c r="I4874" s="5">
        <f>HYPERLINK("https://fin.land.naver.com/articles/2649592856", "매물Link")</f>
        <v/>
      </c>
      <c r="J4874" s="5">
        <f>HYPERLINK("https://map.naver.com/p/search/집현동 1244", "지도Link")</f>
        <v/>
      </c>
      <c r="K4874" s="5">
        <f>HYPERLINK("http://www.eum.go.kr/web/ar/lu/luLandDet.jsp?pnu=3611011800112440000&amp;isNoScr=script&amp;mode=search", "토지이음")</f>
        <v/>
      </c>
      <c r="L4874" s="3" t="inlineStr">
        <is>
          <t>세종무지개</t>
        </is>
      </c>
      <c r="M4874" s="3" t="n">
        <v>1</v>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3" t="inlineStr">
        <is>
          <t>추천. 집현동 코너 택지</t>
        </is>
      </c>
      <c r="I4875" s="5">
        <f>HYPERLINK("https://fin.land.naver.com/articles/2645463798", "매물Link")</f>
        <v/>
      </c>
      <c r="J4875" s="5">
        <f>HYPERLINK("https://map.naver.com/p/search/집현동 1255", "지도Link")</f>
        <v/>
      </c>
      <c r="K4875" s="5">
        <f>HYPERLINK("http://www.eum.go.kr/web/ar/lu/luLandDet.jsp?pnu=3611011800112550000&amp;isNoScr=script&amp;mode=search", "토지이음")</f>
        <v/>
      </c>
      <c r="L4875" s="3" t="inlineStr">
        <is>
          <t>강아지풀</t>
        </is>
      </c>
      <c r="M4875" s="3" t="n">
        <v>1</v>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3" t="inlineStr">
        <is>
          <t>집현동 자이아파트 맞은편 횡단보도 앞 근생용지</t>
        </is>
      </c>
      <c r="I4876" s="5">
        <f>HYPERLINK("https://fin.land.naver.com/articles/2649329293", "매물Link")</f>
        <v/>
      </c>
      <c r="J4876" s="5">
        <f>HYPERLINK("https://map.naver.com/p/search/집현동 1281", "지도Link")</f>
        <v/>
      </c>
      <c r="K4876" s="5">
        <f>HYPERLINK("http://www.eum.go.kr/web/ar/lu/luLandDet.jsp?pnu=3611011800112810000&amp;isNoScr=script&amp;mode=search", "토지이음")</f>
        <v/>
      </c>
      <c r="L4876" s="3" t="inlineStr">
        <is>
          <t>국제</t>
        </is>
      </c>
      <c r="M4876" s="3" t="n">
        <v>2</v>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3" t="inlineStr">
        <is>
          <t>D2 남향 보행로접 조율가능</t>
        </is>
      </c>
      <c r="I4877" s="5">
        <f>HYPERLINK("https://fin.land.naver.com/articles/2643971231", "매물Link")</f>
        <v/>
      </c>
      <c r="J4877" s="5">
        <f>HYPERLINK("https://map.naver.com/p/search/집현동 1303", "지도Link")</f>
        <v/>
      </c>
      <c r="K4877" s="5">
        <f>HYPERLINK("http://www.eum.go.kr/web/ar/lu/luLandDet.jsp?pnu=3611011800113030000&amp;isNoScr=script&amp;mode=search", "토지이음")</f>
        <v/>
      </c>
      <c r="L4877" s="3" t="inlineStr">
        <is>
          <t>세종스타</t>
        </is>
      </c>
      <c r="M4877" s="3" t="n">
        <v>1</v>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3" t="inlineStr">
        <is>
          <t>명성공인, 전용93, 집현동 택지 추천 매물</t>
        </is>
      </c>
      <c r="I4878" s="5">
        <f>HYPERLINK("https://fin.land.naver.com/articles/2648044957", "매물Link")</f>
        <v/>
      </c>
      <c r="J4878" s="5">
        <f>HYPERLINK("https://map.naver.com/p/search/집현동 1304", "지도Link")</f>
        <v/>
      </c>
      <c r="K4878" s="5">
        <f>HYPERLINK("http://www.eum.go.kr/web/ar/lu/luLandDet.jsp?pnu=3611011800113040000&amp;isNoScr=script&amp;mode=search", "토지이음")</f>
        <v/>
      </c>
      <c r="L4878" s="3" t="inlineStr">
        <is>
          <t>명성</t>
        </is>
      </c>
      <c r="M4878" s="3" t="n">
        <v>1</v>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3" t="inlineStr">
        <is>
          <t>급매 D2 남북트인위치 남향 건축가능</t>
        </is>
      </c>
      <c r="I4879" s="5">
        <f>HYPERLINK("https://fin.land.naver.com/articles/2649617809", "매물Link")</f>
        <v/>
      </c>
      <c r="J4879" s="5">
        <f>HYPERLINK("https://map.naver.com/p/search/집현동 1310", "지도Link")</f>
        <v/>
      </c>
      <c r="K4879" s="5">
        <f>HYPERLINK("http://www.eum.go.kr/web/ar/lu/luLandDet.jsp?pnu=3611011800113100000&amp;isNoScr=script&amp;mode=search", "토지이음")</f>
        <v/>
      </c>
      <c r="L4879" s="3" t="inlineStr">
        <is>
          <t>세종스타</t>
        </is>
      </c>
      <c r="M4879" s="3" t="n">
        <v>3</v>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3" t="inlineStr">
        <is>
          <t>앞,뒤 양면도로 접한 남향필지</t>
        </is>
      </c>
      <c r="I4880" s="5">
        <f>HYPERLINK("https://fin.land.naver.com/articles/2649762430", "매물Link")</f>
        <v/>
      </c>
      <c r="J4880" s="5">
        <f>HYPERLINK("https://map.naver.com/p/search/집현동 1313", "지도Link")</f>
        <v/>
      </c>
      <c r="K4880" s="5">
        <f>HYPERLINK("http://www.eum.go.kr/web/ar/lu/luLandDet.jsp?pnu=3611011800113130000&amp;isNoScr=script&amp;mode=search", "토지이음")</f>
        <v/>
      </c>
      <c r="L4880" s="3" t="inlineStr">
        <is>
          <t>킹세종</t>
        </is>
      </c>
      <c r="M4880" s="3" t="n">
        <v>1</v>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3" t="inlineStr">
        <is>
          <t>nan</t>
        </is>
      </c>
      <c r="I4881" s="5">
        <f>HYPERLINK("https://fin.land.naver.com/articles/2645608454", "매물Link")</f>
        <v/>
      </c>
      <c r="J4881" s="5">
        <f>HYPERLINK("https://map.naver.com/p/search/집현동 1325", "지도Link")</f>
        <v/>
      </c>
      <c r="K4881" s="5">
        <f>HYPERLINK("http://www.eum.go.kr/web/ar/lu/luLandDet.jsp?pnu=3611011800113250000&amp;isNoScr=script&amp;mode=search", "토지이음")</f>
        <v/>
      </c>
      <c r="L4881" s="3" t="inlineStr">
        <is>
          <t>열린자이</t>
        </is>
      </c>
      <c r="M4881" s="3" t="n">
        <v>1</v>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3" t="inlineStr">
        <is>
          <t>코너자리로 위치좋은 단독택지 가격조정가능</t>
        </is>
      </c>
      <c r="I4882" s="5">
        <f>HYPERLINK("https://fin.land.naver.com/articles/2648981730", "매물Link")</f>
        <v/>
      </c>
      <c r="J4882" s="5">
        <f>HYPERLINK("https://map.naver.com/p/search/집현동 1337", "지도Link")</f>
        <v/>
      </c>
      <c r="K4882" s="5">
        <f>HYPERLINK("http://www.eum.go.kr/web/ar/lu/luLandDet.jsp?pnu=3611011800113370000&amp;isNoScr=script&amp;mode=search", "토지이음")</f>
        <v/>
      </c>
      <c r="L4882" s="3" t="inlineStr">
        <is>
          <t>고운동리치세종</t>
        </is>
      </c>
      <c r="M4882" s="3" t="n">
        <v>1</v>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3" t="inlineStr">
        <is>
          <t>탁트인 공원조망 위치최상 왼쪽시유지접 지대높음</t>
        </is>
      </c>
      <c r="I4883" s="5">
        <f>HYPERLINK("https://fin.land.naver.com/articles/2643970449", "매물Link")</f>
        <v/>
      </c>
      <c r="J4883" s="5">
        <f>HYPERLINK("https://map.naver.com/p/search/집현동 1343", "지도Link")</f>
        <v/>
      </c>
      <c r="K4883" s="5">
        <f>HYPERLINK("http://www.eum.go.kr/web/ar/lu/luLandDet.jsp?pnu=3611011800113430000&amp;isNoScr=script&amp;mode=search", "토지이음")</f>
        <v/>
      </c>
      <c r="L4883" s="3" t="inlineStr">
        <is>
          <t>세종스타</t>
        </is>
      </c>
      <c r="M4883" s="3" t="n">
        <v>1</v>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3" t="inlineStr">
        <is>
          <t>위치좋은 집현동토지매매 평수넓어요</t>
        </is>
      </c>
      <c r="I4884" s="5">
        <f>HYPERLINK("https://fin.land.naver.com/articles/2646730771", "매물Link")</f>
        <v/>
      </c>
      <c r="J4884" s="5">
        <f>HYPERLINK("https://map.naver.com/p/search/집현동 1348", "지도Link")</f>
        <v/>
      </c>
      <c r="K4884" s="5">
        <f>HYPERLINK("http://www.eum.go.kr/web/ar/lu/luLandDet.jsp?pnu=3611011800113480000&amp;isNoScr=script&amp;mode=search", "토지이음")</f>
        <v/>
      </c>
      <c r="L4884" s="3" t="inlineStr">
        <is>
          <t>고운동리치세종</t>
        </is>
      </c>
      <c r="M4884" s="3" t="n">
        <v>2</v>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3" t="inlineStr">
        <is>
          <t>급매, 총 84.1p, 삼거리 코너 토지</t>
        </is>
      </c>
      <c r="I4885" s="5">
        <f>HYPERLINK("https://fin.land.naver.com/articles/2646696153", "매물Link")</f>
        <v/>
      </c>
      <c r="J4885" s="5">
        <f>HYPERLINK("https://map.naver.com/p/search/한솔동 1000", "지도Link")</f>
        <v/>
      </c>
      <c r="K4885" s="5">
        <f>HYPERLINK("http://www.eum.go.kr/web/ar/lu/luLandDet.jsp?pnu=3611010600110000000&amp;isNoScr=script&amp;mode=search", "토지이음")</f>
        <v/>
      </c>
      <c r="L4885" s="3" t="inlineStr">
        <is>
          <t>세종무지개</t>
        </is>
      </c>
      <c r="M4885" s="3" t="n">
        <v>1</v>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3" t="inlineStr">
        <is>
          <t>채광좋음 상권가깝고 뒤로 보행로접함</t>
        </is>
      </c>
      <c r="I4886" s="5">
        <f>HYPERLINK("https://fin.land.naver.com/articles/2648615386", "매물Link")</f>
        <v/>
      </c>
      <c r="J4886" s="5">
        <f>HYPERLINK("https://map.naver.com/p/search/한솔동 1000", "지도Link")</f>
        <v/>
      </c>
      <c r="K4886" s="5">
        <f>HYPERLINK("http://www.eum.go.kr/web/ar/lu/luLandDet.jsp?pnu=3611010600110000000&amp;isNoScr=script&amp;mode=search", "토지이음")</f>
        <v/>
      </c>
      <c r="L4886" s="3" t="inlineStr">
        <is>
          <t>세종스타</t>
        </is>
      </c>
      <c r="M4886" s="3" t="n">
        <v>1</v>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3" t="inlineStr">
        <is>
          <t>급매, 84.1p, 삼거리 코너, 상가와 공원 인근</t>
        </is>
      </c>
      <c r="I4887" s="5">
        <f>HYPERLINK("https://fin.land.naver.com/articles/2648349468", "매물Link")</f>
        <v/>
      </c>
      <c r="J4887" s="5">
        <f>HYPERLINK("https://map.naver.com/p/search/한솔동 1000", "지도Link")</f>
        <v/>
      </c>
      <c r="K4887" s="5">
        <f>HYPERLINK("http://www.eum.go.kr/web/ar/lu/luLandDet.jsp?pnu=3611010600110000000&amp;isNoScr=script&amp;mode=search", "토지이음")</f>
        <v/>
      </c>
      <c r="L4887" s="3" t="inlineStr">
        <is>
          <t>명진</t>
        </is>
      </c>
      <c r="M4887" s="3" t="n">
        <v>1</v>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3" t="inlineStr">
        <is>
          <t>가치있는  즉시 신축 가능 추천  단독주택 도심속전원 시내 시외 진출입</t>
        </is>
      </c>
      <c r="I4888" s="5">
        <f>HYPERLINK("https://fin.land.naver.com/articles/2645899705", "매물Link")</f>
        <v/>
      </c>
      <c r="J4888" s="5">
        <f>HYPERLINK("https://map.naver.com/p/search/한솔동 1003", "지도Link")</f>
        <v/>
      </c>
      <c r="K4888" s="5">
        <f>HYPERLINK("http://www.eum.go.kr/web/ar/lu/luLandDet.jsp?pnu=3611010600110030000&amp;isNoScr=script&amp;mode=search", "토지이음")</f>
        <v/>
      </c>
      <c r="L4888" s="3" t="inlineStr">
        <is>
          <t>세종시삼성래미안</t>
        </is>
      </c>
      <c r="M4888" s="3" t="n">
        <v>1</v>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3" t="inlineStr">
        <is>
          <t>총 119.7p, 대형면적 단독주택토지, 한솔초.중.고 인접</t>
        </is>
      </c>
      <c r="I4889" s="5">
        <f>HYPERLINK("https://fin.land.naver.com/articles/2648349379", "매물Link")</f>
        <v/>
      </c>
      <c r="J4889" s="5">
        <f>HYPERLINK("https://map.naver.com/p/search/한솔동 1006", "지도Link")</f>
        <v/>
      </c>
      <c r="K4889" s="5">
        <f>HYPERLINK("http://www.eum.go.kr/web/ar/lu/luLandDet.jsp?pnu=3611010600110060000&amp;isNoScr=script&amp;mode=search", "토지이음")</f>
        <v/>
      </c>
      <c r="L4889" s="3" t="inlineStr">
        <is>
          <t>명진</t>
        </is>
      </c>
      <c r="M4889" s="3" t="n">
        <v>1</v>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3" t="inlineStr">
        <is>
          <t>단독주택 토지, 학군인접</t>
        </is>
      </c>
      <c r="I4890" s="5">
        <f>HYPERLINK("https://fin.land.naver.com/articles/2646690148", "매물Link")</f>
        <v/>
      </c>
      <c r="J4890" s="5">
        <f>HYPERLINK("https://map.naver.com/p/search/한솔동 1006", "지도Link")</f>
        <v/>
      </c>
      <c r="K4890" s="5">
        <f>HYPERLINK("http://www.eum.go.kr/web/ar/lu/luLandDet.jsp?pnu=3611010600110060000&amp;isNoScr=script&amp;mode=search", "토지이음")</f>
        <v/>
      </c>
      <c r="L4890" s="3" t="inlineStr">
        <is>
          <t>세종무지개</t>
        </is>
      </c>
      <c r="M4890" s="3" t="n">
        <v>1</v>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3" t="inlineStr">
        <is>
          <t>넓은평형 평단가 저렴한택지 추가조율가능</t>
        </is>
      </c>
      <c r="I4891" s="5">
        <f>HYPERLINK("https://fin.land.naver.com/articles/2645487020", "매물Link")</f>
        <v/>
      </c>
      <c r="J4891" s="5">
        <f>HYPERLINK("https://map.naver.com/p/search/한솔동 1006", "지도Link")</f>
        <v/>
      </c>
      <c r="K4891" s="5">
        <f>HYPERLINK("http://www.eum.go.kr/web/ar/lu/luLandDet.jsp?pnu=3611010600110060000&amp;isNoScr=script&amp;mode=search", "토지이음")</f>
        <v/>
      </c>
      <c r="L4891" s="3" t="inlineStr">
        <is>
          <t>세종스타</t>
        </is>
      </c>
      <c r="M4891" s="3" t="n">
        <v>2</v>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3" t="inlineStr">
        <is>
          <t>조정가능 한솔초중고 이마트 코스트코 인근 단독 주택지</t>
        </is>
      </c>
      <c r="I4892" s="5">
        <f>HYPERLINK("https://fin.land.naver.com/articles/2649609420", "매물Link")</f>
        <v/>
      </c>
      <c r="J4892" s="5">
        <f>HYPERLINK("https://map.naver.com/p/search/한솔동 1007", "지도Link")</f>
        <v/>
      </c>
      <c r="K4892" s="5">
        <f>HYPERLINK("http://www.eum.go.kr/web/ar/lu/luLandDet.jsp?pnu=3611010600110070000&amp;isNoScr=script&amp;mode=search", "토지이음")</f>
        <v/>
      </c>
      <c r="L4892" s="3" t="inlineStr">
        <is>
          <t>그래그</t>
        </is>
      </c>
      <c r="M4892" s="3" t="n">
        <v>1</v>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3" t="inlineStr">
        <is>
          <t>급매 추가조율가능 한솔동D3택지</t>
        </is>
      </c>
      <c r="I4893" s="5">
        <f>HYPERLINK("https://fin.land.naver.com/articles/2649812151", "매물Link")</f>
        <v/>
      </c>
      <c r="J4893" s="5">
        <f>HYPERLINK("https://map.naver.com/p/search/한솔동 1010", "지도Link")</f>
        <v/>
      </c>
      <c r="K4893" s="5">
        <f>HYPERLINK("http://www.eum.go.kr/web/ar/lu/luLandDet.jsp?pnu=3611010600110100000&amp;isNoScr=script&amp;mode=search", "토지이음")</f>
        <v/>
      </c>
      <c r="L4893" s="3" t="inlineStr">
        <is>
          <t>세종스타</t>
        </is>
      </c>
      <c r="M4893" s="3" t="n">
        <v>1</v>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3" t="inlineStr">
        <is>
          <t>가격 좋은 넓은 평형 토지매매, 조율도 가능</t>
        </is>
      </c>
      <c r="I4894" s="5">
        <f>HYPERLINK("https://fin.land.naver.com/articles/2644185684", "매물Link")</f>
        <v/>
      </c>
      <c r="J4894" s="5">
        <f>HYPERLINK("https://map.naver.com/p/search/한솔동 1036", "지도Link")</f>
        <v/>
      </c>
      <c r="K4894" s="5">
        <f>HYPERLINK("http://www.eum.go.kr/web/ar/lu/luLandDet.jsp?pnu=3611010600110360000&amp;isNoScr=script&amp;mode=search", "토지이음")</f>
        <v/>
      </c>
      <c r="L4894" s="3" t="inlineStr">
        <is>
          <t>세종무지개</t>
        </is>
      </c>
      <c r="M4894" s="3" t="n">
        <v>1</v>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3" t="inlineStr">
        <is>
          <t>제일 넓은 면적,  채광 좋음, 가격 조율 가능, 급매</t>
        </is>
      </c>
      <c r="I4895" s="5">
        <f>HYPERLINK("https://fin.land.naver.com/articles/2643912673", "매물Link")</f>
        <v/>
      </c>
      <c r="J4895" s="5">
        <f>HYPERLINK("https://map.naver.com/p/search/한솔동 1036", "지도Link")</f>
        <v/>
      </c>
      <c r="K4895" s="5">
        <f>HYPERLINK("http://www.eum.go.kr/web/ar/lu/luLandDet.jsp?pnu=3611010600110360000&amp;isNoScr=script&amp;mode=search", "토지이음")</f>
        <v/>
      </c>
      <c r="L4895" s="3" t="inlineStr">
        <is>
          <t>세종삼촌</t>
        </is>
      </c>
      <c r="M4895" s="3" t="n">
        <v>1</v>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3" t="inlineStr">
        <is>
          <t>국유지 있어 마당 넓게 나오는 택지</t>
        </is>
      </c>
      <c r="I4896" s="5">
        <f>HYPERLINK("https://fin.land.naver.com/articles/2645225616", "매물Link")</f>
        <v/>
      </c>
      <c r="J4896" s="5">
        <f>HYPERLINK("https://map.naver.com/p/search/한솔동 1058", "지도Link")</f>
        <v/>
      </c>
      <c r="K4896" s="5">
        <f>HYPERLINK("http://www.eum.go.kr/web/ar/lu/luLandDet.jsp?pnu=3611010600110580000&amp;isNoScr=script&amp;mode=search", "토지이음")</f>
        <v/>
      </c>
      <c r="L4896" s="3" t="inlineStr">
        <is>
          <t>어반나래</t>
        </is>
      </c>
      <c r="M4896" s="3" t="n">
        <v>1</v>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3" t="inlineStr">
        <is>
          <t>상가 및 대중교통 이용 편리한 위치,근린공원 근접</t>
        </is>
      </c>
      <c r="I4897" s="5">
        <f>HYPERLINK("https://fin.land.naver.com/articles/2647781186", "매물Link")</f>
        <v/>
      </c>
      <c r="J4897" s="5">
        <f>HYPERLINK("https://map.naver.com/p/search/한솔동 1059", "지도Link")</f>
        <v/>
      </c>
      <c r="K4897" s="5">
        <f>HYPERLINK("http://www.eum.go.kr/web/ar/lu/luLandDet.jsp?pnu=3611010600110590000&amp;isNoScr=script&amp;mode=search", "토지이음")</f>
        <v/>
      </c>
      <c r="L4897" s="3" t="inlineStr">
        <is>
          <t>현대파라곤</t>
        </is>
      </c>
      <c r="M4897" s="3" t="n">
        <v>2</v>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3" t="inlineStr">
        <is>
          <t>막힘없는 택지,아침뜰근린공원,학군 및 상권 생활권 편리한 위치,가격조정가</t>
        </is>
      </c>
      <c r="I4898" s="5">
        <f>HYPERLINK("https://fin.land.naver.com/articles/2644745241", "매물Link")</f>
        <v/>
      </c>
      <c r="J4898" s="5">
        <f>HYPERLINK("https://map.naver.com/p/search/한솔동 1080", "지도Link")</f>
        <v/>
      </c>
      <c r="K4898" s="5">
        <f>HYPERLINK("http://www.eum.go.kr/web/ar/lu/luLandDet.jsp?pnu=3611010600110800000&amp;isNoScr=script&amp;mode=search", "토지이음")</f>
        <v/>
      </c>
      <c r="L4898" s="3" t="inlineStr">
        <is>
          <t>고운맘</t>
        </is>
      </c>
      <c r="M4898" s="3" t="n">
        <v>1</v>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3" t="inlineStr">
        <is>
          <t>총 91.2p, 한솔동 전원주택지, 위치좋은 토지</t>
        </is>
      </c>
      <c r="I4899" s="5">
        <f>HYPERLINK("https://fin.land.naver.com/articles/2648904535", "매물Link")</f>
        <v/>
      </c>
      <c r="J4899" s="5">
        <f>HYPERLINK("https://map.naver.com/p/search/한솔동 1080", "지도Link")</f>
        <v/>
      </c>
      <c r="K4899" s="5">
        <f>HYPERLINK("http://www.eum.go.kr/web/ar/lu/luLandDet.jsp?pnu=3611010600110800000&amp;isNoScr=script&amp;mode=search", "토지이음")</f>
        <v/>
      </c>
      <c r="L4899" s="3" t="inlineStr">
        <is>
          <t>명진</t>
        </is>
      </c>
      <c r="M4899" s="3" t="n">
        <v>1</v>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3" t="inlineStr">
        <is>
          <t>총 91.2p, 근린공원인근, 조율가능</t>
        </is>
      </c>
      <c r="I4900" s="5">
        <f>HYPERLINK("https://fin.land.naver.com/articles/2646690642", "매물Link")</f>
        <v/>
      </c>
      <c r="J4900" s="5">
        <f>HYPERLINK("https://map.naver.com/p/search/한솔동 1080", "지도Link")</f>
        <v/>
      </c>
      <c r="K4900" s="5">
        <f>HYPERLINK("http://www.eum.go.kr/web/ar/lu/luLandDet.jsp?pnu=3611010600110800000&amp;isNoScr=script&amp;mode=search", "토지이음")</f>
        <v/>
      </c>
      <c r="L4900" s="3" t="inlineStr">
        <is>
          <t>세종무지개</t>
        </is>
      </c>
      <c r="M4900" s="3" t="n">
        <v>1</v>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3" t="inlineStr">
        <is>
          <t>황제급매 즉시신축 핵심시설 어울린 전원주택 먼곳 찾을필요 없을것 같아요</t>
        </is>
      </c>
      <c r="I4901" s="5">
        <f>HYPERLINK("https://fin.land.naver.com/articles/2649269011", "매물Link")</f>
        <v/>
      </c>
      <c r="J4901" s="5">
        <f>HYPERLINK("https://map.naver.com/p/search/한솔동 1086", "지도Link")</f>
        <v/>
      </c>
      <c r="K4901" s="5">
        <f>HYPERLINK("http://www.eum.go.kr/web/ar/lu/luLandDet.jsp?pnu=3611010600110860000&amp;isNoScr=script&amp;mode=search", "토지이음")</f>
        <v/>
      </c>
      <c r="L4901" s="3" t="inlineStr">
        <is>
          <t>삼성래미안</t>
        </is>
      </c>
      <c r="M4901" s="3" t="n">
        <v>3</v>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3" t="inlineStr">
        <is>
          <t>한솔동, 단독주택지 토지매매</t>
        </is>
      </c>
      <c r="I4902" s="5">
        <f>HYPERLINK("https://fin.land.naver.com/articles/2649875547", "매물Link")</f>
        <v/>
      </c>
      <c r="J4902" s="5">
        <f>HYPERLINK("https://map.naver.com/p/search/한솔동 1087", "지도Link")</f>
        <v/>
      </c>
      <c r="K4902" s="5">
        <f>HYPERLINK("http://www.eum.go.kr/web/ar/lu/luLandDet.jsp?pnu=3611010600110870000&amp;isNoScr=script&amp;mode=search", "토지이음")</f>
        <v/>
      </c>
      <c r="L4902" s="3" t="inlineStr">
        <is>
          <t>명진</t>
        </is>
      </c>
      <c r="M4902" s="3" t="n">
        <v>1</v>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3" t="inlineStr">
        <is>
          <t>삼거리 코너입지, 한솔동 단독주택지</t>
        </is>
      </c>
      <c r="I4903" s="5">
        <f>HYPERLINK("https://fin.land.naver.com/articles/2644183076", "매물Link")</f>
        <v/>
      </c>
      <c r="J4903" s="5">
        <f>HYPERLINK("https://map.naver.com/p/search/한솔동 1098", "지도Link")</f>
        <v/>
      </c>
      <c r="K4903" s="5">
        <f>HYPERLINK("http://www.eum.go.kr/web/ar/lu/luLandDet.jsp?pnu=3611010600110980000&amp;isNoScr=script&amp;mode=search", "토지이음")</f>
        <v/>
      </c>
      <c r="L4903" s="3" t="inlineStr">
        <is>
          <t>세종무지개</t>
        </is>
      </c>
      <c r="M4903" s="3" t="n">
        <v>1</v>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3" t="inlineStr">
        <is>
          <t>95.4p, 삼거리코너 맞은편, 새뜸1단지 앞 단독주택 토지</t>
        </is>
      </c>
      <c r="I4904" s="5">
        <f>HYPERLINK("https://fin.land.naver.com/articles/2649004548", "매물Link")</f>
        <v/>
      </c>
      <c r="J4904" s="5">
        <f>HYPERLINK("https://map.naver.com/p/search/한솔동 1098", "지도Link")</f>
        <v/>
      </c>
      <c r="K4904" s="5">
        <f>HYPERLINK("http://www.eum.go.kr/web/ar/lu/luLandDet.jsp?pnu=3611010600110980000&amp;isNoScr=script&amp;mode=search", "토지이음")</f>
        <v/>
      </c>
      <c r="L4904" s="3" t="inlineStr">
        <is>
          <t>명진</t>
        </is>
      </c>
      <c r="M4904" s="3" t="n">
        <v>1</v>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3" t="inlineStr">
        <is>
          <t>조건 파격조율가능 도심속전원 시내 시외 진출입편리 이곳은 엘도라도입니다</t>
        </is>
      </c>
      <c r="I4905" s="5">
        <f>HYPERLINK("https://fin.land.naver.com/articles/2648082909", "매물Link")</f>
        <v/>
      </c>
      <c r="J4905" s="5">
        <f>HYPERLINK("https://map.naver.com/p/search/한솔동 1098", "지도Link")</f>
        <v/>
      </c>
      <c r="K4905" s="5">
        <f>HYPERLINK("http://www.eum.go.kr/web/ar/lu/luLandDet.jsp?pnu=3611010600110980000&amp;isNoScr=script&amp;mode=search", "토지이음")</f>
        <v/>
      </c>
      <c r="L4905" s="3" t="inlineStr">
        <is>
          <t>세종시삼성래미안</t>
        </is>
      </c>
      <c r="M4905" s="3" t="n">
        <v>1</v>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3" t="inlineStr">
        <is>
          <t>적극협의가능 시유지넓게접함 선호위치</t>
        </is>
      </c>
      <c r="I4906" s="5">
        <f>HYPERLINK("https://fin.land.naver.com/articles/2649812097", "매물Link")</f>
        <v/>
      </c>
      <c r="J4906" s="5">
        <f>HYPERLINK("https://map.naver.com/p/search/한솔동 1113", "지도Link")</f>
        <v/>
      </c>
      <c r="K4906" s="5">
        <f>HYPERLINK("http://www.eum.go.kr/web/ar/lu/luLandDet.jsp?pnu=3611010600111130000&amp;isNoScr=script&amp;mode=search", "토지이음")</f>
        <v/>
      </c>
      <c r="L4906" s="3" t="inlineStr">
        <is>
          <t>세종스타</t>
        </is>
      </c>
      <c r="M4906" s="3" t="n">
        <v>1</v>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3" t="inlineStr">
        <is>
          <t>총 94p, 한솔동 단독주택지 토지</t>
        </is>
      </c>
      <c r="I4907" s="5">
        <f>HYPERLINK("https://fin.land.naver.com/articles/2648901069", "매물Link")</f>
        <v/>
      </c>
      <c r="J4907" s="5">
        <f>HYPERLINK("https://map.naver.com/p/search/한솔동 1122", "지도Link")</f>
        <v/>
      </c>
      <c r="K4907" s="5">
        <f>HYPERLINK("http://www.eum.go.kr/web/ar/lu/luLandDet.jsp?pnu=3611010600111220000&amp;isNoScr=script&amp;mode=search", "토지이음")</f>
        <v/>
      </c>
      <c r="L4907" s="3" t="inlineStr">
        <is>
          <t>명진</t>
        </is>
      </c>
      <c r="M4907" s="3" t="n">
        <v>1</v>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3" t="inlineStr">
        <is>
          <t>한솔동 단독주택 토지매매</t>
        </is>
      </c>
      <c r="I4908" s="5">
        <f>HYPERLINK("https://fin.land.naver.com/articles/2644189125", "매물Link")</f>
        <v/>
      </c>
      <c r="J4908" s="5">
        <f>HYPERLINK("https://map.naver.com/p/search/한솔동 1122", "지도Link")</f>
        <v/>
      </c>
      <c r="K4908" s="5">
        <f>HYPERLINK("http://www.eum.go.kr/web/ar/lu/luLandDet.jsp?pnu=3611010600111220000&amp;isNoScr=script&amp;mode=search", "토지이음")</f>
        <v/>
      </c>
      <c r="L4908" s="3" t="inlineStr">
        <is>
          <t>세종무지개</t>
        </is>
      </c>
      <c r="M4908" s="3" t="n">
        <v>1</v>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3" t="inlineStr">
        <is>
          <t>세종시 인기주택단지, 조율가</t>
        </is>
      </c>
      <c r="I4909" s="5">
        <f>HYPERLINK("https://fin.land.naver.com/articles/2645211525", "매물Link")</f>
        <v/>
      </c>
      <c r="J4909" s="5">
        <f>HYPERLINK("https://map.naver.com/p/search/한솔동 1122", "지도Link")</f>
        <v/>
      </c>
      <c r="K4909" s="5">
        <f>HYPERLINK("http://www.eum.go.kr/web/ar/lu/luLandDet.jsp?pnu=3611010600111220000&amp;isNoScr=script&amp;mode=search", "토지이음")</f>
        <v/>
      </c>
      <c r="L4909" s="3" t="inlineStr">
        <is>
          <t>바로그</t>
        </is>
      </c>
      <c r="M4909" s="3" t="n">
        <v>1</v>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3" t="inlineStr">
        <is>
          <t>급매, 코너각지</t>
        </is>
      </c>
      <c r="I4910" s="5">
        <f>HYPERLINK("https://fin.land.naver.com/articles/2643912661", "매물Link")</f>
        <v/>
      </c>
      <c r="J4910" s="5">
        <f>HYPERLINK("https://map.naver.com/p/search/한솔동 1124", "지도Link")</f>
        <v/>
      </c>
      <c r="K4910" s="5">
        <f>HYPERLINK("http://www.eum.go.kr/web/ar/lu/luLandDet.jsp?pnu=3611010600111240000&amp;isNoScr=script&amp;mode=search", "토지이음")</f>
        <v/>
      </c>
      <c r="L4910" s="3" t="inlineStr">
        <is>
          <t>세종삼촌</t>
        </is>
      </c>
      <c r="M4910" s="3" t="n">
        <v>1</v>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3" t="inlineStr">
        <is>
          <t>코너각지 주택지 추천</t>
        </is>
      </c>
      <c r="I4911" s="5">
        <f>HYPERLINK("https://fin.land.naver.com/articles/2646560933", "매물Link")</f>
        <v/>
      </c>
      <c r="J4911" s="5">
        <f>HYPERLINK("https://map.naver.com/p/search/한솔동 1131", "지도Link")</f>
        <v/>
      </c>
      <c r="K4911" s="5">
        <f>HYPERLINK("http://www.eum.go.kr/web/ar/lu/luLandDet.jsp?pnu=3611010600111310000&amp;isNoScr=script&amp;mode=search", "토지이음")</f>
        <v/>
      </c>
      <c r="L4911" s="3" t="inlineStr">
        <is>
          <t>소나무</t>
        </is>
      </c>
      <c r="M4911" s="3" t="n">
        <v>1</v>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3" t="inlineStr">
        <is>
          <t>새롬동과 한솔동사이 경사진 단독전용 택지,협의가능</t>
        </is>
      </c>
      <c r="I4912" s="5">
        <f>HYPERLINK("https://fin.land.naver.com/articles/2647375576", "매물Link")</f>
        <v/>
      </c>
      <c r="J4912" s="5">
        <f>HYPERLINK("https://map.naver.com/p/search/한솔동 1135", "지도Link")</f>
        <v/>
      </c>
      <c r="K4912" s="5">
        <f>HYPERLINK("http://www.eum.go.kr/web/ar/lu/luLandDet.jsp?pnu=3611010600111350000&amp;isNoScr=script&amp;mode=search", "토지이음")</f>
        <v/>
      </c>
      <c r="L4912" s="3" t="inlineStr">
        <is>
          <t>세종나라</t>
        </is>
      </c>
      <c r="M4912" s="3" t="n">
        <v>3</v>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3" t="inlineStr">
        <is>
          <t>넓은 평형 토지매매, 한솔동</t>
        </is>
      </c>
      <c r="I4913" s="5">
        <f>HYPERLINK("https://fin.land.naver.com/articles/2644186059", "매물Link")</f>
        <v/>
      </c>
      <c r="J4913" s="5">
        <f>HYPERLINK("https://map.naver.com/p/search/한솔동 1175", "지도Link")</f>
        <v/>
      </c>
      <c r="K4913" s="5">
        <f>HYPERLINK("http://www.eum.go.kr/web/ar/lu/luLandDet.jsp?pnu=3611010600111750000&amp;isNoScr=script&amp;mode=search", "토지이음")</f>
        <v/>
      </c>
      <c r="L4913" s="3" t="inlineStr">
        <is>
          <t>세종무지개</t>
        </is>
      </c>
      <c r="M4913" s="3" t="n">
        <v>1</v>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3" t="inlineStr">
        <is>
          <t>총 123.4p, 새뜸1단지 맞은편</t>
        </is>
      </c>
      <c r="I4914" s="5">
        <f>HYPERLINK("https://fin.land.naver.com/articles/2648127460", "매물Link")</f>
        <v/>
      </c>
      <c r="J4914" s="5">
        <f>HYPERLINK("https://map.naver.com/p/search/한솔동 1175", "지도Link")</f>
        <v/>
      </c>
      <c r="K4914" s="5">
        <f>HYPERLINK("http://www.eum.go.kr/web/ar/lu/luLandDet.jsp?pnu=3611010600111750000&amp;isNoScr=script&amp;mode=search", "토지이음")</f>
        <v/>
      </c>
      <c r="L4914" s="3" t="inlineStr">
        <is>
          <t>명진</t>
        </is>
      </c>
      <c r="M4914" s="3" t="n">
        <v>1</v>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3" t="inlineStr">
        <is>
          <t>대형평수 코너각지 위치최상 조율협의</t>
        </is>
      </c>
      <c r="I4915" s="5">
        <f>HYPERLINK("https://fin.land.naver.com/articles/2649479860", "매물Link")</f>
        <v/>
      </c>
      <c r="J4915" s="5">
        <f>HYPERLINK("https://map.naver.com/p/search/한솔동 1187", "지도Link")</f>
        <v/>
      </c>
      <c r="K4915" s="5">
        <f>HYPERLINK("http://www.eum.go.kr/web/ar/lu/luLandDet.jsp?pnu=3611010600111870000&amp;isNoScr=script&amp;mode=search", "토지이음")</f>
        <v/>
      </c>
      <c r="L4915" s="3" t="inlineStr">
        <is>
          <t>세종스타</t>
        </is>
      </c>
      <c r="M4915" s="3" t="n">
        <v>2</v>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3" t="inlineStr">
        <is>
          <t>코너위치좋은한솔동단독택지매매 가격조정가능</t>
        </is>
      </c>
      <c r="I4916" s="5">
        <f>HYPERLINK("https://fin.land.naver.com/articles/2646135502", "매물Link")</f>
        <v/>
      </c>
      <c r="J4916" s="5">
        <f>HYPERLINK("https://map.naver.com/p/search/한솔동 1193", "지도Link")</f>
        <v/>
      </c>
      <c r="K4916" s="5">
        <f>HYPERLINK("http://www.eum.go.kr/web/ar/lu/luLandDet.jsp?pnu=3611010600111930000&amp;isNoScr=script&amp;mode=search", "토지이음")</f>
        <v/>
      </c>
      <c r="L4916" s="3" t="inlineStr">
        <is>
          <t>고운동리치세종</t>
        </is>
      </c>
      <c r="M4916" s="3" t="n">
        <v>2</v>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3" t="inlineStr">
        <is>
          <t>급매 추가조율가능 한솔D2 최저가 초중고도보 상권인접</t>
        </is>
      </c>
      <c r="I4917" s="5">
        <f>HYPERLINK("https://fin.land.naver.com/articles/2648979487", "매물Link")</f>
        <v/>
      </c>
      <c r="J4917" s="5">
        <f>HYPERLINK("https://map.naver.com/p/search/한솔동 1194", "지도Link")</f>
        <v/>
      </c>
      <c r="K4917" s="5">
        <f>HYPERLINK("http://www.eum.go.kr/web/ar/lu/luLandDet.jsp?pnu=3611010600111940000&amp;isNoScr=script&amp;mode=search", "토지이음")</f>
        <v/>
      </c>
      <c r="L4917" s="3" t="inlineStr">
        <is>
          <t>세종스타</t>
        </is>
      </c>
      <c r="M4917" s="3" t="n">
        <v>2</v>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3" t="inlineStr">
        <is>
          <t>101p.단독택지.1분거리.학원.마트.초중고.5분.단독주택.전원주택.추천</t>
        </is>
      </c>
      <c r="I4918" s="5">
        <f>HYPERLINK("https://fin.land.naver.com/articles/2649858793", "매물Link")</f>
        <v/>
      </c>
      <c r="J4918" s="5">
        <f>HYPERLINK("https://map.naver.com/p/search/한솔동 1194", "지도Link")</f>
        <v/>
      </c>
      <c r="K4918" s="5">
        <f>HYPERLINK("http://www.eum.go.kr/web/ar/lu/luLandDet.jsp?pnu=3611010600111940000&amp;isNoScr=script&amp;mode=search", "토지이음")</f>
        <v/>
      </c>
      <c r="L4918" s="3" t="inlineStr">
        <is>
          <t>원</t>
        </is>
      </c>
      <c r="M4918" s="3" t="n">
        <v>1</v>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3" t="inlineStr">
        <is>
          <t>공원앞 코너각지토지 97p 답답하지않은 위치</t>
        </is>
      </c>
      <c r="I4919" s="5">
        <f>HYPERLINK("https://fin.land.naver.com/articles/2646827225", "매물Link")</f>
        <v/>
      </c>
      <c r="J4919" s="5">
        <f>HYPERLINK("https://map.naver.com/p/search/한솔동 1197", "지도Link")</f>
        <v/>
      </c>
      <c r="K4919" s="5">
        <f>HYPERLINK("http://www.eum.go.kr/web/ar/lu/luLandDet.jsp?pnu=3611010600111970000&amp;isNoScr=script&amp;mode=search", "토지이음")</f>
        <v/>
      </c>
      <c r="L4919" s="3" t="inlineStr">
        <is>
          <t>세종365</t>
        </is>
      </c>
      <c r="M4919" s="3" t="n">
        <v>1</v>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3" t="inlineStr">
        <is>
          <t>위치좋은 단독주택지, 직접보시면 더 좋아요</t>
        </is>
      </c>
      <c r="I4920" s="5">
        <f>HYPERLINK("https://fin.land.naver.com/articles/2649375943", "매물Link")</f>
        <v/>
      </c>
      <c r="J4920" s="5">
        <f>HYPERLINK("https://map.naver.com/p/search/한솔동 1201", "지도Link")</f>
        <v/>
      </c>
      <c r="K4920" s="5">
        <f>HYPERLINK("http://www.eum.go.kr/web/ar/lu/luLandDet.jsp?pnu=3611010600112010000&amp;isNoScr=script&amp;mode=search", "토지이음")</f>
        <v/>
      </c>
      <c r="L4920" s="3" t="inlineStr">
        <is>
          <t>리브</t>
        </is>
      </c>
      <c r="M4920" s="3" t="n">
        <v>1</v>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3" t="inlineStr">
        <is>
          <t>인기지역 D2 땅모양좋음 조율가능</t>
        </is>
      </c>
      <c r="I4921" s="5">
        <f>HYPERLINK("https://fin.land.naver.com/articles/2644000959", "매물Link")</f>
        <v/>
      </c>
      <c r="J4921" s="5">
        <f>HYPERLINK("https://map.naver.com/p/search/한솔동 1207", "지도Link")</f>
        <v/>
      </c>
      <c r="K4921" s="5">
        <f>HYPERLINK("http://www.eum.go.kr/web/ar/lu/luLandDet.jsp?pnu=3611010600112070000&amp;isNoScr=script&amp;mode=search", "토지이음")</f>
        <v/>
      </c>
      <c r="L4921" s="3" t="inlineStr">
        <is>
          <t>세종스타</t>
        </is>
      </c>
      <c r="M4921" s="3" t="n">
        <v>1</v>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3" t="inlineStr">
        <is>
          <t>네모 반듯한 예쁜 토지 매매, 입지 굿</t>
        </is>
      </c>
      <c r="I4922" s="5">
        <f>HYPERLINK("https://fin.land.naver.com/articles/2644483128", "매물Link")</f>
        <v/>
      </c>
      <c r="J4922" s="5">
        <f>HYPERLINK("https://map.naver.com/p/search/한솔동 1207", "지도Link")</f>
        <v/>
      </c>
      <c r="K4922" s="5">
        <f>HYPERLINK("http://www.eum.go.kr/web/ar/lu/luLandDet.jsp?pnu=3611010600112070000&amp;isNoScr=script&amp;mode=search", "토지이음")</f>
        <v/>
      </c>
      <c r="L4922" s="3" t="inlineStr">
        <is>
          <t>세종무지개</t>
        </is>
      </c>
      <c r="M4922" s="3" t="n">
        <v>1</v>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3" t="inlineStr">
        <is>
          <t>총 99.8p, 조율가능, 네모반듯한 남향 예쁜 토지</t>
        </is>
      </c>
      <c r="I4923" s="5">
        <f>HYPERLINK("https://fin.land.naver.com/articles/2645542409", "매물Link")</f>
        <v/>
      </c>
      <c r="J4923" s="5">
        <f>HYPERLINK("https://map.naver.com/p/search/한솔동 1207", "지도Link")</f>
        <v/>
      </c>
      <c r="K4923" s="5">
        <f>HYPERLINK("http://www.eum.go.kr/web/ar/lu/luLandDet.jsp?pnu=3611010600112070000&amp;isNoScr=script&amp;mode=search", "토지이음")</f>
        <v/>
      </c>
      <c r="L4923" s="3" t="inlineStr">
        <is>
          <t>명진</t>
        </is>
      </c>
      <c r="M4923" s="3" t="n">
        <v>1</v>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3" t="inlineStr">
        <is>
          <t>nan</t>
        </is>
      </c>
      <c r="I4924" s="5">
        <f>HYPERLINK("https://fin.land.naver.com/articles/2649014156", "매물Link")</f>
        <v/>
      </c>
      <c r="J4924" s="5">
        <f>HYPERLINK("https://map.naver.com/p/search/한솔동 1208", "지도Link")</f>
        <v/>
      </c>
      <c r="K4924" s="5">
        <f>HYPERLINK("http://www.eum.go.kr/web/ar/lu/luLandDet.jsp?pnu=3611010600112080000&amp;isNoScr=script&amp;mode=search", "토지이음")</f>
        <v/>
      </c>
      <c r="L4924" s="3" t="inlineStr">
        <is>
          <t>봄마중</t>
        </is>
      </c>
      <c r="M4924" s="3" t="n">
        <v>1</v>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3" t="inlineStr">
        <is>
          <t>급매 한솔동d2 최저가 조율가능</t>
        </is>
      </c>
      <c r="I4925" s="5">
        <f>HYPERLINK("https://fin.land.naver.com/articles/2650195191", "매물Link")</f>
        <v/>
      </c>
      <c r="J4925" s="5">
        <f>HYPERLINK("https://map.naver.com/p/search/한솔동 1211", "지도Link")</f>
        <v/>
      </c>
      <c r="K4925" s="5">
        <f>HYPERLINK("http://www.eum.go.kr/web/ar/lu/luLandDet.jsp?pnu=3611010600112110000&amp;isNoScr=script&amp;mode=search", "토지이음")</f>
        <v/>
      </c>
      <c r="L4925" s="3" t="inlineStr">
        <is>
          <t>세종스타</t>
        </is>
      </c>
      <c r="M4925" s="3" t="n">
        <v>2</v>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3" t="inlineStr">
        <is>
          <t>급매 주변 편익 시설과 교통 좋은 위치</t>
        </is>
      </c>
      <c r="I4926" s="5">
        <f>HYPERLINK("https://fin.land.naver.com/articles/2645522248", "매물Link")</f>
        <v/>
      </c>
      <c r="J4926" s="5">
        <f>HYPERLINK("https://map.naver.com/p/search/한솔동 1211", "지도Link")</f>
        <v/>
      </c>
      <c r="K4926" s="5">
        <f>HYPERLINK("http://www.eum.go.kr/web/ar/lu/luLandDet.jsp?pnu=3611010600112110000&amp;isNoScr=script&amp;mode=search", "토지이음")</f>
        <v/>
      </c>
      <c r="L4926" s="3" t="inlineStr">
        <is>
          <t>소나무</t>
        </is>
      </c>
      <c r="M4926" s="3" t="n">
        <v>1</v>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3" t="inlineStr">
        <is>
          <t>급매, 한솔동 단독주택지 가격 좋은 토지</t>
        </is>
      </c>
      <c r="I4927" s="5">
        <f>HYPERLINK("https://fin.land.naver.com/articles/2645343318", "매물Link")</f>
        <v/>
      </c>
      <c r="J4927" s="5">
        <f>HYPERLINK("https://map.naver.com/p/search/한솔동 1211", "지도Link")</f>
        <v/>
      </c>
      <c r="K4927" s="5">
        <f>HYPERLINK("http://www.eum.go.kr/web/ar/lu/luLandDet.jsp?pnu=3611010600112110000&amp;isNoScr=script&amp;mode=search", "토지이음")</f>
        <v/>
      </c>
      <c r="L4927" s="3" t="inlineStr">
        <is>
          <t>세종무지개</t>
        </is>
      </c>
      <c r="M4927" s="3" t="n">
        <v>1</v>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3" t="inlineStr">
        <is>
          <t>한솔동 단독택지 중 선호되는 D2 , 근린공원 근접한 전원풍 택지임</t>
        </is>
      </c>
      <c r="I4928" s="5">
        <f>HYPERLINK("https://fin.land.naver.com/articles/2645211132", "매물Link")</f>
        <v/>
      </c>
      <c r="J4928" s="5">
        <f>HYPERLINK("https://map.naver.com/p/search/한솔동 1221", "지도Link")</f>
        <v/>
      </c>
      <c r="K4928" s="5">
        <f>HYPERLINK("http://www.eum.go.kr/web/ar/lu/luLandDet.jsp?pnu=3611010600112210000&amp;isNoScr=script&amp;mode=search", "토지이음")</f>
        <v/>
      </c>
      <c r="L4928" s="3" t="inlineStr">
        <is>
          <t>바로그</t>
        </is>
      </c>
      <c r="M4928" s="3" t="n">
        <v>1</v>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3" t="inlineStr">
        <is>
          <t>공원 인근, 조용한고 편리한 단독주택지 토지매매</t>
        </is>
      </c>
      <c r="I4929" s="5">
        <f>HYPERLINK("https://fin.land.naver.com/articles/2644070631", "매물Link")</f>
        <v/>
      </c>
      <c r="J4929" s="5">
        <f>HYPERLINK("https://map.naver.com/p/search/한솔동 865", "지도Link")</f>
        <v/>
      </c>
      <c r="K4929" s="5">
        <f>HYPERLINK("http://www.eum.go.kr/web/ar/lu/luLandDet.jsp?pnu=3611010600108650000&amp;isNoScr=script&amp;mode=search", "토지이음")</f>
        <v/>
      </c>
      <c r="L4929" s="3" t="inlineStr">
        <is>
          <t>세종무지개</t>
        </is>
      </c>
      <c r="M4929" s="3" t="n">
        <v>1</v>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3" t="inlineStr">
        <is>
          <t>총 107.1p, 한솔동 단독주택지</t>
        </is>
      </c>
      <c r="I4930" s="5">
        <f>HYPERLINK("https://fin.land.naver.com/articles/2647421737", "매물Link")</f>
        <v/>
      </c>
      <c r="J4930" s="5">
        <f>HYPERLINK("https://map.naver.com/p/search/한솔동 865", "지도Link")</f>
        <v/>
      </c>
      <c r="K4930" s="5">
        <f>HYPERLINK("http://www.eum.go.kr/web/ar/lu/luLandDet.jsp?pnu=3611010600108650000&amp;isNoScr=script&amp;mode=search", "토지이음")</f>
        <v/>
      </c>
      <c r="L4930" s="3" t="inlineStr">
        <is>
          <t>명진</t>
        </is>
      </c>
      <c r="M4930" s="3" t="n">
        <v>1</v>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3" t="inlineStr">
        <is>
          <t>세종시 한솔동 도심속 전원주택부지 매매</t>
        </is>
      </c>
      <c r="I4931" s="5">
        <f>HYPERLINK("https://fin.land.naver.com/articles/2646189999", "매물Link")</f>
        <v/>
      </c>
      <c r="J4931" s="5">
        <f>HYPERLINK("https://map.naver.com/p/search/한솔동 865", "지도Link")</f>
        <v/>
      </c>
      <c r="K4931" s="5">
        <f>HYPERLINK("http://www.eum.go.kr/web/ar/lu/luLandDet.jsp?pnu=3611010600108650000&amp;isNoScr=script&amp;mode=search", "토지이음")</f>
        <v/>
      </c>
      <c r="L4931" s="3" t="inlineStr">
        <is>
          <t>전원</t>
        </is>
      </c>
      <c r="M4931" s="3" t="n">
        <v>2</v>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3" t="inlineStr">
        <is>
          <t>D1 귀한매물 새롬동학원가도보 조율가능</t>
        </is>
      </c>
      <c r="I4932" s="5">
        <f>HYPERLINK("https://fin.land.naver.com/articles/2645488134", "매물Link")</f>
        <v/>
      </c>
      <c r="J4932" s="5">
        <f>HYPERLINK("https://map.naver.com/p/search/한솔동 885", "지도Link")</f>
        <v/>
      </c>
      <c r="K4932" s="5">
        <f>HYPERLINK("http://www.eum.go.kr/web/ar/lu/luLandDet.jsp?pnu=3611010600108850000&amp;isNoScr=script&amp;mode=search", "토지이음")</f>
        <v/>
      </c>
      <c r="L4932" s="3" t="inlineStr">
        <is>
          <t>세종스타</t>
        </is>
      </c>
      <c r="M4932" s="3" t="n">
        <v>1</v>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3" t="inlineStr">
        <is>
          <t>세종 첫마을 넓은 주차장으로 대형마트나 고급 식당 사옥 추천 드립니다</t>
        </is>
      </c>
      <c r="I4933" s="5">
        <f>HYPERLINK("https://fin.land.naver.com/articles/2645973030", "매물Link")</f>
        <v/>
      </c>
      <c r="J4933" s="5">
        <f>HYPERLINK("https://map.naver.com/p/search/한솔동 967", "지도Link")</f>
        <v/>
      </c>
      <c r="K4933" s="5">
        <f>HYPERLINK("http://www.eum.go.kr/web/ar/lu/luLandDet.jsp?pnu=3611010600109670000&amp;isNoScr=script&amp;mode=search", "토지이음")</f>
        <v/>
      </c>
      <c r="L4933" s="3" t="inlineStr">
        <is>
          <t>자이행복</t>
        </is>
      </c>
      <c r="M4933" s="3" t="n">
        <v>1</v>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3" t="inlineStr">
        <is>
          <t>나리꽃어린이공원  인접,학군 한솔초.중.고, 이마트 인근,가격조정가능</t>
        </is>
      </c>
      <c r="I4934" s="5">
        <f>HYPERLINK("https://fin.land.naver.com/articles/2647522138", "매물Link")</f>
        <v/>
      </c>
      <c r="J4934" s="5">
        <f>HYPERLINK("https://map.naver.com/p/search/한솔동 989", "지도Link")</f>
        <v/>
      </c>
      <c r="K4934" s="5">
        <f>HYPERLINK("http://www.eum.go.kr/web/ar/lu/luLandDet.jsp?pnu=3611010600109890000&amp;isNoScr=script&amp;mode=search", "토지이음")</f>
        <v/>
      </c>
      <c r="L4934" s="3" t="inlineStr">
        <is>
          <t>고운맘</t>
        </is>
      </c>
      <c r="M4934" s="3" t="n">
        <v>1</v>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3" t="inlineStr">
        <is>
          <t>생활 인프라가 완비된 2생활권 내 희소성 높은 알짜 토지.</t>
        </is>
      </c>
      <c r="I4935" s="5">
        <f>HYPERLINK("https://fin.land.naver.com/articles/2648288398", "매물Link")</f>
        <v/>
      </c>
      <c r="J4935" s="5">
        <f>HYPERLINK("https://map.naver.com/p/search/한솔동 989", "지도Link")</f>
        <v/>
      </c>
      <c r="K4935" s="5">
        <f>HYPERLINK("http://www.eum.go.kr/web/ar/lu/luLandDet.jsp?pnu=3611010600109890000&amp;isNoScr=script&amp;mode=search", "토지이음")</f>
        <v/>
      </c>
      <c r="L4935" s="3" t="inlineStr">
        <is>
          <t>이룸</t>
        </is>
      </c>
      <c r="M4935" s="3" t="n">
        <v>1</v>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3" t="inlineStr">
        <is>
          <t>조율가능 옆에 공원낀위치 상권최인접 한솔초중고 도보5분</t>
        </is>
      </c>
      <c r="I4936" s="5">
        <f>HYPERLINK("https://fin.land.naver.com/articles/2648047441", "매물Link")</f>
        <v/>
      </c>
      <c r="J4936" s="5">
        <f>HYPERLINK("https://map.naver.com/p/search/한솔동 992", "지도Link")</f>
        <v/>
      </c>
      <c r="K4936" s="5">
        <f>HYPERLINK("http://www.eum.go.kr/web/ar/lu/luLandDet.jsp?pnu=3611010600109920000&amp;isNoScr=script&amp;mode=search", "토지이음")</f>
        <v/>
      </c>
      <c r="L4936" s="3" t="inlineStr">
        <is>
          <t>세종스타</t>
        </is>
      </c>
      <c r="M4936" s="3" t="n">
        <v>1</v>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3" t="inlineStr">
        <is>
          <t>급매 대형 상가건물 부지 추가조율협의 옆필지도 매매가능</t>
        </is>
      </c>
      <c r="I4937" s="5">
        <f>HYPERLINK("https://fin.land.naver.com/articles/2649812128", "매물Link")</f>
        <v/>
      </c>
      <c r="J4937" s="5">
        <f>HYPERLINK("https://map.naver.com/p/search/해밀동 668", "지도Link")</f>
        <v/>
      </c>
      <c r="K4937" s="5">
        <f>HYPERLINK("http://www.eum.go.kr/web/ar/lu/luLandDet.jsp?pnu=3611011600106680000&amp;isNoScr=script&amp;mode=search", "토지이음")</f>
        <v/>
      </c>
      <c r="L4937" s="3" t="inlineStr">
        <is>
          <t>세종스타</t>
        </is>
      </c>
      <c r="M4937" s="3" t="n">
        <v>1</v>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3" t="inlineStr">
        <is>
          <t>nan</t>
        </is>
      </c>
      <c r="I4938" s="5">
        <f>HYPERLINK("https://fin.land.naver.com/articles/2649329302", "매물Link")</f>
        <v/>
      </c>
      <c r="J4938" s="5">
        <f>HYPERLINK("https://map.naver.com/p/search/해밀동 670", "지도Link")</f>
        <v/>
      </c>
      <c r="K4938" s="5">
        <f>HYPERLINK("http://www.eum.go.kr/web/ar/lu/luLandDet.jsp?pnu=3611011600106700000&amp;isNoScr=script&amp;mode=search", "토지이음")</f>
        <v/>
      </c>
      <c r="L4938" s="3" t="inlineStr">
        <is>
          <t>국제</t>
        </is>
      </c>
      <c r="M4938" s="3" t="n">
        <v>1</v>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3" t="inlineStr">
        <is>
          <t>급매 절충가능한 사거리 코너각지의 카페등을 건축할수있는 근린생활시설 부지</t>
        </is>
      </c>
      <c r="I4939" s="5">
        <f>HYPERLINK("https://fin.land.naver.com/articles/2649200797", "매물Link")</f>
        <v/>
      </c>
      <c r="J4939" s="5">
        <f>HYPERLINK("https://map.naver.com/p/search/해밀동 675", "지도Link")</f>
        <v/>
      </c>
      <c r="K4939" s="5">
        <f>HYPERLINK("http://www.eum.go.kr/web/ar/lu/luLandDet.jsp?pnu=3611011600106750000&amp;isNoScr=script&amp;mode=search", "토지이음")</f>
        <v/>
      </c>
      <c r="L4939" s="3" t="inlineStr">
        <is>
          <t>스마일세종</t>
        </is>
      </c>
      <c r="M4939" s="3" t="n">
        <v>1</v>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3" t="inlineStr">
        <is>
          <t>조율가능 N4 코너각지 3층건축가능 사옥 음식점 카페 애견샵 추천</t>
        </is>
      </c>
      <c r="I4940" s="5">
        <f>HYPERLINK("https://fin.land.naver.com/articles/2645635558", "매물Link")</f>
        <v/>
      </c>
      <c r="J4940" s="5">
        <f>HYPERLINK("https://map.naver.com/p/search/해밀동 678", "지도Link")</f>
        <v/>
      </c>
      <c r="K4940" s="5">
        <f>HYPERLINK("http://www.eum.go.kr/web/ar/lu/luLandDet.jsp?pnu=3611011600106780000&amp;isNoScr=script&amp;mode=search", "토지이음")</f>
        <v/>
      </c>
      <c r="L4940" s="3" t="inlineStr">
        <is>
          <t>세종스타</t>
        </is>
      </c>
      <c r="M4940" s="3" t="n">
        <v>1</v>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3" t="inlineStr">
        <is>
          <t>N5 근생부지 3층건축가능</t>
        </is>
      </c>
      <c r="I4941" s="5">
        <f>HYPERLINK("https://fin.land.naver.com/articles/2647162535", "매물Link")</f>
        <v/>
      </c>
      <c r="J4941" s="5">
        <f>HYPERLINK("https://map.naver.com/p/search/해밀동 687", "지도Link")</f>
        <v/>
      </c>
      <c r="K4941" s="5">
        <f>HYPERLINK("http://www.eum.go.kr/web/ar/lu/luLandDet.jsp?pnu=3611011600106870000&amp;isNoScr=script&amp;mode=search", "토지이음")</f>
        <v/>
      </c>
      <c r="L4941" s="3" t="inlineStr">
        <is>
          <t>세종스타</t>
        </is>
      </c>
      <c r="M4941" s="3" t="n">
        <v>1</v>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3" t="inlineStr">
        <is>
          <t>해밀동 제1종전용주거 타운하우스 부지, 15가구 개발가능</t>
        </is>
      </c>
      <c r="I4942" s="5">
        <f>HYPERLINK("https://fin.land.naver.com/articles/2647344856", "매물Link")</f>
        <v/>
      </c>
      <c r="J4942" s="5">
        <f>HYPERLINK("https://map.naver.com/p/search/해밀동 700", "지도Link")</f>
        <v/>
      </c>
      <c r="K4942" s="5">
        <f>HYPERLINK("http://www.eum.go.kr/web/ar/lu/luLandDet.jsp?pnu=3611011600107000000&amp;isNoScr=script&amp;mode=search", "토지이음")</f>
        <v/>
      </c>
      <c r="L4942" s="3" t="inlineStr">
        <is>
          <t>스카이</t>
        </is>
      </c>
      <c r="M4942" s="3" t="n">
        <v>1</v>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3" t="inlineStr">
        <is>
          <t>조율가능 지대높음 원수산뷰 학교,상가 가까움</t>
        </is>
      </c>
      <c r="I4943" s="5">
        <f>HYPERLINK("https://fin.land.naver.com/articles/2645721513", "매물Link")</f>
        <v/>
      </c>
      <c r="J4943" s="5">
        <f>HYPERLINK("https://map.naver.com/p/search/해밀동 704", "지도Link")</f>
        <v/>
      </c>
      <c r="K4943" s="5">
        <f>HYPERLINK("http://www.eum.go.kr/web/ar/lu/luLandDet.jsp?pnu=3611011600107040000&amp;isNoScr=script&amp;mode=search", "토지이음")</f>
        <v/>
      </c>
      <c r="L4943" s="3" t="inlineStr">
        <is>
          <t>세종스타</t>
        </is>
      </c>
      <c r="M4943" s="3" t="n">
        <v>1</v>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3" t="inlineStr">
        <is>
          <t>조율가능 남동향 트인위치 땅모양 좋음</t>
        </is>
      </c>
      <c r="I4944" s="5">
        <f>HYPERLINK("https://fin.land.naver.com/articles/2649295989", "매물Link")</f>
        <v/>
      </c>
      <c r="J4944" s="5">
        <f>HYPERLINK("https://map.naver.com/p/search/해밀동 713", "지도Link")</f>
        <v/>
      </c>
      <c r="K4944" s="5">
        <f>HYPERLINK("http://www.eum.go.kr/web/ar/lu/luLandDet.jsp?pnu=3611011600107130000&amp;isNoScr=script&amp;mode=search", "토지이음")</f>
        <v/>
      </c>
      <c r="L4944" s="3" t="inlineStr">
        <is>
          <t>세종스타</t>
        </is>
      </c>
      <c r="M4944" s="3" t="n">
        <v>1</v>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3" t="inlineStr">
        <is>
          <t>98.18p, 해밀동 네모 반듯한 단독주택 토지매매</t>
        </is>
      </c>
      <c r="I4945" s="5">
        <f>HYPERLINK("https://fin.land.naver.com/articles/2649004455", "매물Link")</f>
        <v/>
      </c>
      <c r="J4945" s="5">
        <f>HYPERLINK("https://map.naver.com/p/search/해밀동 713", "지도Link")</f>
        <v/>
      </c>
      <c r="K4945" s="5">
        <f>HYPERLINK("http://www.eum.go.kr/web/ar/lu/luLandDet.jsp?pnu=3611011600107130000&amp;isNoScr=script&amp;mode=search", "토지이음")</f>
        <v/>
      </c>
      <c r="L4945" s="3" t="inlineStr">
        <is>
          <t>명진</t>
        </is>
      </c>
      <c r="M4945" s="3" t="n">
        <v>1</v>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3" t="inlineStr">
        <is>
          <t>급매 위치최상 공원접함 탁트인조망</t>
        </is>
      </c>
      <c r="I4946" s="5">
        <f>HYPERLINK("https://fin.land.naver.com/articles/2644917622", "매물Link")</f>
        <v/>
      </c>
      <c r="J4946" s="5">
        <f>HYPERLINK("https://map.naver.com/p/search/해밀동 746", "지도Link")</f>
        <v/>
      </c>
      <c r="K4946" s="5">
        <f>HYPERLINK("http://www.eum.go.kr/web/ar/lu/luLandDet.jsp?pnu=3611011600107460000&amp;isNoScr=script&amp;mode=search", "토지이음")</f>
        <v/>
      </c>
      <c r="L4946" s="3" t="inlineStr">
        <is>
          <t>세종스타</t>
        </is>
      </c>
      <c r="M4946" s="3" t="n">
        <v>1</v>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3" t="inlineStr">
        <is>
          <t>3면이 보행자 전용도로를 접한 쾌적한 토지</t>
        </is>
      </c>
      <c r="I4947" s="5">
        <f>HYPERLINK("https://fin.land.naver.com/articles/2649589863", "매물Link")</f>
        <v/>
      </c>
      <c r="J4947" s="5">
        <f>HYPERLINK("https://map.naver.com/p/search/해밀동 756", "지도Link")</f>
        <v/>
      </c>
      <c r="K4947" s="5">
        <f>HYPERLINK("http://www.eum.go.kr/web/ar/lu/luLandDet.jsp?pnu=3611011600107560000&amp;isNoScr=script&amp;mode=search", "토지이음")</f>
        <v/>
      </c>
      <c r="L4947" s="3" t="inlineStr">
        <is>
          <t>킹세종</t>
        </is>
      </c>
      <c r="M4947" s="3" t="n">
        <v>2</v>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3" t="inlineStr">
        <is>
          <t>남향 보행로접함 뒷편 공원조망 조율가능</t>
        </is>
      </c>
      <c r="I4948" s="5">
        <f>HYPERLINK("https://fin.land.naver.com/articles/2649618859", "매물Link")</f>
        <v/>
      </c>
      <c r="J4948" s="5">
        <f>HYPERLINK("https://map.naver.com/p/search/해밀동 767", "지도Link")</f>
        <v/>
      </c>
      <c r="K4948" s="5">
        <f>HYPERLINK("http://www.eum.go.kr/web/ar/lu/luLandDet.jsp?pnu=3611011600107670000&amp;isNoScr=script&amp;mode=search", "토지이음")</f>
        <v/>
      </c>
      <c r="L4948" s="3" t="inlineStr">
        <is>
          <t>세종스타</t>
        </is>
      </c>
      <c r="M4948" s="3" t="n">
        <v>1</v>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3" t="inlineStr">
        <is>
          <t>해밀동 가격 좋은 단독주택 매매, 공원인근</t>
        </is>
      </c>
      <c r="I4949" s="5">
        <f>HYPERLINK("https://fin.land.naver.com/articles/2647424555", "매물Link")</f>
        <v/>
      </c>
      <c r="J4949" s="5">
        <f>HYPERLINK("https://map.naver.com/p/search/해밀동 777", "지도Link")</f>
        <v/>
      </c>
      <c r="K4949" s="5">
        <f>HYPERLINK("http://www.eum.go.kr/web/ar/lu/luLandDet.jsp?pnu=3611011600107770000&amp;isNoScr=script&amp;mode=search", "토지이음")</f>
        <v/>
      </c>
      <c r="L4949" s="3" t="inlineStr">
        <is>
          <t>세종무지개</t>
        </is>
      </c>
      <c r="M4949" s="3" t="n">
        <v>1</v>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3" t="inlineStr">
        <is>
          <t>남향 원수산조망 뒷쪽 보행로접</t>
        </is>
      </c>
      <c r="I4950" s="5">
        <f>HYPERLINK("https://fin.land.naver.com/articles/2648046733", "매물Link")</f>
        <v/>
      </c>
      <c r="J4950" s="5">
        <f>HYPERLINK("https://map.naver.com/p/search/해밀동 777", "지도Link")</f>
        <v/>
      </c>
      <c r="K4950" s="5">
        <f>HYPERLINK("http://www.eum.go.kr/web/ar/lu/luLandDet.jsp?pnu=3611011600107770000&amp;isNoScr=script&amp;mode=search", "토지이음")</f>
        <v/>
      </c>
      <c r="L4950" s="3" t="inlineStr">
        <is>
          <t>세종스타</t>
        </is>
      </c>
      <c r="M4950" s="3" t="n">
        <v>1</v>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3" t="inlineStr">
        <is>
          <t>조율가능 시유지접한 지대높음</t>
        </is>
      </c>
      <c r="I4951" s="5">
        <f>HYPERLINK("https://fin.land.naver.com/articles/2644725573", "매물Link")</f>
        <v/>
      </c>
      <c r="J4951" s="5">
        <f>HYPERLINK("https://map.naver.com/p/search/해밀동 806", "지도Link")</f>
        <v/>
      </c>
      <c r="K4951" s="5">
        <f>HYPERLINK("http://www.eum.go.kr/web/ar/lu/luLandDet.jsp?pnu=3611011600108060000&amp;isNoScr=script&amp;mode=search", "토지이음")</f>
        <v/>
      </c>
      <c r="L4951" s="3" t="inlineStr">
        <is>
          <t>세종스타</t>
        </is>
      </c>
      <c r="M4951" s="3" t="n">
        <v>1</v>
      </c>
    </row>
  </sheetData>
  <autoFilter ref="A1:M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2026-09-17T08:25:46Z</dcterms:created>
  <dcterms:modified xsi:type="dcterms:W3CDTF">2026-09-17T08:25:54Z</dcterms:modified>
</cp:coreProperties>
</file>