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1.xml" ContentType="application/vnd.openxmlformats-officedocument.themeOverrid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D970CD55-98A4-4C74-8BF4-4032AD16DA9B}" xr6:coauthVersionLast="47" xr6:coauthVersionMax="47" xr10:uidLastSave="{00000000-0000-0000-0000-000000000000}"/>
  <bookViews>
    <workbookView xWindow="-108" yWindow="-108" windowWidth="23256" windowHeight="12456" xr2:uid="{A899A7E6-3515-4401-B892-230B1E8823A2}"/>
  </bookViews>
  <sheets>
    <sheet name="Dashboard" sheetId="11" r:id="rId1"/>
    <sheet name="&gt;Source Sheets" sheetId="15" r:id="rId2"/>
    <sheet name="P&amp;L Source" sheetId="1" r:id="rId3"/>
    <sheet name="BS Source" sheetId="2" r:id="rId4"/>
    <sheet name="Cash Flow Source" sheetId="3" r:id="rId5"/>
    <sheet name="Assumptions Sheets&gt;" sheetId="16" r:id="rId6"/>
    <sheet name="P&amp;L Assumptions" sheetId="4" r:id="rId7"/>
    <sheet name="BS Assumptions" sheetId="6" r:id="rId8"/>
    <sheet name="Forecasted Sheets" sheetId="17" r:id="rId9"/>
    <sheet name="P&amp;L Statement" sheetId="5" r:id="rId10"/>
    <sheet name="Balance Sheet" sheetId="7" r:id="rId11"/>
    <sheet name="UFCF" sheetId="8" r:id="rId12"/>
    <sheet name="DCF Valuation" sheetId="9" r:id="rId13"/>
    <sheet name="Workings" sheetId="13" r:id="rId14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3" l="1"/>
  <c r="E23" i="13"/>
  <c r="F23" i="13"/>
  <c r="G23" i="13"/>
  <c r="H23" i="13"/>
  <c r="C23" i="13"/>
  <c r="D21" i="13"/>
  <c r="E21" i="13"/>
  <c r="F21" i="13"/>
  <c r="G21" i="13"/>
  <c r="H21" i="13"/>
  <c r="C21" i="13"/>
  <c r="D18" i="13"/>
  <c r="E18" i="13"/>
  <c r="F18" i="13"/>
  <c r="G27" i="13" s="1"/>
  <c r="G18" i="13"/>
  <c r="H18" i="13"/>
  <c r="C18" i="13"/>
  <c r="E27" i="13"/>
  <c r="F27" i="13"/>
  <c r="H27" i="13" l="1"/>
  <c r="D27" i="13"/>
  <c r="E13" i="13" l="1"/>
  <c r="F13" i="13"/>
  <c r="G13" i="13"/>
  <c r="H13" i="13"/>
  <c r="D13" i="13"/>
  <c r="E15" i="13"/>
  <c r="F15" i="13"/>
  <c r="G15" i="13"/>
  <c r="H15" i="13"/>
  <c r="E14" i="13" l="1"/>
  <c r="F14" i="13"/>
  <c r="G14" i="13"/>
  <c r="H14" i="13"/>
  <c r="D14" i="13"/>
  <c r="D9" i="13"/>
  <c r="E9" i="13"/>
  <c r="F9" i="13"/>
  <c r="G9" i="13"/>
  <c r="H9" i="13"/>
  <c r="I9" i="13"/>
  <c r="E8" i="13"/>
  <c r="F8" i="13"/>
  <c r="G8" i="13"/>
  <c r="H8" i="13"/>
  <c r="I8" i="13"/>
  <c r="D8" i="13"/>
  <c r="E7" i="13"/>
  <c r="F7" i="13"/>
  <c r="G7" i="13"/>
  <c r="H7" i="13"/>
  <c r="I7" i="13"/>
  <c r="D7" i="13"/>
  <c r="O38" i="9" l="1"/>
  <c r="P38" i="9"/>
  <c r="Q38" i="9"/>
  <c r="O39" i="9"/>
  <c r="P39" i="9"/>
  <c r="Q39" i="9"/>
  <c r="O40" i="9"/>
  <c r="P40" i="9"/>
  <c r="Q40" i="9"/>
  <c r="O41" i="9"/>
  <c r="P41" i="9"/>
  <c r="Q41" i="9"/>
  <c r="N39" i="9"/>
  <c r="N40" i="9"/>
  <c r="N41" i="9"/>
  <c r="N38" i="9"/>
  <c r="M37" i="9"/>
  <c r="E31" i="8" l="1"/>
  <c r="E35" i="8" s="1"/>
  <c r="F31" i="8"/>
  <c r="F35" i="8" s="1"/>
  <c r="G31" i="8"/>
  <c r="G35" i="8" s="1"/>
  <c r="H31" i="8"/>
  <c r="H35" i="8" s="1"/>
  <c r="D31" i="8"/>
  <c r="D35" i="8" s="1"/>
  <c r="F12" i="8"/>
  <c r="G12" i="8"/>
  <c r="H12" i="8"/>
  <c r="E12" i="8"/>
  <c r="D12" i="8"/>
  <c r="C4" i="4"/>
  <c r="M34" i="8" l="1"/>
  <c r="O19" i="7"/>
  <c r="D36" i="8"/>
  <c r="D17" i="8"/>
  <c r="D19" i="8" s="1"/>
  <c r="D38" i="8"/>
  <c r="J30" i="8"/>
  <c r="K30" i="8" s="1"/>
  <c r="I30" i="8"/>
  <c r="D23" i="8"/>
  <c r="E24" i="8"/>
  <c r="F24" i="8"/>
  <c r="G24" i="8"/>
  <c r="D24" i="8"/>
  <c r="D21" i="8"/>
  <c r="E18" i="8"/>
  <c r="F18" i="8"/>
  <c r="G18" i="8"/>
  <c r="D18" i="8"/>
  <c r="F17" i="8"/>
  <c r="G17" i="8"/>
  <c r="E17" i="8"/>
  <c r="D25" i="8"/>
  <c r="G78" i="8"/>
  <c r="D78" i="8"/>
  <c r="D72" i="8"/>
  <c r="E21" i="8"/>
  <c r="F21" i="8"/>
  <c r="G21" i="8"/>
  <c r="E78" i="8"/>
  <c r="F78" i="8"/>
  <c r="E72" i="8"/>
  <c r="F72" i="8"/>
  <c r="G72" i="8"/>
  <c r="E26" i="8"/>
  <c r="E36" i="8"/>
  <c r="I34" i="8"/>
  <c r="E34" i="8"/>
  <c r="F34" i="8"/>
  <c r="G34" i="8"/>
  <c r="J34" i="8"/>
  <c r="K34" i="8"/>
  <c r="L34" i="8"/>
  <c r="D34" i="8"/>
  <c r="E38" i="5"/>
  <c r="F38" i="5"/>
  <c r="G38" i="5"/>
  <c r="H38" i="5"/>
  <c r="I38" i="5"/>
  <c r="D38" i="5"/>
  <c r="E38" i="8"/>
  <c r="F38" i="8"/>
  <c r="G38" i="8"/>
  <c r="I38" i="8"/>
  <c r="J38" i="8"/>
  <c r="K38" i="8"/>
  <c r="L38" i="8"/>
  <c r="E30" i="7"/>
  <c r="D29" i="7"/>
  <c r="F36" i="8"/>
  <c r="G36" i="8"/>
  <c r="E33" i="8"/>
  <c r="F33" i="8"/>
  <c r="G33" i="8"/>
  <c r="D33" i="8"/>
  <c r="E32" i="8"/>
  <c r="F32" i="8"/>
  <c r="G32" i="8"/>
  <c r="D32" i="8"/>
  <c r="I28" i="8"/>
  <c r="F28" i="8"/>
  <c r="G28" i="8"/>
  <c r="J28" i="8"/>
  <c r="K28" i="8"/>
  <c r="L28" i="8"/>
  <c r="F26" i="3"/>
  <c r="G22" i="3"/>
  <c r="E25" i="8"/>
  <c r="F25" i="8"/>
  <c r="G25" i="8"/>
  <c r="L30" i="8" l="1"/>
  <c r="M30" i="8" s="1"/>
  <c r="C31" i="6"/>
  <c r="C32" i="6" s="1"/>
  <c r="C12" i="6"/>
  <c r="C13" i="6" s="1"/>
  <c r="C44" i="6"/>
  <c r="D32" i="7" s="1"/>
  <c r="O14" i="2"/>
  <c r="N26" i="2"/>
  <c r="P26" i="2"/>
  <c r="Q26" i="2"/>
  <c r="M26" i="2"/>
  <c r="O23" i="2"/>
  <c r="E26" i="2"/>
  <c r="G26" i="2"/>
  <c r="H26" i="2"/>
  <c r="D26" i="2"/>
  <c r="N14" i="2"/>
  <c r="E47" i="6"/>
  <c r="C21" i="4"/>
  <c r="C20" i="4"/>
  <c r="I63" i="4"/>
  <c r="H29" i="7"/>
  <c r="C31" i="9"/>
  <c r="C13" i="9"/>
  <c r="C6" i="9"/>
  <c r="C9" i="9" s="1"/>
  <c r="C16" i="9" s="1"/>
  <c r="L22" i="9" s="1"/>
  <c r="D7" i="8"/>
  <c r="I9" i="4"/>
  <c r="E22" i="3"/>
  <c r="F22" i="3"/>
  <c r="H22" i="3"/>
  <c r="D22" i="3"/>
  <c r="E17" i="3"/>
  <c r="F17" i="3"/>
  <c r="G17" i="3"/>
  <c r="H17" i="3"/>
  <c r="D17" i="3"/>
  <c r="E10" i="3"/>
  <c r="E24" i="3" s="1"/>
  <c r="E26" i="3" s="1"/>
  <c r="D10" i="3"/>
  <c r="E6" i="3"/>
  <c r="F6" i="3"/>
  <c r="F10" i="3" s="1"/>
  <c r="F24" i="3" s="1"/>
  <c r="G6" i="3"/>
  <c r="G10" i="3" s="1"/>
  <c r="H6" i="3"/>
  <c r="H10" i="3" s="1"/>
  <c r="H24" i="3" s="1"/>
  <c r="D6" i="3"/>
  <c r="K22" i="9" l="1"/>
  <c r="H22" i="9"/>
  <c r="I22" i="9"/>
  <c r="G24" i="3"/>
  <c r="C45" i="6"/>
  <c r="D24" i="3"/>
  <c r="D26" i="3" s="1"/>
  <c r="J22" i="9"/>
  <c r="G23" i="3"/>
  <c r="E7" i="8"/>
  <c r="F7" i="8"/>
  <c r="G7" i="8"/>
  <c r="D5" i="8"/>
  <c r="D8" i="8" s="1"/>
  <c r="E5" i="8"/>
  <c r="F5" i="8"/>
  <c r="G5" i="8"/>
  <c r="E42" i="7"/>
  <c r="F42" i="7"/>
  <c r="G42" i="7"/>
  <c r="H42" i="7"/>
  <c r="D42" i="7"/>
  <c r="J40" i="7"/>
  <c r="K40" i="7"/>
  <c r="L40" i="7"/>
  <c r="M40" i="7"/>
  <c r="N40" i="7"/>
  <c r="E29" i="7"/>
  <c r="F29" i="7"/>
  <c r="G29" i="7"/>
  <c r="E28" i="7"/>
  <c r="F28" i="7"/>
  <c r="G28" i="7"/>
  <c r="H28" i="7"/>
  <c r="D28" i="7"/>
  <c r="E27" i="7"/>
  <c r="F27" i="7"/>
  <c r="G27" i="7"/>
  <c r="G30" i="7" s="1"/>
  <c r="H27" i="7"/>
  <c r="D27" i="7"/>
  <c r="H22" i="2"/>
  <c r="D17" i="7"/>
  <c r="E17" i="7"/>
  <c r="F17" i="7"/>
  <c r="G17" i="7"/>
  <c r="H17" i="7"/>
  <c r="H21" i="7"/>
  <c r="E15" i="7"/>
  <c r="F15" i="7"/>
  <c r="G15" i="7"/>
  <c r="H15" i="7"/>
  <c r="E16" i="7"/>
  <c r="F16" i="7"/>
  <c r="G16" i="7"/>
  <c r="H16" i="7"/>
  <c r="E18" i="7"/>
  <c r="F18" i="7"/>
  <c r="G18" i="7"/>
  <c r="H18" i="7"/>
  <c r="E19" i="7"/>
  <c r="F19" i="7"/>
  <c r="G19" i="7"/>
  <c r="H19" i="7"/>
  <c r="C32" i="9" s="1"/>
  <c r="E20" i="7"/>
  <c r="F20" i="7"/>
  <c r="D16" i="7"/>
  <c r="D18" i="7"/>
  <c r="D19" i="7"/>
  <c r="D20" i="7"/>
  <c r="D15" i="7"/>
  <c r="D6" i="7"/>
  <c r="E6" i="7"/>
  <c r="F6" i="7"/>
  <c r="G6" i="7"/>
  <c r="H6" i="7"/>
  <c r="D7" i="7"/>
  <c r="E7" i="7"/>
  <c r="F7" i="7"/>
  <c r="G7" i="7"/>
  <c r="H7" i="7"/>
  <c r="D8" i="7"/>
  <c r="E8" i="7"/>
  <c r="F8" i="7"/>
  <c r="G8" i="7"/>
  <c r="H8" i="7"/>
  <c r="D9" i="7"/>
  <c r="E9" i="7"/>
  <c r="F9" i="7"/>
  <c r="G9" i="7"/>
  <c r="H9" i="7"/>
  <c r="D10" i="7"/>
  <c r="E10" i="7"/>
  <c r="F10" i="7"/>
  <c r="G10" i="7"/>
  <c r="F26" i="8" s="1"/>
  <c r="H10" i="7"/>
  <c r="D11" i="7"/>
  <c r="E11" i="7"/>
  <c r="F11" i="7"/>
  <c r="G11" i="7"/>
  <c r="H11" i="7"/>
  <c r="E5" i="7"/>
  <c r="F5" i="7"/>
  <c r="G5" i="7"/>
  <c r="H5" i="7"/>
  <c r="D5" i="7"/>
  <c r="D60" i="6"/>
  <c r="E60" i="6"/>
  <c r="E61" i="6" s="1"/>
  <c r="F60" i="6"/>
  <c r="G60" i="6"/>
  <c r="G61" i="6" s="1"/>
  <c r="C60" i="6"/>
  <c r="G57" i="6"/>
  <c r="H40" i="7" s="1"/>
  <c r="D54" i="6"/>
  <c r="E54" i="6"/>
  <c r="F54" i="6"/>
  <c r="F55" i="6" s="1"/>
  <c r="G54" i="6"/>
  <c r="C54" i="6"/>
  <c r="D57" i="6"/>
  <c r="E40" i="7" s="1"/>
  <c r="E57" i="6"/>
  <c r="F40" i="7" s="1"/>
  <c r="F57" i="6"/>
  <c r="G40" i="7" s="1"/>
  <c r="C57" i="6"/>
  <c r="D40" i="7" s="1"/>
  <c r="D51" i="6"/>
  <c r="E51" i="6"/>
  <c r="F51" i="6"/>
  <c r="G51" i="6"/>
  <c r="C51" i="6"/>
  <c r="C52" i="6" s="1"/>
  <c r="D47" i="6"/>
  <c r="F47" i="6"/>
  <c r="F48" i="6" s="1"/>
  <c r="G47" i="6"/>
  <c r="C47" i="6"/>
  <c r="D44" i="6"/>
  <c r="D45" i="6" s="1"/>
  <c r="E44" i="6"/>
  <c r="E45" i="6" s="1"/>
  <c r="F44" i="6"/>
  <c r="G44" i="6"/>
  <c r="M23" i="2"/>
  <c r="D15" i="6"/>
  <c r="D16" i="6" s="1"/>
  <c r="E15" i="6"/>
  <c r="E16" i="6" s="1"/>
  <c r="F15" i="6"/>
  <c r="F16" i="6" s="1"/>
  <c r="G15" i="6"/>
  <c r="G16" i="6" s="1"/>
  <c r="C15" i="6"/>
  <c r="C16" i="6" s="1"/>
  <c r="D12" i="6"/>
  <c r="D13" i="6" s="1"/>
  <c r="E12" i="6"/>
  <c r="F12" i="6"/>
  <c r="F13" i="6" s="1"/>
  <c r="G12" i="6"/>
  <c r="G13" i="6" s="1"/>
  <c r="D37" i="6"/>
  <c r="D38" i="6" s="1"/>
  <c r="E37" i="6"/>
  <c r="E38" i="6" s="1"/>
  <c r="F37" i="6"/>
  <c r="F38" i="6" s="1"/>
  <c r="G37" i="6"/>
  <c r="G38" i="6" s="1"/>
  <c r="C37" i="6"/>
  <c r="C38" i="6" s="1"/>
  <c r="D34" i="6"/>
  <c r="D35" i="6" s="1"/>
  <c r="E34" i="6"/>
  <c r="E35" i="6" s="1"/>
  <c r="F34" i="6"/>
  <c r="F35" i="6" s="1"/>
  <c r="G34" i="6"/>
  <c r="I34" i="6" s="1"/>
  <c r="J34" i="6" s="1"/>
  <c r="K34" i="6" s="1"/>
  <c r="L34" i="6" s="1"/>
  <c r="M34" i="6" s="1"/>
  <c r="N10" i="7" s="1"/>
  <c r="C34" i="6"/>
  <c r="C35" i="6" s="1"/>
  <c r="D31" i="6"/>
  <c r="E31" i="6"/>
  <c r="E23" i="8" s="1"/>
  <c r="F31" i="6"/>
  <c r="F23" i="8" s="1"/>
  <c r="G31" i="6"/>
  <c r="D28" i="6"/>
  <c r="D29" i="6" s="1"/>
  <c r="E28" i="6"/>
  <c r="E29" i="6" s="1"/>
  <c r="F28" i="6"/>
  <c r="F29" i="6" s="1"/>
  <c r="G28" i="6"/>
  <c r="G29" i="6" s="1"/>
  <c r="C28" i="6"/>
  <c r="C29" i="6" s="1"/>
  <c r="D25" i="6"/>
  <c r="D26" i="6" s="1"/>
  <c r="E25" i="6"/>
  <c r="E26" i="6" s="1"/>
  <c r="F25" i="6"/>
  <c r="F26" i="6" s="1"/>
  <c r="G25" i="6"/>
  <c r="G26" i="6" s="1"/>
  <c r="C25" i="6"/>
  <c r="C26" i="6" s="1"/>
  <c r="D22" i="6"/>
  <c r="E22" i="6"/>
  <c r="F22" i="6"/>
  <c r="G22" i="6"/>
  <c r="C22" i="6"/>
  <c r="G23" i="8" l="1"/>
  <c r="G26" i="3"/>
  <c r="F32" i="6"/>
  <c r="E32" i="6"/>
  <c r="G32" i="6"/>
  <c r="D32" i="6"/>
  <c r="H32" i="7"/>
  <c r="G45" i="6"/>
  <c r="E38" i="7"/>
  <c r="D52" i="6"/>
  <c r="F39" i="7"/>
  <c r="E55" i="6"/>
  <c r="G32" i="7"/>
  <c r="F45" i="6"/>
  <c r="H38" i="7"/>
  <c r="G52" i="6"/>
  <c r="D39" i="7"/>
  <c r="C55" i="6"/>
  <c r="E39" i="7"/>
  <c r="D55" i="6"/>
  <c r="G41" i="7"/>
  <c r="F61" i="6"/>
  <c r="G38" i="7"/>
  <c r="F52" i="6"/>
  <c r="H39" i="7"/>
  <c r="G55" i="6"/>
  <c r="F38" i="7"/>
  <c r="E52" i="6"/>
  <c r="D41" i="7"/>
  <c r="C61" i="6"/>
  <c r="E41" i="7"/>
  <c r="D61" i="6"/>
  <c r="G23" i="6"/>
  <c r="E13" i="6"/>
  <c r="E32" i="7"/>
  <c r="D48" i="6"/>
  <c r="E33" i="7"/>
  <c r="D26" i="8"/>
  <c r="G26" i="8"/>
  <c r="F33" i="7"/>
  <c r="E48" i="6"/>
  <c r="D33" i="7"/>
  <c r="D34" i="7" s="1"/>
  <c r="C48" i="6"/>
  <c r="H33" i="7"/>
  <c r="H34" i="7" s="1"/>
  <c r="G48" i="6"/>
  <c r="H23" i="3"/>
  <c r="H26" i="3" s="1"/>
  <c r="F23" i="6"/>
  <c r="F41" i="7"/>
  <c r="D30" i="7"/>
  <c r="H30" i="7"/>
  <c r="F30" i="7"/>
  <c r="L10" i="7"/>
  <c r="D38" i="7"/>
  <c r="H41" i="7"/>
  <c r="J10" i="7"/>
  <c r="I26" i="8" s="1"/>
  <c r="K10" i="7"/>
  <c r="F32" i="7"/>
  <c r="G39" i="7"/>
  <c r="G33" i="7"/>
  <c r="G34" i="7" s="1"/>
  <c r="D23" i="6"/>
  <c r="M10" i="7"/>
  <c r="D27" i="8"/>
  <c r="E27" i="8"/>
  <c r="G27" i="8"/>
  <c r="E23" i="6"/>
  <c r="G35" i="6"/>
  <c r="I22" i="6"/>
  <c r="D29" i="8" l="1"/>
  <c r="G29" i="8"/>
  <c r="E29" i="8"/>
  <c r="F8" i="8"/>
  <c r="F27" i="8"/>
  <c r="F29" i="8" s="1"/>
  <c r="F19" i="8"/>
  <c r="E19" i="8"/>
  <c r="G19" i="8"/>
  <c r="L26" i="8"/>
  <c r="E34" i="7"/>
  <c r="F34" i="7"/>
  <c r="J26" i="8"/>
  <c r="K26" i="8"/>
  <c r="M26" i="8"/>
  <c r="G8" i="8"/>
  <c r="E8" i="8"/>
  <c r="J22" i="6"/>
  <c r="J6" i="7"/>
  <c r="D19" i="6"/>
  <c r="D20" i="6" s="1"/>
  <c r="E19" i="6"/>
  <c r="E20" i="6" s="1"/>
  <c r="F19" i="6"/>
  <c r="F20" i="6" s="1"/>
  <c r="G19" i="6"/>
  <c r="C19" i="6"/>
  <c r="C20" i="6" s="1"/>
  <c r="D41" i="6"/>
  <c r="E41" i="6"/>
  <c r="F41" i="6"/>
  <c r="G41" i="6"/>
  <c r="C41" i="6"/>
  <c r="D37" i="7" s="1"/>
  <c r="D43" i="7" s="1"/>
  <c r="D44" i="7" s="1"/>
  <c r="D45" i="7" s="1"/>
  <c r="D9" i="6"/>
  <c r="E9" i="6"/>
  <c r="F9" i="6"/>
  <c r="G9" i="6"/>
  <c r="C9" i="6"/>
  <c r="D10" i="6" s="1"/>
  <c r="D6" i="6"/>
  <c r="E6" i="6"/>
  <c r="F6" i="6"/>
  <c r="G6" i="6"/>
  <c r="C6" i="6"/>
  <c r="D7" i="6" s="1"/>
  <c r="E22" i="2"/>
  <c r="E21" i="7" s="1"/>
  <c r="F22" i="2"/>
  <c r="F21" i="7" s="1"/>
  <c r="G22" i="2"/>
  <c r="G21" i="7" s="1"/>
  <c r="D22" i="2"/>
  <c r="D21" i="7" s="1"/>
  <c r="F15" i="8" l="1"/>
  <c r="E7" i="6"/>
  <c r="E14" i="8"/>
  <c r="F13" i="8"/>
  <c r="G42" i="6"/>
  <c r="G37" i="7"/>
  <c r="G43" i="7" s="1"/>
  <c r="G44" i="7" s="1"/>
  <c r="G45" i="7" s="1"/>
  <c r="E42" i="6"/>
  <c r="E37" i="7"/>
  <c r="E43" i="7" s="1"/>
  <c r="E44" i="7" s="1"/>
  <c r="E45" i="7" s="1"/>
  <c r="D15" i="8"/>
  <c r="G20" i="6"/>
  <c r="G10" i="6"/>
  <c r="G13" i="8"/>
  <c r="D14" i="8"/>
  <c r="F42" i="6"/>
  <c r="F37" i="7"/>
  <c r="F43" i="7" s="1"/>
  <c r="F44" i="7" s="1"/>
  <c r="F45" i="7" s="1"/>
  <c r="E15" i="8"/>
  <c r="G14" i="8"/>
  <c r="F10" i="6"/>
  <c r="E13" i="8"/>
  <c r="G7" i="6"/>
  <c r="F14" i="8"/>
  <c r="E10" i="6"/>
  <c r="D13" i="8"/>
  <c r="D16" i="8" s="1"/>
  <c r="H37" i="7"/>
  <c r="H43" i="7" s="1"/>
  <c r="H44" i="7" s="1"/>
  <c r="H45" i="7" s="1"/>
  <c r="G15" i="8"/>
  <c r="D42" i="6"/>
  <c r="L22" i="6"/>
  <c r="M6" i="7" s="1"/>
  <c r="K6" i="7"/>
  <c r="F7" i="6"/>
  <c r="G16" i="8" l="1"/>
  <c r="G20" i="8" s="1"/>
  <c r="G39" i="8" s="1"/>
  <c r="F16" i="8"/>
  <c r="E16" i="8"/>
  <c r="D12" i="5"/>
  <c r="I8" i="4"/>
  <c r="I45" i="4"/>
  <c r="I44" i="4" s="1"/>
  <c r="E19" i="5"/>
  <c r="D10" i="8" s="1"/>
  <c r="D11" i="8" s="1"/>
  <c r="D20" i="8" s="1"/>
  <c r="F19" i="5"/>
  <c r="E10" i="8" s="1"/>
  <c r="E11" i="8" s="1"/>
  <c r="G19" i="5"/>
  <c r="F10" i="8" s="1"/>
  <c r="F11" i="8" s="1"/>
  <c r="H19" i="5"/>
  <c r="G10" i="8" s="1"/>
  <c r="G11" i="8" s="1"/>
  <c r="D19" i="5"/>
  <c r="E12" i="5"/>
  <c r="F12" i="5"/>
  <c r="G12" i="5"/>
  <c r="H12" i="5"/>
  <c r="M63" i="4"/>
  <c r="L63" i="4"/>
  <c r="K63" i="4"/>
  <c r="J63" i="4"/>
  <c r="I62" i="4"/>
  <c r="J57" i="4"/>
  <c r="J7" i="8" s="1"/>
  <c r="K57" i="4"/>
  <c r="K7" i="8" s="1"/>
  <c r="L57" i="4"/>
  <c r="L7" i="8" s="1"/>
  <c r="M57" i="4"/>
  <c r="M7" i="8" s="1"/>
  <c r="I57" i="4"/>
  <c r="D57" i="4"/>
  <c r="E57" i="4"/>
  <c r="F57" i="4"/>
  <c r="G57" i="4"/>
  <c r="C57" i="4"/>
  <c r="M51" i="4"/>
  <c r="L51" i="4"/>
  <c r="K51" i="4"/>
  <c r="J51" i="4"/>
  <c r="I51" i="4"/>
  <c r="M45" i="4"/>
  <c r="L45" i="4"/>
  <c r="K45" i="4"/>
  <c r="J45" i="4"/>
  <c r="M39" i="4"/>
  <c r="L39" i="4"/>
  <c r="K39" i="4"/>
  <c r="I39" i="4"/>
  <c r="I38" i="4" s="1"/>
  <c r="J39" i="4"/>
  <c r="I33" i="4"/>
  <c r="G39" i="4"/>
  <c r="F39" i="4"/>
  <c r="E39" i="4"/>
  <c r="D39" i="4"/>
  <c r="C39" i="4"/>
  <c r="J33" i="4"/>
  <c r="K33" i="4"/>
  <c r="L33" i="4"/>
  <c r="M33" i="4"/>
  <c r="M27" i="4"/>
  <c r="L27" i="4"/>
  <c r="K27" i="4"/>
  <c r="J27" i="4"/>
  <c r="I27" i="4"/>
  <c r="I21" i="4"/>
  <c r="M21" i="4"/>
  <c r="L21" i="4"/>
  <c r="K21" i="4"/>
  <c r="J21" i="4"/>
  <c r="M15" i="4"/>
  <c r="L15" i="4"/>
  <c r="K15" i="4"/>
  <c r="J15" i="4"/>
  <c r="I15" i="4"/>
  <c r="I14" i="4" s="1"/>
  <c r="J5" i="5" s="1"/>
  <c r="J9" i="4"/>
  <c r="K9" i="4"/>
  <c r="L9" i="4"/>
  <c r="M9" i="4"/>
  <c r="G9" i="4"/>
  <c r="F9" i="4"/>
  <c r="E9" i="4"/>
  <c r="D9" i="4"/>
  <c r="C8" i="4"/>
  <c r="D39" i="8" l="1"/>
  <c r="D41" i="8" s="1"/>
  <c r="D80" i="8"/>
  <c r="D82" i="8" s="1"/>
  <c r="E20" i="8"/>
  <c r="E39" i="8" s="1"/>
  <c r="E41" i="8" s="1"/>
  <c r="F20" i="8"/>
  <c r="F39" i="8" s="1"/>
  <c r="F41" i="8"/>
  <c r="I40" i="8"/>
  <c r="G80" i="8"/>
  <c r="G82" i="8" s="1"/>
  <c r="I15" i="6"/>
  <c r="I25" i="8" s="1"/>
  <c r="I51" i="6"/>
  <c r="J38" i="7" s="1"/>
  <c r="I28" i="6"/>
  <c r="J8" i="7" s="1"/>
  <c r="I31" i="6"/>
  <c r="I23" i="8" s="1"/>
  <c r="I44" i="6"/>
  <c r="J32" i="7" s="1"/>
  <c r="J31" i="5"/>
  <c r="J62" i="4"/>
  <c r="J23" i="5"/>
  <c r="I31" i="8" s="1"/>
  <c r="J38" i="4"/>
  <c r="K38" i="4" s="1"/>
  <c r="J44" i="4"/>
  <c r="K44" i="4" s="1"/>
  <c r="I25" i="6"/>
  <c r="J7" i="7" s="1"/>
  <c r="I18" i="8" s="1"/>
  <c r="I19" i="6"/>
  <c r="I20" i="4"/>
  <c r="J8" i="5" s="1"/>
  <c r="J4" i="5"/>
  <c r="I26" i="4"/>
  <c r="J22" i="5"/>
  <c r="I12" i="8" s="1"/>
  <c r="J8" i="4"/>
  <c r="J14" i="4"/>
  <c r="E80" i="8" l="1"/>
  <c r="E82" i="8" s="1"/>
  <c r="I41" i="6"/>
  <c r="I23" i="13" s="1"/>
  <c r="F80" i="8"/>
  <c r="F82" i="8" s="1"/>
  <c r="J51" i="6"/>
  <c r="K38" i="7" s="1"/>
  <c r="J31" i="6"/>
  <c r="J23" i="8" s="1"/>
  <c r="J44" i="6"/>
  <c r="K32" i="7" s="1"/>
  <c r="J28" i="6"/>
  <c r="K8" i="7" s="1"/>
  <c r="I37" i="6"/>
  <c r="I12" i="6"/>
  <c r="I54" i="6"/>
  <c r="J5" i="7"/>
  <c r="I17" i="8" s="1"/>
  <c r="I32" i="4"/>
  <c r="J19" i="5" s="1"/>
  <c r="I10" i="8" s="1"/>
  <c r="K8" i="4"/>
  <c r="L4" i="5" s="1"/>
  <c r="J15" i="6"/>
  <c r="J25" i="8" s="1"/>
  <c r="J12" i="5"/>
  <c r="J13" i="5" s="1"/>
  <c r="I47" i="6"/>
  <c r="K14" i="4"/>
  <c r="K5" i="5"/>
  <c r="K62" i="4"/>
  <c r="K31" i="5"/>
  <c r="L38" i="4"/>
  <c r="L23" i="5"/>
  <c r="K31" i="8" s="1"/>
  <c r="K23" i="5"/>
  <c r="J31" i="8" s="1"/>
  <c r="K22" i="5"/>
  <c r="J12" i="8" s="1"/>
  <c r="L44" i="4"/>
  <c r="L22" i="5"/>
  <c r="K12" i="8" s="1"/>
  <c r="J6" i="5"/>
  <c r="I6" i="6"/>
  <c r="I18" i="13" s="1"/>
  <c r="I9" i="6"/>
  <c r="I21" i="13" s="1"/>
  <c r="J25" i="6"/>
  <c r="K7" i="7" s="1"/>
  <c r="J18" i="8" s="1"/>
  <c r="J19" i="6"/>
  <c r="J20" i="4"/>
  <c r="K8" i="5" s="1"/>
  <c r="K4" i="5"/>
  <c r="J26" i="4"/>
  <c r="I27" i="13" l="1"/>
  <c r="J14" i="5"/>
  <c r="I24" i="8"/>
  <c r="J17" i="7"/>
  <c r="J39" i="7"/>
  <c r="I33" i="8"/>
  <c r="J33" i="7"/>
  <c r="J34" i="7" s="1"/>
  <c r="I32" i="8"/>
  <c r="J11" i="7"/>
  <c r="K19" i="6"/>
  <c r="L5" i="7" s="1"/>
  <c r="I19" i="8"/>
  <c r="J37" i="6"/>
  <c r="J12" i="6"/>
  <c r="J24" i="8" s="1"/>
  <c r="J54" i="6"/>
  <c r="K15" i="6"/>
  <c r="K25" i="8" s="1"/>
  <c r="K28" i="6"/>
  <c r="L8" i="7" s="1"/>
  <c r="K44" i="6"/>
  <c r="L32" i="7" s="1"/>
  <c r="K51" i="6"/>
  <c r="L38" i="7" s="1"/>
  <c r="K31" i="6"/>
  <c r="K23" i="8" s="1"/>
  <c r="K20" i="4"/>
  <c r="L8" i="5" s="1"/>
  <c r="K41" i="6" s="1"/>
  <c r="K23" i="13" s="1"/>
  <c r="K5" i="7"/>
  <c r="J32" i="4"/>
  <c r="K19" i="5" s="1"/>
  <c r="J10" i="8" s="1"/>
  <c r="K25" i="6"/>
  <c r="L7" i="7" s="1"/>
  <c r="K18" i="8" s="1"/>
  <c r="K12" i="5"/>
  <c r="K13" i="5" s="1"/>
  <c r="J47" i="6"/>
  <c r="K26" i="4"/>
  <c r="L8" i="4"/>
  <c r="L31" i="5"/>
  <c r="L62" i="4"/>
  <c r="M38" i="4"/>
  <c r="M23" i="5"/>
  <c r="L31" i="8" s="1"/>
  <c r="L14" i="4"/>
  <c r="L5" i="5"/>
  <c r="L6" i="5" s="1"/>
  <c r="M22" i="5"/>
  <c r="L12" i="8" s="1"/>
  <c r="M44" i="4"/>
  <c r="N22" i="5" s="1"/>
  <c r="M12" i="8" s="1"/>
  <c r="J41" i="6"/>
  <c r="J23" i="13" s="1"/>
  <c r="J9" i="6"/>
  <c r="J21" i="13" s="1"/>
  <c r="J16" i="7"/>
  <c r="J8" i="13" s="1"/>
  <c r="I13" i="8"/>
  <c r="K6" i="6"/>
  <c r="K18" i="13" s="1"/>
  <c r="K6" i="5"/>
  <c r="J6" i="6"/>
  <c r="J18" i="13" s="1"/>
  <c r="I15" i="8"/>
  <c r="J37" i="7"/>
  <c r="J9" i="13" s="1"/>
  <c r="J15" i="7"/>
  <c r="J7" i="13" s="1"/>
  <c r="I14" i="8"/>
  <c r="E63" i="4"/>
  <c r="D63" i="4"/>
  <c r="F63" i="4"/>
  <c r="G63" i="4"/>
  <c r="D62" i="4"/>
  <c r="E62" i="4"/>
  <c r="F62" i="4"/>
  <c r="G62" i="4"/>
  <c r="C62" i="4"/>
  <c r="D56" i="4"/>
  <c r="E56" i="4"/>
  <c r="F56" i="4"/>
  <c r="G56" i="4"/>
  <c r="C56" i="4"/>
  <c r="D50" i="4"/>
  <c r="E50" i="4"/>
  <c r="F50" i="4"/>
  <c r="G50" i="4"/>
  <c r="C50" i="4"/>
  <c r="D45" i="4"/>
  <c r="E45" i="4"/>
  <c r="F45" i="4"/>
  <c r="G45" i="4"/>
  <c r="C45" i="4"/>
  <c r="D44" i="4"/>
  <c r="E44" i="4"/>
  <c r="F44" i="4"/>
  <c r="G44" i="4"/>
  <c r="C44" i="4"/>
  <c r="D38" i="4"/>
  <c r="E38" i="4"/>
  <c r="F38" i="4"/>
  <c r="G38" i="4"/>
  <c r="C38" i="4"/>
  <c r="D32" i="4"/>
  <c r="D33" i="4" s="1"/>
  <c r="E32" i="4"/>
  <c r="E33" i="4" s="1"/>
  <c r="F32" i="4"/>
  <c r="F33" i="4" s="1"/>
  <c r="G32" i="4"/>
  <c r="G33" i="4" s="1"/>
  <c r="C32" i="4"/>
  <c r="C33" i="4" s="1"/>
  <c r="D27" i="4"/>
  <c r="E27" i="4"/>
  <c r="F27" i="4"/>
  <c r="G27" i="4"/>
  <c r="C27" i="4"/>
  <c r="D26" i="4"/>
  <c r="E26" i="4"/>
  <c r="F26" i="4"/>
  <c r="G26" i="4"/>
  <c r="C26" i="4"/>
  <c r="D21" i="4"/>
  <c r="E21" i="4"/>
  <c r="F21" i="4"/>
  <c r="G21" i="4"/>
  <c r="D20" i="4"/>
  <c r="E20" i="4"/>
  <c r="F20" i="4"/>
  <c r="G20" i="4"/>
  <c r="F15" i="4"/>
  <c r="G15" i="4"/>
  <c r="E15" i="4"/>
  <c r="D15" i="4"/>
  <c r="D14" i="4"/>
  <c r="E14" i="4"/>
  <c r="F14" i="4"/>
  <c r="G14" i="4"/>
  <c r="C14" i="4"/>
  <c r="D8" i="4"/>
  <c r="E8" i="4"/>
  <c r="F8" i="4"/>
  <c r="G8" i="4"/>
  <c r="J27" i="13" l="1"/>
  <c r="J20" i="5"/>
  <c r="J24" i="5" s="1"/>
  <c r="J25" i="5" s="1"/>
  <c r="I50" i="4" s="1"/>
  <c r="I13" i="13"/>
  <c r="I35" i="8"/>
  <c r="K32" i="4"/>
  <c r="L19" i="5" s="1"/>
  <c r="K10" i="8" s="1"/>
  <c r="K17" i="8"/>
  <c r="K19" i="8" s="1"/>
  <c r="K9" i="6"/>
  <c r="J17" i="8"/>
  <c r="J19" i="8" s="1"/>
  <c r="K39" i="7"/>
  <c r="J33" i="8"/>
  <c r="K33" i="7"/>
  <c r="K34" i="7" s="1"/>
  <c r="J32" i="8"/>
  <c r="K11" i="7"/>
  <c r="L25" i="6"/>
  <c r="M7" i="7" s="1"/>
  <c r="L18" i="8" s="1"/>
  <c r="L44" i="6"/>
  <c r="M32" i="7" s="1"/>
  <c r="L31" i="6"/>
  <c r="L23" i="8" s="1"/>
  <c r="L28" i="6"/>
  <c r="M8" i="7" s="1"/>
  <c r="L51" i="6"/>
  <c r="M38" i="7" s="1"/>
  <c r="K37" i="6"/>
  <c r="K12" i="6"/>
  <c r="K24" i="8" s="1"/>
  <c r="K54" i="6"/>
  <c r="K17" i="7"/>
  <c r="L20" i="4"/>
  <c r="M8" i="5" s="1"/>
  <c r="L9" i="6" s="1"/>
  <c r="L21" i="13" s="1"/>
  <c r="L15" i="6"/>
  <c r="L25" i="8" s="1"/>
  <c r="M8" i="4"/>
  <c r="L26" i="4"/>
  <c r="L12" i="5"/>
  <c r="L13" i="5" s="1"/>
  <c r="L14" i="5" s="1"/>
  <c r="K13" i="13" s="1"/>
  <c r="K47" i="6"/>
  <c r="M4" i="5"/>
  <c r="L6" i="6" s="1"/>
  <c r="L18" i="13" s="1"/>
  <c r="L19" i="6"/>
  <c r="N23" i="5"/>
  <c r="M31" i="8" s="1"/>
  <c r="M14" i="4"/>
  <c r="N5" i="5" s="1"/>
  <c r="M5" i="5"/>
  <c r="M31" i="5"/>
  <c r="M62" i="4"/>
  <c r="N31" i="5" s="1"/>
  <c r="K14" i="5"/>
  <c r="J14" i="8"/>
  <c r="K15" i="7"/>
  <c r="K7" i="13" s="1"/>
  <c r="K37" i="7"/>
  <c r="K9" i="13" s="1"/>
  <c r="J15" i="8"/>
  <c r="K15" i="8"/>
  <c r="L37" i="7"/>
  <c r="L9" i="13" s="1"/>
  <c r="K16" i="7"/>
  <c r="K8" i="13" s="1"/>
  <c r="J13" i="8"/>
  <c r="L15" i="7"/>
  <c r="L7" i="13" s="1"/>
  <c r="K14" i="8"/>
  <c r="O24" i="2"/>
  <c r="P23" i="2"/>
  <c r="P24" i="2" s="1"/>
  <c r="N23" i="2"/>
  <c r="N24" i="2" s="1"/>
  <c r="M24" i="2"/>
  <c r="Q23" i="2"/>
  <c r="P14" i="2"/>
  <c r="Q14" i="2"/>
  <c r="H14" i="2"/>
  <c r="H12" i="7" s="1"/>
  <c r="Q24" i="2"/>
  <c r="O25" i="2"/>
  <c r="M14" i="2"/>
  <c r="Q10" i="2"/>
  <c r="P10" i="2"/>
  <c r="O10" i="2"/>
  <c r="N10" i="2"/>
  <c r="M10" i="2"/>
  <c r="G14" i="2"/>
  <c r="F14" i="2"/>
  <c r="F12" i="7" s="1"/>
  <c r="E14" i="2"/>
  <c r="D14" i="2"/>
  <c r="D12" i="7" s="1"/>
  <c r="I5" i="8" l="1"/>
  <c r="I6" i="8" s="1"/>
  <c r="K13" i="8"/>
  <c r="K21" i="13"/>
  <c r="K27" i="13" s="1"/>
  <c r="J27" i="5"/>
  <c r="J29" i="5" s="1"/>
  <c r="I56" i="4" s="1"/>
  <c r="I60" i="6" s="1"/>
  <c r="K20" i="5"/>
  <c r="J5" i="8" s="1"/>
  <c r="J6" i="8" s="1"/>
  <c r="J13" i="13"/>
  <c r="L20" i="5"/>
  <c r="L24" i="5" s="1"/>
  <c r="L25" i="5" s="1"/>
  <c r="K50" i="4" s="1"/>
  <c r="J35" i="8"/>
  <c r="L16" i="7"/>
  <c r="L8" i="13" s="1"/>
  <c r="L41" i="6"/>
  <c r="L39" i="7"/>
  <c r="K33" i="8"/>
  <c r="L11" i="7"/>
  <c r="L33" i="7"/>
  <c r="L34" i="7" s="1"/>
  <c r="K32" i="8"/>
  <c r="I27" i="8"/>
  <c r="I29" i="8" s="1"/>
  <c r="M31" i="6"/>
  <c r="M23" i="8" s="1"/>
  <c r="M44" i="6"/>
  <c r="N32" i="7" s="1"/>
  <c r="M28" i="6"/>
  <c r="N8" i="7" s="1"/>
  <c r="M51" i="6"/>
  <c r="N38" i="7" s="1"/>
  <c r="L17" i="7"/>
  <c r="L54" i="6"/>
  <c r="L37" i="6"/>
  <c r="L12" i="6"/>
  <c r="L24" i="8" s="1"/>
  <c r="F26" i="2"/>
  <c r="O26" i="2"/>
  <c r="G25" i="2"/>
  <c r="G23" i="7" s="1"/>
  <c r="G47" i="7" s="1"/>
  <c r="G12" i="7"/>
  <c r="D25" i="2"/>
  <c r="D23" i="7" s="1"/>
  <c r="D47" i="7" s="1"/>
  <c r="M5" i="7"/>
  <c r="L17" i="8" s="1"/>
  <c r="L32" i="4"/>
  <c r="M19" i="5" s="1"/>
  <c r="L10" i="8" s="1"/>
  <c r="K24" i="5"/>
  <c r="K25" i="5" s="1"/>
  <c r="J50" i="4" s="1"/>
  <c r="M12" i="5"/>
  <c r="M13" i="5" s="1"/>
  <c r="L47" i="6"/>
  <c r="M15" i="6"/>
  <c r="M25" i="8" s="1"/>
  <c r="M19" i="6"/>
  <c r="N4" i="5"/>
  <c r="M6" i="6" s="1"/>
  <c r="M26" i="4"/>
  <c r="M20" i="4"/>
  <c r="N8" i="5" s="1"/>
  <c r="M25" i="6"/>
  <c r="N7" i="7" s="1"/>
  <c r="M18" i="8" s="1"/>
  <c r="M6" i="5"/>
  <c r="M15" i="7"/>
  <c r="M7" i="13" s="1"/>
  <c r="L14" i="8"/>
  <c r="L13" i="8"/>
  <c r="M16" i="7"/>
  <c r="M8" i="13" s="1"/>
  <c r="E25" i="2"/>
  <c r="E23" i="7" s="1"/>
  <c r="E47" i="7" s="1"/>
  <c r="E12" i="7"/>
  <c r="F25" i="2"/>
  <c r="F23" i="7" s="1"/>
  <c r="F47" i="7" s="1"/>
  <c r="P25" i="2"/>
  <c r="M25" i="2"/>
  <c r="N25" i="2"/>
  <c r="Q25" i="2"/>
  <c r="H25" i="2"/>
  <c r="H23" i="7" s="1"/>
  <c r="H47" i="7" s="1"/>
  <c r="I8" i="8" l="1"/>
  <c r="I11" i="8" s="1"/>
  <c r="M14" i="8"/>
  <c r="M18" i="13"/>
  <c r="M37" i="7"/>
  <c r="M9" i="13" s="1"/>
  <c r="L23" i="13"/>
  <c r="L27" i="13" s="1"/>
  <c r="J30" i="5"/>
  <c r="L27" i="5"/>
  <c r="L29" i="5" s="1"/>
  <c r="K56" i="4" s="1"/>
  <c r="K60" i="6" s="1"/>
  <c r="K5" i="8"/>
  <c r="K6" i="8" s="1"/>
  <c r="L15" i="8"/>
  <c r="K35" i="8"/>
  <c r="M14" i="5"/>
  <c r="M11" i="7"/>
  <c r="M39" i="7"/>
  <c r="L33" i="8"/>
  <c r="M33" i="7"/>
  <c r="M34" i="7" s="1"/>
  <c r="L32" i="8"/>
  <c r="N15" i="7"/>
  <c r="N7" i="13" s="1"/>
  <c r="J33" i="5"/>
  <c r="J8" i="8"/>
  <c r="J11" i="8" s="1"/>
  <c r="J27" i="8"/>
  <c r="J29" i="8" s="1"/>
  <c r="J41" i="7"/>
  <c r="J43" i="7" s="1"/>
  <c r="J44" i="7" s="1"/>
  <c r="I16" i="8"/>
  <c r="I20" i="8" s="1"/>
  <c r="H20" i="9" s="1"/>
  <c r="M54" i="6"/>
  <c r="M37" i="6"/>
  <c r="M12" i="6"/>
  <c r="M24" i="8" s="1"/>
  <c r="M17" i="7"/>
  <c r="N5" i="7"/>
  <c r="M32" i="4"/>
  <c r="N19" i="5" s="1"/>
  <c r="M10" i="8" s="1"/>
  <c r="K27" i="5"/>
  <c r="K29" i="5" s="1"/>
  <c r="J56" i="4" s="1"/>
  <c r="J60" i="6" s="1"/>
  <c r="L19" i="8"/>
  <c r="M41" i="6"/>
  <c r="M23" i="13" s="1"/>
  <c r="M9" i="6"/>
  <c r="M21" i="13" s="1"/>
  <c r="N12" i="5"/>
  <c r="N13" i="5" s="1"/>
  <c r="M47" i="6"/>
  <c r="N6" i="5"/>
  <c r="K22" i="6"/>
  <c r="M27" i="13" l="1"/>
  <c r="J35" i="5"/>
  <c r="I14" i="13"/>
  <c r="I15" i="13" s="1"/>
  <c r="N14" i="5"/>
  <c r="M13" i="13" s="1"/>
  <c r="M20" i="5"/>
  <c r="L5" i="8" s="1"/>
  <c r="L6" i="8" s="1"/>
  <c r="L27" i="8" s="1"/>
  <c r="L29" i="8" s="1"/>
  <c r="L13" i="13"/>
  <c r="L30" i="5"/>
  <c r="L33" i="5" s="1"/>
  <c r="K8" i="8"/>
  <c r="K11" i="8" s="1"/>
  <c r="L35" i="8"/>
  <c r="N11" i="7"/>
  <c r="N33" i="7"/>
  <c r="N34" i="7" s="1"/>
  <c r="M32" i="8"/>
  <c r="N39" i="7"/>
  <c r="M33" i="8"/>
  <c r="L38" i="5"/>
  <c r="K37" i="8" s="1"/>
  <c r="J38" i="5"/>
  <c r="I37" i="8" s="1"/>
  <c r="M17" i="8"/>
  <c r="M19" i="8" s="1"/>
  <c r="K27" i="8"/>
  <c r="K29" i="8" s="1"/>
  <c r="H23" i="9"/>
  <c r="K41" i="7"/>
  <c r="K43" i="7" s="1"/>
  <c r="K44" i="7" s="1"/>
  <c r="J16" i="8"/>
  <c r="J20" i="8" s="1"/>
  <c r="I20" i="9" s="1"/>
  <c r="L41" i="7"/>
  <c r="L43" i="7" s="1"/>
  <c r="L44" i="7" s="1"/>
  <c r="K16" i="8"/>
  <c r="N17" i="7"/>
  <c r="K30" i="5"/>
  <c r="K33" i="5" s="1"/>
  <c r="J14" i="13" s="1"/>
  <c r="N16" i="7"/>
  <c r="N8" i="13" s="1"/>
  <c r="M13" i="8"/>
  <c r="M15" i="8"/>
  <c r="N37" i="7"/>
  <c r="N9" i="13" s="1"/>
  <c r="M22" i="6"/>
  <c r="N6" i="7" s="1"/>
  <c r="L6" i="7"/>
  <c r="J15" i="13" l="1"/>
  <c r="N20" i="5"/>
  <c r="M5" i="8" s="1"/>
  <c r="M6" i="8" s="1"/>
  <c r="L8" i="8"/>
  <c r="L11" i="8" s="1"/>
  <c r="L35" i="5"/>
  <c r="K14" i="13"/>
  <c r="K15" i="13" s="1"/>
  <c r="M24" i="5"/>
  <c r="M25" i="5" s="1"/>
  <c r="L50" i="4" s="1"/>
  <c r="K20" i="8"/>
  <c r="J20" i="9" s="1"/>
  <c r="J23" i="9" s="1"/>
  <c r="M35" i="8"/>
  <c r="L29" i="7"/>
  <c r="L30" i="7" s="1"/>
  <c r="L45" i="7" s="1"/>
  <c r="J29" i="7"/>
  <c r="I36" i="8" s="1"/>
  <c r="K38" i="5"/>
  <c r="J37" i="8" s="1"/>
  <c r="I23" i="9"/>
  <c r="K35" i="5"/>
  <c r="M27" i="5" l="1"/>
  <c r="M29" i="5" s="1"/>
  <c r="L56" i="4" s="1"/>
  <c r="L60" i="6" s="1"/>
  <c r="M41" i="7" s="1"/>
  <c r="M43" i="7" s="1"/>
  <c r="M44" i="7" s="1"/>
  <c r="N24" i="5"/>
  <c r="N25" i="5" s="1"/>
  <c r="M50" i="4" s="1"/>
  <c r="K29" i="7"/>
  <c r="K30" i="7" s="1"/>
  <c r="K45" i="7" s="1"/>
  <c r="J30" i="7"/>
  <c r="J45" i="7" s="1"/>
  <c r="I39" i="8"/>
  <c r="I41" i="8" s="1"/>
  <c r="J19" i="7" s="1"/>
  <c r="M8" i="8"/>
  <c r="M11" i="8" s="1"/>
  <c r="L16" i="8"/>
  <c r="L20" i="8" s="1"/>
  <c r="K20" i="9" s="1"/>
  <c r="M27" i="8" l="1"/>
  <c r="M29" i="8" s="1"/>
  <c r="M30" i="5"/>
  <c r="M33" i="5" s="1"/>
  <c r="L14" i="13" s="1"/>
  <c r="L15" i="13" s="1"/>
  <c r="K36" i="8"/>
  <c r="K39" i="8" s="1"/>
  <c r="J36" i="8"/>
  <c r="J39" i="8" s="1"/>
  <c r="J40" i="8"/>
  <c r="M38" i="5"/>
  <c r="L37" i="8" s="1"/>
  <c r="K23" i="9"/>
  <c r="N27" i="5"/>
  <c r="N29" i="5" s="1"/>
  <c r="M56" i="4" s="1"/>
  <c r="M60" i="6" s="1"/>
  <c r="M35" i="5" l="1"/>
  <c r="J41" i="8"/>
  <c r="K19" i="7" s="1"/>
  <c r="M29" i="7"/>
  <c r="M30" i="7" s="1"/>
  <c r="M45" i="7" s="1"/>
  <c r="N41" i="7"/>
  <c r="N43" i="7" s="1"/>
  <c r="N44" i="7" s="1"/>
  <c r="M16" i="8"/>
  <c r="M20" i="8" s="1"/>
  <c r="N30" i="5"/>
  <c r="N33" i="5" s="1"/>
  <c r="M14" i="13" s="1"/>
  <c r="M15" i="13" s="1"/>
  <c r="K40" i="8" l="1"/>
  <c r="K41" i="8" s="1"/>
  <c r="L40" i="8" s="1"/>
  <c r="L36" i="8"/>
  <c r="L39" i="8" s="1"/>
  <c r="N35" i="5"/>
  <c r="N38" i="5"/>
  <c r="M37" i="8" s="1"/>
  <c r="L20" i="9"/>
  <c r="L19" i="7" l="1"/>
  <c r="L41" i="8"/>
  <c r="M19" i="7" s="1"/>
  <c r="N29" i="7"/>
  <c r="N30" i="7" s="1"/>
  <c r="N45" i="7" s="1"/>
  <c r="C28" i="9"/>
  <c r="C29" i="9" s="1"/>
  <c r="L23" i="9"/>
  <c r="C27" i="9" s="1"/>
  <c r="M40" i="8" l="1"/>
  <c r="M36" i="8"/>
  <c r="M39" i="8" s="1"/>
  <c r="C30" i="9"/>
  <c r="J18" i="7"/>
  <c r="J21" i="7" s="1"/>
  <c r="M41" i="8" l="1"/>
  <c r="N19" i="7" s="1"/>
  <c r="E29" i="9"/>
  <c r="C33" i="9"/>
  <c r="C35" i="9" s="1"/>
  <c r="C4" i="11" s="1"/>
  <c r="C6" i="11" s="1"/>
  <c r="G36" i="9"/>
  <c r="G37" i="9" s="1"/>
  <c r="E27" i="9"/>
  <c r="L18" i="7"/>
  <c r="L21" i="7" s="1"/>
  <c r="K18" i="7"/>
  <c r="K21" i="7" s="1"/>
  <c r="M18" i="7" l="1"/>
  <c r="M21" i="7" s="1"/>
  <c r="N18" i="7"/>
  <c r="N21" i="7" s="1"/>
  <c r="J9" i="7" l="1"/>
  <c r="J12" i="7" s="1"/>
  <c r="J23" i="7" s="1"/>
  <c r="J47" i="7" s="1"/>
  <c r="K9" i="7"/>
  <c r="K12" i="7" s="1"/>
  <c r="K23" i="7" s="1"/>
  <c r="K47" i="7" s="1"/>
  <c r="L9" i="7"/>
  <c r="L12" i="7" s="1"/>
  <c r="L23" i="7" s="1"/>
  <c r="L47" i="7" s="1"/>
  <c r="M9" i="7"/>
  <c r="M12" i="7" s="1"/>
  <c r="M23" i="7" s="1"/>
  <c r="M47" i="7" s="1"/>
  <c r="N9" i="7"/>
  <c r="N12" i="7" s="1"/>
  <c r="N23" i="7" s="1"/>
  <c r="N47" i="7" s="1"/>
</calcChain>
</file>

<file path=xl/sharedStrings.xml><?xml version="1.0" encoding="utf-8"?>
<sst xmlns="http://schemas.openxmlformats.org/spreadsheetml/2006/main" count="544" uniqueCount="208">
  <si>
    <t>Particulars</t>
  </si>
  <si>
    <t>Revenue</t>
  </si>
  <si>
    <t>General &amp; Administrative Expenses</t>
  </si>
  <si>
    <t>Marketing, Selling &amp; Distribution Expenses</t>
  </si>
  <si>
    <t>Other Expense</t>
  </si>
  <si>
    <t>Contribution to WPPF &amp; Welfare Fund</t>
  </si>
  <si>
    <t>Income Tax Expenses</t>
  </si>
  <si>
    <t>Basic Earnings per Share (Tk 10 par value)</t>
  </si>
  <si>
    <t>Assets</t>
  </si>
  <si>
    <t>Property, plant and equipment</t>
  </si>
  <si>
    <t>Investment property</t>
  </si>
  <si>
    <t>Intangible assets</t>
  </si>
  <si>
    <t>Right-of-use assets</t>
  </si>
  <si>
    <t>Advances, deposits and prepayments</t>
  </si>
  <si>
    <t>Other financial assets</t>
  </si>
  <si>
    <t>Deferred tax asset</t>
  </si>
  <si>
    <t>Total Non-Current Assets</t>
  </si>
  <si>
    <t>Inventories</t>
  </si>
  <si>
    <t>Cash and cash equivalents</t>
  </si>
  <si>
    <t>Total Current Assets</t>
  </si>
  <si>
    <t>Total Assets</t>
  </si>
  <si>
    <t>Share Capital</t>
  </si>
  <si>
    <t>Share Premium</t>
  </si>
  <si>
    <t>Retained Earnings</t>
  </si>
  <si>
    <t>–</t>
  </si>
  <si>
    <t>Total Equity</t>
  </si>
  <si>
    <t>Lease Liabilities</t>
  </si>
  <si>
    <t>Employee Benefit Obligation</t>
  </si>
  <si>
    <t>Total Non-Current Liabilities</t>
  </si>
  <si>
    <t>Trade and Other Payables</t>
  </si>
  <si>
    <t>Loans and Borrowings</t>
  </si>
  <si>
    <t>Current Tax Liabilities</t>
  </si>
  <si>
    <t>Unclaimed Dividend</t>
  </si>
  <si>
    <t>Total Current Liabilities</t>
  </si>
  <si>
    <t>Total Liabilities</t>
  </si>
  <si>
    <t>Total Equity and Liabilities</t>
  </si>
  <si>
    <t>Assets Held for Sale</t>
  </si>
  <si>
    <t>Equity</t>
  </si>
  <si>
    <t>Cash Flows from Operating Activities</t>
  </si>
  <si>
    <t>Collection from customers and others</t>
  </si>
  <si>
    <t>Payment to suppliers and for operating expenses</t>
  </si>
  <si>
    <t>Cash generated from operating activities</t>
  </si>
  <si>
    <t>Interest paid</t>
  </si>
  <si>
    <t>Interest received</t>
  </si>
  <si>
    <t>Income tax paid</t>
  </si>
  <si>
    <t>Net cash from operating activities</t>
  </si>
  <si>
    <t>Cash Flows from Investing Activities</t>
  </si>
  <si>
    <t>Acquisition of property, plant and equipment</t>
  </si>
  <si>
    <t>Acquisition of intangible assets</t>
  </si>
  <si>
    <t>Proceeds from disposal of PPE</t>
  </si>
  <si>
    <t>Encashment of/(Investment in) fixed deposits</t>
  </si>
  <si>
    <t>Net cash used in investing activities</t>
  </si>
  <si>
    <t>Cash Flows from Financing Activities</t>
  </si>
  <si>
    <t>Net proceeds from loans and borrowings</t>
  </si>
  <si>
    <t>Dividend paid</t>
  </si>
  <si>
    <t>Payment of lease liability</t>
  </si>
  <si>
    <t>Net cash used in financing activities</t>
  </si>
  <si>
    <t>Net increase/(decrease) in cash and cash equivalents</t>
  </si>
  <si>
    <t>Opening cash and cash equivalents</t>
  </si>
  <si>
    <t>Closing cash and cash equivalents</t>
  </si>
  <si>
    <t>Effect of exchange rate fluctuations on cash held</t>
  </si>
  <si>
    <t>-</t>
  </si>
  <si>
    <t xml:space="preserve">31 Mar 2020 Act </t>
  </si>
  <si>
    <t xml:space="preserve">31 Mar 2021 Act </t>
  </si>
  <si>
    <t xml:space="preserve">31 Mar 2022 Act </t>
  </si>
  <si>
    <t xml:space="preserve">31 Mar 2023 Act </t>
  </si>
  <si>
    <t xml:space="preserve">31 Mar 2024 Act </t>
  </si>
  <si>
    <t>Particulars (BDT in Amount)</t>
  </si>
  <si>
    <t xml:space="preserve">Other Income </t>
  </si>
  <si>
    <t xml:space="preserve">Cost of Sales </t>
  </si>
  <si>
    <t>EBITDA</t>
  </si>
  <si>
    <t>Depreciation</t>
  </si>
  <si>
    <t>Amortization</t>
  </si>
  <si>
    <t xml:space="preserve">Depreciation on R-o-U assets </t>
  </si>
  <si>
    <t>EBIT</t>
  </si>
  <si>
    <t xml:space="preserve">Finance Costs </t>
  </si>
  <si>
    <t>EBT</t>
  </si>
  <si>
    <t xml:space="preserve">Net Profit </t>
  </si>
  <si>
    <t xml:space="preserve">Other Comprehensive Income </t>
  </si>
  <si>
    <t>Profit after tax</t>
  </si>
  <si>
    <t>Revenue from Sales and Services</t>
  </si>
  <si>
    <t>Particulars in BDT</t>
  </si>
  <si>
    <t xml:space="preserve">Finance Income </t>
  </si>
  <si>
    <t>Case scenarios:</t>
  </si>
  <si>
    <t>Case 1: Optimistic case</t>
  </si>
  <si>
    <t>Case 2: Base case</t>
  </si>
  <si>
    <t>Selected case</t>
  </si>
  <si>
    <t>Case 3: Worst case</t>
  </si>
  <si>
    <t>$ in thousands</t>
  </si>
  <si>
    <t>Revenues</t>
  </si>
  <si>
    <t>y-o-y growth %</t>
  </si>
  <si>
    <t>Case 1</t>
  </si>
  <si>
    <t>Case 2</t>
  </si>
  <si>
    <t>Case 3</t>
  </si>
  <si>
    <t>Other revenues</t>
  </si>
  <si>
    <t>Cost of goods sold</t>
  </si>
  <si>
    <t>% of revenues</t>
  </si>
  <si>
    <t>Operating expenses</t>
  </si>
  <si>
    <t>D&amp;A</t>
  </si>
  <si>
    <t>% of EBT</t>
  </si>
  <si>
    <t>Finance expenses</t>
  </si>
  <si>
    <t>Finance Income</t>
  </si>
  <si>
    <t>FY25
Forecast</t>
  </si>
  <si>
    <t>FY26
Forecast</t>
  </si>
  <si>
    <t>FY27
Forecast</t>
  </si>
  <si>
    <t>FY28
Forecast</t>
  </si>
  <si>
    <t>FY29
Forecast</t>
  </si>
  <si>
    <t>Total Operating Expenses</t>
  </si>
  <si>
    <t>Total Cost</t>
  </si>
  <si>
    <t>Total D&amp;A</t>
  </si>
  <si>
    <t xml:space="preserve">EBT Before Contribution WPPF &amp; Welfare Fund </t>
  </si>
  <si>
    <t xml:space="preserve">Number of Shares Ootstanding </t>
  </si>
  <si>
    <t>BS assumptions</t>
  </si>
  <si>
    <t>Trade receivable</t>
  </si>
  <si>
    <t>Days receivables (DSO)</t>
  </si>
  <si>
    <t>Inventory</t>
  </si>
  <si>
    <t>Days inventory (DIO)</t>
  </si>
  <si>
    <t>Trade payable</t>
  </si>
  <si>
    <t>Days payables (DPO)</t>
  </si>
  <si>
    <t>PP&amp;E</t>
  </si>
  <si>
    <t>as a % of revenues</t>
  </si>
  <si>
    <t xml:space="preserve">Trade Receivables </t>
  </si>
  <si>
    <t>y-o-y growth</t>
  </si>
  <si>
    <t>Non-Current Assets</t>
  </si>
  <si>
    <t>Current Assets</t>
  </si>
  <si>
    <t>Payout Ratio</t>
  </si>
  <si>
    <t>Check</t>
  </si>
  <si>
    <t>Cash Flow</t>
  </si>
  <si>
    <t>.</t>
  </si>
  <si>
    <t>P&amp;L</t>
  </si>
  <si>
    <t>Operating tax rate</t>
  </si>
  <si>
    <t>NOPAT</t>
  </si>
  <si>
    <t>Add-back D&amp;A</t>
  </si>
  <si>
    <t>Gross Cash Flow</t>
  </si>
  <si>
    <t>BS</t>
  </si>
  <si>
    <t>Trade receivables</t>
  </si>
  <si>
    <t>Trade payables</t>
  </si>
  <si>
    <t>UFCF</t>
  </si>
  <si>
    <t xml:space="preserve">Particulars in BDT </t>
  </si>
  <si>
    <t xml:space="preserve">Investmet in treasury bond </t>
  </si>
  <si>
    <t>Changes in NWC</t>
  </si>
  <si>
    <t xml:space="preserve">Other financial assets </t>
  </si>
  <si>
    <t>Changes in Capex</t>
  </si>
  <si>
    <t>DCF Valuation</t>
  </si>
  <si>
    <t>WACC</t>
  </si>
  <si>
    <t>Discount factor (WACC)</t>
  </si>
  <si>
    <t>PV of UFCF</t>
  </si>
  <si>
    <t>PV of Cash flows</t>
  </si>
  <si>
    <t>$</t>
  </si>
  <si>
    <t>of Enterprise value</t>
  </si>
  <si>
    <t>Continuing value</t>
  </si>
  <si>
    <t>PV of Continuing value</t>
  </si>
  <si>
    <t>Enterprise value</t>
  </si>
  <si>
    <t>-Financial liabilities</t>
  </si>
  <si>
    <t>+Cash</t>
  </si>
  <si>
    <t>Equity value</t>
  </si>
  <si>
    <t>Cost of Equity with DDM</t>
  </si>
  <si>
    <t>Expected DPS</t>
  </si>
  <si>
    <t xml:space="preserve">Growth Rate </t>
  </si>
  <si>
    <t xml:space="preserve">Share Price </t>
  </si>
  <si>
    <t>Current Dividend</t>
  </si>
  <si>
    <t>Cost of Equity</t>
  </si>
  <si>
    <t xml:space="preserve">Cost of Debt </t>
  </si>
  <si>
    <t xml:space="preserve">Debt </t>
  </si>
  <si>
    <t xml:space="preserve">Equity </t>
  </si>
  <si>
    <t>Tax Rate</t>
  </si>
  <si>
    <t>as a % of operating expense</t>
  </si>
  <si>
    <t>Fair Value of a Share</t>
  </si>
  <si>
    <t>% of PP&amp;E</t>
  </si>
  <si>
    <t xml:space="preserve">Non-current Assets </t>
  </si>
  <si>
    <t xml:space="preserve">Current Liabilities </t>
  </si>
  <si>
    <t xml:space="preserve">Non-Current Liabilities </t>
  </si>
  <si>
    <t>as a % of Operating Expenses</t>
  </si>
  <si>
    <t>% of a revenue</t>
  </si>
  <si>
    <t>% of Operating Expenses</t>
  </si>
  <si>
    <t>Other finanial assets</t>
  </si>
  <si>
    <t>Other investment activities</t>
  </si>
  <si>
    <t>delta tax</t>
  </si>
  <si>
    <t>Changes in other liabilities</t>
  </si>
  <si>
    <t xml:space="preserve">Changes in other assets </t>
  </si>
  <si>
    <t>Changes in Equity</t>
  </si>
  <si>
    <t>Effects of Currency Fluctuation</t>
  </si>
  <si>
    <t xml:space="preserve">Net changes in cash flow </t>
  </si>
  <si>
    <t>Ending Cash Flow</t>
  </si>
  <si>
    <t xml:space="preserve">Beginning cash flow </t>
  </si>
  <si>
    <t>Dividend Paid</t>
  </si>
  <si>
    <t xml:space="preserve">Loans and Borrowings </t>
  </si>
  <si>
    <t>Operating taxes paid</t>
  </si>
  <si>
    <t xml:space="preserve">Advances and Deposits </t>
  </si>
  <si>
    <t>Fair Value</t>
  </si>
  <si>
    <t xml:space="preserve">Market Price </t>
  </si>
  <si>
    <t>Comment</t>
  </si>
  <si>
    <t>Interest Paid</t>
  </si>
  <si>
    <t xml:space="preserve">Fair Value </t>
  </si>
  <si>
    <t>Selected Case</t>
  </si>
  <si>
    <t>Number of Common Shares Outstanding</t>
  </si>
  <si>
    <t>Working Capital</t>
  </si>
  <si>
    <t>Marico Bangladesh Limited Financial History and Projection Summary</t>
  </si>
  <si>
    <t xml:space="preserve">FY 2024 Act </t>
  </si>
  <si>
    <t xml:space="preserve">FY 2020 Act </t>
  </si>
  <si>
    <t xml:space="preserve">FY 2021 Act </t>
  </si>
  <si>
    <t xml:space="preserve">FY 2022 Act </t>
  </si>
  <si>
    <t xml:space="preserve">FY 2023 Act </t>
  </si>
  <si>
    <t>Net Profit %</t>
  </si>
  <si>
    <t>Present Value of UFCF</t>
  </si>
  <si>
    <t>Source Sheets &gt;&gt;</t>
  </si>
  <si>
    <t>Assumptions Sheets&gt;&gt;</t>
  </si>
  <si>
    <t>Forecasted Sheets&gt;&gt;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</si>
</sst>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.0_);_(* \(#,##0.0\);_(* &quot;-&quot;?_);@_)"/>
    <numFmt numFmtId="165" formatCode="_(* #,##0_);_(* \(#,##0\);_(* &quot;-&quot;?_);@_)"/>
    <numFmt numFmtId="166" formatCode="0.0%"/>
    <numFmt numFmtId="167" formatCode="0.0000%"/>
    <numFmt numFmtId="168" formatCode="_(* #,##0.0_);_(* \(#,##0.0\);_(* &quot;-&quot;?_);@_l"/>
    <numFmt numFmtId="169" formatCode="0.000%"/>
  </numFmts>
  <fonts count="21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</font>
    <font>
      <sz val="11"/>
      <color theme="1"/>
      <name val="calibri"/>
      <family val="2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002060"/>
      <name val="Arial"/>
      <family val="2"/>
    </font>
    <font>
      <b/>
      <sz val="9"/>
      <color theme="1"/>
      <name val="Arial"/>
      <family val="2"/>
    </font>
    <font>
      <b/>
      <sz val="12"/>
      <color rgb="FF002060"/>
      <name val="Arial"/>
      <family val="2"/>
    </font>
    <font>
      <i/>
      <sz val="8"/>
      <color theme="1"/>
      <name val="Arial"/>
      <family val="2"/>
    </font>
    <font>
      <sz val="9"/>
      <color rgb="FF002060"/>
      <name val="Arial"/>
      <family val="2"/>
    </font>
    <font>
      <sz val="10"/>
      <name val="Arial"/>
      <family val="2"/>
    </font>
    <font>
      <b/>
      <sz val="9"/>
      <color indexed="9"/>
      <name val="Arial"/>
      <family val="2"/>
    </font>
    <font>
      <sz val="9"/>
      <color theme="0"/>
      <name val="Arial"/>
      <family val="2"/>
    </font>
    <font>
      <sz val="9"/>
      <color theme="1" tint="4.9989318521683403E-2"/>
      <name val="Arial"/>
      <family val="2"/>
    </font>
    <font>
      <b/>
      <sz val="15"/>
      <color theme="0"/>
      <name val="Arial"/>
      <family val="2"/>
    </font>
    <font>
      <b/>
      <sz val="20"/>
      <color theme="0"/>
      <name val="Bahnschrift Light SemiCondensed"/>
      <family val="2"/>
    </font>
    <font>
      <b/>
      <sz val="20"/>
      <color theme="0"/>
      <name val="Bookman Old Style"/>
      <family val="1"/>
    </font>
    <font>
      <sz val="5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mediumGray"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/>
      <top/>
      <bottom style="medium">
        <color rgb="FF00206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rgb="FF002060"/>
      </right>
      <top/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185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/>
    <xf numFmtId="3" fontId="3" fillId="2" borderId="0" xfId="0" applyNumberFormat="1" applyFont="1" applyFill="1" applyAlignment="1">
      <alignment vertical="center" wrapText="1"/>
    </xf>
    <xf numFmtId="3" fontId="3" fillId="2" borderId="0" xfId="0" applyNumberFormat="1" applyFont="1" applyFill="1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3" fontId="3" fillId="2" borderId="0" xfId="0" applyNumberFormat="1" applyFont="1" applyFill="1" applyAlignment="1">
      <alignment horizontal="right" vertical="center" wrapText="1"/>
    </xf>
    <xf numFmtId="3" fontId="2" fillId="2" borderId="0" xfId="0" applyNumberFormat="1" applyFont="1" applyFill="1" applyAlignment="1">
      <alignment vertical="center" wrapText="1"/>
    </xf>
    <xf numFmtId="0" fontId="3" fillId="2" borderId="0" xfId="0" applyFont="1" applyFill="1" applyAlignment="1">
      <alignment horizontal="right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/>
    <xf numFmtId="3" fontId="2" fillId="2" borderId="1" xfId="0" applyNumberFormat="1" applyFont="1" applyFill="1" applyBorder="1" applyAlignment="1">
      <alignment vertical="center" wrapText="1"/>
    </xf>
    <xf numFmtId="0" fontId="0" fillId="2" borderId="0" xfId="0" applyFill="1"/>
    <xf numFmtId="0" fontId="0" fillId="2" borderId="1" xfId="0" applyFill="1" applyBorder="1"/>
    <xf numFmtId="37" fontId="3" fillId="2" borderId="0" xfId="0" applyNumberFormat="1" applyFont="1" applyFill="1" applyAlignment="1">
      <alignment horizontal="right" vertical="center" wrapText="1"/>
    </xf>
    <xf numFmtId="37" fontId="3" fillId="2" borderId="0" xfId="0" applyNumberFormat="1" applyFont="1" applyFill="1" applyAlignment="1">
      <alignment horizontal="right"/>
    </xf>
    <xf numFmtId="0" fontId="2" fillId="2" borderId="2" xfId="0" applyFont="1" applyFill="1" applyBorder="1" applyAlignment="1">
      <alignment vertical="center" wrapText="1"/>
    </xf>
    <xf numFmtId="0" fontId="0" fillId="2" borderId="2" xfId="0" applyFill="1" applyBorder="1"/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/>
    <xf numFmtId="3" fontId="3" fillId="2" borderId="2" xfId="0" applyNumberFormat="1" applyFont="1" applyFill="1" applyBorder="1"/>
    <xf numFmtId="0" fontId="2" fillId="2" borderId="3" xfId="0" applyFont="1" applyFill="1" applyBorder="1" applyAlignment="1">
      <alignment horizontal="left" vertical="center" wrapText="1"/>
    </xf>
    <xf numFmtId="0" fontId="0" fillId="2" borderId="3" xfId="0" applyFill="1" applyBorder="1"/>
    <xf numFmtId="3" fontId="2" fillId="2" borderId="3" xfId="0" applyNumberFormat="1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0" fillId="2" borderId="4" xfId="0" applyFill="1" applyBorder="1"/>
    <xf numFmtId="3" fontId="2" fillId="2" borderId="4" xfId="0" applyNumberFormat="1" applyFont="1" applyFill="1" applyBorder="1" applyAlignment="1">
      <alignment vertical="center" wrapText="1"/>
    </xf>
    <xf numFmtId="37" fontId="2" fillId="2" borderId="4" xfId="0" applyNumberFormat="1" applyFont="1" applyFill="1" applyBorder="1" applyAlignment="1">
      <alignment horizontal="right" vertical="center" wrapText="1"/>
    </xf>
    <xf numFmtId="37" fontId="3" fillId="2" borderId="0" xfId="0" applyNumberFormat="1" applyFont="1" applyFill="1"/>
    <xf numFmtId="0" fontId="2" fillId="2" borderId="3" xfId="0" applyFont="1" applyFill="1" applyBorder="1"/>
    <xf numFmtId="37" fontId="0" fillId="2" borderId="0" xfId="0" applyNumberFormat="1" applyFill="1" applyAlignment="1">
      <alignment horizontal="right" vertical="center" wrapText="1"/>
    </xf>
    <xf numFmtId="37" fontId="1" fillId="2" borderId="3" xfId="0" applyNumberFormat="1" applyFont="1" applyFill="1" applyBorder="1" applyAlignment="1">
      <alignment horizontal="right" vertical="center" wrapText="1"/>
    </xf>
    <xf numFmtId="37" fontId="2" fillId="2" borderId="0" xfId="0" applyNumberFormat="1" applyFont="1" applyFill="1" applyAlignment="1">
      <alignment horizontal="right" vertical="center" wrapText="1"/>
    </xf>
    <xf numFmtId="0" fontId="2" fillId="2" borderId="0" xfId="0" applyFont="1" applyFill="1"/>
    <xf numFmtId="37" fontId="2" fillId="2" borderId="0" xfId="0" applyNumberFormat="1" applyFont="1" applyFill="1" applyAlignment="1">
      <alignment horizontal="right"/>
    </xf>
    <xf numFmtId="37" fontId="1" fillId="2" borderId="0" xfId="0" applyNumberFormat="1" applyFont="1" applyFill="1" applyAlignment="1">
      <alignment horizontal="right" vertical="center" wrapText="1"/>
    </xf>
    <xf numFmtId="37" fontId="2" fillId="2" borderId="3" xfId="0" applyNumberFormat="1" applyFont="1" applyFill="1" applyBorder="1" applyAlignment="1">
      <alignment horizontal="right"/>
    </xf>
    <xf numFmtId="0" fontId="1" fillId="2" borderId="0" xfId="0" applyFont="1" applyFill="1"/>
    <xf numFmtId="0" fontId="2" fillId="2" borderId="4" xfId="0" applyFont="1" applyFill="1" applyBorder="1"/>
    <xf numFmtId="0" fontId="2" fillId="2" borderId="5" xfId="0" applyFont="1" applyFill="1" applyBorder="1"/>
    <xf numFmtId="37" fontId="2" fillId="2" borderId="5" xfId="0" applyNumberFormat="1" applyFont="1" applyFill="1" applyBorder="1" applyAlignment="1">
      <alignment horizontal="right"/>
    </xf>
    <xf numFmtId="164" fontId="6" fillId="2" borderId="0" xfId="0" applyNumberFormat="1" applyFont="1" applyFill="1"/>
    <xf numFmtId="0" fontId="7" fillId="3" borderId="0" xfId="0" applyFont="1" applyFill="1"/>
    <xf numFmtId="165" fontId="6" fillId="2" borderId="0" xfId="0" applyNumberFormat="1" applyFont="1" applyFill="1"/>
    <xf numFmtId="165" fontId="6" fillId="2" borderId="0" xfId="0" applyNumberFormat="1" applyFont="1" applyFill="1" applyAlignment="1">
      <alignment horizontal="right"/>
    </xf>
    <xf numFmtId="166" fontId="6" fillId="2" borderId="0" xfId="1" applyNumberFormat="1" applyFont="1" applyFill="1"/>
    <xf numFmtId="9" fontId="6" fillId="2" borderId="0" xfId="1" applyFont="1" applyFill="1"/>
    <xf numFmtId="164" fontId="6" fillId="4" borderId="0" xfId="0" applyNumberFormat="1" applyFont="1" applyFill="1"/>
    <xf numFmtId="9" fontId="6" fillId="2" borderId="0" xfId="1" applyFont="1" applyFill="1" applyAlignment="1">
      <alignment horizontal="right"/>
    </xf>
    <xf numFmtId="164" fontId="8" fillId="2" borderId="1" xfId="0" applyNumberFormat="1" applyFont="1" applyFill="1" applyBorder="1"/>
    <xf numFmtId="165" fontId="6" fillId="5" borderId="0" xfId="0" applyNumberFormat="1" applyFont="1" applyFill="1"/>
    <xf numFmtId="9" fontId="6" fillId="5" borderId="0" xfId="1" applyFont="1" applyFill="1"/>
    <xf numFmtId="165" fontId="8" fillId="2" borderId="1" xfId="0" applyNumberFormat="1" applyFont="1" applyFill="1" applyBorder="1" applyAlignment="1">
      <alignment horizontal="right" wrapText="1"/>
    </xf>
    <xf numFmtId="0" fontId="6" fillId="2" borderId="0" xfId="0" applyFont="1" applyFill="1"/>
    <xf numFmtId="37" fontId="9" fillId="2" borderId="1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/>
    <xf numFmtId="0" fontId="6" fillId="4" borderId="0" xfId="0" applyFont="1" applyFill="1"/>
    <xf numFmtId="0" fontId="6" fillId="2" borderId="0" xfId="0" applyFont="1" applyFill="1" applyAlignment="1">
      <alignment vertical="center" wrapText="1"/>
    </xf>
    <xf numFmtId="3" fontId="6" fillId="2" borderId="0" xfId="0" applyNumberFormat="1" applyFont="1" applyFill="1"/>
    <xf numFmtId="37" fontId="8" fillId="2" borderId="1" xfId="0" applyNumberFormat="1" applyFont="1" applyFill="1" applyBorder="1" applyAlignment="1">
      <alignment horizontal="right" wrapText="1"/>
    </xf>
    <xf numFmtId="0" fontId="8" fillId="2" borderId="0" xfId="0" applyFont="1" applyFill="1"/>
    <xf numFmtId="0" fontId="8" fillId="2" borderId="1" xfId="0" applyFont="1" applyFill="1" applyBorder="1"/>
    <xf numFmtId="37" fontId="8" fillId="2" borderId="1" xfId="0" applyNumberFormat="1" applyFont="1" applyFill="1" applyBorder="1" applyAlignment="1">
      <alignment horizontal="right" vertical="center" wrapText="1"/>
    </xf>
    <xf numFmtId="37" fontId="6" fillId="2" borderId="0" xfId="0" applyNumberFormat="1" applyFont="1" applyFill="1" applyAlignment="1">
      <alignment horizontal="right"/>
    </xf>
    <xf numFmtId="0" fontId="9" fillId="2" borderId="3" xfId="0" applyFont="1" applyFill="1" applyBorder="1"/>
    <xf numFmtId="37" fontId="9" fillId="2" borderId="3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0" fontId="9" fillId="2" borderId="5" xfId="0" applyFont="1" applyFill="1" applyBorder="1"/>
    <xf numFmtId="37" fontId="9" fillId="2" borderId="5" xfId="0" applyNumberFormat="1" applyFont="1" applyFill="1" applyBorder="1" applyAlignment="1">
      <alignment horizontal="right"/>
    </xf>
    <xf numFmtId="37" fontId="6" fillId="2" borderId="0" xfId="0" applyNumberFormat="1" applyFont="1" applyFill="1" applyAlignment="1">
      <alignment horizontal="right" vertical="center" wrapText="1"/>
    </xf>
    <xf numFmtId="0" fontId="9" fillId="2" borderId="0" xfId="0" applyFont="1" applyFill="1"/>
    <xf numFmtId="37" fontId="9" fillId="2" borderId="3" xfId="0" applyNumberFormat="1" applyFont="1" applyFill="1" applyBorder="1" applyAlignment="1">
      <alignment horizontal="right" vertical="center" wrapText="1"/>
    </xf>
    <xf numFmtId="37" fontId="6" fillId="2" borderId="4" xfId="0" applyNumberFormat="1" applyFont="1" applyFill="1" applyBorder="1" applyAlignment="1">
      <alignment horizontal="right"/>
    </xf>
    <xf numFmtId="37" fontId="9" fillId="2" borderId="0" xfId="0" applyNumberFormat="1" applyFont="1" applyFill="1" applyAlignment="1">
      <alignment horizontal="right"/>
    </xf>
    <xf numFmtId="37" fontId="9" fillId="2" borderId="6" xfId="0" applyNumberFormat="1" applyFont="1" applyFill="1" applyBorder="1" applyAlignment="1">
      <alignment horizontal="right"/>
    </xf>
    <xf numFmtId="37" fontId="6" fillId="2" borderId="0" xfId="0" quotePrefix="1" applyNumberFormat="1" applyFont="1" applyFill="1" applyAlignment="1">
      <alignment horizontal="right"/>
    </xf>
    <xf numFmtId="3" fontId="6" fillId="2" borderId="0" xfId="0" applyNumberFormat="1" applyFont="1" applyFill="1" applyAlignment="1">
      <alignment horizontal="right"/>
    </xf>
    <xf numFmtId="164" fontId="10" fillId="2" borderId="0" xfId="0" applyNumberFormat="1" applyFont="1" applyFill="1"/>
    <xf numFmtId="164" fontId="8" fillId="2" borderId="7" xfId="0" applyNumberFormat="1" applyFont="1" applyFill="1" applyBorder="1" applyAlignment="1">
      <alignment horizontal="right" wrapText="1"/>
    </xf>
    <xf numFmtId="164" fontId="11" fillId="2" borderId="0" xfId="0" applyNumberFormat="1" applyFont="1" applyFill="1"/>
    <xf numFmtId="166" fontId="11" fillId="2" borderId="0" xfId="1" applyNumberFormat="1" applyFont="1" applyFill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3" fontId="0" fillId="2" borderId="0" xfId="0" applyNumberFormat="1" applyFill="1" applyAlignment="1">
      <alignment vertical="center" wrapText="1"/>
    </xf>
    <xf numFmtId="166" fontId="11" fillId="2" borderId="0" xfId="0" applyNumberFormat="1" applyFont="1" applyFill="1"/>
    <xf numFmtId="10" fontId="6" fillId="2" borderId="0" xfId="1" applyNumberFormat="1" applyFont="1" applyFill="1"/>
    <xf numFmtId="167" fontId="6" fillId="2" borderId="0" xfId="1" applyNumberFormat="1" applyFont="1" applyFill="1"/>
    <xf numFmtId="37" fontId="6" fillId="2" borderId="0" xfId="0" applyNumberFormat="1" applyFont="1" applyFill="1"/>
    <xf numFmtId="3" fontId="0" fillId="2" borderId="0" xfId="0" applyNumberFormat="1" applyFill="1"/>
    <xf numFmtId="3" fontId="6" fillId="5" borderId="0" xfId="0" applyNumberFormat="1" applyFont="1" applyFill="1"/>
    <xf numFmtId="3" fontId="11" fillId="5" borderId="0" xfId="0" applyNumberFormat="1" applyFont="1" applyFill="1"/>
    <xf numFmtId="3" fontId="0" fillId="5" borderId="0" xfId="0" applyNumberFormat="1" applyFill="1"/>
    <xf numFmtId="167" fontId="6" fillId="5" borderId="0" xfId="1" applyNumberFormat="1" applyFont="1" applyFill="1"/>
    <xf numFmtId="0" fontId="10" fillId="2" borderId="0" xfId="0" applyFont="1" applyFill="1"/>
    <xf numFmtId="3" fontId="8" fillId="2" borderId="1" xfId="0" applyNumberFormat="1" applyFont="1" applyFill="1" applyBorder="1" applyAlignment="1">
      <alignment horizontal="right" vertical="center" wrapText="1"/>
    </xf>
    <xf numFmtId="3" fontId="8" fillId="2" borderId="1" xfId="0" applyNumberFormat="1" applyFont="1" applyFill="1" applyBorder="1" applyAlignment="1">
      <alignment horizontal="right" wrapText="1"/>
    </xf>
    <xf numFmtId="10" fontId="6" fillId="2" borderId="0" xfId="0" applyNumberFormat="1" applyFont="1" applyFill="1" applyAlignment="1">
      <alignment horizontal="right"/>
    </xf>
    <xf numFmtId="9" fontId="6" fillId="2" borderId="0" xfId="0" applyNumberFormat="1" applyFont="1" applyFill="1" applyAlignment="1">
      <alignment horizontal="right"/>
    </xf>
    <xf numFmtId="168" fontId="6" fillId="2" borderId="0" xfId="0" applyNumberFormat="1" applyFont="1" applyFill="1"/>
    <xf numFmtId="164" fontId="8" fillId="2" borderId="7" xfId="0" applyNumberFormat="1" applyFont="1" applyFill="1" applyBorder="1"/>
    <xf numFmtId="164" fontId="8" fillId="5" borderId="7" xfId="0" applyNumberFormat="1" applyFont="1" applyFill="1" applyBorder="1" applyAlignment="1">
      <alignment horizontal="right" wrapText="1"/>
    </xf>
    <xf numFmtId="164" fontId="8" fillId="2" borderId="7" xfId="0" applyNumberFormat="1" applyFont="1" applyFill="1" applyBorder="1" applyAlignment="1">
      <alignment wrapText="1"/>
    </xf>
    <xf numFmtId="9" fontId="6" fillId="2" borderId="0" xfId="1" applyFont="1" applyFill="1" applyBorder="1"/>
    <xf numFmtId="164" fontId="8" fillId="2" borderId="3" xfId="0" applyNumberFormat="1" applyFont="1" applyFill="1" applyBorder="1"/>
    <xf numFmtId="164" fontId="8" fillId="2" borderId="0" xfId="0" applyNumberFormat="1" applyFont="1" applyFill="1"/>
    <xf numFmtId="168" fontId="8" fillId="2" borderId="0" xfId="0" applyNumberFormat="1" applyFont="1" applyFill="1"/>
    <xf numFmtId="0" fontId="6" fillId="0" borderId="0" xfId="0" applyFont="1"/>
    <xf numFmtId="0" fontId="12" fillId="2" borderId="0" xfId="0" applyFont="1" applyFill="1"/>
    <xf numFmtId="0" fontId="12" fillId="2" borderId="8" xfId="0" applyFont="1" applyFill="1" applyBorder="1"/>
    <xf numFmtId="37" fontId="8" fillId="2" borderId="8" xfId="0" applyNumberFormat="1" applyFont="1" applyFill="1" applyBorder="1" applyAlignment="1">
      <alignment horizontal="right" vertical="center" wrapText="1"/>
    </xf>
    <xf numFmtId="0" fontId="8" fillId="2" borderId="8" xfId="0" applyFont="1" applyFill="1" applyBorder="1"/>
    <xf numFmtId="37" fontId="12" fillId="2" borderId="0" xfId="0" applyNumberFormat="1" applyFont="1" applyFill="1" applyAlignment="1">
      <alignment horizontal="right"/>
    </xf>
    <xf numFmtId="37" fontId="9" fillId="2" borderId="0" xfId="0" applyNumberFormat="1" applyFont="1" applyFill="1" applyAlignment="1">
      <alignment horizontal="right" vertical="center" wrapText="1"/>
    </xf>
    <xf numFmtId="0" fontId="6" fillId="2" borderId="3" xfId="0" applyFont="1" applyFill="1" applyBorder="1"/>
    <xf numFmtId="37" fontId="6" fillId="2" borderId="3" xfId="0" applyNumberFormat="1" applyFont="1" applyFill="1" applyBorder="1" applyAlignment="1">
      <alignment horizontal="right" vertical="center" wrapText="1"/>
    </xf>
    <xf numFmtId="0" fontId="6" fillId="2" borderId="5" xfId="0" applyFont="1" applyFill="1" applyBorder="1"/>
    <xf numFmtId="37" fontId="6" fillId="2" borderId="5" xfId="0" applyNumberFormat="1" applyFont="1" applyFill="1" applyBorder="1" applyAlignment="1">
      <alignment horizontal="right" vertical="center" wrapText="1"/>
    </xf>
    <xf numFmtId="37" fontId="6" fillId="2" borderId="3" xfId="0" applyNumberFormat="1" applyFont="1" applyFill="1" applyBorder="1" applyAlignment="1">
      <alignment horizontal="right"/>
    </xf>
    <xf numFmtId="3" fontId="9" fillId="2" borderId="1" xfId="0" applyNumberFormat="1" applyFont="1" applyFill="1" applyBorder="1" applyAlignment="1">
      <alignment horizontal="right" vertical="center" wrapText="1"/>
    </xf>
    <xf numFmtId="0" fontId="7" fillId="3" borderId="0" xfId="0" applyFont="1" applyFill="1" applyAlignment="1">
      <alignment vertical="center" wrapText="1"/>
    </xf>
    <xf numFmtId="168" fontId="7" fillId="3" borderId="0" xfId="0" applyNumberFormat="1" applyFont="1" applyFill="1"/>
    <xf numFmtId="165" fontId="8" fillId="2" borderId="3" xfId="0" applyNumberFormat="1" applyFont="1" applyFill="1" applyBorder="1"/>
    <xf numFmtId="165" fontId="8" fillId="5" borderId="3" xfId="0" applyNumberFormat="1" applyFont="1" applyFill="1" applyBorder="1"/>
    <xf numFmtId="9" fontId="6" fillId="2" borderId="0" xfId="1" applyFont="1" applyFill="1" applyBorder="1" applyAlignment="1">
      <alignment horizontal="right"/>
    </xf>
    <xf numFmtId="164" fontId="6" fillId="2" borderId="0" xfId="0" applyNumberFormat="1" applyFont="1" applyFill="1" applyAlignment="1">
      <alignment horizontal="right"/>
    </xf>
    <xf numFmtId="165" fontId="8" fillId="2" borderId="0" xfId="0" applyNumberFormat="1" applyFont="1" applyFill="1"/>
    <xf numFmtId="49" fontId="6" fillId="2" borderId="0" xfId="0" quotePrefix="1" applyNumberFormat="1" applyFont="1" applyFill="1"/>
    <xf numFmtId="49" fontId="6" fillId="2" borderId="0" xfId="0" applyNumberFormat="1" applyFont="1" applyFill="1"/>
    <xf numFmtId="164" fontId="15" fillId="2" borderId="0" xfId="0" applyNumberFormat="1" applyFont="1" applyFill="1"/>
    <xf numFmtId="9" fontId="8" fillId="2" borderId="7" xfId="1" applyFont="1" applyFill="1" applyBorder="1"/>
    <xf numFmtId="9" fontId="8" fillId="2" borderId="10" xfId="1" applyFont="1" applyFill="1" applyBorder="1"/>
    <xf numFmtId="165" fontId="6" fillId="4" borderId="0" xfId="0" applyNumberFormat="1" applyFont="1" applyFill="1"/>
    <xf numFmtId="164" fontId="8" fillId="4" borderId="3" xfId="0" applyNumberFormat="1" applyFont="1" applyFill="1" applyBorder="1"/>
    <xf numFmtId="165" fontId="8" fillId="4" borderId="3" xfId="0" applyNumberFormat="1" applyFont="1" applyFill="1" applyBorder="1"/>
    <xf numFmtId="9" fontId="0" fillId="0" borderId="0" xfId="1" applyFont="1" applyAlignment="1">
      <alignment vertical="center" wrapText="1"/>
    </xf>
    <xf numFmtId="2" fontId="6" fillId="2" borderId="0" xfId="1" applyNumberFormat="1" applyFont="1" applyFill="1"/>
    <xf numFmtId="2" fontId="6" fillId="5" borderId="0" xfId="1" applyNumberFormat="1" applyFont="1" applyFill="1" applyBorder="1"/>
    <xf numFmtId="2" fontId="9" fillId="2" borderId="0" xfId="1" applyNumberFormat="1" applyFont="1" applyFill="1"/>
    <xf numFmtId="2" fontId="6" fillId="2" borderId="9" xfId="1" applyNumberFormat="1" applyFont="1" applyFill="1" applyBorder="1"/>
    <xf numFmtId="2" fontId="6" fillId="2" borderId="0" xfId="1" applyNumberFormat="1" applyFont="1" applyFill="1" applyBorder="1"/>
    <xf numFmtId="9" fontId="6" fillId="2" borderId="0" xfId="0" applyNumberFormat="1" applyFont="1" applyFill="1"/>
    <xf numFmtId="164" fontId="9" fillId="2" borderId="0" xfId="0" applyNumberFormat="1" applyFont="1" applyFill="1"/>
    <xf numFmtId="164" fontId="7" fillId="3" borderId="0" xfId="0" applyNumberFormat="1" applyFont="1" applyFill="1"/>
    <xf numFmtId="168" fontId="9" fillId="2" borderId="0" xfId="0" applyNumberFormat="1" applyFont="1" applyFill="1"/>
    <xf numFmtId="164" fontId="16" fillId="2" borderId="0" xfId="0" applyNumberFormat="1" applyFont="1" applyFill="1"/>
    <xf numFmtId="37" fontId="6" fillId="0" borderId="0" xfId="0" applyNumberFormat="1" applyFont="1"/>
    <xf numFmtId="37" fontId="6" fillId="2" borderId="1" xfId="0" applyNumberFormat="1" applyFont="1" applyFill="1" applyBorder="1"/>
    <xf numFmtId="37" fontId="8" fillId="2" borderId="3" xfId="0" applyNumberFormat="1" applyFont="1" applyFill="1" applyBorder="1"/>
    <xf numFmtId="37" fontId="8" fillId="2" borderId="0" xfId="0" applyNumberFormat="1" applyFont="1" applyFill="1"/>
    <xf numFmtId="37" fontId="12" fillId="2" borderId="0" xfId="0" applyNumberFormat="1" applyFont="1" applyFill="1"/>
    <xf numFmtId="37" fontId="8" fillId="5" borderId="0" xfId="0" applyNumberFormat="1" applyFont="1" applyFill="1"/>
    <xf numFmtId="37" fontId="7" fillId="3" borderId="0" xfId="0" applyNumberFormat="1" applyFont="1" applyFill="1"/>
    <xf numFmtId="169" fontId="6" fillId="2" borderId="0" xfId="1" applyNumberFormat="1" applyFont="1" applyFill="1"/>
    <xf numFmtId="1" fontId="6" fillId="2" borderId="0" xfId="1" applyNumberFormat="1" applyFont="1" applyFill="1"/>
    <xf numFmtId="9" fontId="11" fillId="5" borderId="0" xfId="1" applyFont="1" applyFill="1"/>
    <xf numFmtId="166" fontId="6" fillId="5" borderId="0" xfId="1" applyNumberFormat="1" applyFont="1" applyFill="1"/>
    <xf numFmtId="0" fontId="6" fillId="7" borderId="0" xfId="0" applyFont="1" applyFill="1"/>
    <xf numFmtId="164" fontId="6" fillId="7" borderId="0" xfId="0" applyNumberFormat="1" applyFont="1" applyFill="1"/>
    <xf numFmtId="37" fontId="6" fillId="7" borderId="0" xfId="0" applyNumberFormat="1" applyFont="1" applyFill="1" applyAlignment="1">
      <alignment horizontal="right" vertical="center" wrapText="1"/>
    </xf>
    <xf numFmtId="37" fontId="6" fillId="7" borderId="0" xfId="0" applyNumberFormat="1" applyFont="1" applyFill="1" applyAlignment="1">
      <alignment horizontal="right"/>
    </xf>
    <xf numFmtId="168" fontId="6" fillId="7" borderId="0" xfId="0" applyNumberFormat="1" applyFont="1" applyFill="1"/>
    <xf numFmtId="37" fontId="6" fillId="7" borderId="0" xfId="0" applyNumberFormat="1" applyFont="1" applyFill="1"/>
    <xf numFmtId="0" fontId="15" fillId="7" borderId="0" xfId="0" applyFont="1" applyFill="1"/>
    <xf numFmtId="37" fontId="15" fillId="7" borderId="0" xfId="0" applyNumberFormat="1" applyFont="1" applyFill="1"/>
    <xf numFmtId="0" fontId="17" fillId="7" borderId="0" xfId="0" applyFont="1" applyFill="1"/>
    <xf numFmtId="37" fontId="17" fillId="7" borderId="0" xfId="0" applyNumberFormat="1" applyFont="1" applyFill="1" applyAlignment="1">
      <alignment horizontal="right" vertical="center" wrapText="1"/>
    </xf>
    <xf numFmtId="164" fontId="17" fillId="7" borderId="0" xfId="0" applyNumberFormat="1" applyFont="1" applyFill="1"/>
    <xf numFmtId="168" fontId="17" fillId="7" borderId="0" xfId="0" applyNumberFormat="1" applyFont="1" applyFill="1"/>
    <xf numFmtId="37" fontId="17" fillId="7" borderId="0" xfId="0" applyNumberFormat="1" applyFont="1" applyFill="1"/>
    <xf numFmtId="0" fontId="18" fillId="8" borderId="0" xfId="0" applyFont="1" applyFill="1"/>
    <xf numFmtId="0" fontId="6" fillId="8" borderId="0" xfId="0" applyFont="1" applyFill="1"/>
    <xf numFmtId="9" fontId="0" fillId="0" borderId="0" xfId="1" applyFont="1"/>
    <xf numFmtId="168" fontId="17" fillId="7" borderId="0" xfId="0" applyNumberFormat="1" applyFont="1" applyFill="1" applyAlignment="1">
      <alignment horizontal="right"/>
    </xf>
    <xf numFmtId="0" fontId="17" fillId="7" borderId="0" xfId="0" applyFont="1" applyFill="1" applyAlignment="1">
      <alignment horizontal="right"/>
    </xf>
    <xf numFmtId="0" fontId="14" fillId="6" borderId="0" xfId="2" applyNumberFormat="1" applyFont="1" applyFill="1" applyBorder="1" applyAlignment="1">
      <alignment horizontal="center"/>
    </xf>
    <xf numFmtId="165" fontId="0" fillId="0" borderId="0" xfId="0" applyNumberFormat="1"/>
    <xf numFmtId="0" fontId="18" fillId="2" borderId="0" xfId="0" applyFont="1" applyFill="1"/>
    <xf numFmtId="0" fontId="19" fillId="7" borderId="0" xfId="0" applyFont="1" applyFill="1" applyAlignment="1">
      <alignment horizontal="center"/>
    </xf>
    <xf numFmtId="0" fontId="20" fillId="2" borderId="0" xfId="0" applyFont="1" applyFill="1"/>
  </cellXfs>
  <cellStyles count="3">
    <cellStyle name="Normal" xfId="0" builtinId="0"/>
    <cellStyle name="Normal_Project Accel Valuation v56" xfId="2" xr:uid="{034D14FE-E3B6-4D74-AA95-0340530F973D}"/>
    <cellStyle name="Percent" xfId="1" builtinId="5"/>
  </cellStyles>
  <dxfs count="0"/>
  <tableStyles count="0" defaultTableStyle="TableStyleMedium2" defaultPivotStyle="PivotStyleLight16"/>
  <colors>
    <mruColors>
      <color rgb="FFFF66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latin typeface="Times New Roman" panose="02020603050405020304" pitchFamily="18" charset="0"/>
                <a:cs typeface="Times New Roman" panose="02020603050405020304" pitchFamily="18" charset="0"/>
              </a:rPr>
              <a:t>Ratio</a:t>
            </a:r>
            <a:r>
              <a:rPr lang="en-US" sz="14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of Cash Flow</a:t>
            </a:r>
            <a:endParaRPr lang="en-US" sz="14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spPr>
            <a:ln w="12700"/>
            <a:effectLst>
              <a:glow>
                <a:schemeClr val="accent1">
                  <a:alpha val="40000"/>
                </a:schemeClr>
              </a:glow>
              <a:outerShdw blurRad="50800" dist="50800" dir="5400000" sx="1000" sy="1000" algn="ctr" rotWithShape="0">
                <a:srgbClr val="000000">
                  <a:alpha val="43137"/>
                </a:srgbClr>
              </a:outerShdw>
              <a:softEdge rad="0"/>
            </a:effectLst>
          </c:spPr>
          <c:dPt>
            <c:idx val="0"/>
            <c:bubble3D val="0"/>
            <c:spPr>
              <a:solidFill>
                <a:schemeClr val="accent6">
                  <a:lumMod val="75000"/>
                </a:schemeClr>
              </a:solidFill>
              <a:ln w="12700">
                <a:solidFill>
                  <a:schemeClr val="lt1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1-A007-4ACE-923C-81BDABAE4FFA}"/>
              </c:ext>
            </c:extLst>
          </c:dPt>
          <c:dPt>
            <c:idx val="1"/>
            <c:bubble3D val="0"/>
            <c:spPr>
              <a:solidFill>
                <a:schemeClr val="accent1">
                  <a:lumMod val="75000"/>
                </a:schemeClr>
              </a:solidFill>
              <a:ln w="12700">
                <a:solidFill>
                  <a:schemeClr val="lt1"/>
                </a:solidFill>
              </a:ln>
              <a:effectLst>
                <a:glow>
                  <a:schemeClr val="accent1">
                    <a:alpha val="40000"/>
                  </a:schemeClr>
                </a:glow>
                <a:outerShdw blurRad="50800" dist="50800" dir="5400000" sx="1000" sy="1000" algn="ctr" rotWithShape="0">
                  <a:srgbClr val="000000">
                    <a:alpha val="43137"/>
                  </a:srgbClr>
                </a:outerShdw>
                <a:softEdge rad="0"/>
              </a:effectLst>
            </c:spPr>
            <c:extLst>
              <c:ext xmlns:c16="http://schemas.microsoft.com/office/drawing/2014/chart" uri="{C3380CC4-5D6E-409C-BE32-E72D297353CC}">
                <c16:uniqueId val="{00000003-A007-4ACE-923C-81BDABAE4FFA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007-4ACE-923C-81BDABAE4FFA}"/>
                </c:ext>
              </c:extLst>
            </c:dLbl>
            <c:dLbl>
              <c:idx val="1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007-4ACE-923C-81BDABAE4FFA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cat>
            <c:strRef>
              <c:f>('DCF Valuation'!$B$27,'DCF Valuation'!$B$29)</c:f>
              <c:strCache>
                <c:ptCount val="2"/>
                <c:pt idx="0">
                  <c:v>PV of Cash flows </c:v>
                </c:pt>
                <c:pt idx="1">
                  <c:v>PV of Continuing value </c:v>
                </c:pt>
              </c:strCache>
            </c:strRef>
          </c:cat>
          <c:val>
            <c:numRef>
              <c:f>('DCF Valuation'!$E$27,'DCF Valuation'!$E$29)</c:f>
              <c:numCache>
                <c:formatCode>0%</c:formatCode>
                <c:ptCount val="2"/>
                <c:pt idx="0">
                  <c:v>0.30706150976526675</c:v>
                </c:pt>
                <c:pt idx="1">
                  <c:v>0.69293849023473331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07-4ACE-923C-81BDABAE4F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41"/>
      </c:doughnut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EBITDA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Workings!$B$13</c:f>
              <c:strCache>
                <c:ptCount val="1"/>
                <c:pt idx="0">
                  <c:v>EBITDA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1"/>
              <c:layout>
                <c:manualLayout>
                  <c:x val="-1.9217942875569271E-17"/>
                  <c:y val="0.1385438927779359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E9EE-4506-8EBE-B7AAFE21A7EE}"/>
                </c:ext>
              </c:extLst>
            </c:dLbl>
            <c:dLbl>
              <c:idx val="2"/>
              <c:layout>
                <c:manualLayout>
                  <c:x val="0"/>
                  <c:y val="0.15239828205572956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9EE-4506-8EBE-B7AAFE21A7EE}"/>
                </c:ext>
              </c:extLst>
            </c:dLbl>
            <c:dLbl>
              <c:idx val="3"/>
              <c:layout>
                <c:manualLayout>
                  <c:x val="-3.8435885751138541E-17"/>
                  <c:y val="0.143162022537200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9EE-4506-8EBE-B7AAFE21A7EE}"/>
                </c:ext>
              </c:extLst>
            </c:dLbl>
            <c:dLbl>
              <c:idx val="4"/>
              <c:layout>
                <c:manualLayout>
                  <c:x val="0"/>
                  <c:y val="0.157016411814994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9EE-4506-8EBE-B7AAFE21A7EE}"/>
                </c:ext>
              </c:extLst>
            </c:dLbl>
            <c:dLbl>
              <c:idx val="5"/>
              <c:layout>
                <c:manualLayout>
                  <c:x val="2.1092383052995749E-3"/>
                  <c:y val="0.2082758339815078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9EE-4506-8EBE-B7AAFE21A7EE}"/>
                </c:ext>
              </c:extLst>
            </c:dLbl>
            <c:dLbl>
              <c:idx val="6"/>
              <c:layout>
                <c:manualLayout>
                  <c:x val="0"/>
                  <c:y val="0.3094082176280272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9EE-4506-8EBE-B7AAFE21A7EE}"/>
                </c:ext>
              </c:extLst>
            </c:dLbl>
            <c:dLbl>
              <c:idx val="7"/>
              <c:layout>
                <c:manualLayout>
                  <c:x val="-1.5374354300455417E-16"/>
                  <c:y val="0.2770877855558719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9EE-4506-8EBE-B7AAFE21A7EE}"/>
                </c:ext>
              </c:extLst>
            </c:dLbl>
            <c:dLbl>
              <c:idx val="8"/>
              <c:layout>
                <c:manualLayout>
                  <c:x val="-3.5188735614699413E-3"/>
                  <c:y val="0.3172896310332781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9EE-4506-8EBE-B7AAFE21A7EE}"/>
                </c:ext>
              </c:extLst>
            </c:dLbl>
            <c:dLbl>
              <c:idx val="9"/>
              <c:layout>
                <c:manualLayout>
                  <c:x val="0"/>
                  <c:y val="0.3833047700189561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9EE-4506-8EBE-B7AAFE21A7EE}"/>
                </c:ext>
              </c:extLst>
            </c:dLbl>
            <c:dLbl>
              <c:idx val="10"/>
              <c:layout>
                <c:manualLayout>
                  <c:x val="3.5188735614699413E-3"/>
                  <c:y val="0.2778898094584593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9EE-4506-8EBE-B7AAFE21A7EE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 prstMaterial="powder">
                <a:bevelT/>
                <a:bevelB w="139700" h="139700" prst="divot"/>
              </a:sp3d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Workings!$C$12:$M$12</c:f>
              <c:strCache>
                <c:ptCount val="11"/>
                <c:pt idx="1">
                  <c:v>FY 2020 Act </c:v>
                </c:pt>
                <c:pt idx="2">
                  <c:v>FY 2021 Act </c:v>
                </c:pt>
                <c:pt idx="3">
                  <c:v>FY 2022 Act </c:v>
                </c:pt>
                <c:pt idx="4">
                  <c:v>FY 2023 Act </c:v>
                </c:pt>
                <c:pt idx="5">
                  <c:v>FY 2024 Act </c:v>
                </c:pt>
                <c:pt idx="6">
                  <c:v>FY25
Forecast</c:v>
                </c:pt>
                <c:pt idx="7">
                  <c:v>FY26
Forecast</c:v>
                </c:pt>
                <c:pt idx="8">
                  <c:v>FY27
Forecast</c:v>
                </c:pt>
                <c:pt idx="9">
                  <c:v>FY28
Forecast</c:v>
                </c:pt>
                <c:pt idx="10">
                  <c:v>FY29
Forecast</c:v>
                </c:pt>
              </c:strCache>
            </c:strRef>
          </c:cat>
          <c:val>
            <c:numRef>
              <c:f>Workings!$C$13:$M$13</c:f>
              <c:numCache>
                <c:formatCode>#,##0_);\(#,##0\)</c:formatCode>
                <c:ptCount val="11"/>
                <c:pt idx="1">
                  <c:v>3641.4169449999999</c:v>
                </c:pt>
                <c:pt idx="2">
                  <c:v>4370.2590609999997</c:v>
                </c:pt>
                <c:pt idx="3">
                  <c:v>4757.7083329999996</c:v>
                </c:pt>
                <c:pt idx="4">
                  <c:v>5240.1772840000003</c:v>
                </c:pt>
                <c:pt idx="5">
                  <c:v>6256.1002200000003</c:v>
                </c:pt>
                <c:pt idx="6">
                  <c:v>7094.2801585199986</c:v>
                </c:pt>
                <c:pt idx="7">
                  <c:v>7835.9960087720028</c:v>
                </c:pt>
                <c:pt idx="8">
                  <c:v>8671.2561446891996</c:v>
                </c:pt>
                <c:pt idx="9">
                  <c:v>9621.0386152221217</c:v>
                </c:pt>
                <c:pt idx="10">
                  <c:v>10715.393446446735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9EE-4506-8EBE-B7AAFE21A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"/>
        <c:overlap val="-27"/>
        <c:axId val="1069829280"/>
        <c:axId val="1069829760"/>
      </c:barChart>
      <c:lineChart>
        <c:grouping val="standard"/>
        <c:varyColors val="0"/>
        <c:ser>
          <c:idx val="2"/>
          <c:order val="1"/>
          <c:tx>
            <c:strRef>
              <c:f>Workings!$B$15</c:f>
              <c:strCache>
                <c:ptCount val="1"/>
                <c:pt idx="0">
                  <c:v>Net Profit %</c:v>
                </c:pt>
              </c:strCache>
            </c:strRef>
          </c:tx>
          <c:spPr>
            <a:ln w="28575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2"/>
              <c:layout>
                <c:manualLayout>
                  <c:x val="-3.1486146095717885E-2"/>
                  <c:y val="-4.617788886327490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E9EE-4506-8EBE-B7AAFE21A7EE}"/>
                </c:ext>
              </c:extLst>
            </c:dLbl>
            <c:dLbl>
              <c:idx val="3"/>
              <c:layout>
                <c:manualLayout>
                  <c:x val="-1.889168765743077E-2"/>
                  <c:y val="-1.38533666589825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E9EE-4506-8EBE-B7AAFE21A7EE}"/>
                </c:ext>
              </c:extLst>
            </c:dLbl>
            <c:dLbl>
              <c:idx val="4"/>
              <c:layout>
                <c:manualLayout>
                  <c:x val="-2.7287993282955499E-2"/>
                  <c:y val="-2.308894443163745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E9EE-4506-8EBE-B7AAFE21A7EE}"/>
                </c:ext>
              </c:extLst>
            </c:dLbl>
            <c:dLbl>
              <c:idx val="5"/>
              <c:layout>
                <c:manualLayout>
                  <c:x val="-3.1486146095717885E-2"/>
                  <c:y val="4.617788886327490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E9EE-4506-8EBE-B7AAFE21A7EE}"/>
                </c:ext>
              </c:extLst>
            </c:dLbl>
            <c:dLbl>
              <c:idx val="6"/>
              <c:layout>
                <c:manualLayout>
                  <c:x val="-2.938706968933677E-2"/>
                  <c:y val="-3.23245222042925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E9EE-4506-8EBE-B7AAFE21A7EE}"/>
                </c:ext>
              </c:extLst>
            </c:dLbl>
            <c:dLbl>
              <c:idx val="7"/>
              <c:layout>
                <c:manualLayout>
                  <c:x val="-3.1486146095717885E-2"/>
                  <c:y val="2.770673331796490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E9EE-4506-8EBE-B7AAFE21A7EE}"/>
                </c:ext>
              </c:extLst>
            </c:dLbl>
            <c:dLbl>
              <c:idx val="8"/>
              <c:layout>
                <c:manualLayout>
                  <c:x val="-3.3585222502099076E-2"/>
                  <c:y val="-4.6177888863274908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E9EE-4506-8EBE-B7AAFE21A7EE}"/>
                </c:ext>
              </c:extLst>
            </c:dLbl>
            <c:dLbl>
              <c:idx val="9"/>
              <c:layout>
                <c:manualLayout>
                  <c:x val="-3.3585222502099228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E9EE-4506-8EBE-B7AAFE21A7EE}"/>
                </c:ext>
              </c:extLst>
            </c:dLbl>
            <c:dLbl>
              <c:idx val="10"/>
              <c:layout>
                <c:manualLayout>
                  <c:x val="-2.7287993282955499E-2"/>
                  <c:y val="0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E9EE-4506-8EBE-B7AAFE21A7EE}"/>
                </c:ext>
              </c:extLst>
            </c:dLbl>
            <c:spPr>
              <a:solidFill>
                <a:schemeClr val="accent2">
                  <a:lumMod val="40000"/>
                  <a:lumOff val="60000"/>
                </a:schemeClr>
              </a:solidFill>
              <a:ln>
                <a:noFill/>
              </a:ln>
              <a:effectLst>
                <a:glow rad="50800">
                  <a:schemeClr val="accent1"/>
                </a:glow>
                <a:outerShdw blurRad="25400" sx="102000" sy="102000" algn="ctr" rotWithShape="0">
                  <a:srgbClr val="000000">
                    <a:alpha val="0"/>
                  </a:srgbClr>
                </a:outerShdw>
                <a:softEdge rad="0"/>
              </a:effectLst>
              <a:scene3d>
                <a:camera prst="orthographicFront"/>
                <a:lightRig rig="threePt" dir="t"/>
              </a:scene3d>
              <a:sp3d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Workings!$C$13:$L$13</c:f>
              <c:numCache>
                <c:formatCode>#,##0_);\(#,##0\)</c:formatCode>
                <c:ptCount val="10"/>
                <c:pt idx="1">
                  <c:v>3641.4169449999999</c:v>
                </c:pt>
                <c:pt idx="2">
                  <c:v>4370.2590609999997</c:v>
                </c:pt>
                <c:pt idx="3">
                  <c:v>4757.7083329999996</c:v>
                </c:pt>
                <c:pt idx="4">
                  <c:v>5240.1772840000003</c:v>
                </c:pt>
                <c:pt idx="5">
                  <c:v>6256.1002200000003</c:v>
                </c:pt>
                <c:pt idx="6">
                  <c:v>7094.2801585199986</c:v>
                </c:pt>
                <c:pt idx="7">
                  <c:v>7835.9960087720028</c:v>
                </c:pt>
                <c:pt idx="8">
                  <c:v>8671.2561446891996</c:v>
                </c:pt>
                <c:pt idx="9">
                  <c:v>9621.0386152221217</c:v>
                </c:pt>
              </c:numCache>
            </c:numRef>
          </c:cat>
          <c:val>
            <c:numRef>
              <c:f>Workings!$C$15:$M$15</c:f>
              <c:numCache>
                <c:formatCode>General</c:formatCode>
                <c:ptCount val="11"/>
                <c:pt idx="2" formatCode="0%">
                  <c:v>0.17259661977250929</c:v>
                </c:pt>
                <c:pt idx="3" formatCode="0%">
                  <c:v>0.1584337982194004</c:v>
                </c:pt>
                <c:pt idx="4" formatCode="0%">
                  <c:v>8.8810289654871921E-2</c:v>
                </c:pt>
                <c:pt idx="5" formatCode="0%">
                  <c:v>0.18869900928914629</c:v>
                </c:pt>
                <c:pt idx="6" formatCode="0%">
                  <c:v>0.16026597244811436</c:v>
                </c:pt>
                <c:pt idx="7" formatCode="0%">
                  <c:v>0.12344886035623781</c:v>
                </c:pt>
                <c:pt idx="8" formatCode="0%">
                  <c:v>0.10121146481214116</c:v>
                </c:pt>
                <c:pt idx="9" formatCode="0%">
                  <c:v>0.10439418768496567</c:v>
                </c:pt>
                <c:pt idx="10" formatCode="0%">
                  <c:v>0.10881914697171435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9EE-4506-8EBE-B7AAFE21A7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9834560"/>
        <c:axId val="1069833600"/>
      </c:lineChart>
      <c:catAx>
        <c:axId val="1069829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829760"/>
        <c:crossesAt val="0"/>
        <c:auto val="1"/>
        <c:lblAlgn val="ctr"/>
        <c:lblOffset val="100"/>
        <c:noMultiLvlLbl val="0"/>
      </c:catAx>
      <c:valAx>
        <c:axId val="106982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>
            <a:glow rad="1066800">
              <a:schemeClr val="accent1">
                <a:alpha val="40000"/>
              </a:schemeClr>
            </a:glow>
            <a:softEdge rad="12700"/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829280"/>
        <c:crosses val="autoZero"/>
        <c:crossBetween val="between"/>
      </c:valAx>
      <c:valAx>
        <c:axId val="1069833600"/>
        <c:scaling>
          <c:orientation val="minMax"/>
        </c:scaling>
        <c:delete val="0"/>
        <c:axPos val="r"/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834560"/>
        <c:crosses val="max"/>
        <c:crossBetween val="between"/>
      </c:valAx>
      <c:catAx>
        <c:axId val="106983456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698336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Unlevered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Free Cash Flow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UFCF!$D$4</c:f>
              <c:strCache>
                <c:ptCount val="1"/>
                <c:pt idx="0">
                  <c:v>31 Mar 2021 Act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UFCF!$A$20:$M$20</c:f>
              <c:strCache>
                <c:ptCount val="13"/>
                <c:pt idx="1">
                  <c:v>UFCF</c:v>
                </c:pt>
                <c:pt idx="3">
                  <c:v>3,326,566,841 </c:v>
                </c:pt>
                <c:pt idx="4">
                  <c:v>3,739,767,886 </c:v>
                </c:pt>
                <c:pt idx="5">
                  <c:v>7,269,399,548 </c:v>
                </c:pt>
                <c:pt idx="6">
                  <c:v>4,040,224,189 </c:v>
                </c:pt>
                <c:pt idx="8">
                  <c:v>6,134,202,585 </c:v>
                </c:pt>
                <c:pt idx="9">
                  <c:v>6,377,662,793 </c:v>
                </c:pt>
                <c:pt idx="10">
                  <c:v>7,055,207,684 </c:v>
                </c:pt>
                <c:pt idx="11">
                  <c:v>7,824,374,232 </c:v>
                </c:pt>
                <c:pt idx="12">
                  <c:v>8,708,644,902 </c:v>
                </c:pt>
              </c:strCache>
            </c:strRef>
          </c:cat>
          <c:val>
            <c:numRef>
              <c:f>UFCF!$D$20</c:f>
              <c:numCache>
                <c:formatCode>#,##0_);\(#,##0\)</c:formatCode>
                <c:ptCount val="1"/>
                <c:pt idx="0">
                  <c:v>3326566841.0074215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99-419F-A4E0-0C53888C1D8B}"/>
            </c:ext>
          </c:extLst>
        </c:ser>
        <c:ser>
          <c:idx val="2"/>
          <c:order val="2"/>
          <c:tx>
            <c:strRef>
              <c:f>UFCF!$E$4</c:f>
              <c:strCache>
                <c:ptCount val="1"/>
                <c:pt idx="0">
                  <c:v>31 Mar 2022 Act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UFCF!$A$20:$M$20</c:f>
              <c:strCache>
                <c:ptCount val="13"/>
                <c:pt idx="1">
                  <c:v>UFCF</c:v>
                </c:pt>
                <c:pt idx="3">
                  <c:v>3,326,566,841 </c:v>
                </c:pt>
                <c:pt idx="4">
                  <c:v>3,739,767,886 </c:v>
                </c:pt>
                <c:pt idx="5">
                  <c:v>7,269,399,548 </c:v>
                </c:pt>
                <c:pt idx="6">
                  <c:v>4,040,224,189 </c:v>
                </c:pt>
                <c:pt idx="8">
                  <c:v>6,134,202,585 </c:v>
                </c:pt>
                <c:pt idx="9">
                  <c:v>6,377,662,793 </c:v>
                </c:pt>
                <c:pt idx="10">
                  <c:v>7,055,207,684 </c:v>
                </c:pt>
                <c:pt idx="11">
                  <c:v>7,824,374,232 </c:v>
                </c:pt>
                <c:pt idx="12">
                  <c:v>8,708,644,902 </c:v>
                </c:pt>
              </c:strCache>
            </c:strRef>
          </c:cat>
          <c:val>
            <c:numRef>
              <c:f>UFCF!$E$20</c:f>
              <c:numCache>
                <c:formatCode>#,##0_);\(#,##0\)</c:formatCode>
                <c:ptCount val="1"/>
                <c:pt idx="0">
                  <c:v>3739767885.9132442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99-419F-A4E0-0C53888C1D8B}"/>
            </c:ext>
          </c:extLst>
        </c:ser>
        <c:ser>
          <c:idx val="3"/>
          <c:order val="3"/>
          <c:tx>
            <c:strRef>
              <c:f>UFCF!$F$4</c:f>
              <c:strCache>
                <c:ptCount val="1"/>
                <c:pt idx="0">
                  <c:v>31 Mar 2023 Act 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UFCF!$A$20:$M$20</c:f>
              <c:strCache>
                <c:ptCount val="13"/>
                <c:pt idx="1">
                  <c:v>UFCF</c:v>
                </c:pt>
                <c:pt idx="3">
                  <c:v>3,326,566,841 </c:v>
                </c:pt>
                <c:pt idx="4">
                  <c:v>3,739,767,886 </c:v>
                </c:pt>
                <c:pt idx="5">
                  <c:v>7,269,399,548 </c:v>
                </c:pt>
                <c:pt idx="6">
                  <c:v>4,040,224,189 </c:v>
                </c:pt>
                <c:pt idx="8">
                  <c:v>6,134,202,585 </c:v>
                </c:pt>
                <c:pt idx="9">
                  <c:v>6,377,662,793 </c:v>
                </c:pt>
                <c:pt idx="10">
                  <c:v>7,055,207,684 </c:v>
                </c:pt>
                <c:pt idx="11">
                  <c:v>7,824,374,232 </c:v>
                </c:pt>
                <c:pt idx="12">
                  <c:v>8,708,644,902 </c:v>
                </c:pt>
              </c:strCache>
            </c:strRef>
          </c:cat>
          <c:val>
            <c:numRef>
              <c:f>UFCF!$F$20</c:f>
              <c:numCache>
                <c:formatCode>#,##0_);\(#,##0\)</c:formatCode>
                <c:ptCount val="1"/>
                <c:pt idx="0">
                  <c:v>7269399548.1573601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99-419F-A4E0-0C53888C1D8B}"/>
            </c:ext>
          </c:extLst>
        </c:ser>
        <c:ser>
          <c:idx val="4"/>
          <c:order val="4"/>
          <c:tx>
            <c:strRef>
              <c:f>UFCF!$G$4</c:f>
              <c:strCache>
                <c:ptCount val="1"/>
                <c:pt idx="0">
                  <c:v>31 Mar 2024 Act 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  <a:scene3d>
                  <a:camera prst="orthographicFront"/>
                  <a:lightRig rig="threePt" dir="t"/>
                </a:scene3d>
                <a:sp3d>
                  <a:bevelT/>
                </a:sp3d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2599-419F-A4E0-0C53888C1D8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UFCF!$A$20:$M$20</c:f>
              <c:strCache>
                <c:ptCount val="13"/>
                <c:pt idx="1">
                  <c:v>UFCF</c:v>
                </c:pt>
                <c:pt idx="3">
                  <c:v>3,326,566,841 </c:v>
                </c:pt>
                <c:pt idx="4">
                  <c:v>3,739,767,886 </c:v>
                </c:pt>
                <c:pt idx="5">
                  <c:v>7,269,399,548 </c:v>
                </c:pt>
                <c:pt idx="6">
                  <c:v>4,040,224,189 </c:v>
                </c:pt>
                <c:pt idx="8">
                  <c:v>6,134,202,585 </c:v>
                </c:pt>
                <c:pt idx="9">
                  <c:v>6,377,662,793 </c:v>
                </c:pt>
                <c:pt idx="10">
                  <c:v>7,055,207,684 </c:v>
                </c:pt>
                <c:pt idx="11">
                  <c:v>7,824,374,232 </c:v>
                </c:pt>
                <c:pt idx="12">
                  <c:v>8,708,644,902 </c:v>
                </c:pt>
              </c:strCache>
            </c:strRef>
          </c:cat>
          <c:val>
            <c:numRef>
              <c:f>UFCF!$G$20</c:f>
              <c:numCache>
                <c:formatCode>#,##0_);\(#,##0\)</c:formatCode>
                <c:ptCount val="1"/>
                <c:pt idx="0">
                  <c:v>4040224188.8300962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99-419F-A4E0-0C53888C1D8B}"/>
            </c:ext>
          </c:extLst>
        </c:ser>
        <c:ser>
          <c:idx val="6"/>
          <c:order val="6"/>
          <c:tx>
            <c:strRef>
              <c:f>UFCF!$I$4</c:f>
              <c:strCache>
                <c:ptCount val="1"/>
                <c:pt idx="0">
                  <c:v>FY25
Forecast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8.0788711565082613E-4"/>
                  <c:y val="0.20598518019925402"/>
                </c:manualLayout>
              </c:layout>
              <c:spPr>
                <a:solidFill>
                  <a:schemeClr val="bg1"/>
                </a:solidFill>
                <a:ln>
                  <a:noFill/>
                </a:ln>
                <a:effectLst/>
                <a:scene3d>
                  <a:camera prst="orthographicFront"/>
                  <a:lightRig rig="threePt" dir="t"/>
                </a:scene3d>
                <a:sp3d>
                  <a:bevelT/>
                </a:sp3d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9.6332459670211576E-2"/>
                      <c:h val="5.1441229098108762E-2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5-2599-419F-A4E0-0C53888C1D8B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UFCF!$A$20:$M$20</c:f>
              <c:strCache>
                <c:ptCount val="13"/>
                <c:pt idx="1">
                  <c:v>UFCF</c:v>
                </c:pt>
                <c:pt idx="3">
                  <c:v>3,326,566,841 </c:v>
                </c:pt>
                <c:pt idx="4">
                  <c:v>3,739,767,886 </c:v>
                </c:pt>
                <c:pt idx="5">
                  <c:v>7,269,399,548 </c:v>
                </c:pt>
                <c:pt idx="6">
                  <c:v>4,040,224,189 </c:v>
                </c:pt>
                <c:pt idx="8">
                  <c:v>6,134,202,585 </c:v>
                </c:pt>
                <c:pt idx="9">
                  <c:v>6,377,662,793 </c:v>
                </c:pt>
                <c:pt idx="10">
                  <c:v>7,055,207,684 </c:v>
                </c:pt>
                <c:pt idx="11">
                  <c:v>7,824,374,232 </c:v>
                </c:pt>
                <c:pt idx="12">
                  <c:v>8,708,644,902 </c:v>
                </c:pt>
              </c:strCache>
            </c:strRef>
          </c:cat>
          <c:val>
            <c:numRef>
              <c:f>UFCF!$I$20</c:f>
              <c:numCache>
                <c:formatCode>#,##0_);\(#,##0\)</c:formatCode>
                <c:ptCount val="1"/>
                <c:pt idx="0">
                  <c:v>6134202585.109252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599-419F-A4E0-0C53888C1D8B}"/>
            </c:ext>
          </c:extLst>
        </c:ser>
        <c:ser>
          <c:idx val="7"/>
          <c:order val="7"/>
          <c:tx>
            <c:strRef>
              <c:f>UFCF!$J$4</c:f>
              <c:strCache>
                <c:ptCount val="1"/>
                <c:pt idx="0">
                  <c:v>FY26
Forecast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spPr>
                <a:solidFill>
                  <a:schemeClr val="bg1"/>
                </a:solidFill>
                <a:ln>
                  <a:noFill/>
                </a:ln>
                <a:effectLst/>
                <a:scene3d>
                  <a:camera prst="orthographicFront"/>
                  <a:lightRig rig="threePt" dir="t"/>
                </a:scene3d>
                <a:sp3d>
                  <a:bevelT/>
                </a:sp3d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2599-419F-A4E0-0C53888C1D8B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UFCF!$A$20:$M$20</c:f>
              <c:strCache>
                <c:ptCount val="13"/>
                <c:pt idx="1">
                  <c:v>UFCF</c:v>
                </c:pt>
                <c:pt idx="3">
                  <c:v>3,326,566,841 </c:v>
                </c:pt>
                <c:pt idx="4">
                  <c:v>3,739,767,886 </c:v>
                </c:pt>
                <c:pt idx="5">
                  <c:v>7,269,399,548 </c:v>
                </c:pt>
                <c:pt idx="6">
                  <c:v>4,040,224,189 </c:v>
                </c:pt>
                <c:pt idx="8">
                  <c:v>6,134,202,585 </c:v>
                </c:pt>
                <c:pt idx="9">
                  <c:v>6,377,662,793 </c:v>
                </c:pt>
                <c:pt idx="10">
                  <c:v>7,055,207,684 </c:v>
                </c:pt>
                <c:pt idx="11">
                  <c:v>7,824,374,232 </c:v>
                </c:pt>
                <c:pt idx="12">
                  <c:v>8,708,644,902 </c:v>
                </c:pt>
              </c:strCache>
            </c:strRef>
          </c:cat>
          <c:val>
            <c:numRef>
              <c:f>UFCF!$J$20</c:f>
              <c:numCache>
                <c:formatCode>#,##0_);\(#,##0\)</c:formatCode>
                <c:ptCount val="1"/>
                <c:pt idx="0">
                  <c:v>6377662793.1752176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599-419F-A4E0-0C53888C1D8B}"/>
            </c:ext>
          </c:extLst>
        </c:ser>
        <c:ser>
          <c:idx val="8"/>
          <c:order val="8"/>
          <c:tx>
            <c:strRef>
              <c:f>UFCF!$K$4</c:f>
              <c:strCache>
                <c:ptCount val="1"/>
                <c:pt idx="0">
                  <c:v>FY27
Forecast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UFCF!$A$20:$M$20</c:f>
              <c:strCache>
                <c:ptCount val="13"/>
                <c:pt idx="1">
                  <c:v>UFCF</c:v>
                </c:pt>
                <c:pt idx="3">
                  <c:v>3,326,566,841 </c:v>
                </c:pt>
                <c:pt idx="4">
                  <c:v>3,739,767,886 </c:v>
                </c:pt>
                <c:pt idx="5">
                  <c:v>7,269,399,548 </c:v>
                </c:pt>
                <c:pt idx="6">
                  <c:v>4,040,224,189 </c:v>
                </c:pt>
                <c:pt idx="8">
                  <c:v>6,134,202,585 </c:v>
                </c:pt>
                <c:pt idx="9">
                  <c:v>6,377,662,793 </c:v>
                </c:pt>
                <c:pt idx="10">
                  <c:v>7,055,207,684 </c:v>
                </c:pt>
                <c:pt idx="11">
                  <c:v>7,824,374,232 </c:v>
                </c:pt>
                <c:pt idx="12">
                  <c:v>8,708,644,902 </c:v>
                </c:pt>
              </c:strCache>
            </c:strRef>
          </c:cat>
          <c:val>
            <c:numRef>
              <c:f>UFCF!$K$20</c:f>
              <c:numCache>
                <c:formatCode>#,##0_);\(#,##0\)</c:formatCode>
                <c:ptCount val="1"/>
                <c:pt idx="0">
                  <c:v>7055207684.4735374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599-419F-A4E0-0C53888C1D8B}"/>
            </c:ext>
          </c:extLst>
        </c:ser>
        <c:ser>
          <c:idx val="9"/>
          <c:order val="9"/>
          <c:tx>
            <c:strRef>
              <c:f>UFCF!$L$4</c:f>
              <c:strCache>
                <c:ptCount val="1"/>
                <c:pt idx="0">
                  <c:v>FY28
Forecast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UFCF!$A$20:$M$20</c:f>
              <c:strCache>
                <c:ptCount val="13"/>
                <c:pt idx="1">
                  <c:v>UFCF</c:v>
                </c:pt>
                <c:pt idx="3">
                  <c:v>3,326,566,841 </c:v>
                </c:pt>
                <c:pt idx="4">
                  <c:v>3,739,767,886 </c:v>
                </c:pt>
                <c:pt idx="5">
                  <c:v>7,269,399,548 </c:v>
                </c:pt>
                <c:pt idx="6">
                  <c:v>4,040,224,189 </c:v>
                </c:pt>
                <c:pt idx="8">
                  <c:v>6,134,202,585 </c:v>
                </c:pt>
                <c:pt idx="9">
                  <c:v>6,377,662,793 </c:v>
                </c:pt>
                <c:pt idx="10">
                  <c:v>7,055,207,684 </c:v>
                </c:pt>
                <c:pt idx="11">
                  <c:v>7,824,374,232 </c:v>
                </c:pt>
                <c:pt idx="12">
                  <c:v>8,708,644,902 </c:v>
                </c:pt>
              </c:strCache>
            </c:strRef>
          </c:cat>
          <c:val>
            <c:numRef>
              <c:f>UFCF!$L$20</c:f>
              <c:numCache>
                <c:formatCode>#,##0_);\(#,##0\)</c:formatCode>
                <c:ptCount val="1"/>
                <c:pt idx="0">
                  <c:v>7824374232.0901699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599-419F-A4E0-0C53888C1D8B}"/>
            </c:ext>
          </c:extLst>
        </c:ser>
        <c:ser>
          <c:idx val="10"/>
          <c:order val="10"/>
          <c:tx>
            <c:strRef>
              <c:f>UFCF!$M$4</c:f>
              <c:strCache>
                <c:ptCount val="1"/>
                <c:pt idx="0">
                  <c:v>FY29
Forecast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2599-419F-A4E0-0C53888C1D8B}"/>
                </c:ext>
              </c:extLst>
            </c:dLbl>
            <c:spPr>
              <a:solidFill>
                <a:schemeClr val="bg1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UFCF!$A$20:$M$20</c:f>
              <c:strCache>
                <c:ptCount val="13"/>
                <c:pt idx="1">
                  <c:v>UFCF</c:v>
                </c:pt>
                <c:pt idx="3">
                  <c:v>3,326,566,841 </c:v>
                </c:pt>
                <c:pt idx="4">
                  <c:v>3,739,767,886 </c:v>
                </c:pt>
                <c:pt idx="5">
                  <c:v>7,269,399,548 </c:v>
                </c:pt>
                <c:pt idx="6">
                  <c:v>4,040,224,189 </c:v>
                </c:pt>
                <c:pt idx="8">
                  <c:v>6,134,202,585 </c:v>
                </c:pt>
                <c:pt idx="9">
                  <c:v>6,377,662,793 </c:v>
                </c:pt>
                <c:pt idx="10">
                  <c:v>7,055,207,684 </c:v>
                </c:pt>
                <c:pt idx="11">
                  <c:v>7,824,374,232 </c:v>
                </c:pt>
                <c:pt idx="12">
                  <c:v>8,708,644,902 </c:v>
                </c:pt>
              </c:strCache>
            </c:strRef>
          </c:cat>
          <c:val>
            <c:numRef>
              <c:f>UFCF!$M$20</c:f>
              <c:numCache>
                <c:formatCode>#,##0_);\(#,##0\)</c:formatCode>
                <c:ptCount val="1"/>
                <c:pt idx="0">
                  <c:v>8708644901.9700394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599-419F-A4E0-0C53888C1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333375183"/>
        <c:axId val="124146091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UFCF!$C$4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UFCF!$A$20:$M$20</c15:sqref>
                        </c15:formulaRef>
                      </c:ext>
                    </c:extLst>
                    <c:strCache>
                      <c:ptCount val="13"/>
                      <c:pt idx="1">
                        <c:v>UFCF</c:v>
                      </c:pt>
                      <c:pt idx="3">
                        <c:v>3,326,566,841 </c:v>
                      </c:pt>
                      <c:pt idx="4">
                        <c:v>3,739,767,886 </c:v>
                      </c:pt>
                      <c:pt idx="5">
                        <c:v>7,269,399,548 </c:v>
                      </c:pt>
                      <c:pt idx="6">
                        <c:v>4,040,224,189 </c:v>
                      </c:pt>
                      <c:pt idx="8">
                        <c:v>6,134,202,585 </c:v>
                      </c:pt>
                      <c:pt idx="9">
                        <c:v>6,377,662,793 </c:v>
                      </c:pt>
                      <c:pt idx="10">
                        <c:v>7,055,207,684 </c:v>
                      </c:pt>
                      <c:pt idx="11">
                        <c:v>7,824,374,232 </c:v>
                      </c:pt>
                      <c:pt idx="12">
                        <c:v>8,708,644,902 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UFCF!$C$20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D-2599-419F-A4E0-0C53888C1D8B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UFCF!$H$4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UFCF!$A$20:$M$20</c15:sqref>
                        </c15:formulaRef>
                      </c:ext>
                    </c:extLst>
                    <c:strCache>
                      <c:ptCount val="13"/>
                      <c:pt idx="1">
                        <c:v>UFCF</c:v>
                      </c:pt>
                      <c:pt idx="3">
                        <c:v>3,326,566,841 </c:v>
                      </c:pt>
                      <c:pt idx="4">
                        <c:v>3,739,767,886 </c:v>
                      </c:pt>
                      <c:pt idx="5">
                        <c:v>7,269,399,548 </c:v>
                      </c:pt>
                      <c:pt idx="6">
                        <c:v>4,040,224,189 </c:v>
                      </c:pt>
                      <c:pt idx="8">
                        <c:v>6,134,202,585 </c:v>
                      </c:pt>
                      <c:pt idx="9">
                        <c:v>6,377,662,793 </c:v>
                      </c:pt>
                      <c:pt idx="10">
                        <c:v>7,055,207,684 </c:v>
                      </c:pt>
                      <c:pt idx="11">
                        <c:v>7,824,374,232 </c:v>
                      </c:pt>
                      <c:pt idx="12">
                        <c:v>8,708,644,902 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UFCF!$H$20</c15:sqref>
                        </c15:formulaRef>
                      </c:ext>
                    </c:extLst>
                    <c:numCache>
                      <c:formatCode>#,##0_);\(#,##0\)</c:formatCode>
                      <c:ptCount val="1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599-419F-A4E0-0C53888C1D8B}"/>
                  </c:ext>
                </c:extLst>
              </c15:ser>
            </c15:filteredBarSeries>
          </c:ext>
        </c:extLst>
      </c:barChart>
      <c:catAx>
        <c:axId val="1333375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1460912"/>
        <c:crosses val="autoZero"/>
        <c:auto val="1"/>
        <c:lblAlgn val="ctr"/>
        <c:lblOffset val="100"/>
        <c:noMultiLvlLbl val="0"/>
      </c:catAx>
      <c:valAx>
        <c:axId val="124146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375183"/>
        <c:crosses val="autoZero"/>
        <c:crossBetween val="between"/>
      </c:valAx>
      <c:spPr>
        <a:noFill/>
        <a:ln>
          <a:noFill/>
        </a:ln>
        <a:effectLst>
          <a:softEdge rad="63500"/>
        </a:effectLst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Working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Capital </a:t>
            </a:r>
            <a:endParaRPr lang="en-US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Workings!$B$27</c:f>
              <c:strCache>
                <c:ptCount val="1"/>
                <c:pt idx="0">
                  <c:v>Working Capital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cat>
            <c:strRef>
              <c:f>Workings!$C$26:$M$26</c:f>
              <c:strCache>
                <c:ptCount val="11"/>
                <c:pt idx="1">
                  <c:v>FY 2020 Act </c:v>
                </c:pt>
                <c:pt idx="2">
                  <c:v>FY 2021 Act </c:v>
                </c:pt>
                <c:pt idx="3">
                  <c:v>FY 2022 Act </c:v>
                </c:pt>
                <c:pt idx="4">
                  <c:v>FY 2023 Act </c:v>
                </c:pt>
                <c:pt idx="5">
                  <c:v>FY 2024 Act </c:v>
                </c:pt>
                <c:pt idx="6">
                  <c:v>FY25
Forecast</c:v>
                </c:pt>
                <c:pt idx="7">
                  <c:v>FY26
Forecast</c:v>
                </c:pt>
                <c:pt idx="8">
                  <c:v>FY27
Forecast</c:v>
                </c:pt>
                <c:pt idx="9">
                  <c:v>FY28
Forecast</c:v>
                </c:pt>
                <c:pt idx="10">
                  <c:v>FY29
Forecast</c:v>
                </c:pt>
              </c:strCache>
            </c:strRef>
          </c:cat>
          <c:val>
            <c:numRef>
              <c:f>Workings!$C$27:$M$27</c:f>
              <c:numCache>
                <c:formatCode>_(* #,##0_);_(* \(#,##0\);_(* "-"?_);@_)</c:formatCode>
                <c:ptCount val="11"/>
                <c:pt idx="1">
                  <c:v>-1035870991</c:v>
                </c:pt>
                <c:pt idx="2">
                  <c:v>-1037415289</c:v>
                </c:pt>
                <c:pt idx="3">
                  <c:v>-1163379596</c:v>
                </c:pt>
                <c:pt idx="4">
                  <c:v>-4517139361</c:v>
                </c:pt>
                <c:pt idx="5">
                  <c:v>-3778534973</c:v>
                </c:pt>
                <c:pt idx="6">
                  <c:v>-4593272819.9875002</c:v>
                </c:pt>
                <c:pt idx="7">
                  <c:v>-5052600101.9862499</c:v>
                </c:pt>
                <c:pt idx="8">
                  <c:v>-5557860112.1848764</c:v>
                </c:pt>
                <c:pt idx="9">
                  <c:v>-6113646123.4033623</c:v>
                </c:pt>
                <c:pt idx="10">
                  <c:v>-6725010735.7437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78-4243-9C8A-69715BAFE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848144"/>
        <c:axId val="345847664"/>
      </c:areaChart>
      <c:barChart>
        <c:barDir val="col"/>
        <c:grouping val="clustered"/>
        <c:varyColors val="0"/>
        <c:ser>
          <c:idx val="1"/>
          <c:order val="1"/>
          <c:tx>
            <c:strRef>
              <c:f>Workings!$B$28</c:f>
              <c:strCache>
                <c:ptCount val="1"/>
                <c:pt idx="0">
                  <c:v>Days receivables (DSO)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Workings!$C$26:$M$26</c:f>
              <c:strCache>
                <c:ptCount val="11"/>
                <c:pt idx="1">
                  <c:v>FY 2020 Act </c:v>
                </c:pt>
                <c:pt idx="2">
                  <c:v>FY 2021 Act </c:v>
                </c:pt>
                <c:pt idx="3">
                  <c:v>FY 2022 Act </c:v>
                </c:pt>
                <c:pt idx="4">
                  <c:v>FY 2023 Act </c:v>
                </c:pt>
                <c:pt idx="5">
                  <c:v>FY 2024 Act </c:v>
                </c:pt>
                <c:pt idx="6">
                  <c:v>FY25
Forecast</c:v>
                </c:pt>
                <c:pt idx="7">
                  <c:v>FY26
Forecast</c:v>
                </c:pt>
                <c:pt idx="8">
                  <c:v>FY27
Forecast</c:v>
                </c:pt>
                <c:pt idx="9">
                  <c:v>FY28
Forecast</c:v>
                </c:pt>
                <c:pt idx="10">
                  <c:v>FY29
Forecast</c:v>
                </c:pt>
              </c:strCache>
            </c:strRef>
          </c:cat>
          <c:val>
            <c:numRef>
              <c:f>Workings!$C$28:$M$28</c:f>
              <c:numCache>
                <c:formatCode>_(* #,##0.0_);_(* \(#,##0.0\);_(* "-"?_);@_)</c:formatCode>
                <c:ptCount val="11"/>
                <c:pt idx="2">
                  <c:v>2.0026787365711765</c:v>
                </c:pt>
                <c:pt idx="3">
                  <c:v>1.8668305428126359</c:v>
                </c:pt>
                <c:pt idx="4">
                  <c:v>1.5596986170697689</c:v>
                </c:pt>
                <c:pt idx="5">
                  <c:v>1.2592889261128617</c:v>
                </c:pt>
                <c:pt idx="6" formatCode="#,##0">
                  <c:v>1.5</c:v>
                </c:pt>
                <c:pt idx="7" formatCode="#,##0">
                  <c:v>1.5</c:v>
                </c:pt>
                <c:pt idx="8" formatCode="#,##0">
                  <c:v>1.5</c:v>
                </c:pt>
                <c:pt idx="9" formatCode="#,##0">
                  <c:v>1.5</c:v>
                </c:pt>
                <c:pt idx="10" formatCode="#,##0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78-4243-9C8A-69715BAFE470}"/>
            </c:ext>
          </c:extLst>
        </c:ser>
        <c:ser>
          <c:idx val="2"/>
          <c:order val="2"/>
          <c:tx>
            <c:strRef>
              <c:f>Workings!$B$29</c:f>
              <c:strCache>
                <c:ptCount val="1"/>
                <c:pt idx="0">
                  <c:v>Days inventory (DIO) </c:v>
                </c:pt>
              </c:strCache>
            </c:strRef>
          </c:tx>
          <c:spPr>
            <a:solidFill>
              <a:schemeClr val="tx2">
                <a:lumMod val="75000"/>
                <a:lumOff val="25000"/>
              </a:schemeClr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  <c:txPr>
              <a:bodyPr rot="0" spcFirstLastPara="1" vertOverflow="ellipsis" vert="horz" wrap="square" lIns="38100" tIns="19050" rIns="38100" bIns="19050" anchor="ctr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Workings!$C$26:$M$26</c:f>
              <c:strCache>
                <c:ptCount val="11"/>
                <c:pt idx="1">
                  <c:v>FY 2020 Act </c:v>
                </c:pt>
                <c:pt idx="2">
                  <c:v>FY 2021 Act </c:v>
                </c:pt>
                <c:pt idx="3">
                  <c:v>FY 2022 Act </c:v>
                </c:pt>
                <c:pt idx="4">
                  <c:v>FY 2023 Act </c:v>
                </c:pt>
                <c:pt idx="5">
                  <c:v>FY 2024 Act </c:v>
                </c:pt>
                <c:pt idx="6">
                  <c:v>FY25
Forecast</c:v>
                </c:pt>
                <c:pt idx="7">
                  <c:v>FY26
Forecast</c:v>
                </c:pt>
                <c:pt idx="8">
                  <c:v>FY27
Forecast</c:v>
                </c:pt>
                <c:pt idx="9">
                  <c:v>FY28
Forecast</c:v>
                </c:pt>
                <c:pt idx="10">
                  <c:v>FY29
Forecast</c:v>
                </c:pt>
              </c:strCache>
            </c:strRef>
          </c:cat>
          <c:val>
            <c:numRef>
              <c:f>Workings!$C$29:$M$29</c:f>
              <c:numCache>
                <c:formatCode>_(* #,##0.0_);_(* \(#,##0.0\);_(* "-"?_);@_)</c:formatCode>
                <c:ptCount val="11"/>
                <c:pt idx="2">
                  <c:v>139.77286986354085</c:v>
                </c:pt>
                <c:pt idx="3">
                  <c:v>130.23736244489405</c:v>
                </c:pt>
                <c:pt idx="4">
                  <c:v>128.46130086385645</c:v>
                </c:pt>
                <c:pt idx="5">
                  <c:v>173.53003952755606</c:v>
                </c:pt>
                <c:pt idx="6" formatCode="#,##0">
                  <c:v>150</c:v>
                </c:pt>
                <c:pt idx="7" formatCode="#,##0">
                  <c:v>150</c:v>
                </c:pt>
                <c:pt idx="8" formatCode="#,##0">
                  <c:v>150</c:v>
                </c:pt>
                <c:pt idx="9" formatCode="#,##0">
                  <c:v>150</c:v>
                </c:pt>
                <c:pt idx="10" formatCode="#,##0">
                  <c:v>150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78-4243-9C8A-69715BAFE470}"/>
            </c:ext>
          </c:extLst>
        </c:ser>
        <c:ser>
          <c:idx val="3"/>
          <c:order val="3"/>
          <c:tx>
            <c:strRef>
              <c:f>Workings!$B$30</c:f>
              <c:strCache>
                <c:ptCount val="1"/>
                <c:pt idx="0">
                  <c:v>Days payables (DPO) </c:v>
                </c:pt>
              </c:strCache>
            </c:strRef>
          </c:tx>
          <c:spPr>
            <a:solidFill>
              <a:srgbClr val="002060"/>
            </a:solidFill>
            <a:ln>
              <a:noFill/>
            </a:ln>
            <a:effectLst/>
          </c:spPr>
          <c:invertIfNegative val="0"/>
          <c:dLbls>
            <c:spPr>
              <a:solidFill>
                <a:schemeClr val="bg1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Workings!$C$26:$M$26</c:f>
              <c:strCache>
                <c:ptCount val="11"/>
                <c:pt idx="1">
                  <c:v>FY 2020 Act </c:v>
                </c:pt>
                <c:pt idx="2">
                  <c:v>FY 2021 Act </c:v>
                </c:pt>
                <c:pt idx="3">
                  <c:v>FY 2022 Act </c:v>
                </c:pt>
                <c:pt idx="4">
                  <c:v>FY 2023 Act </c:v>
                </c:pt>
                <c:pt idx="5">
                  <c:v>FY 2024 Act </c:v>
                </c:pt>
                <c:pt idx="6">
                  <c:v>FY25
Forecast</c:v>
                </c:pt>
                <c:pt idx="7">
                  <c:v>FY26
Forecast</c:v>
                </c:pt>
                <c:pt idx="8">
                  <c:v>FY27
Forecast</c:v>
                </c:pt>
                <c:pt idx="9">
                  <c:v>FY28
Forecast</c:v>
                </c:pt>
                <c:pt idx="10">
                  <c:v>FY29
Forecast</c:v>
                </c:pt>
              </c:strCache>
            </c:strRef>
          </c:cat>
          <c:val>
            <c:numRef>
              <c:f>Workings!$C$30:$M$30</c:f>
              <c:numCache>
                <c:formatCode>_(* #,##0.0_);_(* \(#,##0.0\);_(* "-"?_);@_)</c:formatCode>
                <c:ptCount val="11"/>
                <c:pt idx="2">
                  <c:v>224.20701360406539</c:v>
                </c:pt>
                <c:pt idx="3">
                  <c:v>200.23647687355722</c:v>
                </c:pt>
                <c:pt idx="4">
                  <c:v>281.56489031969102</c:v>
                </c:pt>
                <c:pt idx="5">
                  <c:v>421.26905883465929</c:v>
                </c:pt>
                <c:pt idx="6" formatCode="#,##0">
                  <c:v>400</c:v>
                </c:pt>
                <c:pt idx="7" formatCode="#,##0">
                  <c:v>400</c:v>
                </c:pt>
                <c:pt idx="8" formatCode="#,##0">
                  <c:v>400</c:v>
                </c:pt>
                <c:pt idx="9" formatCode="#,##0">
                  <c:v>400</c:v>
                </c:pt>
                <c:pt idx="10" formatCode="#,##0">
                  <c:v>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78-4243-9C8A-69715BAFE4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2"/>
        <c:axId val="342340880"/>
        <c:axId val="342341360"/>
      </c:barChart>
      <c:catAx>
        <c:axId val="342340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341360"/>
        <c:crosses val="autoZero"/>
        <c:auto val="1"/>
        <c:lblAlgn val="ctr"/>
        <c:lblOffset val="100"/>
        <c:noMultiLvlLbl val="0"/>
      </c:catAx>
      <c:valAx>
        <c:axId val="34234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340880"/>
        <c:crosses val="autoZero"/>
        <c:crossBetween val="between"/>
      </c:valAx>
      <c:valAx>
        <c:axId val="3458476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5848144"/>
        <c:crosses val="max"/>
        <c:crossBetween val="between"/>
      </c:valAx>
      <c:catAx>
        <c:axId val="34584814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58476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>
                <a:latin typeface="Times New Roman" panose="02020603050405020304" pitchFamily="18" charset="0"/>
                <a:cs typeface="Times New Roman" panose="02020603050405020304" pitchFamily="18" charset="0"/>
              </a:rPr>
              <a:t>Unlevered</a:t>
            </a:r>
            <a:r>
              <a:rPr lang="en-US" sz="1400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Cash Flow Comparison Chart</a:t>
            </a:r>
            <a:endParaRPr lang="en-US" sz="14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Workings!$A$35</c:f>
              <c:strCache>
                <c:ptCount val="1"/>
                <c:pt idx="0">
                  <c:v>UFCF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Workings!$B$34:$F$34</c:f>
              <c:strCache>
                <c:ptCount val="5"/>
                <c:pt idx="0">
                  <c:v>FY25
Forecast</c:v>
                </c:pt>
                <c:pt idx="1">
                  <c:v>FY26
Forecast</c:v>
                </c:pt>
                <c:pt idx="2">
                  <c:v>FY27
Forecast</c:v>
                </c:pt>
                <c:pt idx="3">
                  <c:v>FY28
Forecast</c:v>
                </c:pt>
                <c:pt idx="4">
                  <c:v>FY29
Forecast</c:v>
                </c:pt>
              </c:strCache>
            </c:strRef>
          </c:cat>
          <c:val>
            <c:numRef>
              <c:f>Workings!$B$35:$F$35</c:f>
              <c:numCache>
                <c:formatCode>_(* #,##0_);_(* \(#,##0\);_(* "-"?_);@_)</c:formatCode>
                <c:ptCount val="5"/>
                <c:pt idx="0">
                  <c:v>6134202585.109252</c:v>
                </c:pt>
                <c:pt idx="1">
                  <c:v>6377662793.1752176</c:v>
                </c:pt>
                <c:pt idx="2">
                  <c:v>7055207684.4735374</c:v>
                </c:pt>
                <c:pt idx="3">
                  <c:v>7824374232.0901699</c:v>
                </c:pt>
                <c:pt idx="4">
                  <c:v>8708644901.9700394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B2-43DD-96B8-A97271EF889C}"/>
            </c:ext>
          </c:extLst>
        </c:ser>
        <c:ser>
          <c:idx val="1"/>
          <c:order val="1"/>
          <c:tx>
            <c:strRef>
              <c:f>Workings!$A$36</c:f>
              <c:strCache>
                <c:ptCount val="1"/>
                <c:pt idx="0">
                  <c:v>Present Value of UFCF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  <a:ln>
              <a:noFill/>
            </a:ln>
            <a:effectLst/>
          </c:spPr>
          <c:cat>
            <c:strRef>
              <c:f>Workings!$B$34:$F$34</c:f>
              <c:strCache>
                <c:ptCount val="5"/>
                <c:pt idx="0">
                  <c:v>FY25
Forecast</c:v>
                </c:pt>
                <c:pt idx="1">
                  <c:v>FY26
Forecast</c:v>
                </c:pt>
                <c:pt idx="2">
                  <c:v>FY27
Forecast</c:v>
                </c:pt>
                <c:pt idx="3">
                  <c:v>FY28
Forecast</c:v>
                </c:pt>
                <c:pt idx="4">
                  <c:v>FY29
Forecast</c:v>
                </c:pt>
              </c:strCache>
            </c:strRef>
          </c:cat>
          <c:val>
            <c:numRef>
              <c:f>Workings!$B$36:$F$36</c:f>
              <c:numCache>
                <c:formatCode>_(* #,##0_);_(* \(#,##0\);_(* "-"?_);@_)</c:formatCode>
                <c:ptCount val="5"/>
                <c:pt idx="0">
                  <c:v>5483462863.6828651</c:v>
                </c:pt>
                <c:pt idx="1">
                  <c:v>5096301777.6340885</c:v>
                </c:pt>
                <c:pt idx="2">
                  <c:v>5039647705.9758873</c:v>
                </c:pt>
                <c:pt idx="3">
                  <c:v>4996165105.3202477</c:v>
                </c:pt>
                <c:pt idx="4">
                  <c:v>4970894454.3355961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B2-43DD-96B8-A97271EF8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993456"/>
        <c:axId val="338982416"/>
      </c:areaChart>
      <c:catAx>
        <c:axId val="33899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982416"/>
        <c:crosses val="autoZero"/>
        <c:auto val="1"/>
        <c:lblAlgn val="ctr"/>
        <c:lblOffset val="100"/>
        <c:noMultiLvlLbl val="0"/>
      </c:catAx>
      <c:valAx>
        <c:axId val="338982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_);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89934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chart" Target="../charts/chart5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chart" Target="../charts/chart4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100446</xdr:colOff>
      <xdr:row>25</xdr:row>
      <xdr:rowOff>93518</xdr:rowOff>
    </xdr:from>
    <xdr:to>
      <xdr:col>28</xdr:col>
      <xdr:colOff>349827</xdr:colOff>
      <xdr:row>26</xdr:row>
      <xdr:rowOff>79663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4624C5D-4C05-4CCB-66DC-98577D526906}"/>
            </a:ext>
          </a:extLst>
        </xdr:cNvPr>
        <xdr:cNvSpPr/>
      </xdr:nvSpPr>
      <xdr:spPr>
        <a:xfrm>
          <a:off x="13759296" y="4817918"/>
          <a:ext cx="7564581" cy="138545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53</xdr:row>
      <xdr:rowOff>152398</xdr:rowOff>
    </xdr:from>
    <xdr:to>
      <xdr:col>28</xdr:col>
      <xdr:colOff>429491</xdr:colOff>
      <xdr:row>54</xdr:row>
      <xdr:rowOff>247649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6121748-0991-4991-8CBB-151A6761A141}"/>
            </a:ext>
          </a:extLst>
        </xdr:cNvPr>
        <xdr:cNvSpPr/>
      </xdr:nvSpPr>
      <xdr:spPr>
        <a:xfrm flipV="1">
          <a:off x="19050" y="11544298"/>
          <a:ext cx="21098741" cy="247651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107372</xdr:colOff>
      <xdr:row>1</xdr:row>
      <xdr:rowOff>116030</xdr:rowOff>
    </xdr:from>
    <xdr:to>
      <xdr:col>28</xdr:col>
      <xdr:colOff>247649</xdr:colOff>
      <xdr:row>55</xdr:row>
      <xdr:rowOff>7620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30BC9F0-B651-4A18-B547-3B909DFA569A}"/>
            </a:ext>
          </a:extLst>
        </xdr:cNvPr>
        <xdr:cNvSpPr/>
      </xdr:nvSpPr>
      <xdr:spPr>
        <a:xfrm rot="16200000" flipV="1">
          <a:off x="16729016" y="4811336"/>
          <a:ext cx="8845090" cy="140277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374073</xdr:colOff>
      <xdr:row>14</xdr:row>
      <xdr:rowOff>95249</xdr:rowOff>
    </xdr:from>
    <xdr:to>
      <xdr:col>16</xdr:col>
      <xdr:colOff>41564</xdr:colOff>
      <xdr:row>31</xdr:row>
      <xdr:rowOff>150668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E6FD822A-BBAE-40CB-A67A-DE5A5DACAC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133350</xdr:colOff>
      <xdr:row>1</xdr:row>
      <xdr:rowOff>95250</xdr:rowOff>
    </xdr:from>
    <xdr:to>
      <xdr:col>28</xdr:col>
      <xdr:colOff>228600</xdr:colOff>
      <xdr:row>2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B647597F-ECDB-4F7A-B12E-70504EC041E5}"/>
            </a:ext>
          </a:extLst>
        </xdr:cNvPr>
        <xdr:cNvSpPr/>
      </xdr:nvSpPr>
      <xdr:spPr>
        <a:xfrm rot="10800000" flipV="1">
          <a:off x="13792200" y="438150"/>
          <a:ext cx="7410450" cy="15240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41564</xdr:colOff>
      <xdr:row>8</xdr:row>
      <xdr:rowOff>27709</xdr:rowOff>
    </xdr:from>
    <xdr:to>
      <xdr:col>1</xdr:col>
      <xdr:colOff>27710</xdr:colOff>
      <xdr:row>55</xdr:row>
      <xdr:rowOff>-1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94F951C-27BE-4CD6-8D5F-B689322AFF8A}"/>
            </a:ext>
          </a:extLst>
        </xdr:cNvPr>
        <xdr:cNvSpPr/>
      </xdr:nvSpPr>
      <xdr:spPr>
        <a:xfrm rot="16200000" flipV="1">
          <a:off x="-3138054" y="5424054"/>
          <a:ext cx="6483927" cy="124691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8</xdr:col>
      <xdr:colOff>585356</xdr:colOff>
      <xdr:row>2</xdr:row>
      <xdr:rowOff>149975</xdr:rowOff>
    </xdr:from>
    <xdr:to>
      <xdr:col>15</xdr:col>
      <xdr:colOff>180110</xdr:colOff>
      <xdr:row>12</xdr:row>
      <xdr:rowOff>60116</xdr:rowOff>
    </xdr:to>
    <xdr:pic>
      <xdr:nvPicPr>
        <xdr:cNvPr id="21" name="Picture 20" descr="See the source image">
          <a:extLst>
            <a:ext uri="{FF2B5EF4-FFF2-40B4-BE49-F238E27FC236}">
              <a16:creationId xmlns:a16="http://schemas.microsoft.com/office/drawing/2014/main" id="{C13959D9-F749-182C-F5AA-35948CE64A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27574" y="745720"/>
          <a:ext cx="3861954" cy="2016032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48489</xdr:colOff>
      <xdr:row>1</xdr:row>
      <xdr:rowOff>118782</xdr:rowOff>
    </xdr:from>
    <xdr:to>
      <xdr:col>28</xdr:col>
      <xdr:colOff>114300</xdr:colOff>
      <xdr:row>54</xdr:row>
      <xdr:rowOff>76202</xdr:rowOff>
    </xdr:to>
    <xdr:grpSp>
      <xdr:nvGrpSpPr>
        <xdr:cNvPr id="24" name="Group 23">
          <a:extLst>
            <a:ext uri="{FF2B5EF4-FFF2-40B4-BE49-F238E27FC236}">
              <a16:creationId xmlns:a16="http://schemas.microsoft.com/office/drawing/2014/main" id="{1DF7FEC8-EE2C-6172-5FCD-E5D8CE85526E}"/>
            </a:ext>
          </a:extLst>
        </xdr:cNvPr>
        <xdr:cNvGrpSpPr/>
      </xdr:nvGrpSpPr>
      <xdr:grpSpPr>
        <a:xfrm>
          <a:off x="48489" y="461682"/>
          <a:ext cx="21039861" cy="8758520"/>
          <a:chOff x="48489" y="457178"/>
          <a:chExt cx="21039861" cy="11158105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7578DEEE-BEB9-A8DB-631D-CF15C8E7713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49185" y="2346862"/>
            <a:ext cx="7985165" cy="4168239"/>
          </a:xfrm>
          <a:prstGeom prst="rect">
            <a:avLst/>
          </a:prstGeom>
        </xdr:spPr>
      </xdr:pic>
      <xdr:graphicFrame macro="">
        <xdr:nvGraphicFramePr>
          <xdr:cNvPr id="5" name="Chart 4">
            <a:extLst>
              <a:ext uri="{FF2B5EF4-FFF2-40B4-BE49-F238E27FC236}">
                <a16:creationId xmlns:a16="http://schemas.microsoft.com/office/drawing/2014/main" id="{671BEC8E-F2EA-4831-9FD7-FAAEA1916EE8}"/>
              </a:ext>
            </a:extLst>
          </xdr:cNvPr>
          <xdr:cNvGraphicFramePr>
            <a:graphicFrameLocks/>
          </xdr:cNvGraphicFramePr>
        </xdr:nvGraphicFramePr>
        <xdr:xfrm>
          <a:off x="13882255" y="649409"/>
          <a:ext cx="7206095" cy="524567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  <xdr:graphicFrame macro="">
        <xdr:nvGraphicFramePr>
          <xdr:cNvPr id="9" name="Chart 8">
            <a:extLst>
              <a:ext uri="{FF2B5EF4-FFF2-40B4-BE49-F238E27FC236}">
                <a16:creationId xmlns:a16="http://schemas.microsoft.com/office/drawing/2014/main" id="{AFF548B1-1BF7-4FEB-8E6C-C6AD2EBD9B68}"/>
              </a:ext>
            </a:extLst>
          </xdr:cNvPr>
          <xdr:cNvGraphicFramePr>
            <a:graphicFrameLocks/>
          </xdr:cNvGraphicFramePr>
        </xdr:nvGraphicFramePr>
        <xdr:xfrm>
          <a:off x="13877060" y="6127170"/>
          <a:ext cx="7190509" cy="545869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92AC8D8A-F572-4A6F-BBB5-A2B9D7110869}"/>
              </a:ext>
            </a:extLst>
          </xdr:cNvPr>
          <xdr:cNvGraphicFramePr>
            <a:graphicFrameLocks/>
          </xdr:cNvGraphicFramePr>
        </xdr:nvGraphicFramePr>
        <xdr:xfrm>
          <a:off x="161058" y="6612081"/>
          <a:ext cx="7954242" cy="495992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4" name="Chart 3">
            <a:extLst>
              <a:ext uri="{FF2B5EF4-FFF2-40B4-BE49-F238E27FC236}">
                <a16:creationId xmlns:a16="http://schemas.microsoft.com/office/drawing/2014/main" id="{F406F9CD-C434-4B68-9E64-4DB3EC169E20}"/>
              </a:ext>
            </a:extLst>
          </xdr:cNvPr>
          <xdr:cNvGraphicFramePr>
            <a:graphicFrameLocks/>
          </xdr:cNvGraphicFramePr>
        </xdr:nvGraphicFramePr>
        <xdr:xfrm>
          <a:off x="8274628" y="7599195"/>
          <a:ext cx="5524499" cy="3934692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6D8AC338-82B7-4599-9EC5-A84AE8069F18}"/>
              </a:ext>
            </a:extLst>
          </xdr:cNvPr>
          <xdr:cNvSpPr/>
        </xdr:nvSpPr>
        <xdr:spPr>
          <a:xfrm rot="16200000" flipV="1">
            <a:off x="3538105" y="6844121"/>
            <a:ext cx="9310253" cy="152400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5CC59D48-8EE9-4CF9-918C-3285AEFE093E}"/>
              </a:ext>
            </a:extLst>
          </xdr:cNvPr>
          <xdr:cNvSpPr/>
        </xdr:nvSpPr>
        <xdr:spPr>
          <a:xfrm rot="5400000">
            <a:off x="8260772" y="5950506"/>
            <a:ext cx="11158105" cy="171449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132BD179-8EDC-4521-968E-C81FB50784F0}"/>
              </a:ext>
            </a:extLst>
          </xdr:cNvPr>
          <xdr:cNvSpPr/>
        </xdr:nvSpPr>
        <xdr:spPr>
          <a:xfrm flipV="1">
            <a:off x="48489" y="2214992"/>
            <a:ext cx="8173807" cy="128443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DC530EB9-BCDD-42B8-B424-16B57E71E709}"/>
              </a:ext>
            </a:extLst>
          </xdr:cNvPr>
          <xdr:cNvSpPr/>
        </xdr:nvSpPr>
        <xdr:spPr>
          <a:xfrm rot="16200000" flipV="1">
            <a:off x="5615660" y="3074011"/>
            <a:ext cx="5201193" cy="125711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13EF24AF-8122-4156-BC49-5DBE7F5DEC7F}"/>
              </a:ext>
            </a:extLst>
          </xdr:cNvPr>
          <xdr:cNvSpPr/>
        </xdr:nvSpPr>
        <xdr:spPr>
          <a:xfrm rot="10800000">
            <a:off x="8191499" y="524277"/>
            <a:ext cx="12896849" cy="63100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7</xdr:col>
      <xdr:colOff>361950</xdr:colOff>
      <xdr:row>32</xdr:row>
      <xdr:rowOff>41564</xdr:rowOff>
    </xdr:from>
    <xdr:to>
      <xdr:col>16</xdr:col>
      <xdr:colOff>171450</xdr:colOff>
      <xdr:row>33</xdr:row>
      <xdr:rowOff>19048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DF9AD7FD-1B5D-47FA-AF9F-BD0AD912F0D8}"/>
            </a:ext>
          </a:extLst>
        </xdr:cNvPr>
        <xdr:cNvSpPr/>
      </xdr:nvSpPr>
      <xdr:spPr>
        <a:xfrm rot="16200000" flipV="1">
          <a:off x="10945958" y="3078306"/>
          <a:ext cx="129884" cy="5638800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33</xdr:row>
      <xdr:rowOff>114300</xdr:rowOff>
    </xdr:from>
    <xdr:to>
      <xdr:col>10</xdr:col>
      <xdr:colOff>571500</xdr:colOff>
      <xdr:row>35</xdr:row>
      <xdr:rowOff>47625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C24EDE3-2385-436F-93F6-8C7AC9F48601}"/>
            </a:ext>
          </a:extLst>
        </xdr:cNvPr>
        <xdr:cNvSpPr txBox="1"/>
      </xdr:nvSpPr>
      <xdr:spPr>
        <a:xfrm>
          <a:off x="4636770" y="3329940"/>
          <a:ext cx="2426970" cy="222885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chemeClr val="bg1"/>
              </a:solidFill>
            </a:rPr>
            <a:t>WACC</a:t>
          </a:r>
        </a:p>
      </xdr:txBody>
    </xdr:sp>
    <xdr:clientData/>
  </xdr:twoCellAnchor>
  <xdr:twoCellAnchor>
    <xdr:from>
      <xdr:col>6</xdr:col>
      <xdr:colOff>133350</xdr:colOff>
      <xdr:row>37</xdr:row>
      <xdr:rowOff>9524</xdr:rowOff>
    </xdr:from>
    <xdr:to>
      <xdr:col>6</xdr:col>
      <xdr:colOff>419100</xdr:colOff>
      <xdr:row>40</xdr:row>
      <xdr:rowOff>152399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72353D0-59CA-4418-BE05-4E64805F11F9}"/>
            </a:ext>
          </a:extLst>
        </xdr:cNvPr>
        <xdr:cNvSpPr txBox="1"/>
      </xdr:nvSpPr>
      <xdr:spPr>
        <a:xfrm>
          <a:off x="4065270" y="3819524"/>
          <a:ext cx="285750" cy="600075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g</a:t>
          </a:r>
        </a:p>
      </xdr:txBody>
    </xdr:sp>
    <xdr:clientData/>
  </xdr:twoCellAnchor>
  <xdr:twoCellAnchor>
    <xdr:from>
      <xdr:col>12</xdr:col>
      <xdr:colOff>133350</xdr:colOff>
      <xdr:row>37</xdr:row>
      <xdr:rowOff>9524</xdr:rowOff>
    </xdr:from>
    <xdr:to>
      <xdr:col>12</xdr:col>
      <xdr:colOff>419100</xdr:colOff>
      <xdr:row>40</xdr:row>
      <xdr:rowOff>152399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E2DFC-FD1D-4A95-AD41-0DB082ED215A}"/>
            </a:ext>
          </a:extLst>
        </xdr:cNvPr>
        <xdr:cNvSpPr txBox="1"/>
      </xdr:nvSpPr>
      <xdr:spPr>
        <a:xfrm>
          <a:off x="4974291" y="5702112"/>
          <a:ext cx="285750" cy="600075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solidFill>
                <a:schemeClr val="bg1"/>
              </a:solidFill>
            </a:rPr>
            <a:t>g</a:t>
          </a:r>
        </a:p>
      </xdr:txBody>
    </xdr:sp>
    <xdr:clientData/>
  </xdr:twoCellAnchor>
  <xdr:twoCellAnchor>
    <xdr:from>
      <xdr:col>12</xdr:col>
      <xdr:colOff>564776</xdr:colOff>
      <xdr:row>34</xdr:row>
      <xdr:rowOff>8964</xdr:rowOff>
    </xdr:from>
    <xdr:to>
      <xdr:col>16</xdr:col>
      <xdr:colOff>722778</xdr:colOff>
      <xdr:row>35</xdr:row>
      <xdr:rowOff>85724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911CC86-0CE9-4704-AC9B-AB8A2F9ECA2D}"/>
            </a:ext>
          </a:extLst>
        </xdr:cNvPr>
        <xdr:cNvSpPr txBox="1"/>
      </xdr:nvSpPr>
      <xdr:spPr>
        <a:xfrm>
          <a:off x="11349317" y="5253317"/>
          <a:ext cx="3591485" cy="220195"/>
        </a:xfrm>
        <a:prstGeom prst="rect">
          <a:avLst/>
        </a:prstGeom>
        <a:solidFill>
          <a:srgbClr val="00206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100" b="1">
              <a:solidFill>
                <a:schemeClr val="bg1"/>
              </a:solidFill>
            </a:rPr>
            <a:t>Fair Value</a:t>
          </a:r>
          <a:r>
            <a:rPr lang="en-US" sz="1100" b="1" baseline="0">
              <a:solidFill>
                <a:schemeClr val="bg1"/>
              </a:solidFill>
            </a:rPr>
            <a:t> Matrix</a:t>
          </a:r>
          <a:endParaRPr lang="en-US" sz="11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0E2841"/>
    </a:dk2>
    <a:lt2>
      <a:srgbClr val="E8E8E8"/>
    </a:lt2>
    <a:accent1>
      <a:srgbClr val="156082"/>
    </a:accent1>
    <a:accent2>
      <a:srgbClr val="E97132"/>
    </a:accent2>
    <a:accent3>
      <a:srgbClr val="196B24"/>
    </a:accent3>
    <a:accent4>
      <a:srgbClr val="0F9ED5"/>
    </a:accent4>
    <a:accent5>
      <a:srgbClr val="A02B93"/>
    </a:accent5>
    <a:accent6>
      <a:srgbClr val="4EA72E"/>
    </a:accent6>
    <a:hlink>
      <a:srgbClr val="467886"/>
    </a:hlink>
    <a:folHlink>
      <a:srgbClr val="96607D"/>
    </a:folHlink>
  </a:clrScheme>
  <a:fontScheme name="Office">
    <a:majorFont>
      <a:latin typeface="Aptos Display" panose="0211000402020202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Aptos Narrow" panose="0211000402020202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  <a:ln w="2540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341DD-41DE-4F16-8670-189A4AE1FE42}">
  <sheetPr codeName="Sheet1"/>
  <dimension ref="A1:AI55"/>
  <sheetViews>
    <sheetView tabSelected="1" zoomScale="40" zoomScaleNormal="40" workbookViewId="0">
      <pane xSplit="13908" topLeftCell="AJ1"/>
      <selection activeCell="C2" sqref="C2"/>
      <selection pane="topRight" activeCell="AJ1" sqref="AJ1"/>
    </sheetView>
  </sheetViews>
  <sheetFormatPr defaultRowHeight="11.4" x14ac:dyDescent="0.2"/>
  <cols>
    <col min="1" max="1" width="2" style="59" customWidth="1"/>
    <col min="2" max="2" width="33.88671875" style="59" customWidth="1"/>
    <col min="3" max="3" width="22.88671875" style="59" customWidth="1"/>
    <col min="4" max="8" width="13.77734375" style="59" customWidth="1"/>
    <col min="9" max="16384" width="8.88671875" style="59"/>
  </cols>
  <sheetData>
    <row r="1" spans="1:35" s="182" customFormat="1" ht="27.6" customHeight="1" x14ac:dyDescent="0.45">
      <c r="A1" s="175"/>
      <c r="B1" s="183" t="s">
        <v>197</v>
      </c>
      <c r="C1" s="183"/>
      <c r="D1" s="183"/>
      <c r="E1" s="183"/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183"/>
      <c r="Q1" s="183"/>
      <c r="R1" s="183"/>
      <c r="S1" s="183"/>
      <c r="T1" s="183"/>
      <c r="U1" s="183"/>
      <c r="V1" s="183"/>
      <c r="W1" s="183"/>
      <c r="X1" s="183"/>
      <c r="Y1" s="183"/>
      <c r="Z1" s="183"/>
      <c r="AA1" s="183"/>
      <c r="AB1" s="183"/>
      <c r="AC1" s="183"/>
      <c r="AD1" s="59"/>
      <c r="AE1" s="59"/>
      <c r="AF1" s="59"/>
      <c r="AG1" s="59"/>
      <c r="AH1" s="59"/>
      <c r="AI1" s="59"/>
    </row>
    <row r="2" spans="1:35" ht="19.2" x14ac:dyDescent="0.35">
      <c r="A2" s="176"/>
      <c r="B2" s="170" t="s">
        <v>194</v>
      </c>
      <c r="C2" s="170">
        <v>1</v>
      </c>
      <c r="D2" s="162"/>
      <c r="E2" s="162"/>
      <c r="F2" s="162"/>
      <c r="G2" s="162"/>
      <c r="H2" s="162"/>
      <c r="I2" s="162"/>
      <c r="J2" s="162"/>
      <c r="K2" s="162"/>
      <c r="L2" s="162"/>
      <c r="M2" s="162"/>
      <c r="N2" s="162"/>
      <c r="O2" s="162"/>
      <c r="P2" s="162"/>
      <c r="Q2" s="162"/>
      <c r="R2" s="162"/>
      <c r="S2" s="162"/>
      <c r="T2" s="162"/>
      <c r="U2" s="162"/>
      <c r="V2" s="162"/>
      <c r="W2" s="162"/>
      <c r="X2" s="162"/>
      <c r="Y2" s="162"/>
      <c r="Z2" s="162"/>
      <c r="AA2" s="162"/>
      <c r="AB2" s="162"/>
      <c r="AC2" s="162"/>
    </row>
    <row r="3" spans="1:35" ht="19.2" x14ac:dyDescent="0.35">
      <c r="A3" s="176"/>
      <c r="B3" s="173"/>
      <c r="C3" s="173"/>
      <c r="D3" s="162"/>
      <c r="E3" s="163" t="s">
        <v>83</v>
      </c>
      <c r="F3" s="162"/>
      <c r="G3" s="162"/>
      <c r="H3" s="162"/>
      <c r="I3" s="162"/>
      <c r="J3" s="162"/>
      <c r="K3" s="162"/>
      <c r="L3" s="162"/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62"/>
      <c r="AC3" s="162"/>
    </row>
    <row r="4" spans="1:35" ht="19.2" x14ac:dyDescent="0.35">
      <c r="A4" s="176"/>
      <c r="B4" s="173" t="s">
        <v>189</v>
      </c>
      <c r="C4" s="178">
        <f>'DCF Valuation'!C35</f>
        <v>2690.9203526359806</v>
      </c>
      <c r="D4" s="171"/>
      <c r="E4" s="172" t="s">
        <v>84</v>
      </c>
      <c r="F4" s="171"/>
      <c r="G4" s="165"/>
      <c r="H4" s="165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</row>
    <row r="5" spans="1:35" ht="19.2" x14ac:dyDescent="0.35">
      <c r="A5" s="176"/>
      <c r="B5" s="170" t="s">
        <v>190</v>
      </c>
      <c r="C5" s="179">
        <v>2360</v>
      </c>
      <c r="D5" s="174"/>
      <c r="E5" s="172" t="s">
        <v>85</v>
      </c>
      <c r="F5" s="174"/>
      <c r="G5" s="167"/>
      <c r="H5" s="167"/>
      <c r="I5" s="167"/>
      <c r="J5" s="167"/>
      <c r="K5" s="167"/>
      <c r="L5" s="167"/>
      <c r="M5" s="167"/>
      <c r="N5" s="162"/>
      <c r="O5" s="166"/>
      <c r="P5" s="166"/>
      <c r="Q5" s="162"/>
      <c r="R5" s="162"/>
      <c r="S5" s="162"/>
      <c r="T5" s="162"/>
      <c r="U5" s="162"/>
      <c r="V5" s="162"/>
      <c r="W5" s="162"/>
      <c r="X5" s="162"/>
      <c r="Y5" s="162"/>
      <c r="Z5" s="162"/>
      <c r="AA5" s="162"/>
      <c r="AB5" s="162"/>
      <c r="AC5" s="162"/>
    </row>
    <row r="6" spans="1:35" ht="24" customHeight="1" x14ac:dyDescent="0.35">
      <c r="A6" s="176"/>
      <c r="B6" s="170" t="s">
        <v>191</v>
      </c>
      <c r="C6" s="179" t="str">
        <f>IF(C5&gt;C4,"Overvalued","Undervalued")</f>
        <v>Undervalued</v>
      </c>
      <c r="D6" s="174"/>
      <c r="E6" s="172" t="s">
        <v>87</v>
      </c>
      <c r="F6" s="174"/>
      <c r="G6" s="167"/>
      <c r="H6" s="167"/>
      <c r="I6" s="167"/>
      <c r="J6" s="167"/>
      <c r="K6" s="167"/>
      <c r="L6" s="167"/>
      <c r="M6" s="167"/>
      <c r="N6" s="162"/>
      <c r="O6" s="166"/>
      <c r="P6" s="166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</row>
    <row r="7" spans="1:35" ht="19.2" x14ac:dyDescent="0.2">
      <c r="A7" s="176"/>
      <c r="B7" s="171"/>
      <c r="C7" s="171"/>
      <c r="D7" s="171"/>
      <c r="E7" s="171"/>
      <c r="F7" s="171"/>
      <c r="G7" s="164"/>
      <c r="H7" s="164"/>
      <c r="I7" s="162"/>
      <c r="J7" s="165"/>
      <c r="K7" s="165"/>
      <c r="L7" s="165"/>
      <c r="M7" s="165"/>
      <c r="N7" s="165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</row>
    <row r="8" spans="1:35" ht="19.2" x14ac:dyDescent="0.35">
      <c r="A8" s="176"/>
      <c r="B8" s="171"/>
      <c r="C8" s="171"/>
      <c r="D8" s="171"/>
      <c r="E8" s="174"/>
      <c r="F8" s="174"/>
      <c r="G8" s="167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</row>
    <row r="9" spans="1:35" x14ac:dyDescent="0.2">
      <c r="A9" s="176"/>
      <c r="B9" s="168"/>
      <c r="C9" s="168"/>
      <c r="D9" s="169"/>
      <c r="E9" s="169"/>
      <c r="F9" s="169"/>
      <c r="G9" s="167"/>
      <c r="H9" s="162"/>
      <c r="I9" s="162"/>
      <c r="J9" s="162"/>
      <c r="K9" s="162"/>
      <c r="L9" s="162"/>
      <c r="M9" s="162"/>
      <c r="N9" s="162"/>
      <c r="O9" s="162"/>
      <c r="P9" s="162"/>
      <c r="Q9" s="162"/>
      <c r="R9" s="162"/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</row>
    <row r="10" spans="1:35" x14ac:dyDescent="0.2">
      <c r="A10" s="176"/>
      <c r="B10" s="162"/>
      <c r="C10" s="162"/>
      <c r="D10" s="162"/>
      <c r="E10" s="162"/>
      <c r="F10" s="162"/>
      <c r="G10" s="162"/>
      <c r="H10" s="162"/>
      <c r="I10" s="162"/>
      <c r="J10" s="162"/>
      <c r="K10" s="162"/>
      <c r="L10" s="162"/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2"/>
      <c r="Y10" s="162"/>
      <c r="Z10" s="162"/>
      <c r="AA10" s="162"/>
      <c r="AB10" s="162"/>
      <c r="AC10" s="162"/>
    </row>
    <row r="11" spans="1:35" x14ac:dyDescent="0.2">
      <c r="A11" s="176"/>
      <c r="B11" s="162"/>
      <c r="C11" s="162"/>
      <c r="D11" s="162"/>
      <c r="E11" s="162"/>
      <c r="F11" s="162"/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2"/>
      <c r="R11" s="162"/>
      <c r="S11" s="162"/>
      <c r="T11" s="162"/>
      <c r="U11" s="162"/>
      <c r="V11" s="162"/>
      <c r="W11" s="162"/>
      <c r="X11" s="162"/>
      <c r="Y11" s="162"/>
      <c r="Z11" s="162"/>
      <c r="AA11" s="162"/>
      <c r="AB11" s="162"/>
      <c r="AC11" s="162"/>
    </row>
    <row r="12" spans="1:35" x14ac:dyDescent="0.2">
      <c r="A12" s="176"/>
      <c r="B12" s="162"/>
      <c r="C12" s="162"/>
      <c r="D12" s="162"/>
      <c r="E12" s="162"/>
      <c r="F12" s="162"/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  <c r="AA12" s="162"/>
      <c r="AB12" s="162"/>
      <c r="AC12" s="162"/>
    </row>
    <row r="13" spans="1:35" x14ac:dyDescent="0.2">
      <c r="A13" s="176"/>
      <c r="B13" s="162"/>
      <c r="C13" s="162"/>
      <c r="D13" s="162"/>
      <c r="E13" s="162"/>
      <c r="F13" s="162"/>
      <c r="G13" s="162"/>
      <c r="H13" s="162"/>
      <c r="I13" s="162"/>
      <c r="J13" s="162"/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</row>
    <row r="14" spans="1:35" x14ac:dyDescent="0.2">
      <c r="A14" s="176"/>
      <c r="B14" s="162"/>
      <c r="C14" s="162"/>
      <c r="D14" s="162"/>
      <c r="E14" s="162"/>
      <c r="F14" s="162"/>
      <c r="G14" s="162"/>
      <c r="H14" s="162"/>
      <c r="I14" s="162"/>
      <c r="J14" s="162"/>
      <c r="K14" s="162"/>
      <c r="L14" s="162"/>
      <c r="M14" s="162"/>
      <c r="N14" s="162"/>
      <c r="O14" s="162"/>
      <c r="P14" s="162"/>
      <c r="Q14" s="162"/>
      <c r="R14" s="162"/>
      <c r="S14" s="162"/>
      <c r="T14" s="162"/>
      <c r="U14" s="162"/>
      <c r="V14" s="162"/>
      <c r="W14" s="162"/>
      <c r="X14" s="162"/>
      <c r="Y14" s="162"/>
      <c r="Z14" s="162"/>
      <c r="AA14" s="162"/>
      <c r="AB14" s="162"/>
      <c r="AC14" s="162"/>
    </row>
    <row r="15" spans="1:35" x14ac:dyDescent="0.2">
      <c r="A15" s="176"/>
      <c r="B15" s="162"/>
      <c r="C15" s="162"/>
      <c r="D15" s="162"/>
      <c r="E15" s="162"/>
      <c r="F15" s="162"/>
      <c r="G15" s="162"/>
      <c r="H15" s="162"/>
      <c r="I15" s="162"/>
      <c r="J15" s="162"/>
      <c r="K15" s="162"/>
      <c r="L15" s="162"/>
      <c r="M15" s="162"/>
      <c r="N15" s="162"/>
      <c r="O15" s="162"/>
      <c r="P15" s="162"/>
      <c r="Q15" s="162"/>
      <c r="R15" s="162"/>
      <c r="S15" s="162"/>
      <c r="T15" s="162"/>
      <c r="U15" s="162"/>
      <c r="V15" s="162"/>
      <c r="W15" s="162"/>
      <c r="X15" s="162"/>
      <c r="Y15" s="162"/>
      <c r="Z15" s="162"/>
      <c r="AA15" s="162"/>
      <c r="AB15" s="162"/>
      <c r="AC15" s="162"/>
    </row>
    <row r="16" spans="1:35" x14ac:dyDescent="0.2">
      <c r="A16" s="176"/>
      <c r="B16" s="162"/>
      <c r="C16" s="162"/>
      <c r="D16" s="162"/>
      <c r="E16" s="162"/>
      <c r="F16" s="162"/>
      <c r="G16" s="162"/>
      <c r="H16" s="162"/>
      <c r="I16" s="162"/>
      <c r="J16" s="162"/>
      <c r="K16" s="162"/>
      <c r="L16" s="162"/>
      <c r="M16" s="162"/>
      <c r="N16" s="162"/>
      <c r="O16" s="162"/>
      <c r="P16" s="162"/>
      <c r="Q16" s="162"/>
      <c r="R16" s="162"/>
      <c r="S16" s="162"/>
      <c r="T16" s="162"/>
      <c r="U16" s="162"/>
      <c r="V16" s="162"/>
      <c r="W16" s="162"/>
      <c r="X16" s="162"/>
      <c r="Y16" s="162"/>
      <c r="Z16" s="162"/>
      <c r="AA16" s="162"/>
      <c r="AB16" s="162"/>
      <c r="AC16" s="162"/>
    </row>
    <row r="17" spans="1:29" x14ac:dyDescent="0.2">
      <c r="A17" s="176"/>
      <c r="B17" s="162"/>
      <c r="C17" s="162"/>
      <c r="D17" s="162"/>
      <c r="E17" s="162"/>
      <c r="F17" s="162"/>
      <c r="G17" s="162"/>
      <c r="H17" s="162"/>
      <c r="I17" s="162"/>
      <c r="J17" s="162"/>
      <c r="K17" s="162"/>
      <c r="L17" s="162"/>
      <c r="M17" s="162"/>
      <c r="N17" s="162"/>
      <c r="O17" s="162"/>
      <c r="P17" s="162"/>
      <c r="Q17" s="162"/>
      <c r="R17" s="162"/>
      <c r="S17" s="162"/>
      <c r="T17" s="162"/>
      <c r="U17" s="162"/>
      <c r="V17" s="162"/>
      <c r="W17" s="162"/>
      <c r="X17" s="162"/>
      <c r="Y17" s="162"/>
      <c r="Z17" s="162"/>
      <c r="AA17" s="162"/>
      <c r="AB17" s="162"/>
      <c r="AC17" s="162"/>
    </row>
    <row r="18" spans="1:29" x14ac:dyDescent="0.2">
      <c r="A18" s="176"/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2"/>
      <c r="AB18" s="162"/>
      <c r="AC18" s="162"/>
    </row>
    <row r="19" spans="1:29" x14ac:dyDescent="0.2">
      <c r="A19" s="176"/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2"/>
      <c r="AB19" s="162"/>
      <c r="AC19" s="162"/>
    </row>
    <row r="20" spans="1:29" x14ac:dyDescent="0.2">
      <c r="A20" s="176"/>
      <c r="B20" s="162"/>
      <c r="C20" s="162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  <c r="AA20" s="162"/>
      <c r="AB20" s="162"/>
      <c r="AC20" s="162"/>
    </row>
    <row r="21" spans="1:29" x14ac:dyDescent="0.2">
      <c r="A21" s="176"/>
      <c r="B21" s="162"/>
      <c r="C21" s="162"/>
      <c r="D21" s="162"/>
      <c r="E21" s="162"/>
      <c r="F21" s="162"/>
      <c r="G21" s="162"/>
      <c r="H21" s="162"/>
      <c r="I21" s="162"/>
      <c r="J21" s="162"/>
      <c r="K21" s="162"/>
      <c r="L21" s="162"/>
      <c r="M21" s="162"/>
      <c r="N21" s="162"/>
      <c r="O21" s="162"/>
      <c r="P21" s="162"/>
      <c r="Q21" s="162"/>
      <c r="R21" s="162"/>
      <c r="S21" s="162"/>
      <c r="T21" s="162"/>
      <c r="U21" s="162"/>
      <c r="V21" s="162"/>
      <c r="W21" s="162"/>
      <c r="X21" s="162"/>
      <c r="Y21" s="162"/>
      <c r="Z21" s="162"/>
      <c r="AA21" s="162"/>
      <c r="AB21" s="162"/>
      <c r="AC21" s="162"/>
    </row>
    <row r="22" spans="1:29" x14ac:dyDescent="0.2">
      <c r="A22" s="176"/>
      <c r="B22" s="162"/>
      <c r="C22" s="162"/>
      <c r="D22" s="162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2"/>
      <c r="W22" s="162"/>
      <c r="X22" s="162"/>
      <c r="Y22" s="162"/>
      <c r="Z22" s="162"/>
      <c r="AA22" s="162"/>
      <c r="AB22" s="162"/>
      <c r="AC22" s="162"/>
    </row>
    <row r="23" spans="1:29" x14ac:dyDescent="0.2">
      <c r="A23" s="176"/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2"/>
      <c r="M23" s="162"/>
      <c r="N23" s="162"/>
      <c r="O23" s="162"/>
      <c r="P23" s="162"/>
      <c r="Q23" s="162"/>
      <c r="R23" s="162"/>
      <c r="S23" s="162"/>
      <c r="T23" s="162"/>
      <c r="U23" s="162"/>
      <c r="V23" s="162"/>
      <c r="W23" s="162"/>
      <c r="X23" s="162"/>
      <c r="Y23" s="162"/>
      <c r="Z23" s="162"/>
      <c r="AA23" s="162"/>
      <c r="AB23" s="162"/>
      <c r="AC23" s="162"/>
    </row>
    <row r="24" spans="1:29" x14ac:dyDescent="0.2">
      <c r="A24" s="176"/>
      <c r="B24" s="162"/>
      <c r="C24" s="162"/>
      <c r="D24" s="162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2"/>
    </row>
    <row r="25" spans="1:29" x14ac:dyDescent="0.2">
      <c r="A25" s="176"/>
      <c r="B25" s="162"/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2"/>
    </row>
    <row r="26" spans="1:29" x14ac:dyDescent="0.2">
      <c r="A26" s="176"/>
      <c r="B26" s="162"/>
      <c r="C26" s="162"/>
      <c r="D26" s="162"/>
      <c r="E26" s="162"/>
      <c r="F26" s="162"/>
      <c r="G26" s="162"/>
      <c r="H26" s="162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2"/>
    </row>
    <row r="27" spans="1:29" x14ac:dyDescent="0.2">
      <c r="A27" s="176"/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2"/>
      <c r="O27" s="162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2"/>
    </row>
    <row r="28" spans="1:29" x14ac:dyDescent="0.2">
      <c r="A28" s="176"/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</row>
    <row r="29" spans="1:29" x14ac:dyDescent="0.2">
      <c r="A29" s="176"/>
      <c r="B29" s="162"/>
      <c r="C29" s="162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2"/>
      <c r="Y29" s="162"/>
      <c r="Z29" s="162"/>
      <c r="AA29" s="162"/>
      <c r="AB29" s="162"/>
      <c r="AC29" s="162"/>
    </row>
    <row r="30" spans="1:29" x14ac:dyDescent="0.2">
      <c r="A30" s="176"/>
      <c r="B30" s="162"/>
      <c r="C30" s="162"/>
      <c r="D30" s="162"/>
      <c r="E30" s="162"/>
      <c r="F30" s="162"/>
      <c r="G30" s="162"/>
      <c r="H30" s="162"/>
      <c r="I30" s="162"/>
      <c r="J30" s="162"/>
      <c r="K30" s="162"/>
      <c r="L30" s="162"/>
      <c r="M30" s="162"/>
      <c r="N30" s="162"/>
      <c r="O30" s="162"/>
      <c r="P30" s="162"/>
      <c r="Q30" s="162"/>
      <c r="R30" s="162"/>
      <c r="S30" s="162"/>
      <c r="T30" s="162"/>
      <c r="U30" s="162"/>
      <c r="V30" s="162"/>
      <c r="W30" s="162"/>
      <c r="X30" s="162"/>
      <c r="Y30" s="162"/>
      <c r="Z30" s="162"/>
      <c r="AA30" s="162"/>
      <c r="AB30" s="162"/>
      <c r="AC30" s="162"/>
    </row>
    <row r="31" spans="1:29" x14ac:dyDescent="0.2">
      <c r="A31" s="176"/>
      <c r="B31" s="162"/>
      <c r="C31" s="162"/>
      <c r="D31" s="162"/>
      <c r="E31" s="162"/>
      <c r="F31" s="162"/>
      <c r="G31" s="162"/>
      <c r="H31" s="162"/>
      <c r="I31" s="162"/>
      <c r="J31" s="162"/>
      <c r="K31" s="162"/>
      <c r="L31" s="162"/>
      <c r="M31" s="162"/>
      <c r="N31" s="162"/>
      <c r="O31" s="162"/>
      <c r="P31" s="162"/>
      <c r="Q31" s="162"/>
      <c r="R31" s="162"/>
      <c r="S31" s="162"/>
      <c r="T31" s="162"/>
      <c r="U31" s="162"/>
      <c r="V31" s="162"/>
      <c r="W31" s="162"/>
      <c r="X31" s="162"/>
      <c r="Y31" s="162"/>
      <c r="Z31" s="162"/>
      <c r="AA31" s="162"/>
      <c r="AB31" s="162"/>
      <c r="AC31" s="162"/>
    </row>
    <row r="32" spans="1:29" x14ac:dyDescent="0.2">
      <c r="A32" s="176"/>
      <c r="B32" s="162"/>
      <c r="C32" s="162"/>
      <c r="D32" s="162"/>
      <c r="E32" s="162"/>
      <c r="F32" s="162"/>
      <c r="G32" s="162"/>
      <c r="H32" s="162"/>
      <c r="I32" s="162"/>
      <c r="J32" s="162"/>
      <c r="K32" s="162"/>
      <c r="L32" s="162"/>
      <c r="M32" s="162"/>
      <c r="N32" s="162"/>
      <c r="O32" s="162"/>
      <c r="P32" s="162"/>
      <c r="Q32" s="162"/>
      <c r="R32" s="162"/>
      <c r="S32" s="162"/>
      <c r="T32" s="162"/>
      <c r="U32" s="162"/>
      <c r="V32" s="162"/>
      <c r="W32" s="162"/>
      <c r="X32" s="162"/>
      <c r="Y32" s="162"/>
      <c r="Z32" s="162"/>
      <c r="AA32" s="162"/>
      <c r="AB32" s="162"/>
      <c r="AC32" s="162"/>
    </row>
    <row r="33" spans="1:29" x14ac:dyDescent="0.2">
      <c r="A33" s="176"/>
      <c r="B33" s="162" t="s">
        <v>196</v>
      </c>
      <c r="C33" s="162"/>
      <c r="D33" s="162"/>
      <c r="E33" s="162"/>
      <c r="F33" s="162"/>
      <c r="G33" s="162"/>
      <c r="H33" s="162"/>
      <c r="I33" s="162"/>
      <c r="J33" s="162"/>
      <c r="K33" s="162"/>
      <c r="L33" s="162"/>
      <c r="M33" s="162"/>
      <c r="N33" s="162"/>
      <c r="O33" s="162"/>
      <c r="P33" s="162"/>
      <c r="Q33" s="162"/>
      <c r="R33" s="162"/>
      <c r="S33" s="162"/>
      <c r="T33" s="162"/>
      <c r="U33" s="162"/>
      <c r="V33" s="162"/>
      <c r="W33" s="162"/>
      <c r="X33" s="162"/>
      <c r="Y33" s="162"/>
      <c r="Z33" s="162"/>
      <c r="AA33" s="162"/>
      <c r="AB33" s="162"/>
      <c r="AC33" s="162"/>
    </row>
    <row r="34" spans="1:29" x14ac:dyDescent="0.2">
      <c r="A34" s="176"/>
      <c r="B34" s="162"/>
      <c r="C34" s="162"/>
      <c r="D34" s="162"/>
      <c r="E34" s="162"/>
      <c r="F34" s="162"/>
      <c r="G34" s="162"/>
      <c r="H34" s="162"/>
      <c r="I34" s="162"/>
      <c r="J34" s="162"/>
      <c r="K34" s="162"/>
      <c r="L34" s="162"/>
      <c r="M34" s="162"/>
      <c r="N34" s="162"/>
      <c r="O34" s="162"/>
      <c r="P34" s="162"/>
      <c r="Q34" s="162"/>
      <c r="R34" s="162"/>
      <c r="S34" s="162"/>
      <c r="T34" s="162"/>
      <c r="U34" s="162"/>
      <c r="V34" s="162"/>
      <c r="W34" s="162"/>
      <c r="X34" s="162"/>
      <c r="Y34" s="162"/>
      <c r="Z34" s="162"/>
      <c r="AA34" s="162"/>
      <c r="AB34" s="162"/>
      <c r="AC34" s="162"/>
    </row>
    <row r="35" spans="1:29" x14ac:dyDescent="0.2">
      <c r="A35" s="176"/>
      <c r="B35" s="162"/>
      <c r="C35" s="162"/>
      <c r="D35" s="162"/>
      <c r="E35" s="162"/>
      <c r="F35" s="162"/>
      <c r="G35" s="162"/>
      <c r="H35" s="162"/>
      <c r="I35" s="162"/>
      <c r="J35" s="162"/>
      <c r="K35" s="162"/>
      <c r="L35" s="162"/>
      <c r="M35" s="162"/>
      <c r="N35" s="162"/>
      <c r="O35" s="162"/>
      <c r="P35" s="162"/>
      <c r="Q35" s="162"/>
      <c r="R35" s="162"/>
      <c r="S35" s="162"/>
      <c r="T35" s="162"/>
      <c r="U35" s="162"/>
      <c r="V35" s="162"/>
      <c r="W35" s="162"/>
      <c r="X35" s="162"/>
      <c r="Y35" s="162"/>
      <c r="Z35" s="162"/>
      <c r="AA35" s="162"/>
      <c r="AB35" s="162"/>
      <c r="AC35" s="162"/>
    </row>
    <row r="36" spans="1:29" x14ac:dyDescent="0.2">
      <c r="A36" s="176"/>
      <c r="B36" s="162"/>
      <c r="C36" s="162"/>
      <c r="D36" s="162"/>
      <c r="E36" s="162"/>
      <c r="F36" s="162"/>
      <c r="G36" s="162"/>
      <c r="H36" s="162"/>
      <c r="I36" s="162"/>
      <c r="J36" s="162"/>
      <c r="K36" s="162"/>
      <c r="L36" s="162"/>
      <c r="M36" s="162"/>
      <c r="N36" s="162"/>
      <c r="O36" s="162"/>
      <c r="P36" s="162"/>
      <c r="Q36" s="162"/>
      <c r="R36" s="162"/>
      <c r="S36" s="162"/>
      <c r="T36" s="162"/>
      <c r="U36" s="162"/>
      <c r="V36" s="162"/>
      <c r="W36" s="162"/>
      <c r="X36" s="162"/>
      <c r="Y36" s="162"/>
      <c r="Z36" s="162"/>
      <c r="AA36" s="162"/>
      <c r="AB36" s="162"/>
      <c r="AC36" s="162"/>
    </row>
    <row r="37" spans="1:29" x14ac:dyDescent="0.2">
      <c r="A37" s="176"/>
      <c r="B37" s="162"/>
      <c r="C37" s="162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2"/>
      <c r="Q37" s="162"/>
      <c r="R37" s="162"/>
      <c r="S37" s="162"/>
      <c r="T37" s="162"/>
      <c r="U37" s="162"/>
      <c r="V37" s="162"/>
      <c r="W37" s="162"/>
      <c r="X37" s="162"/>
      <c r="Y37" s="162"/>
      <c r="Z37" s="162"/>
      <c r="AA37" s="162"/>
      <c r="AB37" s="162"/>
      <c r="AC37" s="162"/>
    </row>
    <row r="38" spans="1:29" x14ac:dyDescent="0.2">
      <c r="A38" s="176"/>
      <c r="B38" s="162"/>
      <c r="C38" s="162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2"/>
      <c r="S38" s="162"/>
      <c r="T38" s="162"/>
      <c r="U38" s="162"/>
      <c r="V38" s="162"/>
      <c r="W38" s="162"/>
      <c r="X38" s="162"/>
      <c r="Y38" s="162"/>
      <c r="Z38" s="162"/>
      <c r="AA38" s="162"/>
      <c r="AB38" s="162"/>
      <c r="AC38" s="162"/>
    </row>
    <row r="39" spans="1:29" x14ac:dyDescent="0.2">
      <c r="A39" s="176"/>
      <c r="B39" s="162"/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2"/>
      <c r="S39" s="162"/>
      <c r="T39" s="162"/>
      <c r="U39" s="162"/>
      <c r="V39" s="162"/>
      <c r="W39" s="162"/>
      <c r="X39" s="162"/>
      <c r="Y39" s="162"/>
      <c r="Z39" s="162"/>
      <c r="AA39" s="162"/>
      <c r="AB39" s="162"/>
      <c r="AC39" s="162"/>
    </row>
    <row r="40" spans="1:29" x14ac:dyDescent="0.2">
      <c r="A40" s="176"/>
      <c r="B40" s="162"/>
      <c r="C40" s="162"/>
      <c r="D40" s="162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62"/>
      <c r="Q40" s="162"/>
      <c r="R40" s="162"/>
      <c r="S40" s="162"/>
      <c r="T40" s="162"/>
      <c r="U40" s="162"/>
      <c r="V40" s="162"/>
      <c r="W40" s="162"/>
      <c r="X40" s="162"/>
      <c r="Y40" s="162"/>
      <c r="Z40" s="162"/>
      <c r="AA40" s="162"/>
      <c r="AB40" s="162"/>
      <c r="AC40" s="162"/>
    </row>
    <row r="41" spans="1:29" x14ac:dyDescent="0.2">
      <c r="A41" s="176"/>
      <c r="B41" s="162"/>
      <c r="C41" s="162"/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162"/>
      <c r="P41" s="162"/>
      <c r="Q41" s="162"/>
      <c r="R41" s="162"/>
      <c r="S41" s="162"/>
      <c r="T41" s="162"/>
      <c r="U41" s="162"/>
      <c r="V41" s="162"/>
      <c r="W41" s="162"/>
      <c r="X41" s="162"/>
      <c r="Y41" s="162"/>
      <c r="Z41" s="162"/>
      <c r="AA41" s="162"/>
      <c r="AB41" s="162"/>
      <c r="AC41" s="162"/>
    </row>
    <row r="42" spans="1:29" x14ac:dyDescent="0.2">
      <c r="A42" s="176"/>
      <c r="B42" s="162"/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2"/>
      <c r="U42" s="162"/>
      <c r="V42" s="162"/>
      <c r="W42" s="162"/>
      <c r="X42" s="162"/>
      <c r="Y42" s="162"/>
      <c r="Z42" s="162"/>
      <c r="AA42" s="162"/>
      <c r="AB42" s="162"/>
      <c r="AC42" s="162"/>
    </row>
    <row r="43" spans="1:29" x14ac:dyDescent="0.2">
      <c r="A43" s="176"/>
      <c r="B43" s="162"/>
      <c r="C43" s="162"/>
      <c r="D43" s="162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  <c r="AA43" s="162"/>
      <c r="AB43" s="162"/>
      <c r="AC43" s="162"/>
    </row>
    <row r="44" spans="1:29" x14ac:dyDescent="0.2">
      <c r="A44" s="176"/>
      <c r="B44" s="162"/>
      <c r="C44" s="162"/>
      <c r="D44" s="162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2"/>
      <c r="S44" s="162"/>
      <c r="T44" s="162"/>
      <c r="U44" s="162"/>
      <c r="V44" s="162"/>
      <c r="W44" s="162"/>
      <c r="X44" s="162"/>
      <c r="Y44" s="162"/>
      <c r="Z44" s="162"/>
      <c r="AA44" s="162"/>
      <c r="AB44" s="162"/>
      <c r="AC44" s="162"/>
    </row>
    <row r="45" spans="1:29" x14ac:dyDescent="0.2">
      <c r="A45" s="176"/>
      <c r="B45" s="162"/>
      <c r="C45" s="162"/>
      <c r="D45" s="162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162"/>
      <c r="AA45" s="162"/>
      <c r="AB45" s="162"/>
      <c r="AC45" s="162"/>
    </row>
    <row r="46" spans="1:29" x14ac:dyDescent="0.2">
      <c r="A46" s="176"/>
      <c r="B46" s="162"/>
      <c r="C46" s="162"/>
      <c r="D46" s="162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2"/>
      <c r="S46" s="162"/>
      <c r="T46" s="162"/>
      <c r="U46" s="162"/>
      <c r="V46" s="162"/>
      <c r="W46" s="162"/>
      <c r="X46" s="162"/>
      <c r="Y46" s="162"/>
      <c r="Z46" s="162"/>
      <c r="AA46" s="162"/>
      <c r="AB46" s="162"/>
      <c r="AC46" s="162"/>
    </row>
    <row r="47" spans="1:29" x14ac:dyDescent="0.2">
      <c r="A47" s="176"/>
      <c r="B47" s="162"/>
      <c r="C47" s="162"/>
      <c r="D47" s="162"/>
      <c r="E47" s="162"/>
      <c r="F47" s="162"/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2"/>
      <c r="S47" s="162"/>
      <c r="T47" s="162"/>
      <c r="U47" s="162"/>
      <c r="V47" s="162"/>
      <c r="W47" s="162"/>
      <c r="X47" s="162"/>
      <c r="Y47" s="162"/>
      <c r="Z47" s="162"/>
      <c r="AA47" s="162"/>
      <c r="AB47" s="162"/>
      <c r="AC47" s="162"/>
    </row>
    <row r="48" spans="1:29" x14ac:dyDescent="0.2">
      <c r="A48" s="176"/>
      <c r="B48" s="162"/>
      <c r="C48" s="162"/>
      <c r="D48" s="162"/>
      <c r="E48" s="162"/>
      <c r="F48" s="162"/>
      <c r="G48" s="162"/>
      <c r="H48" s="162"/>
      <c r="I48" s="162"/>
      <c r="J48" s="162"/>
      <c r="K48" s="162"/>
      <c r="L48" s="162"/>
      <c r="M48" s="162"/>
      <c r="N48" s="162"/>
      <c r="O48" s="162"/>
      <c r="P48" s="162"/>
      <c r="Q48" s="162"/>
      <c r="R48" s="162"/>
      <c r="S48" s="162"/>
      <c r="T48" s="162"/>
      <c r="U48" s="162"/>
      <c r="V48" s="162"/>
      <c r="W48" s="162"/>
      <c r="X48" s="162"/>
      <c r="Y48" s="162"/>
      <c r="Z48" s="162"/>
      <c r="AA48" s="162"/>
      <c r="AB48" s="162"/>
      <c r="AC48" s="162"/>
    </row>
    <row r="49" spans="1:29" x14ac:dyDescent="0.2">
      <c r="A49" s="176"/>
      <c r="B49" s="162"/>
      <c r="C49" s="162"/>
      <c r="D49" s="162"/>
      <c r="E49" s="162"/>
      <c r="F49" s="162"/>
      <c r="G49" s="162"/>
      <c r="H49" s="162"/>
      <c r="I49" s="162"/>
      <c r="J49" s="162"/>
      <c r="K49" s="162"/>
      <c r="L49" s="162"/>
      <c r="M49" s="162"/>
      <c r="N49" s="162"/>
      <c r="O49" s="162"/>
      <c r="P49" s="162"/>
      <c r="Q49" s="162"/>
      <c r="R49" s="162"/>
      <c r="S49" s="162"/>
      <c r="T49" s="162"/>
      <c r="U49" s="162"/>
      <c r="V49" s="162"/>
      <c r="W49" s="162"/>
      <c r="X49" s="162"/>
      <c r="Y49" s="162"/>
      <c r="Z49" s="162"/>
      <c r="AA49" s="162"/>
      <c r="AB49" s="162"/>
      <c r="AC49" s="162"/>
    </row>
    <row r="50" spans="1:29" x14ac:dyDescent="0.2">
      <c r="A50" s="176"/>
      <c r="B50" s="162"/>
      <c r="C50" s="162"/>
      <c r="D50" s="162"/>
      <c r="E50" s="162"/>
      <c r="F50" s="162"/>
      <c r="G50" s="162"/>
      <c r="H50" s="162"/>
      <c r="I50" s="162"/>
      <c r="J50" s="162"/>
      <c r="K50" s="162"/>
      <c r="L50" s="162"/>
      <c r="M50" s="162"/>
      <c r="N50" s="162"/>
      <c r="O50" s="162"/>
      <c r="P50" s="162"/>
      <c r="Q50" s="162"/>
      <c r="R50" s="162"/>
      <c r="S50" s="162"/>
      <c r="T50" s="162"/>
      <c r="U50" s="162"/>
      <c r="V50" s="162"/>
      <c r="W50" s="162"/>
      <c r="X50" s="162"/>
      <c r="Y50" s="162"/>
      <c r="Z50" s="162"/>
      <c r="AA50" s="162"/>
      <c r="AB50" s="162"/>
      <c r="AC50" s="162"/>
    </row>
    <row r="51" spans="1:29" x14ac:dyDescent="0.2">
      <c r="A51" s="176"/>
      <c r="B51" s="162"/>
      <c r="C51" s="162"/>
      <c r="D51" s="162"/>
      <c r="E51" s="162"/>
      <c r="F51" s="162"/>
      <c r="G51" s="162"/>
      <c r="H51" s="162"/>
      <c r="I51" s="162"/>
      <c r="J51" s="162"/>
      <c r="K51" s="162"/>
      <c r="L51" s="162"/>
      <c r="M51" s="162"/>
      <c r="N51" s="162"/>
      <c r="O51" s="162"/>
      <c r="P51" s="162"/>
      <c r="Q51" s="162"/>
      <c r="R51" s="162"/>
      <c r="S51" s="162"/>
      <c r="T51" s="162"/>
      <c r="U51" s="162"/>
      <c r="V51" s="162"/>
      <c r="W51" s="162"/>
      <c r="X51" s="162"/>
      <c r="Y51" s="162"/>
      <c r="Z51" s="162"/>
      <c r="AA51" s="162"/>
      <c r="AB51" s="162"/>
      <c r="AC51" s="162"/>
    </row>
    <row r="52" spans="1:29" x14ac:dyDescent="0.2">
      <c r="A52" s="176"/>
      <c r="B52" s="162"/>
      <c r="C52" s="162"/>
      <c r="D52" s="162"/>
      <c r="E52" s="162"/>
      <c r="F52" s="162"/>
      <c r="G52" s="162"/>
      <c r="H52" s="162"/>
      <c r="I52" s="162"/>
      <c r="J52" s="162"/>
      <c r="K52" s="162"/>
      <c r="L52" s="162"/>
      <c r="M52" s="162"/>
      <c r="N52" s="162"/>
      <c r="O52" s="162"/>
      <c r="P52" s="162"/>
      <c r="Q52" s="162"/>
      <c r="R52" s="162"/>
      <c r="S52" s="162"/>
      <c r="T52" s="162"/>
      <c r="U52" s="162"/>
      <c r="V52" s="162"/>
      <c r="W52" s="162"/>
      <c r="X52" s="162"/>
      <c r="Y52" s="162"/>
      <c r="Z52" s="162"/>
      <c r="AA52" s="162"/>
      <c r="AB52" s="162"/>
      <c r="AC52" s="162"/>
    </row>
    <row r="53" spans="1:29" x14ac:dyDescent="0.2">
      <c r="A53" s="176"/>
      <c r="B53" s="162"/>
      <c r="C53" s="162"/>
      <c r="D53" s="162"/>
      <c r="E53" s="162"/>
      <c r="F53" s="162"/>
      <c r="G53" s="162"/>
      <c r="H53" s="162"/>
      <c r="I53" s="162"/>
      <c r="J53" s="162"/>
      <c r="K53" s="162"/>
      <c r="L53" s="162"/>
      <c r="M53" s="162"/>
      <c r="N53" s="162"/>
      <c r="O53" s="162"/>
      <c r="P53" s="162"/>
      <c r="Q53" s="162"/>
      <c r="R53" s="162"/>
      <c r="S53" s="162"/>
      <c r="T53" s="162"/>
      <c r="U53" s="162"/>
      <c r="V53" s="162"/>
      <c r="W53" s="162"/>
      <c r="X53" s="162"/>
      <c r="Y53" s="162"/>
      <c r="Z53" s="162"/>
      <c r="AA53" s="162"/>
      <c r="AB53" s="162"/>
      <c r="AC53" s="162"/>
    </row>
    <row r="54" spans="1:29" x14ac:dyDescent="0.2">
      <c r="A54" s="176"/>
      <c r="B54" s="162"/>
      <c r="C54" s="162"/>
      <c r="D54" s="162"/>
      <c r="E54" s="162"/>
      <c r="F54" s="162"/>
      <c r="G54" s="162"/>
      <c r="H54" s="162"/>
      <c r="I54" s="162"/>
      <c r="J54" s="162"/>
      <c r="K54" s="162"/>
      <c r="L54" s="162"/>
      <c r="M54" s="162"/>
      <c r="N54" s="162"/>
      <c r="O54" s="162"/>
      <c r="P54" s="162"/>
      <c r="Q54" s="162"/>
      <c r="R54" s="162"/>
      <c r="S54" s="162"/>
      <c r="T54" s="162"/>
      <c r="U54" s="162"/>
      <c r="V54" s="162"/>
      <c r="W54" s="162"/>
      <c r="X54" s="162"/>
      <c r="Y54" s="162"/>
      <c r="Z54" s="162"/>
      <c r="AA54" s="162"/>
      <c r="AB54" s="162"/>
      <c r="AC54" s="162"/>
    </row>
    <row r="55" spans="1:29" x14ac:dyDescent="0.2">
      <c r="A55" s="176"/>
      <c r="B55" s="162"/>
      <c r="C55" s="162"/>
      <c r="D55" s="162"/>
      <c r="E55" s="162"/>
      <c r="F55" s="162"/>
      <c r="G55" s="162"/>
      <c r="H55" s="162"/>
      <c r="I55" s="162"/>
      <c r="J55" s="162"/>
      <c r="K55" s="162"/>
      <c r="L55" s="162"/>
      <c r="M55" s="162"/>
      <c r="N55" s="162"/>
      <c r="O55" s="162"/>
      <c r="P55" s="162"/>
      <c r="Q55" s="162"/>
      <c r="R55" s="162"/>
      <c r="S55" s="162"/>
      <c r="T55" s="162"/>
      <c r="U55" s="162"/>
      <c r="V55" s="162"/>
      <c r="W55" s="162"/>
      <c r="X55" s="162"/>
      <c r="Y55" s="162"/>
      <c r="Z55" s="162"/>
      <c r="AA55" s="162"/>
      <c r="AB55" s="162"/>
      <c r="AC55" s="162"/>
    </row>
  </sheetData>
  <scenarios current="0" show="0">
    <scenario name="Best Case" locked="1" count="1" user="user" comment="Created by user on 6/10/2025">
      <inputCells r="C2" val="3"/>
    </scenario>
  </scenarios>
  <mergeCells count="1">
    <mergeCell ref="B1:AC1"/>
  </mergeCells>
  <dataValidations count="1">
    <dataValidation type="list" allowBlank="1" showInputMessage="1" showErrorMessage="1" sqref="C2" xr:uid="{5EB1E9DA-29E0-4EE7-941F-8B65496AB4F7}">
      <formula1>"1,2,3"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F841-4B2F-416B-9E5A-980982438FB9}">
  <sheetPr codeName="Sheet2">
    <tabColor rgb="FF002060"/>
  </sheetPr>
  <dimension ref="B1:D11"/>
  <sheetViews>
    <sheetView workbookViewId="0">
      <selection activeCell="G22" sqref="G22"/>
    </sheetView>
  </sheetViews>
  <sheetFormatPr defaultRowHeight="11.4" x14ac:dyDescent="0.2"/>
  <cols>
    <col min="1" max="1" width="2" style="59" customWidth="1"/>
    <col min="2" max="16384" width="8.88671875" style="59"/>
  </cols>
  <sheetData>
    <row r="1" spans="2:4" ht="15.6" x14ac:dyDescent="0.3">
      <c r="B1" s="99"/>
    </row>
    <row r="11" spans="2:4" ht="62.4" x14ac:dyDescent="1">
      <c r="D11" s="184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EDC07-ECB7-417D-AFD8-303F2D6D62FB}">
  <sheetPr codeName="Sheet4"/>
  <dimension ref="B2:Z33"/>
  <sheetViews>
    <sheetView zoomScale="70" zoomScaleNormal="70" workbookViewId="0">
      <selection activeCell="A29" sqref="A29"/>
    </sheetView>
  </sheetViews>
  <sheetFormatPr defaultRowHeight="14.4" x14ac:dyDescent="0.3"/>
  <cols>
    <col min="1" max="1" width="2" style="2" customWidth="1"/>
    <col min="2" max="2" width="41.21875" style="2" customWidth="1"/>
    <col min="3" max="3" width="8.88671875" style="17"/>
    <col min="4" max="4" width="24.33203125" style="20" customWidth="1"/>
    <col min="5" max="5" width="18.44140625" style="20" customWidth="1"/>
    <col min="6" max="6" width="19.88671875" style="20" customWidth="1"/>
    <col min="7" max="7" width="19.33203125" style="20" customWidth="1"/>
    <col min="8" max="8" width="18" style="20" customWidth="1"/>
    <col min="9" max="9" width="8.88671875" style="2"/>
    <col min="10" max="10" width="35.6640625" style="2" customWidth="1"/>
    <col min="11" max="11" width="8.88671875" style="2"/>
    <col min="12" max="12" width="16.77734375" style="9" customWidth="1"/>
    <col min="13" max="13" width="20.44140625" style="9" customWidth="1"/>
    <col min="14" max="14" width="16.77734375" style="9" customWidth="1"/>
    <col min="15" max="15" width="17.21875" style="9" customWidth="1"/>
    <col min="16" max="16" width="19.21875" style="9" customWidth="1"/>
    <col min="17" max="18" width="12.44140625" style="2" bestFit="1" customWidth="1"/>
    <col min="19" max="21" width="14.109375" style="2" bestFit="1" customWidth="1"/>
    <col min="22" max="22" width="12.44140625" style="2" bestFit="1" customWidth="1"/>
    <col min="23" max="16384" width="8.88671875" style="2"/>
  </cols>
  <sheetData>
    <row r="2" spans="2:26" x14ac:dyDescent="0.3">
      <c r="B2" s="39"/>
      <c r="C2" s="43"/>
      <c r="D2" s="40"/>
      <c r="E2" s="40"/>
      <c r="F2" s="40"/>
      <c r="G2" s="40"/>
      <c r="H2" s="40"/>
    </row>
    <row r="3" spans="2:26" ht="13.2" x14ac:dyDescent="0.25">
      <c r="B3" s="44" t="s">
        <v>81</v>
      </c>
      <c r="C3" s="44"/>
      <c r="D3" s="33" t="s">
        <v>62</v>
      </c>
      <c r="E3" s="33" t="s">
        <v>63</v>
      </c>
      <c r="F3" s="33" t="s">
        <v>64</v>
      </c>
      <c r="G3" s="33" t="s">
        <v>65</v>
      </c>
      <c r="H3" s="33" t="s">
        <v>66</v>
      </c>
      <c r="L3" s="38"/>
      <c r="M3" s="38"/>
      <c r="N3" s="38"/>
      <c r="O3" s="38"/>
      <c r="P3" s="38"/>
    </row>
    <row r="4" spans="2:26" ht="13.2" x14ac:dyDescent="0.25">
      <c r="B4" s="2" t="s">
        <v>80</v>
      </c>
      <c r="C4" s="2"/>
      <c r="D4" s="20">
        <v>9795911357</v>
      </c>
      <c r="E4" s="20">
        <v>11306519256</v>
      </c>
      <c r="F4" s="20">
        <v>13032188243</v>
      </c>
      <c r="G4" s="20">
        <v>14135741140</v>
      </c>
      <c r="H4" s="20">
        <v>14524182830</v>
      </c>
      <c r="L4" s="20"/>
      <c r="M4" s="20"/>
      <c r="N4" s="20"/>
      <c r="O4" s="20"/>
      <c r="P4" s="20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2:26" ht="13.2" x14ac:dyDescent="0.25">
      <c r="B5" s="2" t="s">
        <v>68</v>
      </c>
      <c r="C5" s="2"/>
      <c r="D5" s="20">
        <v>9781005</v>
      </c>
      <c r="E5" s="20">
        <v>63392805</v>
      </c>
      <c r="F5" s="20">
        <v>17087007</v>
      </c>
      <c r="G5" s="20">
        <v>27424065</v>
      </c>
      <c r="H5" s="20">
        <v>40359793</v>
      </c>
      <c r="L5" s="20"/>
      <c r="M5" s="20"/>
      <c r="N5" s="20"/>
      <c r="O5" s="20"/>
      <c r="P5" s="20"/>
    </row>
    <row r="6" spans="2:26" ht="13.2" x14ac:dyDescent="0.25">
      <c r="B6" s="35" t="s">
        <v>1</v>
      </c>
      <c r="C6" s="35"/>
      <c r="D6" s="42">
        <v>9805692362</v>
      </c>
      <c r="E6" s="42">
        <v>11369912061</v>
      </c>
      <c r="F6" s="42">
        <v>13049275250</v>
      </c>
      <c r="G6" s="42">
        <v>14163165205</v>
      </c>
      <c r="H6" s="42">
        <v>14564542623</v>
      </c>
      <c r="J6" s="39"/>
      <c r="K6" s="39"/>
      <c r="L6" s="40"/>
      <c r="M6" s="40"/>
      <c r="N6" s="40"/>
      <c r="O6" s="40"/>
      <c r="P6" s="40"/>
    </row>
    <row r="7" spans="2:26" ht="13.2" x14ac:dyDescent="0.25">
      <c r="C7" s="2"/>
      <c r="D7" s="9"/>
      <c r="E7" s="9"/>
      <c r="F7" s="9"/>
      <c r="G7" s="9"/>
      <c r="H7" s="9"/>
    </row>
    <row r="8" spans="2:26" ht="18.600000000000001" customHeight="1" x14ac:dyDescent="0.25">
      <c r="B8" s="2" t="s">
        <v>69</v>
      </c>
      <c r="C8" s="2"/>
      <c r="D8" s="20">
        <v>-4133231362</v>
      </c>
      <c r="E8" s="20">
        <v>-4652260050</v>
      </c>
      <c r="F8" s="20">
        <v>-5960795907</v>
      </c>
      <c r="G8" s="20">
        <v>-6811203460</v>
      </c>
      <c r="H8" s="20">
        <v>-6099250601</v>
      </c>
      <c r="L8" s="20"/>
      <c r="M8" s="20"/>
      <c r="N8" s="20"/>
      <c r="O8" s="20"/>
      <c r="P8" s="20"/>
    </row>
    <row r="9" spans="2:26" ht="14.4" customHeight="1" x14ac:dyDescent="0.25">
      <c r="B9" s="5" t="s">
        <v>2</v>
      </c>
      <c r="C9" s="2"/>
      <c r="D9" s="20">
        <v>-881211150</v>
      </c>
      <c r="E9" s="20">
        <v>-988338308</v>
      </c>
      <c r="F9" s="20">
        <v>-1077024032</v>
      </c>
      <c r="G9" s="20">
        <v>-1119505081</v>
      </c>
      <c r="H9" s="20">
        <v>-1193870690</v>
      </c>
      <c r="J9" s="5"/>
      <c r="L9" s="20"/>
      <c r="M9" s="20"/>
      <c r="N9" s="20"/>
      <c r="O9" s="20"/>
      <c r="P9" s="20"/>
      <c r="Q9" s="34"/>
      <c r="R9" s="34"/>
      <c r="S9" s="34"/>
      <c r="T9" s="34"/>
      <c r="U9" s="34"/>
      <c r="V9" s="34"/>
      <c r="W9" s="34"/>
    </row>
    <row r="10" spans="2:26" ht="13.2" x14ac:dyDescent="0.25">
      <c r="B10" s="5" t="s">
        <v>3</v>
      </c>
      <c r="C10" s="2"/>
      <c r="D10" s="20">
        <v>-1147745067</v>
      </c>
      <c r="E10" s="20">
        <v>-1358266457</v>
      </c>
      <c r="F10" s="20">
        <v>-1253654958</v>
      </c>
      <c r="G10" s="20">
        <v>-989417810</v>
      </c>
      <c r="H10" s="20">
        <v>-1015214451</v>
      </c>
      <c r="J10" s="5"/>
      <c r="L10" s="20"/>
      <c r="M10" s="20"/>
      <c r="N10" s="20"/>
      <c r="O10" s="20"/>
      <c r="P10" s="20"/>
    </row>
    <row r="11" spans="2:26" ht="13.2" x14ac:dyDescent="0.25">
      <c r="B11" s="5" t="s">
        <v>4</v>
      </c>
      <c r="C11" s="2"/>
      <c r="D11" s="20">
        <v>-2087838</v>
      </c>
      <c r="E11" s="20">
        <v>-788185</v>
      </c>
      <c r="F11" s="20">
        <v>-92020</v>
      </c>
      <c r="G11" s="20">
        <v>-2861570</v>
      </c>
      <c r="H11" s="20">
        <v>-106661</v>
      </c>
      <c r="J11" s="5"/>
      <c r="L11" s="20"/>
      <c r="M11" s="20"/>
      <c r="N11" s="20"/>
      <c r="O11" s="20"/>
      <c r="P11" s="20"/>
    </row>
    <row r="12" spans="2:26" x14ac:dyDescent="0.25">
      <c r="C12" s="2"/>
      <c r="D12" s="36">
        <v>-6164275417</v>
      </c>
      <c r="E12" s="36">
        <v>-6999653000</v>
      </c>
      <c r="F12" s="36">
        <v>-8291566917</v>
      </c>
      <c r="G12" s="36">
        <v>-8922987921</v>
      </c>
      <c r="H12" s="36">
        <v>-8308442403</v>
      </c>
      <c r="L12" s="36"/>
      <c r="M12" s="36"/>
      <c r="N12" s="36"/>
      <c r="O12" s="36"/>
      <c r="P12" s="36"/>
    </row>
    <row r="13" spans="2:26" x14ac:dyDescent="0.25">
      <c r="B13" s="35" t="s">
        <v>70</v>
      </c>
      <c r="C13" s="35"/>
      <c r="D13" s="37">
        <v>3641416945</v>
      </c>
      <c r="E13" s="37">
        <v>4370259061</v>
      </c>
      <c r="F13" s="37">
        <v>4757708333</v>
      </c>
      <c r="G13" s="37">
        <v>5240177284</v>
      </c>
      <c r="H13" s="37">
        <v>6256100220</v>
      </c>
      <c r="J13" s="39"/>
      <c r="K13" s="39"/>
      <c r="L13" s="41"/>
      <c r="M13" s="41"/>
      <c r="N13" s="41"/>
      <c r="O13" s="41"/>
      <c r="P13" s="41"/>
    </row>
    <row r="14" spans="2:26" ht="13.2" x14ac:dyDescent="0.25">
      <c r="C14" s="2"/>
      <c r="D14" s="9"/>
      <c r="E14" s="9"/>
      <c r="F14" s="9"/>
      <c r="G14" s="9"/>
      <c r="H14" s="9"/>
    </row>
    <row r="15" spans="2:26" ht="16.2" customHeight="1" x14ac:dyDescent="0.25">
      <c r="B15" s="2" t="s">
        <v>71</v>
      </c>
      <c r="C15" s="2"/>
      <c r="D15" s="36">
        <v>-35123539</v>
      </c>
      <c r="E15" s="36">
        <v>-37729427</v>
      </c>
      <c r="F15" s="36">
        <v>-60851114</v>
      </c>
      <c r="G15" s="36">
        <v>-43393075</v>
      </c>
      <c r="H15" s="36">
        <v>-42595558</v>
      </c>
      <c r="L15" s="36"/>
      <c r="M15" s="36"/>
      <c r="N15" s="36"/>
      <c r="O15" s="36"/>
      <c r="P15" s="36"/>
    </row>
    <row r="16" spans="2:26" ht="20.399999999999999" customHeight="1" x14ac:dyDescent="0.25">
      <c r="B16" s="2" t="s">
        <v>72</v>
      </c>
      <c r="C16" s="2"/>
      <c r="D16" s="36">
        <v>-37432890</v>
      </c>
      <c r="E16" s="36">
        <v>-46434480</v>
      </c>
      <c r="F16" s="36">
        <v>-51139195</v>
      </c>
      <c r="G16" s="36">
        <v>-500968</v>
      </c>
      <c r="H16" s="36">
        <v>-460214</v>
      </c>
      <c r="L16" s="36"/>
      <c r="M16" s="36"/>
      <c r="N16" s="36"/>
      <c r="O16" s="36"/>
      <c r="P16" s="36"/>
    </row>
    <row r="17" spans="2:17" x14ac:dyDescent="0.25">
      <c r="B17" s="2" t="s">
        <v>73</v>
      </c>
      <c r="C17" s="2"/>
      <c r="D17" s="36">
        <v>-2017794</v>
      </c>
      <c r="E17" s="36">
        <v>-1403206</v>
      </c>
      <c r="F17" s="36">
        <v>-1374200</v>
      </c>
      <c r="G17" s="36">
        <v>-58403716</v>
      </c>
      <c r="H17" s="36">
        <v>-62229723</v>
      </c>
      <c r="L17" s="36"/>
      <c r="M17" s="36"/>
      <c r="N17" s="36"/>
      <c r="O17" s="36"/>
      <c r="P17" s="36"/>
    </row>
    <row r="18" spans="2:17" ht="13.2" x14ac:dyDescent="0.25">
      <c r="C18" s="2"/>
      <c r="D18" s="9"/>
      <c r="E18" s="9"/>
      <c r="F18" s="9"/>
      <c r="G18" s="9"/>
      <c r="H18" s="9"/>
    </row>
    <row r="19" spans="2:17" ht="13.2" x14ac:dyDescent="0.25">
      <c r="B19" s="35" t="s">
        <v>74</v>
      </c>
      <c r="C19" s="35"/>
      <c r="D19" s="42">
        <v>3566842722</v>
      </c>
      <c r="E19" s="42">
        <v>4284691948</v>
      </c>
      <c r="F19" s="42">
        <v>4644343824</v>
      </c>
      <c r="G19" s="42">
        <v>5137879525</v>
      </c>
      <c r="H19" s="42">
        <v>6150814725</v>
      </c>
      <c r="L19" s="20"/>
      <c r="M19" s="20"/>
      <c r="N19" s="20"/>
      <c r="O19" s="20"/>
      <c r="P19" s="20"/>
    </row>
    <row r="20" spans="2:17" ht="13.2" x14ac:dyDescent="0.25">
      <c r="C20" s="2"/>
      <c r="D20" s="9"/>
      <c r="E20" s="9"/>
      <c r="F20" s="9"/>
      <c r="G20" s="9"/>
      <c r="H20" s="9"/>
    </row>
    <row r="21" spans="2:17" ht="13.2" x14ac:dyDescent="0.25">
      <c r="B21" s="2" t="s">
        <v>82</v>
      </c>
      <c r="C21" s="2"/>
      <c r="D21" s="20">
        <v>239693041</v>
      </c>
      <c r="E21" s="20">
        <v>149398274</v>
      </c>
      <c r="F21" s="20">
        <v>126636587</v>
      </c>
      <c r="G21" s="20">
        <v>162981942</v>
      </c>
      <c r="H21" s="20">
        <v>579855635</v>
      </c>
      <c r="L21" s="20"/>
      <c r="M21" s="20"/>
      <c r="N21" s="20"/>
      <c r="O21" s="20"/>
      <c r="P21" s="20"/>
    </row>
    <row r="22" spans="2:17" ht="13.2" x14ac:dyDescent="0.25">
      <c r="B22" s="2" t="s">
        <v>75</v>
      </c>
      <c r="C22" s="2"/>
      <c r="D22" s="20">
        <v>-46447617</v>
      </c>
      <c r="E22" s="20">
        <v>-18912816</v>
      </c>
      <c r="F22" s="20">
        <v>-37014899</v>
      </c>
      <c r="G22" s="20">
        <v>-4355821</v>
      </c>
      <c r="H22" s="20">
        <v>-565820362</v>
      </c>
      <c r="L22" s="20"/>
      <c r="M22" s="20"/>
      <c r="N22" s="20"/>
      <c r="O22" s="20"/>
      <c r="P22" s="20"/>
    </row>
    <row r="23" spans="2:17" ht="13.2" x14ac:dyDescent="0.25">
      <c r="B23" s="5" t="s">
        <v>5</v>
      </c>
      <c r="C23" s="2"/>
      <c r="D23" s="20">
        <v>-188004407</v>
      </c>
      <c r="E23" s="20">
        <v>-220758870</v>
      </c>
      <c r="F23" s="20">
        <v>-236698275</v>
      </c>
      <c r="G23" s="20">
        <v>-264825282</v>
      </c>
      <c r="H23" s="20">
        <v>-308242500</v>
      </c>
      <c r="J23" s="5"/>
      <c r="L23" s="20"/>
      <c r="M23" s="20"/>
      <c r="N23" s="20"/>
      <c r="O23" s="20"/>
      <c r="P23" s="20"/>
      <c r="Q23" s="34"/>
    </row>
    <row r="24" spans="2:17" ht="13.2" x14ac:dyDescent="0.25">
      <c r="C24" s="2"/>
      <c r="D24" s="9"/>
      <c r="E24" s="9"/>
      <c r="F24" s="9"/>
      <c r="G24" s="9"/>
      <c r="H24" s="9"/>
    </row>
    <row r="25" spans="2:17" ht="13.2" x14ac:dyDescent="0.25">
      <c r="B25" s="35" t="s">
        <v>76</v>
      </c>
      <c r="C25" s="35"/>
      <c r="D25" s="42">
        <v>3572083739</v>
      </c>
      <c r="E25" s="42">
        <v>4194418536</v>
      </c>
      <c r="F25" s="42">
        <v>4497267237</v>
      </c>
      <c r="G25" s="42">
        <v>5031680364</v>
      </c>
      <c r="H25" s="42">
        <v>5856607498</v>
      </c>
      <c r="L25" s="20"/>
      <c r="M25" s="20"/>
      <c r="N25" s="20"/>
      <c r="O25" s="20"/>
      <c r="P25" s="20"/>
    </row>
    <row r="26" spans="2:17" ht="13.2" x14ac:dyDescent="0.25">
      <c r="C26" s="2"/>
      <c r="D26" s="9"/>
      <c r="E26" s="9"/>
      <c r="F26" s="9"/>
      <c r="G26" s="9"/>
      <c r="H26" s="9"/>
    </row>
    <row r="27" spans="2:17" ht="13.2" x14ac:dyDescent="0.25">
      <c r="B27" s="5" t="s">
        <v>6</v>
      </c>
      <c r="C27" s="2"/>
      <c r="D27" s="20">
        <v>-925845292</v>
      </c>
      <c r="E27" s="20">
        <v>-1085738503</v>
      </c>
      <c r="F27" s="20">
        <v>-943410886</v>
      </c>
      <c r="G27" s="20">
        <v>-1159268355</v>
      </c>
      <c r="H27" s="20">
        <v>-1250289667</v>
      </c>
      <c r="J27" s="5"/>
      <c r="L27" s="20"/>
      <c r="M27" s="20"/>
      <c r="N27" s="20"/>
      <c r="O27" s="20"/>
      <c r="P27" s="20"/>
    </row>
    <row r="28" spans="2:17" ht="13.2" x14ac:dyDescent="0.25">
      <c r="B28" s="2" t="s">
        <v>79</v>
      </c>
      <c r="C28" s="2"/>
      <c r="D28" s="20">
        <v>2646238447</v>
      </c>
      <c r="E28" s="20">
        <v>3108680033</v>
      </c>
      <c r="F28" s="20">
        <v>3553856351</v>
      </c>
      <c r="G28" s="20">
        <v>3872412009</v>
      </c>
      <c r="H28" s="20">
        <v>4606317831</v>
      </c>
      <c r="L28" s="20"/>
      <c r="M28" s="20"/>
      <c r="N28" s="20"/>
      <c r="O28" s="20"/>
      <c r="P28" s="20"/>
    </row>
    <row r="29" spans="2:17" ht="13.2" x14ac:dyDescent="0.25">
      <c r="B29" s="2" t="s">
        <v>78</v>
      </c>
      <c r="C29" s="2"/>
      <c r="D29" s="20">
        <v>-16269954</v>
      </c>
      <c r="E29" s="20">
        <v>-24787868</v>
      </c>
      <c r="F29" s="20">
        <v>18628563</v>
      </c>
      <c r="G29" s="20">
        <v>17346325</v>
      </c>
      <c r="H29" s="20">
        <v>17434047</v>
      </c>
      <c r="L29" s="20"/>
      <c r="M29" s="20"/>
      <c r="N29" s="20"/>
      <c r="O29" s="20"/>
      <c r="P29" s="20"/>
    </row>
    <row r="30" spans="2:17" ht="13.2" x14ac:dyDescent="0.25">
      <c r="C30" s="2"/>
      <c r="D30" s="9"/>
      <c r="E30" s="9"/>
      <c r="F30" s="9"/>
      <c r="G30" s="9"/>
      <c r="H30" s="9"/>
    </row>
    <row r="31" spans="2:17" ht="13.8" thickBot="1" x14ac:dyDescent="0.3">
      <c r="B31" s="45" t="s">
        <v>77</v>
      </c>
      <c r="C31" s="45"/>
      <c r="D31" s="46">
        <v>2629968493</v>
      </c>
      <c r="E31" s="46">
        <v>3083892165</v>
      </c>
      <c r="F31" s="46">
        <v>3572484914</v>
      </c>
      <c r="G31" s="46">
        <v>3889758334</v>
      </c>
      <c r="H31" s="46">
        <v>4623751878</v>
      </c>
      <c r="L31" s="20"/>
      <c r="M31" s="20"/>
      <c r="N31" s="20"/>
      <c r="O31" s="20"/>
      <c r="P31" s="20"/>
    </row>
    <row r="32" spans="2:17" ht="15" thickTop="1" x14ac:dyDescent="0.3"/>
    <row r="33" spans="2:8" x14ac:dyDescent="0.3">
      <c r="B33" s="5" t="s">
        <v>7</v>
      </c>
      <c r="D33" s="19">
        <v>84.01</v>
      </c>
      <c r="E33" s="20">
        <v>98.69</v>
      </c>
      <c r="F33" s="20">
        <v>112.82</v>
      </c>
      <c r="G33" s="19">
        <v>122.93</v>
      </c>
      <c r="H33" s="19">
        <v>146.22999999999999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5E745-FCA5-42C4-BAB0-B1B5E155AB51}">
  <sheetPr codeName="Sheet6"/>
  <dimension ref="B2:AC54"/>
  <sheetViews>
    <sheetView topLeftCell="C1" zoomScale="70" zoomScaleNormal="70" workbookViewId="0">
      <pane ySplit="6" topLeftCell="A7" activePane="bottomLeft" state="frozenSplit"/>
      <selection pane="bottomLeft" activeCell="N22" sqref="N22"/>
    </sheetView>
  </sheetViews>
  <sheetFormatPr defaultRowHeight="14.4" x14ac:dyDescent="0.3"/>
  <cols>
    <col min="1" max="1" width="2" style="2" customWidth="1"/>
    <col min="2" max="2" width="36.33203125" style="2" customWidth="1"/>
    <col min="3" max="3" width="11.5546875" style="17" customWidth="1"/>
    <col min="4" max="6" width="18.44140625" style="2" bestFit="1" customWidth="1"/>
    <col min="7" max="7" width="21.109375" style="2" customWidth="1"/>
    <col min="8" max="8" width="18.6640625" style="2" customWidth="1"/>
    <col min="9" max="10" width="8.88671875" style="17"/>
    <col min="11" max="11" width="33.44140625" style="17" customWidth="1"/>
    <col min="12" max="12" width="8.88671875" style="17"/>
    <col min="13" max="13" width="19.33203125" style="17" customWidth="1"/>
    <col min="14" max="14" width="21.5546875" style="2" customWidth="1"/>
    <col min="15" max="15" width="21.88671875" style="2" customWidth="1"/>
    <col min="16" max="16" width="16.6640625" style="2" customWidth="1"/>
    <col min="17" max="17" width="15.5546875" style="2" customWidth="1"/>
    <col min="18" max="18" width="8.88671875" style="2"/>
    <col min="19" max="19" width="8.88671875" style="17"/>
    <col min="20" max="24" width="8.88671875" style="2"/>
    <col min="25" max="29" width="8.88671875" style="17"/>
    <col min="30" max="16384" width="8.88671875" style="2"/>
  </cols>
  <sheetData>
    <row r="2" spans="2:17" ht="12" customHeight="1" x14ac:dyDescent="0.3"/>
    <row r="3" spans="2:17" ht="6.6" customHeight="1" x14ac:dyDescent="0.3"/>
    <row r="4" spans="2:17" ht="5.4" customHeight="1" x14ac:dyDescent="0.3"/>
    <row r="5" spans="2:17" ht="22.8" customHeight="1" x14ac:dyDescent="0.3">
      <c r="B5" s="1" t="s">
        <v>67</v>
      </c>
      <c r="D5" s="1" t="s">
        <v>62</v>
      </c>
      <c r="E5" s="1" t="s">
        <v>63</v>
      </c>
      <c r="F5" s="1" t="s">
        <v>64</v>
      </c>
      <c r="G5" s="1" t="s">
        <v>65</v>
      </c>
      <c r="H5" s="1" t="s">
        <v>66</v>
      </c>
      <c r="K5" s="1" t="s">
        <v>0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</row>
    <row r="6" spans="2:17" ht="14.4" customHeight="1" thickBot="1" x14ac:dyDescent="0.35">
      <c r="B6" s="13" t="s">
        <v>8</v>
      </c>
      <c r="C6" s="18"/>
      <c r="D6" s="15"/>
      <c r="E6" s="14"/>
      <c r="F6" s="14"/>
      <c r="G6" s="14"/>
      <c r="H6" s="14"/>
      <c r="K6" s="12" t="s">
        <v>37</v>
      </c>
      <c r="L6" s="18"/>
      <c r="M6" s="15"/>
      <c r="N6" s="15"/>
      <c r="O6" s="15"/>
      <c r="P6" s="14"/>
      <c r="Q6" s="14"/>
    </row>
    <row r="7" spans="2:17" ht="14.4" customHeight="1" x14ac:dyDescent="0.3">
      <c r="B7" s="5" t="s">
        <v>9</v>
      </c>
      <c r="D7" s="7">
        <v>646996533</v>
      </c>
      <c r="E7" s="7">
        <v>771868265</v>
      </c>
      <c r="F7" s="7">
        <v>981096486</v>
      </c>
      <c r="G7" s="7">
        <v>1304594243</v>
      </c>
      <c r="H7" s="7">
        <v>1414648907</v>
      </c>
      <c r="K7" s="6" t="s">
        <v>21</v>
      </c>
      <c r="M7" s="3">
        <v>315000000</v>
      </c>
      <c r="N7" s="4">
        <v>315000000</v>
      </c>
      <c r="O7" s="4">
        <v>315000000</v>
      </c>
      <c r="P7" s="3">
        <v>315000000</v>
      </c>
      <c r="Q7" s="3">
        <v>315000000</v>
      </c>
    </row>
    <row r="8" spans="2:17" ht="14.4" customHeight="1" x14ac:dyDescent="0.3">
      <c r="B8" s="5" t="s">
        <v>10</v>
      </c>
      <c r="D8" s="9" t="s">
        <v>61</v>
      </c>
      <c r="E8" s="11" t="s">
        <v>24</v>
      </c>
      <c r="F8" s="7">
        <v>12825500</v>
      </c>
      <c r="G8" s="7">
        <v>8103932</v>
      </c>
      <c r="H8" s="7">
        <v>1319156</v>
      </c>
      <c r="K8" s="6" t="s">
        <v>22</v>
      </c>
      <c r="M8" s="3">
        <v>252000000</v>
      </c>
      <c r="N8" s="4">
        <v>252000000</v>
      </c>
      <c r="O8" s="4">
        <v>252000000</v>
      </c>
      <c r="P8" s="3">
        <v>252000000</v>
      </c>
      <c r="Q8" s="3">
        <v>252000000</v>
      </c>
    </row>
    <row r="9" spans="2:17" ht="14.4" customHeight="1" x14ac:dyDescent="0.3">
      <c r="B9" s="5" t="s">
        <v>11</v>
      </c>
      <c r="D9" s="7">
        <v>1629290</v>
      </c>
      <c r="E9" s="7">
        <v>226084</v>
      </c>
      <c r="F9" s="7">
        <v>51883</v>
      </c>
      <c r="G9" s="7">
        <v>553054</v>
      </c>
      <c r="H9" s="7">
        <v>242273</v>
      </c>
      <c r="K9" s="6" t="s">
        <v>23</v>
      </c>
      <c r="M9" s="3">
        <v>820680232</v>
      </c>
      <c r="N9" s="4">
        <v>1069572396</v>
      </c>
      <c r="O9" s="4">
        <v>2122057310</v>
      </c>
      <c r="P9" s="3">
        <v>3019315643</v>
      </c>
      <c r="Q9" s="3">
        <v>7643067522</v>
      </c>
    </row>
    <row r="10" spans="2:17" ht="14.4" customHeight="1" thickBot="1" x14ac:dyDescent="0.35">
      <c r="B10" s="5" t="s">
        <v>12</v>
      </c>
      <c r="D10" s="7">
        <v>175398286</v>
      </c>
      <c r="E10" s="7">
        <v>164593633</v>
      </c>
      <c r="F10" s="7">
        <v>292715995</v>
      </c>
      <c r="G10" s="7">
        <v>266911631</v>
      </c>
      <c r="H10" s="7">
        <v>345911409</v>
      </c>
      <c r="K10" s="24" t="s">
        <v>25</v>
      </c>
      <c r="L10" s="22"/>
      <c r="M10" s="25">
        <f>SUM(M7:M9)</f>
        <v>1387680232</v>
      </c>
      <c r="N10" s="25">
        <f>SUM(N7:N9)</f>
        <v>1636572396</v>
      </c>
      <c r="O10" s="25">
        <f>SUM(O7:O9)</f>
        <v>2689057310</v>
      </c>
      <c r="P10" s="25">
        <f t="shared" ref="P10" si="0">SUM(P7:P9)</f>
        <v>3586315643</v>
      </c>
      <c r="Q10" s="25">
        <f>SUM(Q7:Q9)</f>
        <v>8210067522</v>
      </c>
    </row>
    <row r="11" spans="2:17" ht="14.4" customHeight="1" x14ac:dyDescent="0.3">
      <c r="B11" s="5" t="s">
        <v>13</v>
      </c>
      <c r="D11" s="7">
        <v>22687928</v>
      </c>
      <c r="E11" s="7">
        <v>133405058</v>
      </c>
      <c r="F11" s="7">
        <v>73743809</v>
      </c>
      <c r="G11" s="7">
        <v>65871163</v>
      </c>
      <c r="H11" s="7">
        <v>54495117</v>
      </c>
      <c r="K11" s="6"/>
      <c r="M11" s="2"/>
      <c r="P11" s="5"/>
      <c r="Q11" s="5"/>
    </row>
    <row r="12" spans="2:17" ht="14.4" customHeight="1" x14ac:dyDescent="0.3">
      <c r="B12" s="5" t="s">
        <v>14</v>
      </c>
      <c r="D12" s="7">
        <v>449448</v>
      </c>
      <c r="E12" s="7">
        <v>304664442</v>
      </c>
      <c r="F12" s="7">
        <v>726235</v>
      </c>
      <c r="G12" s="7">
        <v>7086385</v>
      </c>
      <c r="H12" s="7">
        <v>7355019</v>
      </c>
      <c r="K12" s="6" t="s">
        <v>26</v>
      </c>
      <c r="M12" s="3">
        <v>167728340</v>
      </c>
      <c r="N12" s="4">
        <v>122256724</v>
      </c>
      <c r="O12" s="4">
        <v>78641492</v>
      </c>
      <c r="P12" s="3">
        <v>46397509</v>
      </c>
      <c r="Q12" s="3">
        <v>151868409</v>
      </c>
    </row>
    <row r="13" spans="2:17" ht="14.4" customHeight="1" x14ac:dyDescent="0.3">
      <c r="B13" s="5" t="s">
        <v>15</v>
      </c>
      <c r="D13" s="7">
        <v>47345641</v>
      </c>
      <c r="E13" s="7">
        <v>19167902</v>
      </c>
      <c r="F13" s="7">
        <v>13850105</v>
      </c>
      <c r="G13" s="7">
        <v>12486990</v>
      </c>
      <c r="H13" s="7">
        <v>68821750</v>
      </c>
      <c r="K13" s="6" t="s">
        <v>27</v>
      </c>
      <c r="M13" s="3">
        <v>85861639</v>
      </c>
      <c r="N13" s="4">
        <v>32262856</v>
      </c>
      <c r="O13" s="4">
        <v>43669953</v>
      </c>
      <c r="P13" s="3">
        <v>26683320</v>
      </c>
      <c r="Q13" s="3">
        <v>23741889</v>
      </c>
    </row>
    <row r="14" spans="2:17" ht="14.4" customHeight="1" thickBot="1" x14ac:dyDescent="0.35">
      <c r="B14" s="21" t="s">
        <v>16</v>
      </c>
      <c r="C14" s="22"/>
      <c r="D14" s="23">
        <f>SUM(D7:D13)</f>
        <v>894507126</v>
      </c>
      <c r="E14" s="23">
        <f>SUM(E7:E13)</f>
        <v>1393925384</v>
      </c>
      <c r="F14" s="23">
        <f>SUM(F7:F13)</f>
        <v>1375010013</v>
      </c>
      <c r="G14" s="23">
        <f>SUM(G7:G13)</f>
        <v>1665607398</v>
      </c>
      <c r="H14" s="23">
        <f>SUM(H7:H13)</f>
        <v>1892793631</v>
      </c>
      <c r="K14" s="24" t="s">
        <v>28</v>
      </c>
      <c r="L14" s="22"/>
      <c r="M14" s="26">
        <f>SUM(M12:M13)</f>
        <v>253589979</v>
      </c>
      <c r="N14" s="26">
        <f>SUM(N12:N13)</f>
        <v>154519580</v>
      </c>
      <c r="O14" s="26">
        <f>SUM(O12:O13)</f>
        <v>122311445</v>
      </c>
      <c r="P14" s="26">
        <f>SUM(P12:P13)</f>
        <v>73080829</v>
      </c>
      <c r="Q14" s="26">
        <f>SUM(Q12:Q13)</f>
        <v>175610298</v>
      </c>
    </row>
    <row r="15" spans="2:17" ht="14.4" customHeight="1" x14ac:dyDescent="0.3">
      <c r="D15" s="9"/>
      <c r="E15" s="9"/>
      <c r="F15" s="9"/>
      <c r="G15" s="9"/>
      <c r="H15" s="9"/>
      <c r="K15" s="10"/>
      <c r="M15" s="2"/>
      <c r="P15" s="5"/>
      <c r="Q15" s="5"/>
    </row>
    <row r="16" spans="2:17" ht="14.4" customHeight="1" x14ac:dyDescent="0.3">
      <c r="B16" s="2" t="s">
        <v>121</v>
      </c>
      <c r="D16" s="36">
        <v>43955943</v>
      </c>
      <c r="E16" s="36">
        <v>65033298</v>
      </c>
      <c r="F16" s="36">
        <v>52229788</v>
      </c>
      <c r="G16" s="36">
        <v>60694023</v>
      </c>
      <c r="H16" s="36">
        <v>38200323</v>
      </c>
    </row>
    <row r="17" spans="2:17" ht="14.4" customHeight="1" x14ac:dyDescent="0.3">
      <c r="B17" s="5" t="s">
        <v>17</v>
      </c>
      <c r="D17" s="19">
        <v>1632102325</v>
      </c>
      <c r="E17" s="19">
        <v>1980451778</v>
      </c>
      <c r="F17" s="19">
        <v>2332427872</v>
      </c>
      <c r="G17" s="19">
        <v>2528550222</v>
      </c>
      <c r="H17" s="19">
        <v>3351467544</v>
      </c>
      <c r="K17" s="6" t="s">
        <v>29</v>
      </c>
      <c r="M17" s="3">
        <v>2711929259</v>
      </c>
      <c r="N17" s="4">
        <v>3082900365</v>
      </c>
      <c r="O17" s="4">
        <v>3548037256</v>
      </c>
      <c r="P17" s="3">
        <v>7106383606</v>
      </c>
      <c r="Q17" s="3">
        <v>7168202840</v>
      </c>
    </row>
    <row r="18" spans="2:17" ht="14.4" customHeight="1" x14ac:dyDescent="0.3">
      <c r="B18" s="5" t="s">
        <v>13</v>
      </c>
      <c r="D18" s="19">
        <v>601458728</v>
      </c>
      <c r="E18" s="19">
        <v>412773542</v>
      </c>
      <c r="F18" s="19">
        <v>748075043</v>
      </c>
      <c r="G18" s="19">
        <v>1028621890</v>
      </c>
      <c r="H18" s="19">
        <v>756713830</v>
      </c>
      <c r="K18" s="6" t="s">
        <v>26</v>
      </c>
      <c r="M18" s="3">
        <v>42836393</v>
      </c>
      <c r="N18" s="4">
        <v>44634210</v>
      </c>
      <c r="O18" s="4">
        <v>49476669</v>
      </c>
      <c r="P18" s="3">
        <v>57310504</v>
      </c>
      <c r="Q18" s="3">
        <v>38871187</v>
      </c>
    </row>
    <row r="19" spans="2:17" ht="14.4" customHeight="1" x14ac:dyDescent="0.3">
      <c r="B19" s="5" t="s">
        <v>14</v>
      </c>
      <c r="D19" s="20">
        <v>1379698685</v>
      </c>
      <c r="E19" s="20">
        <v>1509451168</v>
      </c>
      <c r="F19" s="20">
        <v>2034679797</v>
      </c>
      <c r="G19" s="20">
        <v>4123695693</v>
      </c>
      <c r="H19" s="20">
        <v>8980505089</v>
      </c>
      <c r="K19" s="6" t="s">
        <v>27</v>
      </c>
      <c r="M19" s="3">
        <v>6516576</v>
      </c>
      <c r="N19" s="4">
        <v>21018917</v>
      </c>
      <c r="O19" s="4">
        <v>24414205</v>
      </c>
      <c r="P19" s="3">
        <v>25893750</v>
      </c>
      <c r="Q19" s="3">
        <v>21619307</v>
      </c>
    </row>
    <row r="20" spans="2:17" ht="14.4" customHeight="1" x14ac:dyDescent="0.3">
      <c r="B20" s="5" t="s">
        <v>18</v>
      </c>
      <c r="D20" s="19">
        <v>420407014</v>
      </c>
      <c r="E20" s="19">
        <v>396404261</v>
      </c>
      <c r="F20" s="19">
        <v>505194161</v>
      </c>
      <c r="G20" s="19">
        <v>2228805865</v>
      </c>
      <c r="H20" s="19">
        <v>1887129573</v>
      </c>
      <c r="K20" s="6" t="s">
        <v>30</v>
      </c>
      <c r="M20" s="2"/>
      <c r="N20" s="4">
        <v>250000000</v>
      </c>
      <c r="P20" s="5"/>
      <c r="Q20" s="3">
        <v>450000000</v>
      </c>
    </row>
    <row r="21" spans="2:17" ht="14.4" customHeight="1" x14ac:dyDescent="0.3">
      <c r="B21" s="5" t="s">
        <v>36</v>
      </c>
      <c r="D21" s="19">
        <v>35865465</v>
      </c>
      <c r="E21" s="19">
        <v>35865465</v>
      </c>
      <c r="F21" s="19">
        <v>0</v>
      </c>
      <c r="G21" s="19">
        <v>0</v>
      </c>
      <c r="H21" s="19">
        <v>0</v>
      </c>
      <c r="K21" s="6" t="s">
        <v>31</v>
      </c>
      <c r="M21" s="3">
        <v>605442847</v>
      </c>
      <c r="N21" s="4">
        <v>604259428</v>
      </c>
      <c r="O21" s="4">
        <v>614319789</v>
      </c>
      <c r="P21" s="3">
        <v>778588742</v>
      </c>
      <c r="Q21" s="3">
        <v>834612174</v>
      </c>
    </row>
    <row r="22" spans="2:17" ht="14.4" customHeight="1" thickBot="1" x14ac:dyDescent="0.35">
      <c r="B22" s="21" t="s">
        <v>19</v>
      </c>
      <c r="C22" s="22"/>
      <c r="D22" s="23">
        <f>SUM(D16:D21)</f>
        <v>4113488160</v>
      </c>
      <c r="E22" s="23">
        <f t="shared" ref="E22:G22" si="1">SUM(E16:E21)</f>
        <v>4399979512</v>
      </c>
      <c r="F22" s="23">
        <f t="shared" si="1"/>
        <v>5672606661</v>
      </c>
      <c r="G22" s="23">
        <f t="shared" si="1"/>
        <v>9970367693</v>
      </c>
      <c r="H22" s="23">
        <f>SUM(H16:H21)</f>
        <v>15014016359</v>
      </c>
      <c r="K22" s="6" t="s">
        <v>32</v>
      </c>
      <c r="M22" s="2"/>
      <c r="P22" s="3">
        <v>8402017</v>
      </c>
      <c r="Q22" s="3">
        <v>7826662</v>
      </c>
    </row>
    <row r="23" spans="2:17" ht="14.4" customHeight="1" x14ac:dyDescent="0.3">
      <c r="D23" s="9"/>
      <c r="E23" s="9"/>
      <c r="F23" s="9"/>
      <c r="G23" s="9"/>
      <c r="H23" s="9"/>
      <c r="K23" s="27" t="s">
        <v>33</v>
      </c>
      <c r="L23" s="28"/>
      <c r="M23" s="29">
        <f>SUM(M17:M22)</f>
        <v>3366725075</v>
      </c>
      <c r="N23" s="29">
        <f>SUM(N17:N22)</f>
        <v>4002812920</v>
      </c>
      <c r="O23" s="29">
        <f>SUM(O17:O22)</f>
        <v>4236247919</v>
      </c>
      <c r="P23" s="29">
        <f t="shared" ref="P23" si="2">SUM(P17:P22)</f>
        <v>7976578619</v>
      </c>
      <c r="Q23" s="29">
        <f>SUM(Q17:Q22)</f>
        <v>8521132170</v>
      </c>
    </row>
    <row r="24" spans="2:17" ht="14.4" customHeight="1" x14ac:dyDescent="0.3">
      <c r="D24" s="9"/>
      <c r="E24" s="9"/>
      <c r="F24" s="9"/>
      <c r="G24" s="9"/>
      <c r="H24" s="9"/>
      <c r="K24" s="30" t="s">
        <v>34</v>
      </c>
      <c r="L24" s="31"/>
      <c r="M24" s="32">
        <f>SUM(M13,M23)</f>
        <v>3452586714</v>
      </c>
      <c r="N24" s="32">
        <f>SUM(N12,N23)</f>
        <v>4125069644</v>
      </c>
      <c r="O24" s="32">
        <f>SUM(O12,O23)</f>
        <v>4314889411</v>
      </c>
      <c r="P24" s="32">
        <f>SUM(P13,P23)</f>
        <v>8003261939</v>
      </c>
      <c r="Q24" s="32">
        <f>SUM(Q13,Q23)</f>
        <v>8544874059</v>
      </c>
    </row>
    <row r="25" spans="2:17" ht="29.4" customHeight="1" thickBot="1" x14ac:dyDescent="0.35">
      <c r="B25" s="21" t="s">
        <v>20</v>
      </c>
      <c r="C25" s="22"/>
      <c r="D25" s="23">
        <f>SUM(D14,D22)</f>
        <v>5007995286</v>
      </c>
      <c r="E25" s="23">
        <f>SUM(E14,E22)</f>
        <v>5793904896</v>
      </c>
      <c r="F25" s="23">
        <f>SUM(F14,F22)</f>
        <v>7047616674</v>
      </c>
      <c r="G25" s="23">
        <f>SUM(G14,G22)</f>
        <v>11635975091</v>
      </c>
      <c r="H25" s="23">
        <f>SUM(H14,H22)</f>
        <v>16906809990</v>
      </c>
      <c r="K25" s="12" t="s">
        <v>35</v>
      </c>
      <c r="L25" s="18"/>
      <c r="M25" s="16">
        <f>SUM(M10,M14,M23)</f>
        <v>5007995286</v>
      </c>
      <c r="N25" s="16">
        <f>SUM(N10,N14,N23)</f>
        <v>5793904896</v>
      </c>
      <c r="O25" s="16">
        <f>SUM(O10,O14,O23)</f>
        <v>7047616674</v>
      </c>
      <c r="P25" s="16">
        <f>SUM(P10,P14,P23)</f>
        <v>11635975091</v>
      </c>
      <c r="Q25" s="16">
        <f>SUM(Q10,Q14,Q23)</f>
        <v>16906809990</v>
      </c>
    </row>
    <row r="26" spans="2:17" x14ac:dyDescent="0.3">
      <c r="B26" s="2" t="s">
        <v>126</v>
      </c>
      <c r="D26" s="4">
        <f>D25-M25</f>
        <v>0</v>
      </c>
      <c r="E26" s="4">
        <f t="shared" ref="E26:H26" si="3">E25-N25</f>
        <v>0</v>
      </c>
      <c r="F26" s="4">
        <f t="shared" si="3"/>
        <v>0</v>
      </c>
      <c r="G26" s="4">
        <f t="shared" si="3"/>
        <v>0</v>
      </c>
      <c r="H26" s="4">
        <f t="shared" si="3"/>
        <v>0</v>
      </c>
      <c r="M26" s="94">
        <f>M25-D25</f>
        <v>0</v>
      </c>
      <c r="N26" s="94">
        <f t="shared" ref="N26:Q26" si="4">N25-E25</f>
        <v>0</v>
      </c>
      <c r="O26" s="94">
        <f t="shared" si="4"/>
        <v>0</v>
      </c>
      <c r="P26" s="94">
        <f t="shared" si="4"/>
        <v>0</v>
      </c>
      <c r="Q26" s="94">
        <f t="shared" si="4"/>
        <v>0</v>
      </c>
    </row>
    <row r="28" spans="2:17" x14ac:dyDescent="0.3">
      <c r="B28" s="87"/>
    </row>
    <row r="29" spans="2:17" x14ac:dyDescent="0.3">
      <c r="B29" s="88"/>
      <c r="N29" s="1"/>
      <c r="O29" s="1"/>
    </row>
    <row r="30" spans="2:17" x14ac:dyDescent="0.3">
      <c r="B30" s="87"/>
      <c r="D30" s="4"/>
      <c r="E30" s="4"/>
      <c r="F30" s="4"/>
      <c r="G30" s="4"/>
      <c r="H30" s="4"/>
      <c r="N30" s="3"/>
      <c r="O30" s="5"/>
    </row>
    <row r="31" spans="2:17" x14ac:dyDescent="0.3">
      <c r="B31" s="88"/>
      <c r="O31" s="5"/>
    </row>
    <row r="32" spans="2:17" x14ac:dyDescent="0.3">
      <c r="B32" s="87"/>
      <c r="C32" s="87"/>
      <c r="D32" s="87"/>
      <c r="E32" s="87"/>
      <c r="F32" s="87"/>
      <c r="G32" s="87"/>
      <c r="H32" s="87"/>
      <c r="N32" s="8"/>
      <c r="O32" s="5"/>
    </row>
    <row r="33" spans="2:15" x14ac:dyDescent="0.3">
      <c r="B33" s="88"/>
      <c r="C33" s="89"/>
      <c r="N33" s="5"/>
      <c r="O33" s="5"/>
    </row>
    <row r="34" spans="2:15" x14ac:dyDescent="0.3">
      <c r="O34" s="5"/>
    </row>
    <row r="35" spans="2:15" x14ac:dyDescent="0.3">
      <c r="O35" s="5"/>
    </row>
    <row r="36" spans="2:15" x14ac:dyDescent="0.3">
      <c r="O36" s="5"/>
    </row>
    <row r="37" spans="2:15" x14ac:dyDescent="0.3">
      <c r="O37" s="5"/>
    </row>
    <row r="38" spans="2:15" x14ac:dyDescent="0.3">
      <c r="O38" s="5"/>
    </row>
    <row r="39" spans="2:15" x14ac:dyDescent="0.3">
      <c r="O39" s="5"/>
    </row>
    <row r="52" spans="5:6" x14ac:dyDescent="0.3">
      <c r="E52" s="4"/>
      <c r="F52" s="4"/>
    </row>
    <row r="54" spans="5:6" x14ac:dyDescent="0.3">
      <c r="E54" s="4"/>
      <c r="F54" s="4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4F5F-ECE5-49CF-9848-9AA09ABFB8C9}">
  <sheetPr codeName="Sheet10"/>
  <dimension ref="B1:J28"/>
  <sheetViews>
    <sheetView zoomScaleNormal="100" workbookViewId="0">
      <selection activeCell="B23" sqref="B23"/>
    </sheetView>
  </sheetViews>
  <sheetFormatPr defaultRowHeight="11.4" x14ac:dyDescent="0.2"/>
  <cols>
    <col min="1" max="1" width="2" style="59" customWidth="1"/>
    <col min="2" max="2" width="43.21875" style="59" customWidth="1"/>
    <col min="3" max="3" width="8.88671875" style="59"/>
    <col min="4" max="8" width="12.77734375" style="69" customWidth="1"/>
    <col min="9" max="13" width="12.77734375" style="59" customWidth="1"/>
    <col min="14" max="16384" width="8.88671875" style="59"/>
  </cols>
  <sheetData>
    <row r="1" spans="2:10" ht="12" x14ac:dyDescent="0.25">
      <c r="B1" s="66"/>
      <c r="C1" s="113"/>
      <c r="D1" s="117"/>
      <c r="E1" s="117"/>
      <c r="F1" s="117"/>
      <c r="G1" s="117"/>
      <c r="H1" s="117"/>
    </row>
    <row r="2" spans="2:10" ht="23.4" customHeight="1" thickBot="1" x14ac:dyDescent="0.3">
      <c r="B2" s="116" t="s">
        <v>138</v>
      </c>
      <c r="C2" s="114"/>
      <c r="D2" s="115" t="s">
        <v>62</v>
      </c>
      <c r="E2" s="115" t="s">
        <v>63</v>
      </c>
      <c r="F2" s="115" t="s">
        <v>64</v>
      </c>
      <c r="G2" s="115" t="s">
        <v>65</v>
      </c>
      <c r="H2" s="115" t="s">
        <v>66</v>
      </c>
    </row>
    <row r="3" spans="2:10" ht="12.6" thickTop="1" x14ac:dyDescent="0.25">
      <c r="B3" s="76" t="s">
        <v>38</v>
      </c>
    </row>
    <row r="4" spans="2:10" x14ac:dyDescent="0.2">
      <c r="B4" s="59" t="s">
        <v>39</v>
      </c>
      <c r="D4" s="75">
        <v>9712840558</v>
      </c>
      <c r="E4" s="75">
        <v>11385285072</v>
      </c>
      <c r="F4" s="75">
        <v>13062730254</v>
      </c>
      <c r="G4" s="69">
        <v>14289512210</v>
      </c>
      <c r="H4" s="69">
        <v>14520186187</v>
      </c>
    </row>
    <row r="5" spans="2:10" x14ac:dyDescent="0.2">
      <c r="B5" s="59" t="s">
        <v>40</v>
      </c>
      <c r="D5" s="75">
        <v>-6099313985</v>
      </c>
      <c r="E5" s="75">
        <v>-7177510122</v>
      </c>
      <c r="F5" s="75">
        <v>-8604981806</v>
      </c>
      <c r="G5" s="69">
        <v>-8089335233</v>
      </c>
      <c r="H5" s="69">
        <v>-7297441959</v>
      </c>
    </row>
    <row r="6" spans="2:10" ht="12" x14ac:dyDescent="0.25">
      <c r="B6" s="76" t="s">
        <v>41</v>
      </c>
      <c r="D6" s="75">
        <f>SUM(D4:D5)</f>
        <v>3613526573</v>
      </c>
      <c r="E6" s="75">
        <f t="shared" ref="E6:H6" si="0">SUM(E4:E5)</f>
        <v>4207774950</v>
      </c>
      <c r="F6" s="75">
        <f t="shared" si="0"/>
        <v>4457748448</v>
      </c>
      <c r="G6" s="75">
        <f t="shared" si="0"/>
        <v>6200176977</v>
      </c>
      <c r="H6" s="75">
        <f t="shared" si="0"/>
        <v>7222744228</v>
      </c>
    </row>
    <row r="7" spans="2:10" x14ac:dyDescent="0.2">
      <c r="B7" s="59" t="s">
        <v>42</v>
      </c>
      <c r="D7" s="75">
        <v>-18266324</v>
      </c>
      <c r="E7" s="75">
        <v>-2111958</v>
      </c>
      <c r="F7" s="75">
        <v>-8627922</v>
      </c>
      <c r="G7" s="69">
        <v>-8968594</v>
      </c>
      <c r="H7" s="69">
        <v>-148664115</v>
      </c>
    </row>
    <row r="8" spans="2:10" x14ac:dyDescent="0.2">
      <c r="B8" s="59" t="s">
        <v>43</v>
      </c>
      <c r="D8" s="75">
        <v>184735625</v>
      </c>
      <c r="E8" s="75">
        <v>168546826</v>
      </c>
      <c r="F8" s="75">
        <v>84266200</v>
      </c>
      <c r="G8" s="69">
        <v>196329343</v>
      </c>
      <c r="H8" s="69">
        <v>326831686</v>
      </c>
    </row>
    <row r="9" spans="2:10" x14ac:dyDescent="0.2">
      <c r="B9" s="59" t="s">
        <v>44</v>
      </c>
      <c r="D9" s="75">
        <v>-767038160</v>
      </c>
      <c r="E9" s="75">
        <v>-1069600995</v>
      </c>
      <c r="F9" s="75">
        <v>-928032728</v>
      </c>
      <c r="G9" s="69">
        <v>-993636288</v>
      </c>
      <c r="H9" s="69">
        <v>-1250600996</v>
      </c>
      <c r="J9" s="52"/>
    </row>
    <row r="10" spans="2:10" ht="12" x14ac:dyDescent="0.25">
      <c r="B10" s="70" t="s">
        <v>45</v>
      </c>
      <c r="C10" s="119"/>
      <c r="D10" s="120">
        <f>SUM(D6:D9)</f>
        <v>3012957714</v>
      </c>
      <c r="E10" s="120">
        <f t="shared" ref="E10:H10" si="1">SUM(E6:E9)</f>
        <v>3304608823</v>
      </c>
      <c r="F10" s="120">
        <f t="shared" si="1"/>
        <v>3605353998</v>
      </c>
      <c r="G10" s="120">
        <f t="shared" si="1"/>
        <v>5393901438</v>
      </c>
      <c r="H10" s="120">
        <f t="shared" si="1"/>
        <v>6150310803</v>
      </c>
    </row>
    <row r="11" spans="2:10" ht="12" x14ac:dyDescent="0.25">
      <c r="B11" s="76" t="s">
        <v>46</v>
      </c>
      <c r="D11" s="118"/>
      <c r="E11" s="118"/>
      <c r="F11" s="75"/>
    </row>
    <row r="12" spans="2:10" x14ac:dyDescent="0.2">
      <c r="B12" s="59" t="s">
        <v>47</v>
      </c>
      <c r="D12" s="75">
        <v>-320280709</v>
      </c>
      <c r="E12" s="75">
        <v>-241574664</v>
      </c>
      <c r="F12" s="75">
        <v>-313759008</v>
      </c>
      <c r="G12" s="69">
        <v>-517290654</v>
      </c>
      <c r="H12" s="69">
        <v>-243710829</v>
      </c>
    </row>
    <row r="13" spans="2:10" x14ac:dyDescent="0.2">
      <c r="B13" s="59" t="s">
        <v>48</v>
      </c>
      <c r="F13" s="75">
        <v>-1200000</v>
      </c>
      <c r="G13" s="69">
        <v>-1151571</v>
      </c>
      <c r="H13" s="69" t="s">
        <v>24</v>
      </c>
    </row>
    <row r="14" spans="2:10" x14ac:dyDescent="0.2">
      <c r="B14" s="59" t="s">
        <v>49</v>
      </c>
      <c r="D14" s="75">
        <v>1142977</v>
      </c>
      <c r="E14" s="75">
        <v>459660</v>
      </c>
      <c r="F14" s="75">
        <v>37481</v>
      </c>
      <c r="G14" s="69">
        <v>-328075</v>
      </c>
      <c r="H14" s="69">
        <v>4304862</v>
      </c>
    </row>
    <row r="15" spans="2:10" x14ac:dyDescent="0.2">
      <c r="B15" s="59" t="s">
        <v>50</v>
      </c>
      <c r="D15" s="75">
        <v>741184316</v>
      </c>
      <c r="E15" s="75">
        <v>-447974722</v>
      </c>
      <c r="F15" s="75">
        <v>-184197196</v>
      </c>
      <c r="G15" s="69">
        <v>-2122524749</v>
      </c>
      <c r="H15" s="69">
        <v>-4601092226</v>
      </c>
    </row>
    <row r="16" spans="2:10" x14ac:dyDescent="0.2">
      <c r="B16" s="112" t="s">
        <v>139</v>
      </c>
      <c r="D16" s="75" t="s">
        <v>24</v>
      </c>
      <c r="E16" s="75">
        <v>11334400</v>
      </c>
      <c r="F16" s="75" t="s">
        <v>24</v>
      </c>
    </row>
    <row r="17" spans="2:8" ht="12" x14ac:dyDescent="0.25">
      <c r="B17" s="70" t="s">
        <v>51</v>
      </c>
      <c r="C17" s="119"/>
      <c r="D17" s="120">
        <f>SUM(D12:D16)</f>
        <v>422046584</v>
      </c>
      <c r="E17" s="120">
        <f t="shared" ref="E17:H17" si="2">SUM(E12:E16)</f>
        <v>-677755326</v>
      </c>
      <c r="F17" s="120">
        <f t="shared" si="2"/>
        <v>-499118723</v>
      </c>
      <c r="G17" s="120">
        <f t="shared" si="2"/>
        <v>-2641295049</v>
      </c>
      <c r="H17" s="120">
        <f t="shared" si="2"/>
        <v>-4840498193</v>
      </c>
    </row>
    <row r="18" spans="2:8" ht="12" x14ac:dyDescent="0.2">
      <c r="B18" s="59" t="s">
        <v>52</v>
      </c>
      <c r="D18" s="118"/>
      <c r="E18" s="118"/>
      <c r="F18" s="75"/>
    </row>
    <row r="19" spans="2:8" x14ac:dyDescent="0.2">
      <c r="B19" s="59" t="s">
        <v>53</v>
      </c>
      <c r="D19" s="75">
        <v>-200000000</v>
      </c>
      <c r="E19" s="75">
        <v>250000000</v>
      </c>
      <c r="F19" s="75">
        <v>-250000000</v>
      </c>
      <c r="G19" s="69" t="s">
        <v>24</v>
      </c>
      <c r="H19" s="69">
        <v>450000000</v>
      </c>
    </row>
    <row r="20" spans="2:8" x14ac:dyDescent="0.2">
      <c r="B20" s="59" t="s">
        <v>54</v>
      </c>
      <c r="D20" s="75">
        <v>-3150000000</v>
      </c>
      <c r="E20" s="75">
        <v>-2835000000</v>
      </c>
      <c r="F20" s="75">
        <v>-2520000000</v>
      </c>
      <c r="G20" s="69">
        <v>-963573744</v>
      </c>
      <c r="H20" s="69">
        <v>-2028925000</v>
      </c>
    </row>
    <row r="21" spans="2:8" x14ac:dyDescent="0.2">
      <c r="B21" s="59" t="s">
        <v>55</v>
      </c>
      <c r="D21" s="75">
        <v>-47728849</v>
      </c>
      <c r="E21" s="75">
        <v>-66040838</v>
      </c>
      <c r="F21" s="75">
        <v>-227445375</v>
      </c>
      <c r="G21" s="69">
        <v>-65420941</v>
      </c>
      <c r="H21" s="69">
        <v>-72563902</v>
      </c>
    </row>
    <row r="22" spans="2:8" x14ac:dyDescent="0.2">
      <c r="B22" s="119" t="s">
        <v>56</v>
      </c>
      <c r="C22" s="119"/>
      <c r="D22" s="120">
        <f>SUM(D19:D21)</f>
        <v>-3397728849</v>
      </c>
      <c r="E22" s="120">
        <f t="shared" ref="E22:H22" si="3">SUM(E19:E21)</f>
        <v>-2651040838</v>
      </c>
      <c r="F22" s="120">
        <f t="shared" si="3"/>
        <v>-2997445375</v>
      </c>
      <c r="G22" s="120">
        <f>SUM(G19:G21)</f>
        <v>-1028994685</v>
      </c>
      <c r="H22" s="120">
        <f t="shared" si="3"/>
        <v>-1651488902</v>
      </c>
    </row>
    <row r="23" spans="2:8" ht="12" x14ac:dyDescent="0.25">
      <c r="B23" s="70" t="s">
        <v>58</v>
      </c>
      <c r="C23" s="119"/>
      <c r="D23" s="120">
        <v>382661779</v>
      </c>
      <c r="E23" s="120">
        <v>420407014</v>
      </c>
      <c r="F23" s="120">
        <v>396404261</v>
      </c>
      <c r="G23" s="123">
        <f>F26</f>
        <v>505194161</v>
      </c>
      <c r="H23" s="123">
        <f>G26</f>
        <v>2228805865</v>
      </c>
    </row>
    <row r="24" spans="2:8" x14ac:dyDescent="0.2">
      <c r="B24" s="59" t="s">
        <v>57</v>
      </c>
      <c r="D24" s="75">
        <f>SUM(D10,D17,D22)</f>
        <v>37275449</v>
      </c>
      <c r="E24" s="75">
        <f>SUM(E10,E17,E22)</f>
        <v>-24187341</v>
      </c>
      <c r="F24" s="75">
        <f>SUM(F10,F17,F22)</f>
        <v>108789900</v>
      </c>
      <c r="G24" s="75">
        <f>SUM(G10,G17,G22)</f>
        <v>1723611704</v>
      </c>
      <c r="H24" s="75">
        <f>SUM(H10,H17,H22)</f>
        <v>-341676292</v>
      </c>
    </row>
    <row r="25" spans="2:8" x14ac:dyDescent="0.2">
      <c r="B25" s="112" t="s">
        <v>60</v>
      </c>
      <c r="D25" s="75">
        <v>469786</v>
      </c>
      <c r="E25" s="75">
        <v>184588</v>
      </c>
      <c r="F25" s="75" t="s">
        <v>24</v>
      </c>
      <c r="G25" s="75" t="s">
        <v>24</v>
      </c>
      <c r="H25" s="75" t="s">
        <v>24</v>
      </c>
    </row>
    <row r="26" spans="2:8" ht="12.6" thickBot="1" x14ac:dyDescent="0.3">
      <c r="B26" s="73" t="s">
        <v>59</v>
      </c>
      <c r="C26" s="121"/>
      <c r="D26" s="122">
        <f>SUM(D23:D25)</f>
        <v>420407014</v>
      </c>
      <c r="E26" s="122">
        <f>SUM(E23:E25)</f>
        <v>396404261</v>
      </c>
      <c r="F26" s="122">
        <f>SUM(F23:F25)</f>
        <v>505194161</v>
      </c>
      <c r="G26" s="122">
        <f>SUM(G23:G25)</f>
        <v>2228805865</v>
      </c>
      <c r="H26" s="122">
        <f>SUM(H23:H25)</f>
        <v>1887129573</v>
      </c>
    </row>
    <row r="27" spans="2:8" ht="12" thickTop="1" x14ac:dyDescent="0.2"/>
    <row r="28" spans="2:8" x14ac:dyDescent="0.2">
      <c r="D28" s="59"/>
      <c r="E28" s="59"/>
      <c r="F28" s="59"/>
      <c r="G28" s="59"/>
      <c r="H28" s="5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BF42-D255-4FB6-8E24-CDE36191EC38}">
  <sheetPr>
    <tabColor rgb="FF002060"/>
  </sheetPr>
  <dimension ref="B1:E10"/>
  <sheetViews>
    <sheetView workbookViewId="0">
      <selection activeCell="G22" sqref="G22"/>
    </sheetView>
  </sheetViews>
  <sheetFormatPr defaultRowHeight="11.4" x14ac:dyDescent="0.2"/>
  <cols>
    <col min="1" max="1" width="2" style="59" customWidth="1"/>
    <col min="2" max="16384" width="8.88671875" style="59"/>
  </cols>
  <sheetData>
    <row r="1" spans="2:5" ht="15.6" x14ac:dyDescent="0.3">
      <c r="B1" s="99"/>
    </row>
    <row r="10" spans="2:5" ht="62.4" x14ac:dyDescent="1">
      <c r="E10" s="184" t="s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611D6-66F1-4DE7-B7D5-05565AFE3200}">
  <sheetPr codeName="Sheet3"/>
  <dimension ref="B1:M66"/>
  <sheetViews>
    <sheetView zoomScale="85" zoomScaleNormal="85" workbookViewId="0">
      <pane xSplit="2" ySplit="7" topLeftCell="C14" activePane="bottomRight" state="frozenSplit"/>
      <selection pane="topRight" activeCell="C1" sqref="C1"/>
      <selection pane="bottomLeft" activeCell="A4" sqref="A4"/>
      <selection pane="bottomRight" activeCell="J30" sqref="J30"/>
    </sheetView>
  </sheetViews>
  <sheetFormatPr defaultRowHeight="11.4" x14ac:dyDescent="0.2"/>
  <cols>
    <col min="1" max="1" width="8.88671875" style="59"/>
    <col min="2" max="2" width="29.21875" style="59" customWidth="1"/>
    <col min="3" max="3" width="13.88671875" style="59" customWidth="1"/>
    <col min="4" max="5" width="13.77734375" style="59" customWidth="1"/>
    <col min="6" max="6" width="13.5546875" style="59" customWidth="1"/>
    <col min="7" max="7" width="14.33203125" style="59" customWidth="1"/>
    <col min="8" max="8" width="8.88671875" style="59"/>
    <col min="9" max="13" width="14.77734375" style="49" customWidth="1"/>
    <col min="14" max="16384" width="8.88671875" style="59"/>
  </cols>
  <sheetData>
    <row r="1" spans="2:13" x14ac:dyDescent="0.2">
      <c r="B1" s="47"/>
      <c r="C1" s="47"/>
      <c r="D1" s="47"/>
      <c r="E1" s="47"/>
      <c r="F1" s="47"/>
      <c r="G1" s="47" t="s">
        <v>83</v>
      </c>
      <c r="H1" s="47"/>
    </row>
    <row r="2" spans="2:13" x14ac:dyDescent="0.2">
      <c r="B2" s="47"/>
      <c r="C2" s="47"/>
      <c r="D2" s="47"/>
      <c r="E2" s="47"/>
      <c r="F2" s="49">
        <v>1</v>
      </c>
      <c r="G2" s="47" t="s">
        <v>84</v>
      </c>
      <c r="H2" s="47"/>
    </row>
    <row r="3" spans="2:13" x14ac:dyDescent="0.2">
      <c r="B3" s="47"/>
      <c r="C3" s="47"/>
      <c r="D3" s="47"/>
      <c r="E3" s="47"/>
      <c r="F3" s="49">
        <v>2</v>
      </c>
      <c r="G3" s="47" t="s">
        <v>85</v>
      </c>
      <c r="H3" s="47"/>
    </row>
    <row r="4" spans="2:13" ht="12" x14ac:dyDescent="0.25">
      <c r="B4" s="47" t="s">
        <v>86</v>
      </c>
      <c r="C4" s="48">
        <f>Dashboard!C2</f>
        <v>1</v>
      </c>
      <c r="D4" s="47"/>
      <c r="E4" s="47"/>
      <c r="F4" s="49">
        <v>3</v>
      </c>
      <c r="G4" s="47" t="s">
        <v>87</v>
      </c>
      <c r="H4" s="47"/>
    </row>
    <row r="5" spans="2:13" x14ac:dyDescent="0.2">
      <c r="B5" s="47"/>
      <c r="C5" s="47"/>
      <c r="D5" s="47"/>
      <c r="E5" s="47"/>
      <c r="F5" s="47"/>
      <c r="G5" s="47"/>
      <c r="H5" s="47"/>
    </row>
    <row r="6" spans="2:13" x14ac:dyDescent="0.2">
      <c r="B6" s="47"/>
      <c r="C6" s="47"/>
      <c r="D6" s="47"/>
      <c r="E6" s="47"/>
      <c r="F6" s="47"/>
      <c r="G6" s="47"/>
      <c r="H6" s="47"/>
    </row>
    <row r="7" spans="2:13" ht="24.6" thickBot="1" x14ac:dyDescent="0.3">
      <c r="B7" s="55" t="s">
        <v>88</v>
      </c>
      <c r="C7" s="60" t="s">
        <v>62</v>
      </c>
      <c r="D7" s="60" t="s">
        <v>63</v>
      </c>
      <c r="E7" s="60" t="s">
        <v>64</v>
      </c>
      <c r="F7" s="60" t="s">
        <v>65</v>
      </c>
      <c r="G7" s="60" t="s">
        <v>66</v>
      </c>
      <c r="H7" s="61"/>
      <c r="I7" s="58" t="s">
        <v>102</v>
      </c>
      <c r="J7" s="58" t="s">
        <v>103</v>
      </c>
      <c r="K7" s="58" t="s">
        <v>104</v>
      </c>
      <c r="L7" s="58" t="s">
        <v>105</v>
      </c>
      <c r="M7" s="58" t="s">
        <v>106</v>
      </c>
    </row>
    <row r="8" spans="2:13" x14ac:dyDescent="0.2">
      <c r="B8" s="47" t="s">
        <v>89</v>
      </c>
      <c r="C8" s="49">
        <f>'P&amp;L Source'!D4</f>
        <v>9795911357</v>
      </c>
      <c r="D8" s="49">
        <f>'P&amp;L Source'!E4</f>
        <v>11306519256</v>
      </c>
      <c r="E8" s="49">
        <f>'P&amp;L Source'!F4</f>
        <v>13032188243</v>
      </c>
      <c r="F8" s="49">
        <f>'P&amp;L Source'!G4</f>
        <v>14135741140</v>
      </c>
      <c r="G8" s="49">
        <f>'P&amp;L Source'!H4</f>
        <v>14524182830</v>
      </c>
      <c r="I8" s="56">
        <f>+G8*(1+I9)</f>
        <v>15976601113.000002</v>
      </c>
      <c r="J8" s="56">
        <f>+I8*(1+J9)</f>
        <v>17574261224.300003</v>
      </c>
      <c r="K8" s="56">
        <f>+J8*(1+K9)</f>
        <v>19331687346.730003</v>
      </c>
      <c r="L8" s="56">
        <f>+K8*(1+L9)</f>
        <v>21264856081.403004</v>
      </c>
      <c r="M8" s="56">
        <f>+L8*(1+M9)</f>
        <v>23391341689.543304</v>
      </c>
    </row>
    <row r="9" spans="2:13" x14ac:dyDescent="0.2">
      <c r="B9" s="47" t="s">
        <v>90</v>
      </c>
      <c r="C9" s="50">
        <v>0</v>
      </c>
      <c r="D9" s="51">
        <f>D8/C8-1</f>
        <v>0.15420800004693214</v>
      </c>
      <c r="E9" s="51">
        <f>E8/D8-1</f>
        <v>0.1526260158345587</v>
      </c>
      <c r="F9" s="51">
        <f>F8/E8-1</f>
        <v>8.4679017554304625E-2</v>
      </c>
      <c r="G9" s="51">
        <f>G8/F8-1</f>
        <v>2.7479400347875993E-2</v>
      </c>
      <c r="I9" s="57">
        <f t="shared" ref="I9:M9" si="0">+CHOOSE($C$4,I10,I11,I12)</f>
        <v>0.1</v>
      </c>
      <c r="J9" s="57">
        <f t="shared" si="0"/>
        <v>0.1</v>
      </c>
      <c r="K9" s="57">
        <f t="shared" si="0"/>
        <v>0.1</v>
      </c>
      <c r="L9" s="57">
        <f t="shared" si="0"/>
        <v>0.1</v>
      </c>
      <c r="M9" s="57">
        <f t="shared" si="0"/>
        <v>0.1</v>
      </c>
    </row>
    <row r="10" spans="2:13" x14ac:dyDescent="0.2">
      <c r="B10" s="47" t="s">
        <v>91</v>
      </c>
      <c r="C10" s="53"/>
      <c r="D10" s="53"/>
      <c r="E10" s="53"/>
      <c r="F10" s="53"/>
      <c r="G10" s="62"/>
      <c r="I10" s="57">
        <v>0.1</v>
      </c>
      <c r="J10" s="57">
        <v>0.1</v>
      </c>
      <c r="K10" s="57">
        <v>0.1</v>
      </c>
      <c r="L10" s="57">
        <v>0.1</v>
      </c>
      <c r="M10" s="57">
        <v>0.1</v>
      </c>
    </row>
    <row r="11" spans="2:13" x14ac:dyDescent="0.2">
      <c r="B11" s="47" t="s">
        <v>92</v>
      </c>
      <c r="C11" s="53"/>
      <c r="D11" s="53"/>
      <c r="E11" s="53"/>
      <c r="F11" s="53"/>
      <c r="G11" s="62"/>
      <c r="I11" s="57">
        <v>8.5000000000000006E-2</v>
      </c>
      <c r="J11" s="57">
        <v>8.5000000000000006E-2</v>
      </c>
      <c r="K11" s="57">
        <v>8.5000000000000006E-2</v>
      </c>
      <c r="L11" s="57">
        <v>8.5000000000000006E-2</v>
      </c>
      <c r="M11" s="57">
        <v>8.5000000000000006E-2</v>
      </c>
    </row>
    <row r="12" spans="2:13" x14ac:dyDescent="0.2">
      <c r="B12" s="47" t="s">
        <v>93</v>
      </c>
      <c r="C12" s="53"/>
      <c r="D12" s="53"/>
      <c r="E12" s="53"/>
      <c r="F12" s="53"/>
      <c r="G12" s="62"/>
      <c r="I12" s="57">
        <v>0.06</v>
      </c>
      <c r="J12" s="57">
        <v>0.06</v>
      </c>
      <c r="K12" s="57">
        <v>0.06</v>
      </c>
      <c r="L12" s="57">
        <v>0.06</v>
      </c>
      <c r="M12" s="57">
        <v>0.06</v>
      </c>
    </row>
    <row r="13" spans="2:13" x14ac:dyDescent="0.2">
      <c r="B13" s="47"/>
      <c r="C13" s="47"/>
      <c r="D13" s="47"/>
      <c r="E13" s="47"/>
      <c r="F13" s="47"/>
      <c r="I13" s="56"/>
      <c r="J13" s="56"/>
      <c r="K13" s="56"/>
      <c r="L13" s="56"/>
      <c r="M13" s="56"/>
    </row>
    <row r="14" spans="2:13" x14ac:dyDescent="0.2">
      <c r="B14" s="47" t="s">
        <v>94</v>
      </c>
      <c r="C14" s="49">
        <f>'P&amp;L Source'!D5</f>
        <v>9781005</v>
      </c>
      <c r="D14" s="49">
        <f>'P&amp;L Source'!E5</f>
        <v>63392805</v>
      </c>
      <c r="E14" s="49">
        <f>'P&amp;L Source'!F5</f>
        <v>17087007</v>
      </c>
      <c r="F14" s="49">
        <f>'P&amp;L Source'!G5</f>
        <v>27424065</v>
      </c>
      <c r="G14" s="49">
        <f>'P&amp;L Source'!H5</f>
        <v>40359793</v>
      </c>
      <c r="I14" s="56">
        <f>+G14*(1+I15)</f>
        <v>64575668.800000004</v>
      </c>
      <c r="J14" s="56">
        <f>+I14*(1+J15)</f>
        <v>103321070.08000001</v>
      </c>
      <c r="K14" s="56">
        <f>+J14*(1+K15)</f>
        <v>165313712.12800002</v>
      </c>
      <c r="L14" s="56">
        <f>+K14*(1+L15)</f>
        <v>264501939.40480006</v>
      </c>
      <c r="M14" s="56">
        <f>+L14*(1+M15)</f>
        <v>423203103.04768014</v>
      </c>
    </row>
    <row r="15" spans="2:13" x14ac:dyDescent="0.2">
      <c r="B15" s="47" t="s">
        <v>90</v>
      </c>
      <c r="C15" s="52">
        <v>0</v>
      </c>
      <c r="D15" s="52">
        <f>D14/C14-1</f>
        <v>5.4812158873244616</v>
      </c>
      <c r="E15" s="52">
        <f>E14/D14-1</f>
        <v>-0.73045825941918796</v>
      </c>
      <c r="F15" s="52">
        <f t="shared" ref="F15:G15" si="1">F14/E14-1</f>
        <v>0.60496598380278077</v>
      </c>
      <c r="G15" s="52">
        <f t="shared" si="1"/>
        <v>0.47169258095034405</v>
      </c>
      <c r="I15" s="57">
        <f>+CHOOSE($C$4,I16,I17,I18)</f>
        <v>0.6</v>
      </c>
      <c r="J15" s="57">
        <f t="shared" ref="J15:M15" si="2">+CHOOSE($C$4,J16,J17,J18)</f>
        <v>0.6</v>
      </c>
      <c r="K15" s="57">
        <f t="shared" si="2"/>
        <v>0.6</v>
      </c>
      <c r="L15" s="57">
        <f t="shared" si="2"/>
        <v>0.6</v>
      </c>
      <c r="M15" s="57">
        <f t="shared" si="2"/>
        <v>0.6</v>
      </c>
    </row>
    <row r="16" spans="2:13" x14ac:dyDescent="0.2">
      <c r="B16" s="47" t="s">
        <v>91</v>
      </c>
      <c r="C16" s="53"/>
      <c r="D16" s="53"/>
      <c r="E16" s="53"/>
      <c r="F16" s="53"/>
      <c r="G16" s="62"/>
      <c r="I16" s="57">
        <v>0.6</v>
      </c>
      <c r="J16" s="57">
        <v>0.6</v>
      </c>
      <c r="K16" s="57">
        <v>0.6</v>
      </c>
      <c r="L16" s="57">
        <v>0.6</v>
      </c>
      <c r="M16" s="57">
        <v>0.6</v>
      </c>
    </row>
    <row r="17" spans="2:13" x14ac:dyDescent="0.2">
      <c r="B17" s="47" t="s">
        <v>92</v>
      </c>
      <c r="C17" s="53"/>
      <c r="D17" s="53"/>
      <c r="E17" s="53"/>
      <c r="F17" s="53"/>
      <c r="G17" s="62"/>
      <c r="I17" s="57">
        <v>0.5</v>
      </c>
      <c r="J17" s="57">
        <v>0.5</v>
      </c>
      <c r="K17" s="57">
        <v>0.5</v>
      </c>
      <c r="L17" s="57">
        <v>0.5</v>
      </c>
      <c r="M17" s="57">
        <v>0.5</v>
      </c>
    </row>
    <row r="18" spans="2:13" x14ac:dyDescent="0.2">
      <c r="B18" s="47" t="s">
        <v>93</v>
      </c>
      <c r="C18" s="53"/>
      <c r="D18" s="53"/>
      <c r="E18" s="53"/>
      <c r="F18" s="53"/>
      <c r="G18" s="62"/>
      <c r="I18" s="57">
        <v>0.2</v>
      </c>
      <c r="J18" s="57">
        <v>0.2</v>
      </c>
      <c r="K18" s="57">
        <v>0.2</v>
      </c>
      <c r="L18" s="57">
        <v>0.2</v>
      </c>
      <c r="M18" s="57">
        <v>0.2</v>
      </c>
    </row>
    <row r="19" spans="2:13" x14ac:dyDescent="0.2">
      <c r="B19" s="47"/>
      <c r="C19" s="47"/>
      <c r="D19" s="47"/>
      <c r="E19" s="47"/>
      <c r="F19" s="47"/>
      <c r="I19" s="57"/>
      <c r="J19" s="57"/>
      <c r="K19" s="57"/>
      <c r="L19" s="57"/>
      <c r="M19" s="57"/>
    </row>
    <row r="20" spans="2:13" x14ac:dyDescent="0.2">
      <c r="B20" s="47" t="s">
        <v>95</v>
      </c>
      <c r="C20" s="49">
        <f>'P&amp;L Source'!D8</f>
        <v>-4133231362</v>
      </c>
      <c r="D20" s="49">
        <f>'P&amp;L Source'!E8</f>
        <v>-4652260050</v>
      </c>
      <c r="E20" s="49">
        <f>'P&amp;L Source'!F8</f>
        <v>-5960795907</v>
      </c>
      <c r="F20" s="49">
        <f>'P&amp;L Source'!G8</f>
        <v>-6811203460</v>
      </c>
      <c r="G20" s="49">
        <f>'P&amp;L Source'!H8</f>
        <v>-6099250601</v>
      </c>
      <c r="I20" s="56">
        <f>-I8*I21</f>
        <v>-6710172467.460001</v>
      </c>
      <c r="J20" s="56">
        <f t="shared" ref="J20:M20" si="3">-J8*J21</f>
        <v>-7381189714.2060013</v>
      </c>
      <c r="K20" s="56">
        <f t="shared" si="3"/>
        <v>-8119308685.6266012</v>
      </c>
      <c r="L20" s="56">
        <f t="shared" si="3"/>
        <v>-8931239554.1892605</v>
      </c>
      <c r="M20" s="56">
        <f t="shared" si="3"/>
        <v>-9824363509.6081867</v>
      </c>
    </row>
    <row r="21" spans="2:13" x14ac:dyDescent="0.2">
      <c r="B21" s="47" t="s">
        <v>96</v>
      </c>
      <c r="C21" s="52">
        <f>-C20/C8</f>
        <v>0.42193433682374631</v>
      </c>
      <c r="D21" s="52">
        <f t="shared" ref="D21:G21" si="4">-D20/D8</f>
        <v>0.41146704345205071</v>
      </c>
      <c r="E21" s="52">
        <f t="shared" si="4"/>
        <v>0.45739025525523175</v>
      </c>
      <c r="F21" s="52">
        <f t="shared" si="4"/>
        <v>0.48184268462063817</v>
      </c>
      <c r="G21" s="52">
        <f t="shared" si="4"/>
        <v>0.41993760835906524</v>
      </c>
      <c r="I21" s="57">
        <f>+CHOOSE($C$4,I22,I23,I24)</f>
        <v>0.42</v>
      </c>
      <c r="J21" s="57">
        <f t="shared" ref="J21:M21" si="5">+CHOOSE($C$4,J22,J23,J24)</f>
        <v>0.42</v>
      </c>
      <c r="K21" s="57">
        <f t="shared" si="5"/>
        <v>0.42</v>
      </c>
      <c r="L21" s="57">
        <f t="shared" si="5"/>
        <v>0.42</v>
      </c>
      <c r="M21" s="57">
        <f t="shared" si="5"/>
        <v>0.42</v>
      </c>
    </row>
    <row r="22" spans="2:13" x14ac:dyDescent="0.2">
      <c r="B22" s="47" t="s">
        <v>91</v>
      </c>
      <c r="C22" s="53"/>
      <c r="D22" s="53"/>
      <c r="E22" s="53"/>
      <c r="F22" s="53"/>
      <c r="G22" s="62"/>
      <c r="I22" s="57">
        <v>0.42</v>
      </c>
      <c r="J22" s="57">
        <v>0.42</v>
      </c>
      <c r="K22" s="57">
        <v>0.42</v>
      </c>
      <c r="L22" s="57">
        <v>0.42</v>
      </c>
      <c r="M22" s="57">
        <v>0.42</v>
      </c>
    </row>
    <row r="23" spans="2:13" x14ac:dyDescent="0.2">
      <c r="B23" s="47" t="s">
        <v>92</v>
      </c>
      <c r="C23" s="53"/>
      <c r="D23" s="53"/>
      <c r="E23" s="53"/>
      <c r="F23" s="53"/>
      <c r="G23" s="62"/>
      <c r="I23" s="57">
        <v>0.45</v>
      </c>
      <c r="J23" s="57">
        <v>0.45</v>
      </c>
      <c r="K23" s="57">
        <v>0.45</v>
      </c>
      <c r="L23" s="57">
        <v>0.45</v>
      </c>
      <c r="M23" s="57">
        <v>0.45</v>
      </c>
    </row>
    <row r="24" spans="2:13" x14ac:dyDescent="0.2">
      <c r="B24" s="47" t="s">
        <v>93</v>
      </c>
      <c r="C24" s="53"/>
      <c r="D24" s="53"/>
      <c r="E24" s="53"/>
      <c r="F24" s="53"/>
      <c r="G24" s="62"/>
      <c r="I24" s="57">
        <v>0.48</v>
      </c>
      <c r="J24" s="57">
        <v>0.48</v>
      </c>
      <c r="K24" s="57">
        <v>0.48</v>
      </c>
      <c r="L24" s="57">
        <v>0.48</v>
      </c>
      <c r="M24" s="57">
        <v>0.48</v>
      </c>
    </row>
    <row r="25" spans="2:13" x14ac:dyDescent="0.2">
      <c r="B25" s="47"/>
      <c r="C25" s="47"/>
      <c r="D25" s="47"/>
      <c r="E25" s="47"/>
      <c r="F25" s="47"/>
      <c r="I25" s="56"/>
      <c r="J25" s="56"/>
      <c r="K25" s="56"/>
      <c r="L25" s="56"/>
      <c r="M25" s="56"/>
    </row>
    <row r="26" spans="2:13" x14ac:dyDescent="0.2">
      <c r="B26" s="47" t="s">
        <v>97</v>
      </c>
      <c r="C26" s="49">
        <f>SUM('P&amp;L Source'!D9:D11)</f>
        <v>-2031044055</v>
      </c>
      <c r="D26" s="49">
        <f>SUM('P&amp;L Source'!E9:E11)</f>
        <v>-2347392950</v>
      </c>
      <c r="E26" s="49">
        <f>SUM('P&amp;L Source'!F9:F11)</f>
        <v>-2330771010</v>
      </c>
      <c r="F26" s="49">
        <f>SUM('P&amp;L Source'!G9:G11)</f>
        <v>-2111784461</v>
      </c>
      <c r="G26" s="49">
        <f>SUM('P&amp;L Source'!H9:H11)</f>
        <v>-2209191802</v>
      </c>
      <c r="I26" s="56">
        <f>-I$8*I27</f>
        <v>-2236724155.8200006</v>
      </c>
      <c r="J26" s="56">
        <f>-J$8*J27</f>
        <v>-2460396571.4020004</v>
      </c>
      <c r="K26" s="56">
        <f t="shared" ref="K26:M26" si="6">-K$8*K27</f>
        <v>-2706436228.5422006</v>
      </c>
      <c r="L26" s="56">
        <f t="shared" si="6"/>
        <v>-2977079851.396421</v>
      </c>
      <c r="M26" s="56">
        <f t="shared" si="6"/>
        <v>-3274787836.5360627</v>
      </c>
    </row>
    <row r="27" spans="2:13" x14ac:dyDescent="0.2">
      <c r="B27" s="47" t="s">
        <v>96</v>
      </c>
      <c r="C27" s="52">
        <f>-C26/C8</f>
        <v>0.20733589565902397</v>
      </c>
      <c r="D27" s="52">
        <f t="shared" ref="D27:G27" si="7">-D26/D8</f>
        <v>0.20761411154492265</v>
      </c>
      <c r="E27" s="52">
        <f t="shared" si="7"/>
        <v>0.17884724856180087</v>
      </c>
      <c r="F27" s="52">
        <f t="shared" si="7"/>
        <v>0.14939326067766406</v>
      </c>
      <c r="G27" s="52">
        <f t="shared" si="7"/>
        <v>0.15210437846023728</v>
      </c>
      <c r="I27" s="57">
        <f t="shared" ref="I27:M27" si="8">+CHOOSE($C$4,I28,I29,I30)</f>
        <v>0.14000000000000001</v>
      </c>
      <c r="J27" s="57">
        <f t="shared" si="8"/>
        <v>0.14000000000000001</v>
      </c>
      <c r="K27" s="57">
        <f t="shared" si="8"/>
        <v>0.14000000000000001</v>
      </c>
      <c r="L27" s="57">
        <f t="shared" si="8"/>
        <v>0.14000000000000001</v>
      </c>
      <c r="M27" s="57">
        <f t="shared" si="8"/>
        <v>0.14000000000000001</v>
      </c>
    </row>
    <row r="28" spans="2:13" x14ac:dyDescent="0.2">
      <c r="B28" s="47" t="s">
        <v>91</v>
      </c>
      <c r="C28" s="53"/>
      <c r="D28" s="53"/>
      <c r="E28" s="53"/>
      <c r="F28" s="53"/>
      <c r="G28" s="62"/>
      <c r="I28" s="57">
        <v>0.14000000000000001</v>
      </c>
      <c r="J28" s="57">
        <v>0.14000000000000001</v>
      </c>
      <c r="K28" s="57">
        <v>0.14000000000000001</v>
      </c>
      <c r="L28" s="57">
        <v>0.14000000000000001</v>
      </c>
      <c r="M28" s="57">
        <v>0.14000000000000001</v>
      </c>
    </row>
    <row r="29" spans="2:13" x14ac:dyDescent="0.2">
      <c r="B29" s="47" t="s">
        <v>92</v>
      </c>
      <c r="C29" s="53"/>
      <c r="D29" s="53"/>
      <c r="E29" s="53"/>
      <c r="F29" s="53"/>
      <c r="G29" s="62"/>
      <c r="I29" s="57">
        <v>0.16</v>
      </c>
      <c r="J29" s="57">
        <v>0.16</v>
      </c>
      <c r="K29" s="57">
        <v>0.16</v>
      </c>
      <c r="L29" s="57">
        <v>0.16</v>
      </c>
      <c r="M29" s="57">
        <v>0.16</v>
      </c>
    </row>
    <row r="30" spans="2:13" x14ac:dyDescent="0.2">
      <c r="B30" s="47" t="s">
        <v>93</v>
      </c>
      <c r="C30" s="53"/>
      <c r="D30" s="53"/>
      <c r="E30" s="53"/>
      <c r="F30" s="53"/>
      <c r="G30" s="62"/>
      <c r="I30" s="57">
        <v>0.18</v>
      </c>
      <c r="J30" s="57">
        <v>0.18</v>
      </c>
      <c r="K30" s="57">
        <v>0.18</v>
      </c>
      <c r="L30" s="57">
        <v>0.18</v>
      </c>
      <c r="M30" s="57">
        <v>0.18</v>
      </c>
    </row>
    <row r="31" spans="2:13" x14ac:dyDescent="0.2">
      <c r="B31" s="47"/>
      <c r="C31" s="47"/>
      <c r="D31" s="47"/>
      <c r="E31" s="47"/>
      <c r="F31" s="47"/>
      <c r="I31" s="56"/>
      <c r="J31" s="56"/>
      <c r="K31" s="56"/>
      <c r="L31" s="56"/>
      <c r="M31" s="56"/>
    </row>
    <row r="32" spans="2:13" x14ac:dyDescent="0.2">
      <c r="B32" s="47" t="s">
        <v>98</v>
      </c>
      <c r="C32" s="49">
        <f>SUM('P&amp;L Source'!D15:D17)</f>
        <v>-74574223</v>
      </c>
      <c r="D32" s="49">
        <f>SUM('P&amp;L Source'!E15:E17)</f>
        <v>-85567113</v>
      </c>
      <c r="E32" s="49">
        <f>SUM('P&amp;L Source'!F15:F17)</f>
        <v>-113364509</v>
      </c>
      <c r="F32" s="49">
        <f>SUM('P&amp;L Source'!G15:G17)</f>
        <v>-102297759</v>
      </c>
      <c r="G32" s="49">
        <f>SUM('P&amp;L Source'!H15:H17)</f>
        <v>-105285495</v>
      </c>
      <c r="I32" s="56">
        <f>-'BS Assumptions'!I19*I33</f>
        <v>-175742612.24300003</v>
      </c>
      <c r="J32" s="56">
        <f>-'BS Assumptions'!J19*J33</f>
        <v>-193316873.46730003</v>
      </c>
      <c r="K32" s="56">
        <f>-'BS Assumptions'!K19*K33</f>
        <v>-212648560.81403005</v>
      </c>
      <c r="L32" s="56">
        <f>-'BS Assumptions'!L19*L33</f>
        <v>-233913416.89543307</v>
      </c>
      <c r="M32" s="56">
        <f>-'BS Assumptions'!M19*M33</f>
        <v>-257304758.58497635</v>
      </c>
    </row>
    <row r="33" spans="2:13" x14ac:dyDescent="0.2">
      <c r="B33" s="47" t="s">
        <v>168</v>
      </c>
      <c r="C33" s="51">
        <f>-C32/'BS Assumptions'!C19</f>
        <v>0.11526216787316232</v>
      </c>
      <c r="D33" s="51">
        <f>-D32/'BS Assumptions'!D19</f>
        <v>0.11085714607012635</v>
      </c>
      <c r="E33" s="51">
        <f>-E32/'BS Assumptions'!E19</f>
        <v>0.11554878711490972</v>
      </c>
      <c r="F33" s="51">
        <f>-F32/'BS Assumptions'!F19</f>
        <v>7.8413468056366398E-2</v>
      </c>
      <c r="G33" s="51">
        <f>-G32/'BS Assumptions'!G19</f>
        <v>7.4425176790526446E-2</v>
      </c>
      <c r="I33" s="57">
        <f>+CHOOSE($C$4,I34,I35,I36)</f>
        <v>0.11</v>
      </c>
      <c r="J33" s="57">
        <f t="shared" ref="J33" si="9">+CHOOSE($C$4,J34,J35,J36)</f>
        <v>0.11</v>
      </c>
      <c r="K33" s="57">
        <f t="shared" ref="K33" si="10">+CHOOSE($C$4,K34,K35,K36)</f>
        <v>0.11</v>
      </c>
      <c r="L33" s="57">
        <f t="shared" ref="L33" si="11">+CHOOSE($C$4,L34,L35,L36)</f>
        <v>0.11</v>
      </c>
      <c r="M33" s="57">
        <f t="shared" ref="M33" si="12">+CHOOSE($C$4,M34,M35,M36)</f>
        <v>0.11</v>
      </c>
    </row>
    <row r="34" spans="2:13" x14ac:dyDescent="0.2">
      <c r="B34" s="47" t="s">
        <v>91</v>
      </c>
      <c r="C34" s="53"/>
      <c r="D34" s="53"/>
      <c r="E34" s="53"/>
      <c r="F34" s="53"/>
      <c r="G34" s="62"/>
      <c r="I34" s="57">
        <v>0.11</v>
      </c>
      <c r="J34" s="57">
        <v>0.11</v>
      </c>
      <c r="K34" s="57">
        <v>0.11</v>
      </c>
      <c r="L34" s="57">
        <v>0.11</v>
      </c>
      <c r="M34" s="57">
        <v>0.11</v>
      </c>
    </row>
    <row r="35" spans="2:13" x14ac:dyDescent="0.2">
      <c r="B35" s="47" t="s">
        <v>92</v>
      </c>
      <c r="C35" s="53"/>
      <c r="D35" s="53"/>
      <c r="E35" s="53"/>
      <c r="F35" s="53"/>
      <c r="G35" s="62"/>
      <c r="I35" s="57">
        <v>0.09</v>
      </c>
      <c r="J35" s="57">
        <v>0.09</v>
      </c>
      <c r="K35" s="57">
        <v>0.09</v>
      </c>
      <c r="L35" s="57">
        <v>0.09</v>
      </c>
      <c r="M35" s="57">
        <v>0.09</v>
      </c>
    </row>
    <row r="36" spans="2:13" x14ac:dyDescent="0.2">
      <c r="B36" s="47" t="s">
        <v>93</v>
      </c>
      <c r="C36" s="53"/>
      <c r="D36" s="53"/>
      <c r="E36" s="53"/>
      <c r="F36" s="53"/>
      <c r="G36" s="62"/>
      <c r="I36" s="57">
        <v>7.0000000000000007E-2</v>
      </c>
      <c r="J36" s="57">
        <v>7.0000000000000007E-2</v>
      </c>
      <c r="K36" s="57">
        <v>7.0000000000000007E-2</v>
      </c>
      <c r="L36" s="57">
        <v>7.0000000000000007E-2</v>
      </c>
      <c r="M36" s="57">
        <v>7.0000000000000007E-2</v>
      </c>
    </row>
    <row r="37" spans="2:13" x14ac:dyDescent="0.2">
      <c r="B37" s="47"/>
      <c r="C37" s="47"/>
      <c r="D37" s="47"/>
      <c r="E37" s="47"/>
      <c r="F37" s="47"/>
      <c r="I37" s="56"/>
      <c r="J37" s="56"/>
      <c r="K37" s="56"/>
      <c r="L37" s="56"/>
      <c r="M37" s="56"/>
    </row>
    <row r="38" spans="2:13" x14ac:dyDescent="0.2">
      <c r="B38" s="47" t="s">
        <v>100</v>
      </c>
      <c r="C38" s="49">
        <f>'P&amp;L Source'!D22</f>
        <v>-46447617</v>
      </c>
      <c r="D38" s="49">
        <f>'P&amp;L Source'!E22</f>
        <v>-18912816</v>
      </c>
      <c r="E38" s="49">
        <f>'P&amp;L Source'!F22</f>
        <v>-37014899</v>
      </c>
      <c r="F38" s="49">
        <f>'P&amp;L Source'!G22</f>
        <v>-4355821</v>
      </c>
      <c r="G38" s="49">
        <f>'P&amp;L Source'!H22</f>
        <v>-565820362</v>
      </c>
      <c r="I38" s="56">
        <f>+G38*(1+I39)</f>
        <v>-226328144.80000001</v>
      </c>
      <c r="J38" s="56">
        <f>+I38*(1+J39)</f>
        <v>-67898443.440000013</v>
      </c>
      <c r="K38" s="56">
        <f>+J38*(1+K39)</f>
        <v>-73330318.915200025</v>
      </c>
      <c r="L38" s="56">
        <f>+K38*(1+L39)</f>
        <v>-79196744.428416029</v>
      </c>
      <c r="M38" s="56">
        <f>+L38*(1+M39)</f>
        <v>-85532483.982689321</v>
      </c>
    </row>
    <row r="39" spans="2:13" x14ac:dyDescent="0.2">
      <c r="B39" s="47" t="s">
        <v>90</v>
      </c>
      <c r="C39" s="54">
        <f>-('P&amp;L Source'!D22/('BS Source'!M18+'BS Source'!M20))</f>
        <v>1.0843027096142293</v>
      </c>
      <c r="D39" s="54">
        <f>-(D38/('BS Source'!N18+'BS Source'!N20))</f>
        <v>6.4190835137576188E-2</v>
      </c>
      <c r="E39" s="54">
        <f>-(E38/('BS Source'!O18+'BS Source'!O20))</f>
        <v>0.74812835520515741</v>
      </c>
      <c r="F39" s="54">
        <f>-(F38/('BS Source'!P18+'BS Source'!P20))</f>
        <v>7.6003885779821451E-2</v>
      </c>
      <c r="G39" s="54">
        <f>-(G38/('BS Source'!Q18+'BS Source'!Q20))</f>
        <v>1.1574017390392861</v>
      </c>
      <c r="I39" s="57">
        <f>+CHOOSE($C$4,I40,I41,I42)</f>
        <v>-0.6</v>
      </c>
      <c r="J39" s="57">
        <f t="shared" ref="J39" si="13">+CHOOSE($C$4,J40,J41,J42)</f>
        <v>-0.7</v>
      </c>
      <c r="K39" s="57">
        <f>+CHOOSE($C$4,K40,K41,K42)</f>
        <v>0.08</v>
      </c>
      <c r="L39" s="57">
        <f>+CHOOSE($C$4,L40,L41,L42)</f>
        <v>0.08</v>
      </c>
      <c r="M39" s="57">
        <f>+CHOOSE($C$4,M40,M41,M42)</f>
        <v>0.08</v>
      </c>
    </row>
    <row r="40" spans="2:13" x14ac:dyDescent="0.2">
      <c r="B40" s="47" t="s">
        <v>91</v>
      </c>
      <c r="C40" s="53"/>
      <c r="D40" s="53"/>
      <c r="E40" s="53"/>
      <c r="F40" s="53"/>
      <c r="G40" s="62"/>
      <c r="I40" s="57">
        <v>-0.6</v>
      </c>
      <c r="J40" s="57">
        <v>-0.7</v>
      </c>
      <c r="K40" s="57">
        <v>0.08</v>
      </c>
      <c r="L40" s="57">
        <v>0.08</v>
      </c>
      <c r="M40" s="57">
        <v>0.08</v>
      </c>
    </row>
    <row r="41" spans="2:13" x14ac:dyDescent="0.2">
      <c r="B41" s="47" t="s">
        <v>92</v>
      </c>
      <c r="C41" s="53"/>
      <c r="D41" s="53"/>
      <c r="E41" s="53"/>
      <c r="F41" s="53"/>
      <c r="G41" s="62"/>
      <c r="I41" s="57">
        <v>-0.5</v>
      </c>
      <c r="J41" s="57">
        <v>-0.5</v>
      </c>
      <c r="K41" s="57">
        <v>0.1</v>
      </c>
      <c r="L41" s="57">
        <v>0.1</v>
      </c>
      <c r="M41" s="57">
        <v>0.1</v>
      </c>
    </row>
    <row r="42" spans="2:13" x14ac:dyDescent="0.2">
      <c r="B42" s="47" t="s">
        <v>93</v>
      </c>
      <c r="C42" s="53"/>
      <c r="D42" s="53"/>
      <c r="E42" s="53"/>
      <c r="F42" s="53"/>
      <c r="G42" s="62"/>
      <c r="I42" s="57">
        <v>-0.2</v>
      </c>
      <c r="J42" s="57">
        <v>-0.1</v>
      </c>
      <c r="K42" s="57">
        <v>0.15</v>
      </c>
      <c r="L42" s="57">
        <v>0.15</v>
      </c>
      <c r="M42" s="57">
        <v>0.15</v>
      </c>
    </row>
    <row r="43" spans="2:13" x14ac:dyDescent="0.2">
      <c r="B43" s="47"/>
      <c r="C43" s="47"/>
      <c r="D43" s="47"/>
      <c r="E43" s="47"/>
      <c r="F43" s="47"/>
      <c r="I43" s="56"/>
      <c r="J43" s="56"/>
      <c r="K43" s="56"/>
      <c r="L43" s="56"/>
      <c r="M43" s="56"/>
    </row>
    <row r="44" spans="2:13" x14ac:dyDescent="0.2">
      <c r="B44" s="47" t="s">
        <v>101</v>
      </c>
      <c r="C44" s="49">
        <f>'P&amp;L Source'!D21</f>
        <v>239693041</v>
      </c>
      <c r="D44" s="49">
        <f>'P&amp;L Source'!E21</f>
        <v>149398274</v>
      </c>
      <c r="E44" s="49">
        <f>'P&amp;L Source'!F21</f>
        <v>126636587</v>
      </c>
      <c r="F44" s="49">
        <f>'P&amp;L Source'!G21</f>
        <v>162981942</v>
      </c>
      <c r="G44" s="49">
        <f>'P&amp;L Source'!H21</f>
        <v>579855635</v>
      </c>
      <c r="I44" s="56">
        <f>G44*(1+I45)</f>
        <v>597251304.05000007</v>
      </c>
      <c r="J44" s="56">
        <f>I44*(1+J45)</f>
        <v>615168843.17150009</v>
      </c>
      <c r="K44" s="56">
        <f>J44*(1+K45)</f>
        <v>633623908.46664512</v>
      </c>
      <c r="L44" s="56">
        <f>K44*(1+L45)</f>
        <v>652632625.72064447</v>
      </c>
      <c r="M44" s="56">
        <f>L44*(1+M45)</f>
        <v>672211604.49226379</v>
      </c>
    </row>
    <row r="45" spans="2:13" x14ac:dyDescent="0.2">
      <c r="B45" s="47" t="s">
        <v>96</v>
      </c>
      <c r="C45" s="51">
        <f>C44/C8</f>
        <v>2.4468682112840805E-2</v>
      </c>
      <c r="D45" s="51">
        <f t="shared" ref="D45:G45" si="14">D44/D8</f>
        <v>1.3213463013448567E-2</v>
      </c>
      <c r="E45" s="51">
        <f t="shared" si="14"/>
        <v>9.7172159148346034E-3</v>
      </c>
      <c r="F45" s="51">
        <f t="shared" si="14"/>
        <v>1.1529776924027629E-2</v>
      </c>
      <c r="G45" s="51">
        <f t="shared" si="14"/>
        <v>3.9923460189601592E-2</v>
      </c>
      <c r="I45" s="57">
        <f>+CHOOSE($C$4,I46,I47,I48)</f>
        <v>0.03</v>
      </c>
      <c r="J45" s="57">
        <f t="shared" ref="J45:M45" si="15">+CHOOSE($C$4,J46,J47,J48)</f>
        <v>0.03</v>
      </c>
      <c r="K45" s="57">
        <f t="shared" si="15"/>
        <v>0.03</v>
      </c>
      <c r="L45" s="57">
        <f t="shared" si="15"/>
        <v>0.03</v>
      </c>
      <c r="M45" s="57">
        <f t="shared" si="15"/>
        <v>0.03</v>
      </c>
    </row>
    <row r="46" spans="2:13" x14ac:dyDescent="0.2">
      <c r="B46" s="47" t="s">
        <v>91</v>
      </c>
      <c r="C46" s="53"/>
      <c r="D46" s="53"/>
      <c r="E46" s="53"/>
      <c r="F46" s="53"/>
      <c r="G46" s="62"/>
      <c r="I46" s="57">
        <v>0.03</v>
      </c>
      <c r="J46" s="57">
        <v>0.03</v>
      </c>
      <c r="K46" s="57">
        <v>0.03</v>
      </c>
      <c r="L46" s="57">
        <v>0.03</v>
      </c>
      <c r="M46" s="57">
        <v>0.03</v>
      </c>
    </row>
    <row r="47" spans="2:13" x14ac:dyDescent="0.2">
      <c r="B47" s="47" t="s">
        <v>92</v>
      </c>
      <c r="C47" s="53"/>
      <c r="D47" s="53"/>
      <c r="E47" s="53"/>
      <c r="F47" s="53"/>
      <c r="G47" s="62"/>
      <c r="I47" s="57">
        <v>0.02</v>
      </c>
      <c r="J47" s="57">
        <v>0.02</v>
      </c>
      <c r="K47" s="57">
        <v>0.02</v>
      </c>
      <c r="L47" s="57">
        <v>0.02</v>
      </c>
      <c r="M47" s="57">
        <v>0.02</v>
      </c>
    </row>
    <row r="48" spans="2:13" x14ac:dyDescent="0.2">
      <c r="B48" s="47" t="s">
        <v>93</v>
      </c>
      <c r="C48" s="53"/>
      <c r="D48" s="53"/>
      <c r="E48" s="53"/>
      <c r="F48" s="53"/>
      <c r="G48" s="62"/>
      <c r="I48" s="57">
        <v>0.01</v>
      </c>
      <c r="J48" s="57">
        <v>0.01</v>
      </c>
      <c r="K48" s="57">
        <v>0.01</v>
      </c>
      <c r="L48" s="57">
        <v>0.01</v>
      </c>
      <c r="M48" s="57">
        <v>0.01</v>
      </c>
    </row>
    <row r="49" spans="2:13" ht="12" customHeight="1" x14ac:dyDescent="0.2">
      <c r="B49" s="47"/>
      <c r="C49" s="47"/>
      <c r="D49" s="47"/>
      <c r="E49" s="47"/>
      <c r="F49" s="47"/>
      <c r="I49" s="56"/>
      <c r="J49" s="56"/>
      <c r="K49" s="56"/>
      <c r="L49" s="56"/>
      <c r="M49" s="56"/>
    </row>
    <row r="50" spans="2:13" ht="12" customHeight="1" x14ac:dyDescent="0.2">
      <c r="B50" s="63" t="s">
        <v>5</v>
      </c>
      <c r="C50" s="49">
        <f>'P&amp;L Source'!D23</f>
        <v>-188004407</v>
      </c>
      <c r="D50" s="49">
        <f>'P&amp;L Source'!E23</f>
        <v>-220758870</v>
      </c>
      <c r="E50" s="49">
        <f>'P&amp;L Source'!F23</f>
        <v>-236698275</v>
      </c>
      <c r="F50" s="49">
        <f>'P&amp;L Source'!G23</f>
        <v>-264825282</v>
      </c>
      <c r="G50" s="49">
        <f>'P&amp;L Source'!H23</f>
        <v>-308242500</v>
      </c>
      <c r="I50" s="56">
        <f>'P&amp;L Statement'!J25</f>
        <v>-347117176.45366663</v>
      </c>
      <c r="J50" s="56">
        <f>'P&amp;L Statement'!K25</f>
        <v>-389997596.90648586</v>
      </c>
      <c r="K50" s="56">
        <f>'P&amp;L Statement'!L25</f>
        <v>-429471484.44888645</v>
      </c>
      <c r="L50" s="56">
        <f>'P&amp;L Statement'!M25</f>
        <v>-474312432.3628056</v>
      </c>
      <c r="M50" s="56">
        <f>'P&amp;L Statement'!N25</f>
        <v>-525941324.20815879</v>
      </c>
    </row>
    <row r="51" spans="2:13" x14ac:dyDescent="0.2">
      <c r="B51" s="47" t="s">
        <v>99</v>
      </c>
      <c r="C51" s="52">
        <v>0.05</v>
      </c>
      <c r="D51" s="52">
        <v>0.05</v>
      </c>
      <c r="E51" s="52">
        <v>0.05</v>
      </c>
      <c r="F51" s="52">
        <v>0.05</v>
      </c>
      <c r="G51" s="52">
        <v>0.05</v>
      </c>
      <c r="I51" s="57">
        <f t="shared" ref="I51:M51" si="16">+CHOOSE($C$4,I52,I53,I54)</f>
        <v>0.05</v>
      </c>
      <c r="J51" s="57">
        <f t="shared" si="16"/>
        <v>0.05</v>
      </c>
      <c r="K51" s="57">
        <f t="shared" si="16"/>
        <v>0.05</v>
      </c>
      <c r="L51" s="57">
        <f t="shared" si="16"/>
        <v>0.05</v>
      </c>
      <c r="M51" s="57">
        <f t="shared" si="16"/>
        <v>0.05</v>
      </c>
    </row>
    <row r="52" spans="2:13" x14ac:dyDescent="0.2">
      <c r="B52" s="47" t="s">
        <v>91</v>
      </c>
      <c r="C52" s="53"/>
      <c r="D52" s="53"/>
      <c r="E52" s="53"/>
      <c r="F52" s="53"/>
      <c r="G52" s="62"/>
      <c r="I52" s="57">
        <v>0.05</v>
      </c>
      <c r="J52" s="57">
        <v>0.05</v>
      </c>
      <c r="K52" s="57">
        <v>0.05</v>
      </c>
      <c r="L52" s="57">
        <v>0.05</v>
      </c>
      <c r="M52" s="57">
        <v>0.05</v>
      </c>
    </row>
    <row r="53" spans="2:13" x14ac:dyDescent="0.2">
      <c r="B53" s="47" t="s">
        <v>92</v>
      </c>
      <c r="C53" s="53"/>
      <c r="D53" s="53"/>
      <c r="E53" s="53"/>
      <c r="F53" s="53"/>
      <c r="G53" s="62"/>
      <c r="I53" s="57">
        <v>0.05</v>
      </c>
      <c r="J53" s="57">
        <v>0.05</v>
      </c>
      <c r="K53" s="57">
        <v>0.05</v>
      </c>
      <c r="L53" s="57">
        <v>0.05</v>
      </c>
      <c r="M53" s="57">
        <v>0.05</v>
      </c>
    </row>
    <row r="54" spans="2:13" x14ac:dyDescent="0.2">
      <c r="B54" s="47" t="s">
        <v>93</v>
      </c>
      <c r="C54" s="53"/>
      <c r="D54" s="53"/>
      <c r="E54" s="53"/>
      <c r="F54" s="53"/>
      <c r="G54" s="62"/>
      <c r="I54" s="57">
        <v>0.05</v>
      </c>
      <c r="J54" s="57">
        <v>0.05</v>
      </c>
      <c r="K54" s="57">
        <v>0.05</v>
      </c>
      <c r="L54" s="57">
        <v>0.05</v>
      </c>
      <c r="M54" s="57">
        <v>0.05</v>
      </c>
    </row>
    <row r="55" spans="2:13" x14ac:dyDescent="0.2">
      <c r="I55" s="56"/>
      <c r="J55" s="56"/>
      <c r="K55" s="56"/>
      <c r="L55" s="56"/>
      <c r="M55" s="56"/>
    </row>
    <row r="56" spans="2:13" x14ac:dyDescent="0.2">
      <c r="B56" s="63" t="s">
        <v>6</v>
      </c>
      <c r="C56" s="49">
        <f>'P&amp;L Source'!D27</f>
        <v>-925845292</v>
      </c>
      <c r="D56" s="49">
        <f>'P&amp;L Source'!E27</f>
        <v>-1085738503</v>
      </c>
      <c r="E56" s="49">
        <f>'P&amp;L Source'!F27</f>
        <v>-943410886</v>
      </c>
      <c r="F56" s="49">
        <f>'P&amp;L Source'!G27</f>
        <v>-1159268355</v>
      </c>
      <c r="G56" s="49">
        <f>'P&amp;L Source'!H27</f>
        <v>-1250289667</v>
      </c>
      <c r="I56" s="56">
        <f>'P&amp;L Statement'!J29</f>
        <v>-1596739011.6868663</v>
      </c>
      <c r="J56" s="56">
        <f>'P&amp;L Statement'!K29</f>
        <v>-1793988945.7698352</v>
      </c>
      <c r="K56" s="56">
        <f>'P&amp;L Statement'!L29</f>
        <v>-1975568828.4648776</v>
      </c>
      <c r="L56" s="56">
        <f>'P&amp;L Statement'!M29</f>
        <v>-2181837188.8689055</v>
      </c>
      <c r="M56" s="56">
        <f>'P&amp;L Statement'!N29</f>
        <v>-2419330091.3575306</v>
      </c>
    </row>
    <row r="57" spans="2:13" x14ac:dyDescent="0.2">
      <c r="B57" s="47" t="s">
        <v>99</v>
      </c>
      <c r="C57" s="52">
        <f>-'P&amp;L Assumptions'!C56/'P&amp;L Source'!D25</f>
        <v>0.25918913431161306</v>
      </c>
      <c r="D57" s="52">
        <f>-'P&amp;L Assumptions'!D56/'P&amp;L Source'!E25</f>
        <v>0.25885316252569601</v>
      </c>
      <c r="E57" s="52">
        <f>-'P&amp;L Assumptions'!E56/'P&amp;L Source'!F25</f>
        <v>0.20977425540522754</v>
      </c>
      <c r="F57" s="52">
        <f>-'P&amp;L Assumptions'!F56/'P&amp;L Source'!G25</f>
        <v>0.23039387861243724</v>
      </c>
      <c r="G57" s="52">
        <f>-'P&amp;L Assumptions'!G56/'P&amp;L Source'!H25</f>
        <v>0.21348360248266035</v>
      </c>
      <c r="I57" s="57">
        <f t="shared" ref="I57" si="17">+CHOOSE($C$4,I58,I59,I60)</f>
        <v>0.23</v>
      </c>
      <c r="J57" s="57">
        <f t="shared" ref="J57" si="18">+CHOOSE($C$4,J58,J59,J60)</f>
        <v>0.23</v>
      </c>
      <c r="K57" s="57">
        <f t="shared" ref="K57" si="19">+CHOOSE($C$4,K58,K59,K60)</f>
        <v>0.23</v>
      </c>
      <c r="L57" s="57">
        <f t="shared" ref="L57" si="20">+CHOOSE($C$4,L58,L59,L60)</f>
        <v>0.23</v>
      </c>
      <c r="M57" s="57">
        <f t="shared" ref="M57" si="21">+CHOOSE($C$4,M58,M59,M60)</f>
        <v>0.23</v>
      </c>
    </row>
    <row r="58" spans="2:13" x14ac:dyDescent="0.2">
      <c r="B58" s="47" t="s">
        <v>91</v>
      </c>
      <c r="C58" s="53"/>
      <c r="D58" s="53"/>
      <c r="E58" s="53"/>
      <c r="F58" s="53"/>
      <c r="G58" s="62"/>
      <c r="I58" s="57">
        <v>0.23</v>
      </c>
      <c r="J58" s="57">
        <v>0.23</v>
      </c>
      <c r="K58" s="57">
        <v>0.23</v>
      </c>
      <c r="L58" s="57">
        <v>0.23</v>
      </c>
      <c r="M58" s="57">
        <v>0.23</v>
      </c>
    </row>
    <row r="59" spans="2:13" x14ac:dyDescent="0.2">
      <c r="B59" s="47" t="s">
        <v>92</v>
      </c>
      <c r="C59" s="53"/>
      <c r="D59" s="53"/>
      <c r="E59" s="53"/>
      <c r="F59" s="53"/>
      <c r="G59" s="62"/>
      <c r="I59" s="57">
        <v>0.23</v>
      </c>
      <c r="J59" s="57">
        <v>0.23</v>
      </c>
      <c r="K59" s="57">
        <v>0.23</v>
      </c>
      <c r="L59" s="57">
        <v>0.23</v>
      </c>
      <c r="M59" s="57">
        <v>0.23</v>
      </c>
    </row>
    <row r="60" spans="2:13" x14ac:dyDescent="0.2">
      <c r="B60" s="47" t="s">
        <v>93</v>
      </c>
      <c r="C60" s="53"/>
      <c r="D60" s="53"/>
      <c r="E60" s="53"/>
      <c r="F60" s="53"/>
      <c r="G60" s="62"/>
      <c r="I60" s="57">
        <v>0.23</v>
      </c>
      <c r="J60" s="57">
        <v>0.23</v>
      </c>
      <c r="K60" s="57">
        <v>0.23</v>
      </c>
      <c r="L60" s="57">
        <v>0.23</v>
      </c>
      <c r="M60" s="57">
        <v>0.23</v>
      </c>
    </row>
    <row r="61" spans="2:13" x14ac:dyDescent="0.2">
      <c r="I61" s="56"/>
      <c r="J61" s="56"/>
      <c r="K61" s="56"/>
      <c r="L61" s="56"/>
      <c r="M61" s="56"/>
    </row>
    <row r="62" spans="2:13" x14ac:dyDescent="0.2">
      <c r="B62" s="59" t="s">
        <v>78</v>
      </c>
      <c r="C62" s="49">
        <f>'P&amp;L Source'!D29</f>
        <v>-16269954</v>
      </c>
      <c r="D62" s="49">
        <f>'P&amp;L Source'!E29</f>
        <v>-24787868</v>
      </c>
      <c r="E62" s="49">
        <f>'P&amp;L Source'!F29</f>
        <v>18628563</v>
      </c>
      <c r="F62" s="49">
        <f>'P&amp;L Source'!G29</f>
        <v>17346325</v>
      </c>
      <c r="G62" s="49">
        <f>'P&amp;L Source'!H29</f>
        <v>17434047</v>
      </c>
      <c r="I62" s="56">
        <f>G62*(1+I63)</f>
        <v>19177451.700000003</v>
      </c>
      <c r="J62" s="56">
        <f>I62*(1+J63)</f>
        <v>21095196.870000005</v>
      </c>
      <c r="K62" s="56">
        <f>J62*(1+K63)</f>
        <v>23204716.557000007</v>
      </c>
      <c r="L62" s="56">
        <f>K62*(1+L63)</f>
        <v>25525188.212700009</v>
      </c>
      <c r="M62" s="56">
        <f>L62*(1+M63)</f>
        <v>28077707.033970013</v>
      </c>
    </row>
    <row r="63" spans="2:13" x14ac:dyDescent="0.2">
      <c r="B63" s="47" t="s">
        <v>90</v>
      </c>
      <c r="C63" s="52"/>
      <c r="D63" s="52">
        <f>-(D62/C62-1)</f>
        <v>-0.52353645253084302</v>
      </c>
      <c r="E63" s="52">
        <f>-(E62/D62-1)</f>
        <v>1.7515193722993845</v>
      </c>
      <c r="F63" s="52">
        <f t="shared" ref="F63:G63" si="22">F62/E62-1</f>
        <v>-6.88318256217616E-2</v>
      </c>
      <c r="G63" s="52">
        <f t="shared" si="22"/>
        <v>5.0570942260104168E-3</v>
      </c>
      <c r="I63" s="57">
        <f t="shared" ref="I63:J63" si="23">+CHOOSE($C$4,I64,I65,I66)</f>
        <v>0.1</v>
      </c>
      <c r="J63" s="57">
        <f t="shared" si="23"/>
        <v>0.1</v>
      </c>
      <c r="K63" s="57">
        <f t="shared" ref="K63" si="24">+CHOOSE($C$4,K64,K65,K66)</f>
        <v>0.1</v>
      </c>
      <c r="L63" s="57">
        <f t="shared" ref="L63" si="25">+CHOOSE($C$4,L64,L65,L66)</f>
        <v>0.1</v>
      </c>
      <c r="M63" s="57">
        <f t="shared" ref="M63" si="26">+CHOOSE($C$4,M64,M65,M66)</f>
        <v>0.1</v>
      </c>
    </row>
    <row r="64" spans="2:13" x14ac:dyDescent="0.2">
      <c r="B64" s="47" t="s">
        <v>91</v>
      </c>
      <c r="C64" s="53"/>
      <c r="D64" s="53"/>
      <c r="E64" s="53"/>
      <c r="F64" s="53"/>
      <c r="G64" s="62"/>
      <c r="I64" s="57">
        <v>0.1</v>
      </c>
      <c r="J64" s="57">
        <v>0.1</v>
      </c>
      <c r="K64" s="57">
        <v>0.1</v>
      </c>
      <c r="L64" s="57">
        <v>0.1</v>
      </c>
      <c r="M64" s="57">
        <v>0.1</v>
      </c>
    </row>
    <row r="65" spans="2:13" x14ac:dyDescent="0.2">
      <c r="B65" s="47" t="s">
        <v>92</v>
      </c>
      <c r="C65" s="53"/>
      <c r="D65" s="53"/>
      <c r="E65" s="53"/>
      <c r="F65" s="53"/>
      <c r="G65" s="62"/>
      <c r="I65" s="57">
        <v>0.05</v>
      </c>
      <c r="J65" s="57">
        <v>0.05</v>
      </c>
      <c r="K65" s="57">
        <v>0.05</v>
      </c>
      <c r="L65" s="57">
        <v>0.05</v>
      </c>
      <c r="M65" s="57">
        <v>0.05</v>
      </c>
    </row>
    <row r="66" spans="2:13" x14ac:dyDescent="0.2">
      <c r="B66" s="47" t="s">
        <v>93</v>
      </c>
      <c r="C66" s="53"/>
      <c r="D66" s="53"/>
      <c r="E66" s="53"/>
      <c r="F66" s="53"/>
      <c r="G66" s="62"/>
      <c r="I66" s="57">
        <v>-0.1</v>
      </c>
      <c r="J66" s="57">
        <v>-0.1</v>
      </c>
      <c r="K66" s="57">
        <v>-0.1</v>
      </c>
      <c r="L66" s="57">
        <v>-0.1</v>
      </c>
      <c r="M66" s="57">
        <v>-0.1</v>
      </c>
    </row>
  </sheetData>
  <pageMargins left="0.7" right="0.7" top="0.75" bottom="0.75" header="0.3" footer="0.3"/>
  <ignoredErrors>
    <ignoredError sqref="C26:G26" formulaRange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4B7CB-98F8-48A7-97B8-5EEB6BA10589}">
  <sheetPr codeName="Sheet9"/>
  <dimension ref="B1:N61"/>
  <sheetViews>
    <sheetView zoomScaleNormal="100" workbookViewId="0">
      <pane xSplit="2" ySplit="4" topLeftCell="C24" activePane="bottomRight" state="frozenSplit"/>
      <selection pane="topRight" activeCell="H1" sqref="H1"/>
      <selection pane="bottomLeft" activeCell="A16" sqref="A16"/>
      <selection pane="bottomRight" activeCell="B41" activeCellId="1" sqref="B5:M10 B41:M42"/>
    </sheetView>
  </sheetViews>
  <sheetFormatPr defaultRowHeight="11.4" x14ac:dyDescent="0.2"/>
  <cols>
    <col min="1" max="1" width="2" style="59" customWidth="1"/>
    <col min="2" max="2" width="21.6640625" style="59" customWidth="1"/>
    <col min="3" max="7" width="12.77734375" style="59" customWidth="1"/>
    <col min="8" max="8" width="8.88671875" style="59"/>
    <col min="9" max="13" width="12.77734375" style="59" customWidth="1"/>
    <col min="14" max="16384" width="8.88671875" style="59"/>
  </cols>
  <sheetData>
    <row r="1" spans="2:14" ht="15.6" x14ac:dyDescent="0.3">
      <c r="B1" s="83" t="s">
        <v>112</v>
      </c>
      <c r="C1" s="47"/>
      <c r="D1" s="47"/>
      <c r="E1" s="47"/>
      <c r="F1" s="47"/>
      <c r="G1" s="47"/>
      <c r="H1" s="47"/>
      <c r="I1" s="47"/>
      <c r="J1" s="47"/>
      <c r="K1" s="47"/>
    </row>
    <row r="2" spans="2:14" x14ac:dyDescent="0.2">
      <c r="B2" s="47"/>
      <c r="C2" s="47"/>
      <c r="D2" s="47"/>
      <c r="E2" s="47"/>
      <c r="F2" s="47"/>
      <c r="G2" s="47"/>
      <c r="H2" s="47"/>
      <c r="I2" s="47"/>
      <c r="J2" s="47"/>
      <c r="K2" s="47"/>
    </row>
    <row r="3" spans="2:14" x14ac:dyDescent="0.2">
      <c r="B3" s="47"/>
      <c r="C3" s="47"/>
      <c r="D3" s="47"/>
      <c r="E3" s="47"/>
      <c r="F3" s="47"/>
      <c r="G3" s="47"/>
      <c r="H3" s="47"/>
      <c r="I3" s="47"/>
      <c r="J3" s="47"/>
      <c r="K3" s="47"/>
    </row>
    <row r="4" spans="2:14" ht="24.6" thickBot="1" x14ac:dyDescent="0.3">
      <c r="B4" s="55" t="s">
        <v>88</v>
      </c>
      <c r="C4" s="60" t="s">
        <v>62</v>
      </c>
      <c r="D4" s="60" t="s">
        <v>63</v>
      </c>
      <c r="E4" s="60" t="s">
        <v>64</v>
      </c>
      <c r="F4" s="60" t="s">
        <v>65</v>
      </c>
      <c r="G4" s="60" t="s">
        <v>66</v>
      </c>
      <c r="H4" s="61"/>
      <c r="I4" s="58" t="s">
        <v>102</v>
      </c>
      <c r="J4" s="58" t="s">
        <v>103</v>
      </c>
      <c r="K4" s="58" t="s">
        <v>104</v>
      </c>
      <c r="L4" s="58" t="s">
        <v>105</v>
      </c>
      <c r="M4" s="58" t="s">
        <v>106</v>
      </c>
      <c r="N4" s="84"/>
    </row>
    <row r="5" spans="2:14" ht="12" x14ac:dyDescent="0.25">
      <c r="B5" s="48" t="s">
        <v>124</v>
      </c>
    </row>
    <row r="6" spans="2:14" x14ac:dyDescent="0.2">
      <c r="B6" s="47" t="s">
        <v>113</v>
      </c>
      <c r="C6" s="49">
        <f>'BS Source'!D16</f>
        <v>43955943</v>
      </c>
      <c r="D6" s="49">
        <f>'BS Source'!E16</f>
        <v>65033298</v>
      </c>
      <c r="E6" s="49">
        <f>'BS Source'!F16</f>
        <v>52229788</v>
      </c>
      <c r="F6" s="49">
        <f>'BS Source'!G16</f>
        <v>60694023</v>
      </c>
      <c r="G6" s="49">
        <f>'BS Source'!H16</f>
        <v>38200323</v>
      </c>
      <c r="I6" s="95">
        <f>(I7*'P&amp;L Statement'!J4)/360</f>
        <v>66569171.304166675</v>
      </c>
      <c r="J6" s="95">
        <f>(J7*'P&amp;L Statement'!K4)/360</f>
        <v>73226088.434583351</v>
      </c>
      <c r="K6" s="95">
        <f>(K7*'P&amp;L Statement'!L4)/360</f>
        <v>80548697.278041676</v>
      </c>
      <c r="L6" s="95">
        <f>(L7*'P&amp;L Statement'!M4)/360</f>
        <v>88603567.00584586</v>
      </c>
      <c r="M6" s="95">
        <f>(M7*'P&amp;L Statement'!N4)/360</f>
        <v>97463923.706430435</v>
      </c>
      <c r="N6" s="49"/>
    </row>
    <row r="7" spans="2:14" x14ac:dyDescent="0.2">
      <c r="B7" s="85" t="s">
        <v>114</v>
      </c>
      <c r="C7" s="85"/>
      <c r="D7" s="85">
        <f>(360*((C6+D6)/2))/'P&amp;L Statement'!D4</f>
        <v>2.0026787365711765</v>
      </c>
      <c r="E7" s="85">
        <f>(360*((D6+E6)/2))/'P&amp;L Statement'!E4</f>
        <v>1.8668305428126359</v>
      </c>
      <c r="F7" s="85">
        <f>(360*((E6+F6)/2))/'P&amp;L Statement'!F4</f>
        <v>1.5596986170697689</v>
      </c>
      <c r="G7" s="85">
        <f>(360*((F6+G6)/2))/'P&amp;L Statement'!G4</f>
        <v>1.2592889261128617</v>
      </c>
      <c r="I7" s="96">
        <v>1.5</v>
      </c>
      <c r="J7" s="96">
        <v>1.5</v>
      </c>
      <c r="K7" s="96">
        <v>1.5</v>
      </c>
      <c r="L7" s="96">
        <v>1.5</v>
      </c>
      <c r="M7" s="96">
        <v>1.5</v>
      </c>
      <c r="N7" s="85"/>
    </row>
    <row r="8" spans="2:14" x14ac:dyDescent="0.2">
      <c r="B8" s="47"/>
      <c r="C8" s="49"/>
      <c r="D8" s="49"/>
      <c r="E8" s="49"/>
      <c r="F8" s="47"/>
      <c r="I8" s="95"/>
      <c r="J8" s="95"/>
      <c r="K8" s="95"/>
      <c r="L8" s="95"/>
      <c r="M8" s="95"/>
      <c r="N8" s="47"/>
    </row>
    <row r="9" spans="2:14" x14ac:dyDescent="0.2">
      <c r="B9" s="47" t="s">
        <v>115</v>
      </c>
      <c r="C9" s="49">
        <f>'BS Source'!D17</f>
        <v>1632102325</v>
      </c>
      <c r="D9" s="49">
        <f>'BS Source'!E17</f>
        <v>1980451778</v>
      </c>
      <c r="E9" s="49">
        <f>'BS Source'!F17</f>
        <v>2332427872</v>
      </c>
      <c r="F9" s="49">
        <f>'BS Source'!G17</f>
        <v>2528550222</v>
      </c>
      <c r="G9" s="49">
        <f>'BS Source'!H17</f>
        <v>3351467544</v>
      </c>
      <c r="I9" s="95">
        <f>-(I10*'P&amp;L Statement'!J8)/360</f>
        <v>2795905194.7750006</v>
      </c>
      <c r="J9" s="95">
        <f>-(J10*'P&amp;L Statement'!K8)/360</f>
        <v>3075495714.2525005</v>
      </c>
      <c r="K9" s="95">
        <f>-(K10*'P&amp;L Statement'!L8)/360</f>
        <v>3383045285.6777506</v>
      </c>
      <c r="L9" s="95">
        <f>-(L10*'P&amp;L Statement'!M8)/360</f>
        <v>3721349814.2455254</v>
      </c>
      <c r="M9" s="95">
        <f>-(M10*'P&amp;L Statement'!N8)/360</f>
        <v>4093484795.6700778</v>
      </c>
      <c r="N9" s="49"/>
    </row>
    <row r="10" spans="2:14" x14ac:dyDescent="0.2">
      <c r="B10" s="85" t="s">
        <v>116</v>
      </c>
      <c r="C10" s="85"/>
      <c r="D10" s="85">
        <f>-((C9+D9)/2*360/'P&amp;L Statement'!E8)</f>
        <v>139.77286986354085</v>
      </c>
      <c r="E10" s="85">
        <f>-((D9+E9)/2*360/'P&amp;L Statement'!F8)</f>
        <v>130.23736244489405</v>
      </c>
      <c r="F10" s="85">
        <f>-((E9+F9)/2*360/'P&amp;L Statement'!G8)</f>
        <v>128.46130086385645</v>
      </c>
      <c r="G10" s="85">
        <f>-((F9+G9)/2*360/'P&amp;L Statement'!H8)</f>
        <v>173.53003952755606</v>
      </c>
      <c r="I10" s="96">
        <v>150</v>
      </c>
      <c r="J10" s="96">
        <v>150</v>
      </c>
      <c r="K10" s="96">
        <v>150</v>
      </c>
      <c r="L10" s="96">
        <v>150</v>
      </c>
      <c r="M10" s="96">
        <v>150</v>
      </c>
      <c r="N10" s="85"/>
    </row>
    <row r="11" spans="2:14" x14ac:dyDescent="0.2">
      <c r="B11" s="47"/>
      <c r="C11" s="49"/>
      <c r="D11" s="49"/>
      <c r="E11" s="49"/>
      <c r="F11" s="47"/>
      <c r="I11" s="95"/>
      <c r="J11" s="95"/>
      <c r="K11" s="95"/>
      <c r="L11" s="95"/>
      <c r="M11" s="95"/>
      <c r="N11" s="47"/>
    </row>
    <row r="12" spans="2:14" ht="26.4" x14ac:dyDescent="0.2">
      <c r="B12" s="5" t="s">
        <v>13</v>
      </c>
      <c r="C12" s="93">
        <f>'BS Source'!D18</f>
        <v>601458728</v>
      </c>
      <c r="D12" s="93">
        <f>'BS Source'!E18</f>
        <v>412773542</v>
      </c>
      <c r="E12" s="93">
        <f>'BS Source'!F18</f>
        <v>748075043</v>
      </c>
      <c r="F12" s="93">
        <f>'BS Source'!G18</f>
        <v>1028621890</v>
      </c>
      <c r="G12" s="93">
        <f>'BS Source'!H18</f>
        <v>756713830</v>
      </c>
      <c r="I12" s="95">
        <f>-'P&amp;L Assumptions'!I26*I13</f>
        <v>849955179.2116003</v>
      </c>
      <c r="J12" s="95">
        <f>-'P&amp;L Assumptions'!J26*J13</f>
        <v>934950697.13276017</v>
      </c>
      <c r="K12" s="95">
        <f>-'P&amp;L Assumptions'!K26*K13</f>
        <v>1028445766.8460362</v>
      </c>
      <c r="L12" s="95">
        <f>-'P&amp;L Assumptions'!L26*L13</f>
        <v>1131290343.5306399</v>
      </c>
      <c r="M12" s="95">
        <f>-'P&amp;L Assumptions'!M26*M13</f>
        <v>1244419377.8837039</v>
      </c>
      <c r="N12" s="49"/>
    </row>
    <row r="13" spans="2:14" x14ac:dyDescent="0.2">
      <c r="B13" s="85" t="s">
        <v>172</v>
      </c>
      <c r="C13" s="52">
        <f>-C12/'P&amp;L Assumptions'!C26</f>
        <v>0.29613278280170047</v>
      </c>
      <c r="D13" s="52">
        <f>-D12/'P&amp;L Assumptions'!D26</f>
        <v>0.17584339341225336</v>
      </c>
      <c r="E13" s="52">
        <f>-E12/'P&amp;L Assumptions'!E26</f>
        <v>0.32095604406886802</v>
      </c>
      <c r="F13" s="52">
        <f>-F12/'P&amp;L Assumptions'!F26</f>
        <v>0.48708658908916935</v>
      </c>
      <c r="G13" s="52">
        <f>-G12/'P&amp;L Assumptions'!G26</f>
        <v>0.34252971123419007</v>
      </c>
      <c r="I13" s="57">
        <v>0.38</v>
      </c>
      <c r="J13" s="57">
        <v>0.38</v>
      </c>
      <c r="K13" s="57">
        <v>0.38</v>
      </c>
      <c r="L13" s="57">
        <v>0.38</v>
      </c>
      <c r="M13" s="57">
        <v>0.38</v>
      </c>
      <c r="N13" s="85"/>
    </row>
    <row r="14" spans="2:14" x14ac:dyDescent="0.2">
      <c r="I14" s="95"/>
      <c r="J14" s="95"/>
      <c r="K14" s="95"/>
      <c r="L14" s="95"/>
      <c r="M14" s="95"/>
      <c r="N14" s="47"/>
    </row>
    <row r="15" spans="2:14" ht="13.2" x14ac:dyDescent="0.2">
      <c r="B15" s="5" t="s">
        <v>14</v>
      </c>
      <c r="C15" s="93">
        <f>'BS Source'!D19</f>
        <v>1379698685</v>
      </c>
      <c r="D15" s="93">
        <f>'BS Source'!E19</f>
        <v>1509451168</v>
      </c>
      <c r="E15" s="93">
        <f>'BS Source'!F19</f>
        <v>2034679797</v>
      </c>
      <c r="F15" s="93">
        <f>'BS Source'!G19</f>
        <v>4123695693</v>
      </c>
      <c r="G15" s="93">
        <f>'BS Source'!H19</f>
        <v>8980505089</v>
      </c>
      <c r="I15" s="95">
        <f>'P&amp;L Assumptions'!I8*I16</f>
        <v>5591810389.5500002</v>
      </c>
      <c r="J15" s="95">
        <f>'P&amp;L Assumptions'!J8*J16</f>
        <v>6150991428.5050011</v>
      </c>
      <c r="K15" s="95">
        <f>'P&amp;L Assumptions'!K8*K16</f>
        <v>6766090571.3555012</v>
      </c>
      <c r="L15" s="95">
        <f>'P&amp;L Assumptions'!L8*L16</f>
        <v>7442699628.4910507</v>
      </c>
      <c r="M15" s="95">
        <f>'P&amp;L Assumptions'!M8*M16</f>
        <v>8186969591.3401556</v>
      </c>
    </row>
    <row r="16" spans="2:14" x14ac:dyDescent="0.2">
      <c r="B16" s="85" t="s">
        <v>120</v>
      </c>
      <c r="C16" s="91">
        <f>C15/'P&amp;L Assumptions'!C8</f>
        <v>0.14084434155420258</v>
      </c>
      <c r="D16" s="91">
        <f>D15/'P&amp;L Assumptions'!D8</f>
        <v>0.13350272827766899</v>
      </c>
      <c r="E16" s="91">
        <f>E15/'P&amp;L Assumptions'!E8</f>
        <v>0.15612725653290735</v>
      </c>
      <c r="F16" s="91">
        <f>F15/'P&amp;L Assumptions'!F8</f>
        <v>0.29172122297366859</v>
      </c>
      <c r="G16" s="91">
        <f>G15/'P&amp;L Assumptions'!G8</f>
        <v>0.61831396603260746</v>
      </c>
      <c r="I16" s="91">
        <v>0.35</v>
      </c>
      <c r="J16" s="91">
        <v>0.35</v>
      </c>
      <c r="K16" s="91">
        <v>0.35</v>
      </c>
      <c r="L16" s="91">
        <v>0.35</v>
      </c>
      <c r="M16" s="91">
        <v>0.35</v>
      </c>
    </row>
    <row r="18" spans="2:14" ht="12" x14ac:dyDescent="0.25">
      <c r="B18" s="148" t="s">
        <v>169</v>
      </c>
      <c r="C18" s="49"/>
      <c r="D18" s="49"/>
      <c r="E18" s="49"/>
      <c r="F18" s="47"/>
      <c r="I18" s="95"/>
      <c r="J18" s="95"/>
      <c r="K18" s="95"/>
      <c r="L18" s="95"/>
      <c r="M18" s="95"/>
    </row>
    <row r="19" spans="2:14" x14ac:dyDescent="0.2">
      <c r="B19" s="47" t="s">
        <v>119</v>
      </c>
      <c r="C19" s="49">
        <f>'BS Source'!D7</f>
        <v>646996533</v>
      </c>
      <c r="D19" s="49">
        <f>'BS Source'!E7</f>
        <v>771868265</v>
      </c>
      <c r="E19" s="49">
        <f>'BS Source'!F7</f>
        <v>981096486</v>
      </c>
      <c r="F19" s="49">
        <f>'BS Source'!G7</f>
        <v>1304594243</v>
      </c>
      <c r="G19" s="49">
        <f>'BS Source'!H7</f>
        <v>1414648907</v>
      </c>
      <c r="I19" s="95">
        <f>I20*'P&amp;L Assumptions'!I8</f>
        <v>1597660111.3000002</v>
      </c>
      <c r="J19" s="95">
        <f>J20*'P&amp;L Assumptions'!J8</f>
        <v>1757426122.4300003</v>
      </c>
      <c r="K19" s="95">
        <f>K20*'P&amp;L Assumptions'!K8</f>
        <v>1933168734.6730003</v>
      </c>
      <c r="L19" s="95">
        <f>L20*'P&amp;L Assumptions'!L8</f>
        <v>2126485608.1403005</v>
      </c>
      <c r="M19" s="95">
        <f>M20*'P&amp;L Assumptions'!M8</f>
        <v>2339134168.9543304</v>
      </c>
    </row>
    <row r="20" spans="2:14" x14ac:dyDescent="0.2">
      <c r="B20" s="85" t="s">
        <v>120</v>
      </c>
      <c r="C20" s="86">
        <f>C19/'P&amp;L Assumptions'!C8</f>
        <v>6.6047610010034105E-2</v>
      </c>
      <c r="D20" s="86">
        <f>D19/'P&amp;L Assumptions'!D8</f>
        <v>6.8267540834054188E-2</v>
      </c>
      <c r="E20" s="86">
        <f>E19/'P&amp;L Assumptions'!E8</f>
        <v>7.5282559437167273E-2</v>
      </c>
      <c r="F20" s="86">
        <f>F19/'P&amp;L Assumptions'!F8</f>
        <v>9.2290473494055503E-2</v>
      </c>
      <c r="G20" s="86">
        <f>G19/'P&amp;L Assumptions'!G8</f>
        <v>9.7399552426317121E-2</v>
      </c>
      <c r="I20" s="160">
        <v>0.1</v>
      </c>
      <c r="J20" s="160">
        <v>0.1</v>
      </c>
      <c r="K20" s="160">
        <v>0.1</v>
      </c>
      <c r="L20" s="160">
        <v>0.1</v>
      </c>
      <c r="M20" s="160">
        <v>0.1</v>
      </c>
    </row>
    <row r="21" spans="2:14" x14ac:dyDescent="0.2">
      <c r="B21" s="47"/>
      <c r="C21" s="49"/>
      <c r="D21" s="49"/>
      <c r="E21" s="49"/>
      <c r="F21" s="47"/>
      <c r="I21" s="96"/>
      <c r="J21" s="96"/>
      <c r="K21" s="96"/>
      <c r="L21" s="96"/>
      <c r="M21" s="96"/>
      <c r="N21" s="47"/>
    </row>
    <row r="22" spans="2:14" ht="13.2" x14ac:dyDescent="0.2">
      <c r="B22" s="5" t="s">
        <v>10</v>
      </c>
      <c r="C22" s="59" t="str">
        <f>'BS Source'!D8</f>
        <v>-</v>
      </c>
      <c r="D22" s="59" t="str">
        <f>'BS Source'!E8</f>
        <v>–</v>
      </c>
      <c r="E22" s="64">
        <f>'BS Source'!F8</f>
        <v>12825500</v>
      </c>
      <c r="F22" s="64">
        <f>'BS Source'!G8</f>
        <v>8103932</v>
      </c>
      <c r="G22" s="64">
        <f>'BS Source'!H8</f>
        <v>1319156</v>
      </c>
      <c r="I22" s="95">
        <f>G22</f>
        <v>1319156</v>
      </c>
      <c r="J22" s="95">
        <f>I22</f>
        <v>1319156</v>
      </c>
      <c r="K22" s="95">
        <f t="shared" ref="K22:L22" si="0">I22</f>
        <v>1319156</v>
      </c>
      <c r="L22" s="95">
        <f t="shared" si="0"/>
        <v>1319156</v>
      </c>
      <c r="M22" s="95">
        <f>K22</f>
        <v>1319156</v>
      </c>
      <c r="N22" s="49"/>
    </row>
    <row r="23" spans="2:14" x14ac:dyDescent="0.2">
      <c r="B23" s="59" t="s">
        <v>122</v>
      </c>
      <c r="D23" s="59" t="e">
        <f>D22/C22-1</f>
        <v>#VALUE!</v>
      </c>
      <c r="E23" s="59" t="e">
        <f t="shared" ref="E23:G23" si="1">E22/D22-1</f>
        <v>#VALUE!</v>
      </c>
      <c r="F23" s="59">
        <f t="shared" si="1"/>
        <v>-0.36813909789092047</v>
      </c>
      <c r="G23" s="59">
        <f t="shared" si="1"/>
        <v>-0.83722025308208414</v>
      </c>
      <c r="I23" s="95"/>
      <c r="J23" s="95"/>
      <c r="K23" s="95"/>
      <c r="L23" s="95"/>
      <c r="M23" s="95"/>
      <c r="N23" s="86"/>
    </row>
    <row r="24" spans="2:14" x14ac:dyDescent="0.2">
      <c r="I24" s="95"/>
      <c r="J24" s="95"/>
      <c r="K24" s="95"/>
      <c r="L24" s="95"/>
      <c r="M24" s="95"/>
      <c r="N24" s="90"/>
    </row>
    <row r="25" spans="2:14" ht="13.2" x14ac:dyDescent="0.2">
      <c r="B25" s="5" t="s">
        <v>11</v>
      </c>
      <c r="C25" s="64">
        <f>'BS Source'!D9</f>
        <v>1629290</v>
      </c>
      <c r="D25" s="64">
        <f>'BS Source'!E9</f>
        <v>226084</v>
      </c>
      <c r="E25" s="64">
        <f>'BS Source'!F9</f>
        <v>51883</v>
      </c>
      <c r="F25" s="64">
        <f>'BS Source'!G9</f>
        <v>553054</v>
      </c>
      <c r="G25" s="64">
        <f>'BS Source'!H9</f>
        <v>242273</v>
      </c>
      <c r="I25" s="95">
        <f>'P&amp;L Assumptions'!I8*'BS Assumptions'!I26</f>
        <v>782853.45453700004</v>
      </c>
      <c r="J25" s="95">
        <f>'P&amp;L Assumptions'!J8*'BS Assumptions'!J26</f>
        <v>861138.79999070009</v>
      </c>
      <c r="K25" s="95">
        <f>'P&amp;L Assumptions'!K8*'BS Assumptions'!K26</f>
        <v>947252.67998977017</v>
      </c>
      <c r="L25" s="95">
        <f>'P&amp;L Assumptions'!L8*'BS Assumptions'!L26</f>
        <v>1041977.9479887472</v>
      </c>
      <c r="M25" s="95">
        <f>'P&amp;L Assumptions'!M8*'BS Assumptions'!M26</f>
        <v>1146175.7427876219</v>
      </c>
      <c r="N25" s="49"/>
    </row>
    <row r="26" spans="2:14" x14ac:dyDescent="0.2">
      <c r="B26" s="59" t="s">
        <v>122</v>
      </c>
      <c r="C26" s="92">
        <f>C25/'P&amp;L Assumptions'!C8</f>
        <v>1.6632347319432773E-4</v>
      </c>
      <c r="D26" s="92">
        <f>D25/'P&amp;L Assumptions'!D8</f>
        <v>1.9995897488966341E-5</v>
      </c>
      <c r="E26" s="92">
        <f>E25/'P&amp;L Assumptions'!E8</f>
        <v>3.9811426164648901E-6</v>
      </c>
      <c r="F26" s="92">
        <f>F25/'P&amp;L Assumptions'!F8</f>
        <v>3.9124513849154992E-5</v>
      </c>
      <c r="G26" s="92">
        <f>G25/'P&amp;L Assumptions'!G8</f>
        <v>1.6680663059375712E-5</v>
      </c>
      <c r="I26" s="98">
        <v>4.8999999999999998E-5</v>
      </c>
      <c r="J26" s="98">
        <v>4.8999999999999998E-5</v>
      </c>
      <c r="K26" s="98">
        <v>4.8999999999999998E-5</v>
      </c>
      <c r="L26" s="98">
        <v>4.8999999999999998E-5</v>
      </c>
      <c r="M26" s="98">
        <v>4.8999999999999998E-5</v>
      </c>
      <c r="N26" s="86"/>
    </row>
    <row r="27" spans="2:14" x14ac:dyDescent="0.2">
      <c r="I27" s="95"/>
      <c r="J27" s="95"/>
      <c r="K27" s="95"/>
      <c r="L27" s="95"/>
      <c r="M27" s="95"/>
    </row>
    <row r="28" spans="2:14" ht="13.2" x14ac:dyDescent="0.2">
      <c r="B28" s="5" t="s">
        <v>12</v>
      </c>
      <c r="C28" s="64">
        <f>'BS Source'!D10</f>
        <v>175398286</v>
      </c>
      <c r="D28" s="64">
        <f>'BS Source'!E10</f>
        <v>164593633</v>
      </c>
      <c r="E28" s="64">
        <f>'BS Source'!F10</f>
        <v>292715995</v>
      </c>
      <c r="F28" s="64">
        <f>'BS Source'!G10</f>
        <v>266911631</v>
      </c>
      <c r="G28" s="64">
        <f>'BS Source'!H10</f>
        <v>345911409</v>
      </c>
      <c r="I28" s="95">
        <f>'P&amp;L Assumptions'!I8*(I29)</f>
        <v>319532022.26000005</v>
      </c>
      <c r="J28" s="95">
        <f>'P&amp;L Assumptions'!J8*(J29)</f>
        <v>351485224.48600006</v>
      </c>
      <c r="K28" s="95">
        <f>'P&amp;L Assumptions'!K8*(K29)</f>
        <v>386633746.93460006</v>
      </c>
      <c r="L28" s="95">
        <f>'P&amp;L Assumptions'!L8*(L29)</f>
        <v>425297121.6280601</v>
      </c>
      <c r="M28" s="95">
        <f>'P&amp;L Assumptions'!M8*(M29)</f>
        <v>467826833.79086608</v>
      </c>
    </row>
    <row r="29" spans="2:14" x14ac:dyDescent="0.2">
      <c r="B29" s="85" t="s">
        <v>120</v>
      </c>
      <c r="C29" s="52">
        <f>C28/'P&amp;L Assumptions'!C8</f>
        <v>1.7905254509542209E-2</v>
      </c>
      <c r="D29" s="52">
        <f>D28/'P&amp;L Assumptions'!D8</f>
        <v>1.455740969199301E-2</v>
      </c>
      <c r="E29" s="52">
        <f>E28/'P&amp;L Assumptions'!E8</f>
        <v>2.2461001141326133E-2</v>
      </c>
      <c r="F29" s="52">
        <f>F28/'P&amp;L Assumptions'!F8</f>
        <v>1.8882040096554854E-2</v>
      </c>
      <c r="G29" s="52">
        <f>G28/'P&amp;L Assumptions'!G8</f>
        <v>2.3816238961514091E-2</v>
      </c>
      <c r="I29" s="57">
        <v>0.02</v>
      </c>
      <c r="J29" s="57">
        <v>0.02</v>
      </c>
      <c r="K29" s="57">
        <v>0.02</v>
      </c>
      <c r="L29" s="57">
        <v>0.02</v>
      </c>
      <c r="M29" s="57">
        <v>0.02</v>
      </c>
    </row>
    <row r="31" spans="2:14" ht="26.4" x14ac:dyDescent="0.2">
      <c r="B31" s="5" t="s">
        <v>13</v>
      </c>
      <c r="C31" s="64">
        <f>'BS Source'!D11</f>
        <v>22687928</v>
      </c>
      <c r="D31" s="64">
        <f>'BS Source'!E11</f>
        <v>133405058</v>
      </c>
      <c r="E31" s="64">
        <f>'BS Source'!F11</f>
        <v>73743809</v>
      </c>
      <c r="F31" s="64">
        <f>'BS Source'!G11</f>
        <v>65871163</v>
      </c>
      <c r="G31" s="64">
        <f>'BS Source'!H11</f>
        <v>54495117</v>
      </c>
      <c r="I31" s="95">
        <f>'P&amp;L Assumptions'!I8*(I32)</f>
        <v>159766011.13000003</v>
      </c>
      <c r="J31" s="95">
        <f>'P&amp;L Assumptions'!J8*(J32)</f>
        <v>175742612.24300003</v>
      </c>
      <c r="K31" s="95">
        <f>'P&amp;L Assumptions'!K8*(K32)</f>
        <v>193316873.46730003</v>
      </c>
      <c r="L31" s="95">
        <f>'P&amp;L Assumptions'!L8*(L32)</f>
        <v>212648560.81403005</v>
      </c>
      <c r="M31" s="95">
        <f>'P&amp;L Assumptions'!M8*(M32)</f>
        <v>233913416.89543304</v>
      </c>
    </row>
    <row r="32" spans="2:14" x14ac:dyDescent="0.2">
      <c r="B32" s="59" t="s">
        <v>173</v>
      </c>
      <c r="C32" s="91">
        <f>C31/'P&amp;L Assumptions'!C8</f>
        <v>2.316060974131577E-3</v>
      </c>
      <c r="D32" s="91">
        <f>D31/'P&amp;L Assumptions'!D8</f>
        <v>1.1798950232115538E-2</v>
      </c>
      <c r="E32" s="91">
        <f>E31/'P&amp;L Assumptions'!E8</f>
        <v>5.658589917898871E-3</v>
      </c>
      <c r="F32" s="91">
        <f>F31/'P&amp;L Assumptions'!F8</f>
        <v>4.6599016172985753E-3</v>
      </c>
      <c r="G32" s="91">
        <f>G31/'P&amp;L Assumptions'!G8</f>
        <v>3.7520263713177178E-3</v>
      </c>
      <c r="H32" s="91"/>
      <c r="I32" s="91">
        <v>0.01</v>
      </c>
      <c r="J32" s="91">
        <v>0.01</v>
      </c>
      <c r="K32" s="91">
        <v>0.01</v>
      </c>
      <c r="L32" s="91">
        <v>0.01</v>
      </c>
      <c r="M32" s="91">
        <v>0.01</v>
      </c>
    </row>
    <row r="34" spans="2:13" ht="13.2" x14ac:dyDescent="0.2">
      <c r="B34" s="5" t="s">
        <v>14</v>
      </c>
      <c r="C34" s="64">
        <f>'BS Source'!D12</f>
        <v>449448</v>
      </c>
      <c r="D34" s="64">
        <f>'BS Source'!E12</f>
        <v>304664442</v>
      </c>
      <c r="E34" s="64">
        <f>'BS Source'!F12</f>
        <v>726235</v>
      </c>
      <c r="F34" s="64">
        <f>'BS Source'!G12</f>
        <v>7086385</v>
      </c>
      <c r="G34" s="64">
        <f>'BS Source'!H12</f>
        <v>7355019</v>
      </c>
      <c r="I34" s="95">
        <f>G34*(1+I35)</f>
        <v>7428569.1900000004</v>
      </c>
      <c r="J34" s="95">
        <f>I34*(1+J35)</f>
        <v>7502854.8819000004</v>
      </c>
      <c r="K34" s="95">
        <f>J34*(1+K35)</f>
        <v>7577883.4307190003</v>
      </c>
      <c r="L34" s="95">
        <f>K34*(1+L35)</f>
        <v>7653662.2650261903</v>
      </c>
      <c r="M34" s="95">
        <f>L34*(1+M35)</f>
        <v>7730198.8876764523</v>
      </c>
    </row>
    <row r="35" spans="2:13" x14ac:dyDescent="0.2">
      <c r="B35" s="85" t="s">
        <v>120</v>
      </c>
      <c r="C35" s="91">
        <f>C34/'P&amp;L Assumptions'!C8</f>
        <v>4.5881182834390568E-5</v>
      </c>
      <c r="D35" s="91">
        <f>D34/'P&amp;L Assumptions'!D8</f>
        <v>2.694590926719773E-2</v>
      </c>
      <c r="E35" s="91">
        <f>E34/'P&amp;L Assumptions'!E8</f>
        <v>5.5726251528793238E-5</v>
      </c>
      <c r="F35" s="91">
        <f>F34/'P&amp;L Assumptions'!F8</f>
        <v>5.0130976011916414E-4</v>
      </c>
      <c r="G35" s="91">
        <f>G34/'P&amp;L Assumptions'!G8</f>
        <v>5.0639812828629893E-4</v>
      </c>
      <c r="I35" s="161">
        <v>0.01</v>
      </c>
      <c r="J35" s="161">
        <v>0.01</v>
      </c>
      <c r="K35" s="161">
        <v>0.01</v>
      </c>
      <c r="L35" s="161">
        <v>0.01</v>
      </c>
      <c r="M35" s="161">
        <v>0.01</v>
      </c>
    </row>
    <row r="37" spans="2:13" ht="13.2" x14ac:dyDescent="0.2">
      <c r="B37" s="5" t="s">
        <v>15</v>
      </c>
      <c r="C37" s="64">
        <f>'BS Source'!D13</f>
        <v>47345641</v>
      </c>
      <c r="D37" s="64">
        <f>'BS Source'!E13</f>
        <v>19167902</v>
      </c>
      <c r="E37" s="64">
        <f>'BS Source'!F13</f>
        <v>13850105</v>
      </c>
      <c r="F37" s="64">
        <f>'BS Source'!G13</f>
        <v>12486990</v>
      </c>
      <c r="G37" s="64">
        <f>'BS Source'!H13</f>
        <v>68821750</v>
      </c>
      <c r="I37" s="95">
        <f>-'P&amp;L Assumptions'!I26*(I38)</f>
        <v>33550862.33730001</v>
      </c>
      <c r="J37" s="95">
        <f>-'P&amp;L Assumptions'!J26*(J38)</f>
        <v>36905948.571030006</v>
      </c>
      <c r="K37" s="95">
        <f>-'P&amp;L Assumptions'!K26*(K38)</f>
        <v>40596543.428133003</v>
      </c>
      <c r="L37" s="95">
        <f>-'P&amp;L Assumptions'!L26*(L38)</f>
        <v>44656197.770946309</v>
      </c>
      <c r="M37" s="95">
        <f>-'P&amp;L Assumptions'!M26*(M38)</f>
        <v>49121817.548040941</v>
      </c>
    </row>
    <row r="38" spans="2:13" x14ac:dyDescent="0.2">
      <c r="B38" s="59" t="s">
        <v>174</v>
      </c>
      <c r="C38" s="52">
        <f>-C37/'P&amp;L Assumptions'!C26</f>
        <v>2.3310986723032948E-2</v>
      </c>
      <c r="D38" s="52">
        <f>-D37/'P&amp;L Assumptions'!D26</f>
        <v>8.165612834442568E-3</v>
      </c>
      <c r="E38" s="52">
        <f>-E37/'P&amp;L Assumptions'!E26</f>
        <v>5.9422847377872609E-3</v>
      </c>
      <c r="F38" s="52">
        <f>-F37/'P&amp;L Assumptions'!F26</f>
        <v>5.9130040165590557E-3</v>
      </c>
      <c r="G38" s="52">
        <f>-G37/'P&amp;L Assumptions'!G26</f>
        <v>3.1152455815604191E-2</v>
      </c>
      <c r="I38" s="161">
        <v>1.4999999999999999E-2</v>
      </c>
      <c r="J38" s="161">
        <v>1.4999999999999999E-2</v>
      </c>
      <c r="K38" s="161">
        <v>1.4999999999999999E-2</v>
      </c>
      <c r="L38" s="161">
        <v>1.4999999999999999E-2</v>
      </c>
      <c r="M38" s="161">
        <v>1.4999999999999999E-2</v>
      </c>
    </row>
    <row r="40" spans="2:13" ht="12" x14ac:dyDescent="0.25">
      <c r="B40" s="48" t="s">
        <v>170</v>
      </c>
    </row>
    <row r="41" spans="2:13" x14ac:dyDescent="0.2">
      <c r="B41" s="47" t="s">
        <v>117</v>
      </c>
      <c r="C41" s="49">
        <f>'BS Source'!M17</f>
        <v>2711929259</v>
      </c>
      <c r="D41" s="49">
        <f>'BS Source'!N17</f>
        <v>3082900365</v>
      </c>
      <c r="E41" s="49">
        <f>'BS Source'!O17</f>
        <v>3548037256</v>
      </c>
      <c r="F41" s="49">
        <f>'BS Source'!P17</f>
        <v>7106383606</v>
      </c>
      <c r="G41" s="49">
        <f>'BS Source'!Q17</f>
        <v>7168202840</v>
      </c>
      <c r="I41" s="95">
        <f>-I42*'P&amp;L Statement'!J8/360</f>
        <v>7455747186.0666676</v>
      </c>
      <c r="J41" s="95">
        <f>-J42*'P&amp;L Statement'!K8/360</f>
        <v>8201321904.6733341</v>
      </c>
      <c r="K41" s="95">
        <f>-K42*'P&amp;L Statement'!L8/360</f>
        <v>9021454095.1406689</v>
      </c>
      <c r="L41" s="95">
        <f>-L42*'P&amp;L Statement'!M8/360</f>
        <v>9923599504.6547337</v>
      </c>
      <c r="M41" s="95">
        <f>-M42*'P&amp;L Statement'!N8/360</f>
        <v>10915959455.120209</v>
      </c>
    </row>
    <row r="42" spans="2:13" x14ac:dyDescent="0.2">
      <c r="B42" s="85" t="s">
        <v>118</v>
      </c>
      <c r="C42" s="85"/>
      <c r="D42" s="85">
        <f>-((C41+D41)/2*360/'P&amp;L Statement'!E8)</f>
        <v>224.20701360406539</v>
      </c>
      <c r="E42" s="85">
        <f>-((D41+E41)/2*360/'P&amp;L Statement'!F8)</f>
        <v>200.23647687355722</v>
      </c>
      <c r="F42" s="85">
        <f>-((E41+F41)/2*360/'P&amp;L Statement'!G8)</f>
        <v>281.56489031969102</v>
      </c>
      <c r="G42" s="85">
        <f>-((F41+G41)/2*360/'P&amp;L Statement'!H8)</f>
        <v>421.26905883465929</v>
      </c>
      <c r="I42" s="96">
        <v>400</v>
      </c>
      <c r="J42" s="96">
        <v>400</v>
      </c>
      <c r="K42" s="96">
        <v>400</v>
      </c>
      <c r="L42" s="96">
        <v>400</v>
      </c>
      <c r="M42" s="96">
        <v>400</v>
      </c>
    </row>
    <row r="44" spans="2:13" ht="13.2" x14ac:dyDescent="0.2">
      <c r="B44" s="6" t="s">
        <v>26</v>
      </c>
      <c r="C44" s="64">
        <f>'BS Source'!M12</f>
        <v>167728340</v>
      </c>
      <c r="D44" s="64">
        <f>'BS Source'!N13</f>
        <v>32262856</v>
      </c>
      <c r="E44" s="64">
        <f>'BS Source'!O13</f>
        <v>43669953</v>
      </c>
      <c r="F44" s="64">
        <f>'BS Source'!P12</f>
        <v>46397509</v>
      </c>
      <c r="G44" s="64">
        <f>'BS Source'!Q12</f>
        <v>151868409</v>
      </c>
      <c r="H44" s="3"/>
      <c r="I44" s="95">
        <f>'P&amp;L Assumptions'!I8*(I45)</f>
        <v>119824508.34750001</v>
      </c>
      <c r="J44" s="95">
        <f>'P&amp;L Assumptions'!J8*(J45)</f>
        <v>131806959.18225002</v>
      </c>
      <c r="K44" s="95">
        <f>'P&amp;L Assumptions'!K8*(K45)</f>
        <v>144987655.10047501</v>
      </c>
      <c r="L44" s="95">
        <f>'P&amp;L Assumptions'!L8*(L45)</f>
        <v>159486420.61052251</v>
      </c>
      <c r="M44" s="95">
        <f>'P&amp;L Assumptions'!M8*(M45)</f>
        <v>175435062.67157477</v>
      </c>
    </row>
    <row r="45" spans="2:13" ht="13.2" x14ac:dyDescent="0.2">
      <c r="B45" s="59" t="s">
        <v>122</v>
      </c>
      <c r="C45" s="91">
        <f>C44/'P&amp;L Assumptions'!C8</f>
        <v>1.7122280295048201E-2</v>
      </c>
      <c r="D45" s="91">
        <f>D44/'P&amp;L Assumptions'!D8</f>
        <v>2.8534737587679036E-3</v>
      </c>
      <c r="E45" s="91">
        <f>E44/'P&amp;L Assumptions'!E8</f>
        <v>3.3509301880638893E-3</v>
      </c>
      <c r="F45" s="91">
        <f>F44/'P&amp;L Assumptions'!F8</f>
        <v>3.2822834360420384E-3</v>
      </c>
      <c r="G45" s="91">
        <f>G44/'P&amp;L Assumptions'!G8</f>
        <v>1.0456244649186918E-2</v>
      </c>
      <c r="H45" s="3"/>
      <c r="I45" s="98">
        <v>7.4999999999999997E-3</v>
      </c>
      <c r="J45" s="98">
        <v>7.4999999999999997E-3</v>
      </c>
      <c r="K45" s="98">
        <v>7.4999999999999997E-3</v>
      </c>
      <c r="L45" s="98">
        <v>7.4999999999999997E-3</v>
      </c>
      <c r="M45" s="98">
        <v>7.4999999999999997E-3</v>
      </c>
    </row>
    <row r="47" spans="2:13" ht="26.4" x14ac:dyDescent="0.3">
      <c r="B47" s="6" t="s">
        <v>27</v>
      </c>
      <c r="C47" s="94">
        <f>'BS Source'!M13</f>
        <v>85861639</v>
      </c>
      <c r="D47" s="94">
        <f>'BS Source'!N12</f>
        <v>122256724</v>
      </c>
      <c r="E47" s="94">
        <f>'BS Source'!O12</f>
        <v>78641492</v>
      </c>
      <c r="F47" s="94">
        <f>'BS Source'!P13</f>
        <v>26683320</v>
      </c>
      <c r="G47" s="94">
        <f>'BS Source'!Q13</f>
        <v>23741889</v>
      </c>
      <c r="H47" s="5"/>
      <c r="I47" s="95">
        <f>-'P&amp;L Assumptions'!I26*I48</f>
        <v>67101724.67460002</v>
      </c>
      <c r="J47" s="95">
        <f>-'P&amp;L Assumptions'!J26*J48</f>
        <v>73811897.142060012</v>
      </c>
      <c r="K47" s="95">
        <f>-'P&amp;L Assumptions'!K26*K48</f>
        <v>81193086.856266007</v>
      </c>
      <c r="L47" s="95">
        <f>-'P&amp;L Assumptions'!L26*L48</f>
        <v>89312395.541892618</v>
      </c>
      <c r="M47" s="95">
        <f>-'P&amp;L Assumptions'!M26*M48</f>
        <v>98243635.096081883</v>
      </c>
    </row>
    <row r="48" spans="2:13" ht="13.2" x14ac:dyDescent="0.25">
      <c r="B48" s="59" t="s">
        <v>166</v>
      </c>
      <c r="C48" s="52">
        <f>-C47/'P&amp;L Assumptions'!C26</f>
        <v>4.2274631507192982E-2</v>
      </c>
      <c r="D48" s="52">
        <f>-D47/'P&amp;L Assumptions'!D26</f>
        <v>5.2081916664186968E-2</v>
      </c>
      <c r="E48" s="52">
        <f>-E47/'P&amp;L Assumptions'!E26</f>
        <v>3.3740548369013738E-2</v>
      </c>
      <c r="F48" s="52">
        <f>-F47/'P&amp;L Assumptions'!F26</f>
        <v>1.2635437229879304E-2</v>
      </c>
      <c r="G48" s="52">
        <f>-G47/'P&amp;L Assumptions'!G26</f>
        <v>1.0746866332975826E-2</v>
      </c>
      <c r="H48" s="2"/>
      <c r="I48" s="98">
        <v>0.03</v>
      </c>
      <c r="J48" s="98">
        <v>0.03</v>
      </c>
      <c r="K48" s="98">
        <v>0.03</v>
      </c>
      <c r="L48" s="98">
        <v>0.03</v>
      </c>
      <c r="M48" s="98">
        <v>0.03</v>
      </c>
    </row>
    <row r="50" spans="2:13" ht="12" x14ac:dyDescent="0.25">
      <c r="B50" s="48" t="s">
        <v>171</v>
      </c>
    </row>
    <row r="51" spans="2:13" ht="14.4" x14ac:dyDescent="0.3">
      <c r="B51" s="6" t="s">
        <v>26</v>
      </c>
      <c r="C51" s="94">
        <f>'BS Source'!M18</f>
        <v>42836393</v>
      </c>
      <c r="D51" s="94">
        <f>'BS Source'!N18</f>
        <v>44634210</v>
      </c>
      <c r="E51" s="94">
        <f>'BS Source'!O18</f>
        <v>49476669</v>
      </c>
      <c r="F51" s="94">
        <f>'BS Source'!P18</f>
        <v>57310504</v>
      </c>
      <c r="G51" s="94">
        <f>'BS Source'!Q18</f>
        <v>38871187</v>
      </c>
      <c r="H51" s="3"/>
      <c r="I51" s="95">
        <f>'P&amp;L Assumptions'!I8*(I52)</f>
        <v>63906404.452000007</v>
      </c>
      <c r="J51" s="95">
        <f>'P&amp;L Assumptions'!J8*(J52)</f>
        <v>70297044.897200018</v>
      </c>
      <c r="K51" s="95">
        <f>'P&amp;L Assumptions'!K8*(K52)</f>
        <v>77326749.38692002</v>
      </c>
      <c r="L51" s="95">
        <f>'P&amp;L Assumptions'!L8*(L52)</f>
        <v>85059424.325612023</v>
      </c>
      <c r="M51" s="95">
        <f>'P&amp;L Assumptions'!M8*(M52)</f>
        <v>93565366.758173212</v>
      </c>
    </row>
    <row r="52" spans="2:13" ht="13.2" x14ac:dyDescent="0.2">
      <c r="B52" s="59" t="s">
        <v>122</v>
      </c>
      <c r="C52" s="91">
        <f>C51/'P&amp;L Assumptions'!C8</f>
        <v>4.3728849148262049E-3</v>
      </c>
      <c r="D52" s="91">
        <f>D51/'P&amp;L Assumptions'!D8</f>
        <v>3.9476525878036324E-3</v>
      </c>
      <c r="E52" s="91">
        <f>E51/'P&amp;L Assumptions'!E8</f>
        <v>3.796497416815283E-3</v>
      </c>
      <c r="F52" s="91">
        <f>F51/'P&amp;L Assumptions'!F8</f>
        <v>4.0542977854785478E-3</v>
      </c>
      <c r="G52" s="91">
        <f>G51/'P&amp;L Assumptions'!G8</f>
        <v>2.6763080205593915E-3</v>
      </c>
      <c r="H52" s="3"/>
      <c r="I52" s="98">
        <v>4.0000000000000001E-3</v>
      </c>
      <c r="J52" s="98">
        <v>4.0000000000000001E-3</v>
      </c>
      <c r="K52" s="98">
        <v>4.0000000000000001E-3</v>
      </c>
      <c r="L52" s="98">
        <v>4.0000000000000001E-3</v>
      </c>
      <c r="M52" s="98">
        <v>4.0000000000000001E-3</v>
      </c>
    </row>
    <row r="53" spans="2:13" ht="14.4" x14ac:dyDescent="0.3">
      <c r="C53" s="17"/>
      <c r="D53" s="2"/>
      <c r="E53" s="4"/>
      <c r="F53" s="2"/>
      <c r="G53" s="5"/>
      <c r="H53" s="3"/>
      <c r="I53" s="95"/>
      <c r="J53" s="95"/>
      <c r="K53" s="95"/>
      <c r="L53" s="95"/>
      <c r="M53" s="95"/>
    </row>
    <row r="54" spans="2:13" ht="26.4" x14ac:dyDescent="0.2">
      <c r="B54" s="6" t="s">
        <v>27</v>
      </c>
      <c r="C54" s="64">
        <f>'BS Source'!M19</f>
        <v>6516576</v>
      </c>
      <c r="D54" s="64">
        <f>'BS Source'!N19</f>
        <v>21018917</v>
      </c>
      <c r="E54" s="64">
        <f>'BS Source'!O19</f>
        <v>24414205</v>
      </c>
      <c r="F54" s="64">
        <f>'BS Source'!P19</f>
        <v>25893750</v>
      </c>
      <c r="G54" s="64">
        <f>'BS Source'!Q19</f>
        <v>21619307</v>
      </c>
      <c r="H54" s="3"/>
      <c r="I54" s="95">
        <f>-'P&amp;L Assumptions'!I26*(I55)</f>
        <v>20130517.402380005</v>
      </c>
      <c r="J54" s="95">
        <f>-'P&amp;L Assumptions'!J26*(J55)</f>
        <v>22143569.142618001</v>
      </c>
      <c r="K54" s="95">
        <f>-'P&amp;L Assumptions'!K26*(K55)</f>
        <v>24357926.056879804</v>
      </c>
      <c r="L54" s="95">
        <f>-'P&amp;L Assumptions'!L26*(L55)</f>
        <v>26793718.662567787</v>
      </c>
      <c r="M54" s="95">
        <f>-'P&amp;L Assumptions'!M26*(M55)</f>
        <v>29473090.528824564</v>
      </c>
    </row>
    <row r="55" spans="2:13" ht="13.2" x14ac:dyDescent="0.2">
      <c r="B55" s="59" t="s">
        <v>122</v>
      </c>
      <c r="C55" s="91">
        <f>-C54/'P&amp;L Assumptions'!C26</f>
        <v>3.2084857952527279E-3</v>
      </c>
      <c r="D55" s="91">
        <f>-D54/'P&amp;L Assumptions'!D26</f>
        <v>8.9541535855767133E-3</v>
      </c>
      <c r="E55" s="91">
        <f>-E54/'P&amp;L Assumptions'!E26</f>
        <v>1.0474733423083034E-2</v>
      </c>
      <c r="F55" s="91">
        <f>-F54/'P&amp;L Assumptions'!F26</f>
        <v>1.2261549641168611E-2</v>
      </c>
      <c r="G55" s="91">
        <f>-G54/'P&amp;L Assumptions'!G26</f>
        <v>9.7860706256595095E-3</v>
      </c>
      <c r="H55" s="3"/>
      <c r="I55" s="98">
        <v>8.9999999999999993E-3</v>
      </c>
      <c r="J55" s="98">
        <v>8.9999999999999993E-3</v>
      </c>
      <c r="K55" s="98">
        <v>8.9999999999999993E-3</v>
      </c>
      <c r="L55" s="98">
        <v>8.9999999999999993E-3</v>
      </c>
      <c r="M55" s="98">
        <v>8.9999999999999993E-3</v>
      </c>
    </row>
    <row r="56" spans="2:13" x14ac:dyDescent="0.2">
      <c r="I56" s="95"/>
      <c r="J56" s="95"/>
      <c r="K56" s="95"/>
      <c r="L56" s="95"/>
      <c r="M56" s="95"/>
    </row>
    <row r="57" spans="2:13" ht="14.4" x14ac:dyDescent="0.3">
      <c r="B57" s="6" t="s">
        <v>30</v>
      </c>
      <c r="C57" s="17">
        <f>'BS Source'!M20</f>
        <v>0</v>
      </c>
      <c r="D57" s="17">
        <f>'BS Source'!N20</f>
        <v>250000000</v>
      </c>
      <c r="E57" s="17">
        <f>'BS Source'!O20</f>
        <v>0</v>
      </c>
      <c r="F57" s="17">
        <f>'BS Source'!P20</f>
        <v>0</v>
      </c>
      <c r="G57" s="94">
        <f>'BS Source'!Q20</f>
        <v>450000000</v>
      </c>
      <c r="I57" s="97">
        <v>450000000</v>
      </c>
      <c r="J57" s="97">
        <v>550000000</v>
      </c>
      <c r="K57" s="97">
        <v>450000000</v>
      </c>
      <c r="L57" s="97">
        <v>650000000</v>
      </c>
      <c r="M57" s="97">
        <v>450000000</v>
      </c>
    </row>
    <row r="58" spans="2:13" x14ac:dyDescent="0.2">
      <c r="I58" s="95"/>
      <c r="J58" s="95"/>
      <c r="K58" s="95"/>
      <c r="L58" s="95"/>
      <c r="M58" s="95"/>
    </row>
    <row r="59" spans="2:13" x14ac:dyDescent="0.2">
      <c r="I59" s="95"/>
      <c r="J59" s="95"/>
      <c r="K59" s="95"/>
      <c r="L59" s="95"/>
      <c r="M59" s="95"/>
    </row>
    <row r="60" spans="2:13" ht="13.2" x14ac:dyDescent="0.2">
      <c r="B60" s="6" t="s">
        <v>31</v>
      </c>
      <c r="C60" s="64">
        <f>'BS Source'!M21</f>
        <v>605442847</v>
      </c>
      <c r="D60" s="64">
        <f>'BS Source'!N21</f>
        <v>604259428</v>
      </c>
      <c r="E60" s="64">
        <f>'BS Source'!O21</f>
        <v>614319789</v>
      </c>
      <c r="F60" s="64">
        <f>'BS Source'!P21</f>
        <v>778588742</v>
      </c>
      <c r="G60" s="64">
        <f>'BS Source'!Q21</f>
        <v>834612174</v>
      </c>
      <c r="I60" s="95">
        <f>-'P&amp;L Assumptions'!I56*(I61)</f>
        <v>1117717308.1808064</v>
      </c>
      <c r="J60" s="95">
        <f>-'P&amp;L Assumptions'!J56*(J61)</f>
        <v>1255792262.0388846</v>
      </c>
      <c r="K60" s="95">
        <f>-'P&amp;L Assumptions'!K56*(K61)</f>
        <v>1382898179.9254143</v>
      </c>
      <c r="L60" s="95">
        <f>-'P&amp;L Assumptions'!L56*(L61)</f>
        <v>1527286032.2082338</v>
      </c>
      <c r="M60" s="95">
        <f>-'P&amp;L Assumptions'!M56*(M61)</f>
        <v>1693531063.9502714</v>
      </c>
    </row>
    <row r="61" spans="2:13" x14ac:dyDescent="0.2">
      <c r="B61" s="59" t="s">
        <v>122</v>
      </c>
      <c r="C61" s="52">
        <f>-C60/'P&amp;L Assumptions'!C56</f>
        <v>0.65393522247343239</v>
      </c>
      <c r="D61" s="52">
        <f>-D60/'P&amp;L Assumptions'!D56</f>
        <v>0.55654232241960011</v>
      </c>
      <c r="E61" s="52">
        <f>-E60/'P&amp;L Assumptions'!E56</f>
        <v>0.65116885772293287</v>
      </c>
      <c r="F61" s="52">
        <f>-F60/'P&amp;L Assumptions'!F56</f>
        <v>0.67162080172541239</v>
      </c>
      <c r="G61" s="52">
        <f>-G60/'P&amp;L Assumptions'!G56</f>
        <v>0.66753504889999227</v>
      </c>
      <c r="I61" s="57">
        <v>0.7</v>
      </c>
      <c r="J61" s="57">
        <v>0.7</v>
      </c>
      <c r="K61" s="57">
        <v>0.7</v>
      </c>
      <c r="L61" s="57">
        <v>0.7</v>
      </c>
      <c r="M61" s="57">
        <v>0.7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D21C-C9B0-49DB-A694-F41D776A4E56}">
  <sheetPr>
    <tabColor rgb="FF002060"/>
  </sheetPr>
  <dimension ref="B1:D8"/>
  <sheetViews>
    <sheetView workbookViewId="0">
      <selection activeCell="L21" sqref="L21"/>
    </sheetView>
  </sheetViews>
  <sheetFormatPr defaultRowHeight="11.4" x14ac:dyDescent="0.2"/>
  <cols>
    <col min="1" max="1" width="2" style="59" customWidth="1"/>
    <col min="2" max="16384" width="8.88671875" style="59"/>
  </cols>
  <sheetData>
    <row r="1" spans="2:4" ht="15.6" x14ac:dyDescent="0.3">
      <c r="B1" s="99"/>
    </row>
    <row r="8" spans="2:4" ht="62.4" x14ac:dyDescent="1">
      <c r="D8" s="184" t="s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1B3C2-7383-44C7-BA70-F567D66FFA6A}">
  <sheetPr codeName="Sheet5"/>
  <dimension ref="B1:N38"/>
  <sheetViews>
    <sheetView topLeftCell="B1" zoomScale="70" zoomScaleNormal="70" workbookViewId="0">
      <pane xSplit="1" ySplit="3" topLeftCell="C4" activePane="bottomRight" state="frozenSplit"/>
      <selection pane="topRight" activeCell="B1" sqref="B1"/>
      <selection pane="bottomLeft" activeCell="A3" sqref="A3"/>
      <selection pane="bottomRight" activeCell="F7" sqref="F7"/>
    </sheetView>
  </sheetViews>
  <sheetFormatPr defaultRowHeight="11.4" x14ac:dyDescent="0.2"/>
  <cols>
    <col min="1" max="1" width="2" style="59" customWidth="1"/>
    <col min="2" max="2" width="35" style="59" customWidth="1"/>
    <col min="3" max="3" width="8.88671875" style="59"/>
    <col min="4" max="5" width="14.77734375" style="72" customWidth="1"/>
    <col min="6" max="7" width="16.33203125" style="72" customWidth="1"/>
    <col min="8" max="8" width="14.77734375" style="72" customWidth="1"/>
    <col min="9" max="9" width="8.88671875" style="59"/>
    <col min="10" max="10" width="16" style="69" customWidth="1"/>
    <col min="11" max="11" width="16.6640625" style="69" customWidth="1"/>
    <col min="12" max="12" width="15.77734375" style="69" customWidth="1"/>
    <col min="13" max="13" width="16.33203125" style="69" customWidth="1"/>
    <col min="14" max="14" width="15.21875" style="69" customWidth="1"/>
    <col min="15" max="16384" width="8.88671875" style="59"/>
  </cols>
  <sheetData>
    <row r="1" spans="2:14" ht="12" x14ac:dyDescent="0.25">
      <c r="B1" s="66"/>
    </row>
    <row r="3" spans="2:14" ht="24.6" thickBot="1" x14ac:dyDescent="0.3">
      <c r="B3" s="67" t="s">
        <v>81</v>
      </c>
      <c r="C3" s="67"/>
      <c r="D3" s="68" t="s">
        <v>62</v>
      </c>
      <c r="E3" s="68" t="s">
        <v>63</v>
      </c>
      <c r="F3" s="68" t="s">
        <v>64</v>
      </c>
      <c r="G3" s="68" t="s">
        <v>65</v>
      </c>
      <c r="H3" s="68" t="s">
        <v>66</v>
      </c>
      <c r="J3" s="65" t="s">
        <v>102</v>
      </c>
      <c r="K3" s="65" t="s">
        <v>103</v>
      </c>
      <c r="L3" s="65" t="s">
        <v>104</v>
      </c>
      <c r="M3" s="65" t="s">
        <v>105</v>
      </c>
      <c r="N3" s="65" t="s">
        <v>106</v>
      </c>
    </row>
    <row r="4" spans="2:14" x14ac:dyDescent="0.2">
      <c r="B4" s="59" t="s">
        <v>80</v>
      </c>
      <c r="D4" s="69">
        <v>9795911357</v>
      </c>
      <c r="E4" s="69">
        <v>11306519256</v>
      </c>
      <c r="F4" s="69">
        <v>13032188243</v>
      </c>
      <c r="G4" s="69">
        <v>14135741140</v>
      </c>
      <c r="H4" s="69">
        <v>14524182830</v>
      </c>
      <c r="J4" s="69">
        <f>'P&amp;L Assumptions'!I8</f>
        <v>15976601113.000002</v>
      </c>
      <c r="K4" s="69">
        <f>'P&amp;L Assumptions'!J8</f>
        <v>17574261224.300003</v>
      </c>
      <c r="L4" s="69">
        <f>'P&amp;L Assumptions'!K8</f>
        <v>19331687346.730003</v>
      </c>
      <c r="M4" s="69">
        <f>'P&amp;L Assumptions'!L8</f>
        <v>21264856081.403004</v>
      </c>
      <c r="N4" s="69">
        <f>'P&amp;L Assumptions'!M8</f>
        <v>23391341689.543304</v>
      </c>
    </row>
    <row r="5" spans="2:14" x14ac:dyDescent="0.2">
      <c r="B5" s="59" t="s">
        <v>68</v>
      </c>
      <c r="D5" s="69">
        <v>9781005</v>
      </c>
      <c r="E5" s="69">
        <v>63392805</v>
      </c>
      <c r="F5" s="69">
        <v>17087007</v>
      </c>
      <c r="G5" s="69">
        <v>27424065</v>
      </c>
      <c r="H5" s="69">
        <v>40359793</v>
      </c>
      <c r="J5" s="78">
        <f>'P&amp;L Assumptions'!I14</f>
        <v>64575668.800000004</v>
      </c>
      <c r="K5" s="78">
        <f>'P&amp;L Assumptions'!J14</f>
        <v>103321070.08000001</v>
      </c>
      <c r="L5" s="78">
        <f>'P&amp;L Assumptions'!K14</f>
        <v>165313712.12800002</v>
      </c>
      <c r="M5" s="78">
        <f>'P&amp;L Assumptions'!L14</f>
        <v>264501939.40480006</v>
      </c>
      <c r="N5" s="78">
        <f>'P&amp;L Assumptions'!M14</f>
        <v>423203103.04768014</v>
      </c>
    </row>
    <row r="6" spans="2:14" ht="12" customHeight="1" x14ac:dyDescent="0.25">
      <c r="B6" s="70" t="s">
        <v>1</v>
      </c>
      <c r="C6" s="70"/>
      <c r="D6" s="71">
        <v>9805692362</v>
      </c>
      <c r="E6" s="71">
        <v>11369912061</v>
      </c>
      <c r="F6" s="71">
        <v>13049275250</v>
      </c>
      <c r="G6" s="71">
        <v>14163165205</v>
      </c>
      <c r="H6" s="71">
        <v>14564542623</v>
      </c>
      <c r="J6" s="79">
        <f>SUM(J4:J5)</f>
        <v>16041176781.800001</v>
      </c>
      <c r="K6" s="79">
        <f t="shared" ref="K6:N6" si="0">SUM(K4:K5)</f>
        <v>17677582294.380005</v>
      </c>
      <c r="L6" s="79">
        <f t="shared" si="0"/>
        <v>19497001058.858002</v>
      </c>
      <c r="M6" s="79">
        <f t="shared" si="0"/>
        <v>21529358020.807804</v>
      </c>
      <c r="N6" s="79">
        <f t="shared" si="0"/>
        <v>23814544792.590984</v>
      </c>
    </row>
    <row r="7" spans="2:14" ht="12" customHeight="1" x14ac:dyDescent="0.2"/>
    <row r="8" spans="2:14" ht="12" customHeight="1" x14ac:dyDescent="0.2">
      <c r="B8" s="59" t="s">
        <v>69</v>
      </c>
      <c r="D8" s="69">
        <v>-4133231362</v>
      </c>
      <c r="E8" s="69">
        <v>-4652260050</v>
      </c>
      <c r="F8" s="69">
        <v>-5960795907</v>
      </c>
      <c r="G8" s="69">
        <v>-6811203460</v>
      </c>
      <c r="H8" s="69">
        <v>-6099250601</v>
      </c>
      <c r="J8" s="69">
        <f>'P&amp;L Assumptions'!I20</f>
        <v>-6710172467.460001</v>
      </c>
      <c r="K8" s="69">
        <f>'P&amp;L Assumptions'!J20</f>
        <v>-7381189714.2060013</v>
      </c>
      <c r="L8" s="69">
        <f>'P&amp;L Assumptions'!K20</f>
        <v>-8119308685.6266012</v>
      </c>
      <c r="M8" s="69">
        <f>'P&amp;L Assumptions'!L20</f>
        <v>-8931239554.1892605</v>
      </c>
      <c r="N8" s="69">
        <f>'P&amp;L Assumptions'!M20</f>
        <v>-9824363509.6081867</v>
      </c>
    </row>
    <row r="9" spans="2:14" ht="12" customHeight="1" x14ac:dyDescent="0.2">
      <c r="B9" s="63" t="s">
        <v>2</v>
      </c>
      <c r="D9" s="69">
        <v>-881211150</v>
      </c>
      <c r="E9" s="69">
        <v>-988338308</v>
      </c>
      <c r="F9" s="69">
        <v>-1077024032</v>
      </c>
      <c r="G9" s="69">
        <v>-1119505081</v>
      </c>
      <c r="H9" s="69">
        <v>-1193870690</v>
      </c>
      <c r="J9" s="69" t="s">
        <v>61</v>
      </c>
      <c r="K9" s="69" t="s">
        <v>61</v>
      </c>
      <c r="L9" s="69" t="s">
        <v>61</v>
      </c>
      <c r="M9" s="69" t="s">
        <v>61</v>
      </c>
      <c r="N9" s="69" t="s">
        <v>61</v>
      </c>
    </row>
    <row r="10" spans="2:14" ht="12" customHeight="1" x14ac:dyDescent="0.2">
      <c r="B10" s="63" t="s">
        <v>3</v>
      </c>
      <c r="D10" s="69">
        <v>-1147745067</v>
      </c>
      <c r="E10" s="69">
        <v>-1358266457</v>
      </c>
      <c r="F10" s="69">
        <v>-1253654958</v>
      </c>
      <c r="G10" s="69">
        <v>-989417810</v>
      </c>
      <c r="H10" s="69">
        <v>-1015214451</v>
      </c>
      <c r="J10" s="69" t="s">
        <v>61</v>
      </c>
      <c r="K10" s="69" t="s">
        <v>61</v>
      </c>
      <c r="L10" s="69" t="s">
        <v>61</v>
      </c>
      <c r="M10" s="69" t="s">
        <v>61</v>
      </c>
      <c r="N10" s="69" t="s">
        <v>61</v>
      </c>
    </row>
    <row r="11" spans="2:14" ht="12" customHeight="1" x14ac:dyDescent="0.2">
      <c r="B11" s="63" t="s">
        <v>4</v>
      </c>
      <c r="D11" s="69">
        <v>-2087838</v>
      </c>
      <c r="E11" s="69">
        <v>-788185</v>
      </c>
      <c r="F11" s="69">
        <v>-92020</v>
      </c>
      <c r="G11" s="69">
        <v>-2861570</v>
      </c>
      <c r="H11" s="69">
        <v>-106661</v>
      </c>
      <c r="J11" s="69" t="s">
        <v>61</v>
      </c>
      <c r="K11" s="69" t="s">
        <v>61</v>
      </c>
      <c r="L11" s="69" t="s">
        <v>61</v>
      </c>
      <c r="M11" s="69" t="s">
        <v>61</v>
      </c>
      <c r="N11" s="69" t="s">
        <v>61</v>
      </c>
    </row>
    <row r="12" spans="2:14" ht="12" customHeight="1" x14ac:dyDescent="0.2">
      <c r="B12" s="59" t="s">
        <v>107</v>
      </c>
      <c r="D12" s="69">
        <f>SUM(D9:D11)</f>
        <v>-2031044055</v>
      </c>
      <c r="E12" s="69">
        <f t="shared" ref="E12:H12" si="1">SUM(E9:E11)</f>
        <v>-2347392950</v>
      </c>
      <c r="F12" s="69">
        <f t="shared" si="1"/>
        <v>-2330771010</v>
      </c>
      <c r="G12" s="69">
        <f t="shared" si="1"/>
        <v>-2111784461</v>
      </c>
      <c r="H12" s="69">
        <f t="shared" si="1"/>
        <v>-2209191802</v>
      </c>
      <c r="J12" s="69">
        <f>'P&amp;L Assumptions'!I26</f>
        <v>-2236724155.8200006</v>
      </c>
      <c r="K12" s="69">
        <f>'P&amp;L Assumptions'!J26</f>
        <v>-2460396571.4020004</v>
      </c>
      <c r="L12" s="69">
        <f>'P&amp;L Assumptions'!K26</f>
        <v>-2706436228.5422006</v>
      </c>
      <c r="M12" s="69">
        <f>'P&amp;L Assumptions'!L26</f>
        <v>-2977079851.396421</v>
      </c>
      <c r="N12" s="69">
        <f>'P&amp;L Assumptions'!M26</f>
        <v>-3274787836.5360627</v>
      </c>
    </row>
    <row r="13" spans="2:14" ht="12" customHeight="1" x14ac:dyDescent="0.2">
      <c r="B13" s="59" t="s">
        <v>108</v>
      </c>
      <c r="D13" s="75">
        <v>-6164275417</v>
      </c>
      <c r="E13" s="75">
        <v>-6999653000</v>
      </c>
      <c r="F13" s="75">
        <v>-8291566917</v>
      </c>
      <c r="G13" s="75">
        <v>-8922987921</v>
      </c>
      <c r="H13" s="75">
        <v>-8308442403</v>
      </c>
      <c r="J13" s="69">
        <f>SUM(J8:J12)</f>
        <v>-8946896623.2800026</v>
      </c>
      <c r="K13" s="69">
        <f>SUM(K8:K12)</f>
        <v>-9841586285.6080017</v>
      </c>
      <c r="L13" s="69">
        <f>SUM(L8:L12)</f>
        <v>-10825744914.168802</v>
      </c>
      <c r="M13" s="69">
        <f>SUM(M8:M12)</f>
        <v>-11908319405.585682</v>
      </c>
      <c r="N13" s="69">
        <f>SUM(N8:N12)</f>
        <v>-13099151346.144249</v>
      </c>
    </row>
    <row r="14" spans="2:14" s="76" customFormat="1" ht="12" customHeight="1" x14ac:dyDescent="0.25">
      <c r="B14" s="70" t="s">
        <v>70</v>
      </c>
      <c r="C14" s="70"/>
      <c r="D14" s="77">
        <v>3641416945</v>
      </c>
      <c r="E14" s="77">
        <v>4370259061</v>
      </c>
      <c r="F14" s="77">
        <v>4757708333</v>
      </c>
      <c r="G14" s="77">
        <v>5240177284</v>
      </c>
      <c r="H14" s="77">
        <v>6256100220</v>
      </c>
      <c r="J14" s="71">
        <f>SUM(J6,J13)</f>
        <v>7094280158.5199986</v>
      </c>
      <c r="K14" s="71">
        <f>SUM(K6,K13)</f>
        <v>7835996008.7720032</v>
      </c>
      <c r="L14" s="71">
        <f>SUM(L6,L13)</f>
        <v>8671256144.6891994</v>
      </c>
      <c r="M14" s="71">
        <f>SUM(M6,M13)</f>
        <v>9621038615.2221222</v>
      </c>
      <c r="N14" s="71">
        <f>SUM(N6,N13)</f>
        <v>10715393446.446735</v>
      </c>
    </row>
    <row r="15" spans="2:14" ht="12" customHeight="1" x14ac:dyDescent="0.2"/>
    <row r="16" spans="2:14" ht="12" customHeight="1" x14ac:dyDescent="0.2">
      <c r="B16" s="59" t="s">
        <v>71</v>
      </c>
      <c r="D16" s="75">
        <v>-35123539</v>
      </c>
      <c r="E16" s="75">
        <v>-37729427</v>
      </c>
      <c r="F16" s="75">
        <v>-60851114</v>
      </c>
      <c r="G16" s="75">
        <v>-43393075</v>
      </c>
      <c r="H16" s="75">
        <v>-42595558</v>
      </c>
      <c r="J16" s="69" t="s">
        <v>61</v>
      </c>
      <c r="K16" s="69" t="s">
        <v>61</v>
      </c>
      <c r="L16" s="69" t="s">
        <v>61</v>
      </c>
      <c r="M16" s="69" t="s">
        <v>61</v>
      </c>
      <c r="N16" s="81" t="s">
        <v>61</v>
      </c>
    </row>
    <row r="17" spans="2:14" ht="12" customHeight="1" x14ac:dyDescent="0.2">
      <c r="B17" s="59" t="s">
        <v>72</v>
      </c>
      <c r="D17" s="75">
        <v>-37432890</v>
      </c>
      <c r="E17" s="75">
        <v>-46434480</v>
      </c>
      <c r="F17" s="75">
        <v>-51139195</v>
      </c>
      <c r="G17" s="75">
        <v>-500968</v>
      </c>
      <c r="H17" s="75">
        <v>-460214</v>
      </c>
      <c r="J17" s="69" t="s">
        <v>61</v>
      </c>
      <c r="K17" s="69" t="s">
        <v>61</v>
      </c>
      <c r="L17" s="69" t="s">
        <v>61</v>
      </c>
      <c r="M17" s="69" t="s">
        <v>61</v>
      </c>
      <c r="N17" s="69" t="s">
        <v>61</v>
      </c>
    </row>
    <row r="18" spans="2:14" ht="12" customHeight="1" x14ac:dyDescent="0.2">
      <c r="B18" s="59" t="s">
        <v>73</v>
      </c>
      <c r="D18" s="75">
        <v>-2017794</v>
      </c>
      <c r="E18" s="75">
        <v>-1403206</v>
      </c>
      <c r="F18" s="75">
        <v>-1374200</v>
      </c>
      <c r="G18" s="75">
        <v>-58403716</v>
      </c>
      <c r="H18" s="75">
        <v>-62229723</v>
      </c>
      <c r="J18" s="69" t="s">
        <v>61</v>
      </c>
      <c r="K18" s="69" t="s">
        <v>61</v>
      </c>
      <c r="L18" s="69" t="s">
        <v>61</v>
      </c>
      <c r="M18" s="69" t="s">
        <v>61</v>
      </c>
      <c r="N18" s="69" t="s">
        <v>61</v>
      </c>
    </row>
    <row r="19" spans="2:14" ht="12" customHeight="1" x14ac:dyDescent="0.2">
      <c r="B19" s="59" t="s">
        <v>109</v>
      </c>
      <c r="D19" s="69">
        <f>SUM(D16:D18)</f>
        <v>-74574223</v>
      </c>
      <c r="E19" s="69">
        <f t="shared" ref="E19:H19" si="2">SUM(E16:E18)</f>
        <v>-85567113</v>
      </c>
      <c r="F19" s="69">
        <f t="shared" si="2"/>
        <v>-113364509</v>
      </c>
      <c r="G19" s="69">
        <f t="shared" si="2"/>
        <v>-102297759</v>
      </c>
      <c r="H19" s="69">
        <f t="shared" si="2"/>
        <v>-105285495</v>
      </c>
      <c r="J19" s="78">
        <f>'P&amp;L Assumptions'!I32</f>
        <v>-175742612.24300003</v>
      </c>
      <c r="K19" s="78">
        <f>'P&amp;L Assumptions'!J32</f>
        <v>-193316873.46730003</v>
      </c>
      <c r="L19" s="78">
        <f>'P&amp;L Assumptions'!K32</f>
        <v>-212648560.81403005</v>
      </c>
      <c r="M19" s="78">
        <f>'P&amp;L Assumptions'!L32</f>
        <v>-233913416.89543307</v>
      </c>
      <c r="N19" s="78">
        <f>'P&amp;L Assumptions'!M32</f>
        <v>-257304758.58497635</v>
      </c>
    </row>
    <row r="20" spans="2:14" s="76" customFormat="1" ht="12" customHeight="1" x14ac:dyDescent="0.25">
      <c r="B20" s="70" t="s">
        <v>74</v>
      </c>
      <c r="C20" s="70"/>
      <c r="D20" s="71">
        <v>3566842722</v>
      </c>
      <c r="E20" s="71">
        <v>4284691948</v>
      </c>
      <c r="F20" s="71">
        <v>4644343824</v>
      </c>
      <c r="G20" s="71">
        <v>5137879525</v>
      </c>
      <c r="H20" s="71">
        <v>6150814725</v>
      </c>
      <c r="J20" s="79">
        <f>SUM(J14:J19)</f>
        <v>6918537546.2769985</v>
      </c>
      <c r="K20" s="79">
        <f t="shared" ref="K20:N20" si="3">SUM(K14:K19)</f>
        <v>7642679135.3047028</v>
      </c>
      <c r="L20" s="79">
        <f t="shared" si="3"/>
        <v>8458607583.8751698</v>
      </c>
      <c r="M20" s="79">
        <f t="shared" si="3"/>
        <v>9387125198.3266888</v>
      </c>
      <c r="N20" s="79">
        <f t="shared" si="3"/>
        <v>10458088687.861759</v>
      </c>
    </row>
    <row r="21" spans="2:14" ht="12" customHeight="1" x14ac:dyDescent="0.2"/>
    <row r="22" spans="2:14" ht="12" customHeight="1" x14ac:dyDescent="0.2">
      <c r="B22" s="59" t="s">
        <v>82</v>
      </c>
      <c r="D22" s="69">
        <v>239693041</v>
      </c>
      <c r="E22" s="69">
        <v>149398274</v>
      </c>
      <c r="F22" s="69">
        <v>126636587</v>
      </c>
      <c r="G22" s="69">
        <v>162981942</v>
      </c>
      <c r="H22" s="69">
        <v>579855635</v>
      </c>
      <c r="J22" s="69">
        <f>'P&amp;L Assumptions'!I44</f>
        <v>597251304.05000007</v>
      </c>
      <c r="K22" s="69">
        <f>'P&amp;L Assumptions'!J44</f>
        <v>615168843.17150009</v>
      </c>
      <c r="L22" s="69">
        <f>'P&amp;L Assumptions'!K44</f>
        <v>633623908.46664512</v>
      </c>
      <c r="M22" s="69">
        <f>'P&amp;L Assumptions'!L44</f>
        <v>652632625.72064447</v>
      </c>
      <c r="N22" s="69">
        <f>'P&amp;L Assumptions'!M44</f>
        <v>672211604.49226379</v>
      </c>
    </row>
    <row r="23" spans="2:14" ht="12" customHeight="1" x14ac:dyDescent="0.2">
      <c r="B23" s="59" t="s">
        <v>75</v>
      </c>
      <c r="D23" s="69">
        <v>-46447617</v>
      </c>
      <c r="E23" s="69">
        <v>-18912816</v>
      </c>
      <c r="F23" s="69">
        <v>-37014899</v>
      </c>
      <c r="G23" s="69">
        <v>-4355821</v>
      </c>
      <c r="H23" s="69">
        <v>-565820362</v>
      </c>
      <c r="J23" s="69">
        <f>'P&amp;L Assumptions'!I38</f>
        <v>-226328144.80000001</v>
      </c>
      <c r="K23" s="69">
        <f>'P&amp;L Assumptions'!J38</f>
        <v>-67898443.440000013</v>
      </c>
      <c r="L23" s="69">
        <f>'P&amp;L Assumptions'!K38</f>
        <v>-73330318.915200025</v>
      </c>
      <c r="M23" s="69">
        <f>'P&amp;L Assumptions'!L38</f>
        <v>-79196744.428416029</v>
      </c>
      <c r="N23" s="69">
        <f>'P&amp;L Assumptions'!M38</f>
        <v>-85532483.982689321</v>
      </c>
    </row>
    <row r="24" spans="2:14" ht="12" customHeight="1" x14ac:dyDescent="0.2">
      <c r="B24" s="59" t="s">
        <v>110</v>
      </c>
      <c r="J24" s="69">
        <f>SUM(J20:J23)</f>
        <v>7289460705.5269985</v>
      </c>
      <c r="K24" s="69">
        <f t="shared" ref="K24:N24" si="4">SUM(K20:K23)</f>
        <v>8189949535.0362034</v>
      </c>
      <c r="L24" s="69">
        <f t="shared" si="4"/>
        <v>9018901173.4266148</v>
      </c>
      <c r="M24" s="69">
        <f t="shared" si="4"/>
        <v>9960561079.6189175</v>
      </c>
      <c r="N24" s="69">
        <f t="shared" si="4"/>
        <v>11044767808.371334</v>
      </c>
    </row>
    <row r="25" spans="2:14" ht="12" customHeight="1" x14ac:dyDescent="0.2">
      <c r="B25" s="63" t="s">
        <v>5</v>
      </c>
      <c r="D25" s="69">
        <v>-188004407</v>
      </c>
      <c r="E25" s="69">
        <v>-220758870</v>
      </c>
      <c r="F25" s="69">
        <v>-236698275</v>
      </c>
      <c r="G25" s="69">
        <v>-264825282</v>
      </c>
      <c r="H25" s="69">
        <v>-308242500</v>
      </c>
      <c r="J25" s="69">
        <f>-(J24/105)*5</f>
        <v>-347117176.45366663</v>
      </c>
      <c r="K25" s="69">
        <f t="shared" ref="K25:N25" si="5">-(K24/105)*5</f>
        <v>-389997596.90648586</v>
      </c>
      <c r="L25" s="69">
        <f t="shared" si="5"/>
        <v>-429471484.44888645</v>
      </c>
      <c r="M25" s="69">
        <f t="shared" si="5"/>
        <v>-474312432.3628056</v>
      </c>
      <c r="N25" s="69">
        <f t="shared" si="5"/>
        <v>-525941324.20815879</v>
      </c>
    </row>
    <row r="26" spans="2:14" ht="12" customHeight="1" x14ac:dyDescent="0.2"/>
    <row r="27" spans="2:14" ht="12" customHeight="1" x14ac:dyDescent="0.25">
      <c r="B27" s="70" t="s">
        <v>76</v>
      </c>
      <c r="C27" s="70"/>
      <c r="D27" s="71">
        <v>3572083739</v>
      </c>
      <c r="E27" s="71">
        <v>4194418536</v>
      </c>
      <c r="F27" s="71">
        <v>4497267237</v>
      </c>
      <c r="G27" s="71">
        <v>5031680364</v>
      </c>
      <c r="H27" s="71">
        <v>5856607498</v>
      </c>
      <c r="J27" s="71">
        <f>SUM(J24:J25)</f>
        <v>6942343529.0733318</v>
      </c>
      <c r="K27" s="71">
        <f t="shared" ref="K27:N27" si="6">SUM(K24:K25)</f>
        <v>7799951938.1297178</v>
      </c>
      <c r="L27" s="71">
        <f t="shared" si="6"/>
        <v>8589429688.9777279</v>
      </c>
      <c r="M27" s="71">
        <f t="shared" si="6"/>
        <v>9486248647.2561111</v>
      </c>
      <c r="N27" s="71">
        <f t="shared" si="6"/>
        <v>10518826484.163176</v>
      </c>
    </row>
    <row r="28" spans="2:14" ht="12" customHeight="1" x14ac:dyDescent="0.2"/>
    <row r="29" spans="2:14" ht="12" customHeight="1" x14ac:dyDescent="0.2">
      <c r="B29" s="63" t="s">
        <v>6</v>
      </c>
      <c r="D29" s="69">
        <v>-925845292</v>
      </c>
      <c r="E29" s="69">
        <v>-1085738503</v>
      </c>
      <c r="F29" s="69">
        <v>-943410886</v>
      </c>
      <c r="G29" s="69">
        <v>-1159268355</v>
      </c>
      <c r="H29" s="69">
        <v>-1250289667</v>
      </c>
      <c r="J29" s="69">
        <f>-(J27*'P&amp;L Assumptions'!I57)</f>
        <v>-1596739011.6868663</v>
      </c>
      <c r="K29" s="69">
        <f>-(K27*'P&amp;L Assumptions'!J57)</f>
        <v>-1793988945.7698352</v>
      </c>
      <c r="L29" s="69">
        <f>-(L27*'P&amp;L Assumptions'!K57)</f>
        <v>-1975568828.4648776</v>
      </c>
      <c r="M29" s="69">
        <f>-(M27*'P&amp;L Assumptions'!L57)</f>
        <v>-2181837188.8689055</v>
      </c>
      <c r="N29" s="69">
        <f>-(N27*'P&amp;L Assumptions'!M57)</f>
        <v>-2419330091.3575306</v>
      </c>
    </row>
    <row r="30" spans="2:14" ht="12" customHeight="1" x14ac:dyDescent="0.2">
      <c r="B30" s="59" t="s">
        <v>79</v>
      </c>
      <c r="D30" s="69">
        <v>2646238447</v>
      </c>
      <c r="E30" s="69">
        <v>3108680033</v>
      </c>
      <c r="F30" s="69">
        <v>3553856351</v>
      </c>
      <c r="G30" s="69">
        <v>3872412009</v>
      </c>
      <c r="H30" s="69">
        <v>4606317831</v>
      </c>
      <c r="J30" s="69">
        <f>SUM(J27:J29)</f>
        <v>5345604517.3864651</v>
      </c>
      <c r="K30" s="69">
        <f t="shared" ref="K30:N30" si="7">SUM(K27:K29)</f>
        <v>6005962992.3598824</v>
      </c>
      <c r="L30" s="69">
        <f t="shared" si="7"/>
        <v>6613860860.5128498</v>
      </c>
      <c r="M30" s="69">
        <f t="shared" si="7"/>
        <v>7304411458.3872051</v>
      </c>
      <c r="N30" s="69">
        <f t="shared" si="7"/>
        <v>8099496392.805645</v>
      </c>
    </row>
    <row r="31" spans="2:14" ht="12" customHeight="1" x14ac:dyDescent="0.2">
      <c r="B31" s="59" t="s">
        <v>78</v>
      </c>
      <c r="D31" s="69">
        <v>-16269954</v>
      </c>
      <c r="E31" s="69">
        <v>-24787868</v>
      </c>
      <c r="F31" s="69">
        <v>18628563</v>
      </c>
      <c r="G31" s="69">
        <v>17346325</v>
      </c>
      <c r="H31" s="69">
        <v>17434047</v>
      </c>
      <c r="J31" s="69">
        <f>'P&amp;L Assumptions'!I62</f>
        <v>19177451.700000003</v>
      </c>
      <c r="K31" s="69">
        <f>'P&amp;L Assumptions'!J62</f>
        <v>21095196.870000005</v>
      </c>
      <c r="L31" s="69">
        <f>'P&amp;L Assumptions'!K62</f>
        <v>23204716.557000007</v>
      </c>
      <c r="M31" s="69">
        <f>'P&amp;L Assumptions'!L62</f>
        <v>25525188.212700009</v>
      </c>
      <c r="N31" s="69">
        <f>'P&amp;L Assumptions'!M62</f>
        <v>28077707.033970013</v>
      </c>
    </row>
    <row r="32" spans="2:14" ht="12" customHeight="1" thickBot="1" x14ac:dyDescent="0.25"/>
    <row r="33" spans="2:14" s="76" customFormat="1" ht="12" customHeight="1" thickBot="1" x14ac:dyDescent="0.3">
      <c r="B33" s="73" t="s">
        <v>77</v>
      </c>
      <c r="C33" s="73"/>
      <c r="D33" s="74">
        <v>2629968493</v>
      </c>
      <c r="E33" s="74">
        <v>3083892165</v>
      </c>
      <c r="F33" s="74">
        <v>3572484914</v>
      </c>
      <c r="G33" s="74">
        <v>3889758334</v>
      </c>
      <c r="H33" s="74">
        <v>4623751878</v>
      </c>
      <c r="J33" s="80">
        <f>SUM(J30:J31)</f>
        <v>5364781969.0864649</v>
      </c>
      <c r="K33" s="80">
        <f t="shared" ref="K33:N33" si="8">SUM(K30:K31)</f>
        <v>6027058189.2298822</v>
      </c>
      <c r="L33" s="80">
        <f t="shared" si="8"/>
        <v>6637065577.06985</v>
      </c>
      <c r="M33" s="80">
        <f t="shared" si="8"/>
        <v>7329936646.599905</v>
      </c>
      <c r="N33" s="80">
        <f t="shared" si="8"/>
        <v>8127574099.8396149</v>
      </c>
    </row>
    <row r="34" spans="2:14" ht="12" thickTop="1" x14ac:dyDescent="0.2">
      <c r="D34" s="69"/>
      <c r="E34" s="69"/>
      <c r="F34" s="69"/>
      <c r="G34" s="69"/>
      <c r="H34" s="69"/>
    </row>
    <row r="35" spans="2:14" x14ac:dyDescent="0.2">
      <c r="B35" s="63" t="s">
        <v>7</v>
      </c>
      <c r="D35" s="75">
        <v>84.01</v>
      </c>
      <c r="E35" s="69">
        <v>98.69</v>
      </c>
      <c r="F35" s="69">
        <v>112.82</v>
      </c>
      <c r="G35" s="75">
        <v>122.93</v>
      </c>
      <c r="H35" s="75">
        <v>146.22999999999999</v>
      </c>
      <c r="J35" s="69">
        <f>J33/J36</f>
        <v>170.31053870115761</v>
      </c>
      <c r="K35" s="69">
        <f t="shared" ref="K35:N35" si="9">K33/K36</f>
        <v>191.33518061047246</v>
      </c>
      <c r="L35" s="69">
        <f t="shared" si="9"/>
        <v>210.70049451015396</v>
      </c>
      <c r="M35" s="69">
        <f t="shared" si="9"/>
        <v>232.69640147936207</v>
      </c>
      <c r="N35" s="69">
        <f t="shared" si="9"/>
        <v>258.01822539173378</v>
      </c>
    </row>
    <row r="36" spans="2:14" x14ac:dyDescent="0.2">
      <c r="B36" s="59" t="s">
        <v>111</v>
      </c>
      <c r="D36" s="82">
        <v>31500000</v>
      </c>
      <c r="E36" s="82">
        <v>31500000</v>
      </c>
      <c r="F36" s="82">
        <v>31500000</v>
      </c>
      <c r="G36" s="82">
        <v>31500000</v>
      </c>
      <c r="H36" s="82">
        <v>31500000</v>
      </c>
      <c r="I36" s="64"/>
      <c r="J36" s="82">
        <v>31500000</v>
      </c>
      <c r="K36" s="82">
        <v>31500000</v>
      </c>
      <c r="L36" s="82">
        <v>31500000</v>
      </c>
      <c r="M36" s="82">
        <v>31500000</v>
      </c>
      <c r="N36" s="82">
        <v>31500000</v>
      </c>
    </row>
    <row r="37" spans="2:14" x14ac:dyDescent="0.2">
      <c r="B37" s="59" t="s">
        <v>125</v>
      </c>
      <c r="D37" s="102">
        <v>0.77300000000000002</v>
      </c>
      <c r="E37" s="102">
        <v>0.91200000000000003</v>
      </c>
      <c r="F37" s="102">
        <v>0.70899999999999996</v>
      </c>
      <c r="G37" s="102">
        <v>0.77300000000000002</v>
      </c>
      <c r="H37" s="103">
        <v>0</v>
      </c>
      <c r="J37" s="54">
        <v>0.7</v>
      </c>
      <c r="K37" s="54">
        <v>0.7</v>
      </c>
      <c r="L37" s="54">
        <v>0.7</v>
      </c>
      <c r="M37" s="54">
        <v>0.7</v>
      </c>
      <c r="N37" s="54">
        <v>0.7</v>
      </c>
    </row>
    <row r="38" spans="2:14" x14ac:dyDescent="0.2">
      <c r="B38" s="59" t="s">
        <v>185</v>
      </c>
      <c r="D38" s="82">
        <f>D33*D37</f>
        <v>2032965645.089</v>
      </c>
      <c r="E38" s="82">
        <f t="shared" ref="E38:N38" si="10">E33*E37</f>
        <v>2812509654.48</v>
      </c>
      <c r="F38" s="82">
        <f t="shared" si="10"/>
        <v>2532891804.026</v>
      </c>
      <c r="G38" s="82">
        <f t="shared" si="10"/>
        <v>3006783192.1820002</v>
      </c>
      <c r="H38" s="82">
        <f t="shared" si="10"/>
        <v>0</v>
      </c>
      <c r="I38" s="82">
        <f t="shared" si="10"/>
        <v>0</v>
      </c>
      <c r="J38" s="82">
        <f>J33*J37</f>
        <v>3755347378.3605251</v>
      </c>
      <c r="K38" s="82">
        <f t="shared" si="10"/>
        <v>4218940732.4609175</v>
      </c>
      <c r="L38" s="82">
        <f t="shared" si="10"/>
        <v>4645945903.9488945</v>
      </c>
      <c r="M38" s="82">
        <f t="shared" si="10"/>
        <v>5130955652.6199331</v>
      </c>
      <c r="N38" s="82">
        <f t="shared" si="10"/>
        <v>5689301869.8877296</v>
      </c>
    </row>
  </sheetData>
  <pageMargins left="0.7" right="0.7" top="0.75" bottom="0.75" header="0.3" footer="0.3"/>
  <ignoredErrors>
    <ignoredError sqref="H12 D12:G12" formulaRange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A0685-59F0-47D5-9091-52E1B23423F2}">
  <sheetPr codeName="Sheet8"/>
  <dimension ref="B1:O47"/>
  <sheetViews>
    <sheetView zoomScaleNormal="100" workbookViewId="0">
      <pane xSplit="2" ySplit="3" topLeftCell="F29" activePane="bottomRight" state="frozenSplit"/>
      <selection pane="topRight" activeCell="E1" sqref="E1"/>
      <selection pane="bottomLeft" activeCell="A10" sqref="A10"/>
      <selection pane="bottomRight" activeCell="D25" sqref="D25"/>
    </sheetView>
  </sheetViews>
  <sheetFormatPr defaultRowHeight="11.4" x14ac:dyDescent="0.2"/>
  <cols>
    <col min="1" max="1" width="2" style="59" customWidth="1"/>
    <col min="2" max="2" width="31.109375" style="59" customWidth="1"/>
    <col min="3" max="3" width="17.109375" style="59" customWidth="1"/>
    <col min="4" max="8" width="12.77734375" style="64" customWidth="1"/>
    <col min="9" max="9" width="3.21875" style="64" customWidth="1"/>
    <col min="10" max="12" width="12.77734375" style="64" customWidth="1"/>
    <col min="13" max="13" width="16.33203125" style="64" customWidth="1"/>
    <col min="14" max="14" width="17" style="59" customWidth="1"/>
    <col min="15" max="16384" width="8.88671875" style="59"/>
  </cols>
  <sheetData>
    <row r="1" spans="2:14" ht="15.6" x14ac:dyDescent="0.3">
      <c r="B1" s="99"/>
    </row>
    <row r="3" spans="2:14" ht="24.6" thickBot="1" x14ac:dyDescent="0.3">
      <c r="B3" s="67" t="s">
        <v>81</v>
      </c>
      <c r="C3" s="67"/>
      <c r="D3" s="100" t="s">
        <v>62</v>
      </c>
      <c r="E3" s="100" t="s">
        <v>63</v>
      </c>
      <c r="F3" s="100" t="s">
        <v>64</v>
      </c>
      <c r="G3" s="100" t="s">
        <v>65</v>
      </c>
      <c r="H3" s="100" t="s">
        <v>66</v>
      </c>
      <c r="J3" s="101" t="s">
        <v>102</v>
      </c>
      <c r="K3" s="101" t="s">
        <v>103</v>
      </c>
      <c r="L3" s="101" t="s">
        <v>104</v>
      </c>
      <c r="M3" s="101" t="s">
        <v>105</v>
      </c>
      <c r="N3" s="65" t="s">
        <v>106</v>
      </c>
    </row>
    <row r="4" spans="2:14" ht="12" customHeight="1" x14ac:dyDescent="0.25">
      <c r="B4" s="76" t="s">
        <v>123</v>
      </c>
    </row>
    <row r="5" spans="2:14" ht="12" customHeight="1" x14ac:dyDescent="0.2">
      <c r="B5" s="5" t="s">
        <v>9</v>
      </c>
      <c r="D5" s="64">
        <f>'BS Source'!D7</f>
        <v>646996533</v>
      </c>
      <c r="E5" s="64">
        <f>'BS Source'!E7</f>
        <v>771868265</v>
      </c>
      <c r="F5" s="64">
        <f>'BS Source'!F7</f>
        <v>981096486</v>
      </c>
      <c r="G5" s="64">
        <f>'BS Source'!G7</f>
        <v>1304594243</v>
      </c>
      <c r="H5" s="64">
        <f>'BS Source'!H7</f>
        <v>1414648907</v>
      </c>
      <c r="J5" s="64">
        <f>'BS Assumptions'!I19</f>
        <v>1597660111.3000002</v>
      </c>
      <c r="K5" s="64">
        <f>'BS Assumptions'!J19</f>
        <v>1757426122.4300003</v>
      </c>
      <c r="L5" s="64">
        <f>'BS Assumptions'!K19</f>
        <v>1933168734.6730003</v>
      </c>
      <c r="M5" s="64">
        <f>'BS Assumptions'!L19</f>
        <v>2126485608.1403005</v>
      </c>
      <c r="N5" s="64">
        <f>'BS Assumptions'!M19</f>
        <v>2339134168.9543304</v>
      </c>
    </row>
    <row r="6" spans="2:14" ht="12" customHeight="1" x14ac:dyDescent="0.2">
      <c r="B6" s="5" t="s">
        <v>10</v>
      </c>
      <c r="D6" s="64" t="str">
        <f>'BS Source'!D8</f>
        <v>-</v>
      </c>
      <c r="E6" s="64" t="str">
        <f>'BS Source'!E8</f>
        <v>–</v>
      </c>
      <c r="F6" s="64">
        <f>'BS Source'!F8</f>
        <v>12825500</v>
      </c>
      <c r="G6" s="64">
        <f>'BS Source'!G8</f>
        <v>8103932</v>
      </c>
      <c r="H6" s="64">
        <f>'BS Source'!H8</f>
        <v>1319156</v>
      </c>
      <c r="J6" s="64">
        <f>'BS Assumptions'!I22</f>
        <v>1319156</v>
      </c>
      <c r="K6" s="64">
        <f>'BS Assumptions'!J22</f>
        <v>1319156</v>
      </c>
      <c r="L6" s="64">
        <f>'BS Assumptions'!K22</f>
        <v>1319156</v>
      </c>
      <c r="M6" s="64">
        <f>'BS Assumptions'!L22</f>
        <v>1319156</v>
      </c>
      <c r="N6" s="64">
        <f>'BS Assumptions'!M22</f>
        <v>1319156</v>
      </c>
    </row>
    <row r="7" spans="2:14" ht="12" customHeight="1" x14ac:dyDescent="0.2">
      <c r="B7" s="5" t="s">
        <v>11</v>
      </c>
      <c r="D7" s="64">
        <f>'BS Source'!D9</f>
        <v>1629290</v>
      </c>
      <c r="E7" s="64">
        <f>'BS Source'!E9</f>
        <v>226084</v>
      </c>
      <c r="F7" s="64">
        <f>'BS Source'!F9</f>
        <v>51883</v>
      </c>
      <c r="G7" s="64">
        <f>'BS Source'!G9</f>
        <v>553054</v>
      </c>
      <c r="H7" s="64">
        <f>'BS Source'!H9</f>
        <v>242273</v>
      </c>
      <c r="J7" s="64">
        <f>'BS Assumptions'!I25</f>
        <v>782853.45453700004</v>
      </c>
      <c r="K7" s="64">
        <f>'BS Assumptions'!J25</f>
        <v>861138.79999070009</v>
      </c>
      <c r="L7" s="64">
        <f>'BS Assumptions'!K25</f>
        <v>947252.67998977017</v>
      </c>
      <c r="M7" s="64">
        <f>'BS Assumptions'!L25</f>
        <v>1041977.9479887472</v>
      </c>
      <c r="N7" s="64">
        <f>'BS Assumptions'!M25</f>
        <v>1146175.7427876219</v>
      </c>
    </row>
    <row r="8" spans="2:14" ht="12" customHeight="1" x14ac:dyDescent="0.2">
      <c r="B8" s="5" t="s">
        <v>12</v>
      </c>
      <c r="D8" s="64">
        <f>'BS Source'!D10</f>
        <v>175398286</v>
      </c>
      <c r="E8" s="64">
        <f>'BS Source'!E10</f>
        <v>164593633</v>
      </c>
      <c r="F8" s="64">
        <f>'BS Source'!F10</f>
        <v>292715995</v>
      </c>
      <c r="G8" s="64">
        <f>'BS Source'!G10</f>
        <v>266911631</v>
      </c>
      <c r="H8" s="64">
        <f>'BS Source'!H10</f>
        <v>345911409</v>
      </c>
      <c r="J8" s="64">
        <f>'BS Assumptions'!I28</f>
        <v>319532022.26000005</v>
      </c>
      <c r="K8" s="64">
        <f>'BS Assumptions'!J28</f>
        <v>351485224.48600006</v>
      </c>
      <c r="L8" s="64">
        <f>'BS Assumptions'!K28</f>
        <v>386633746.93460006</v>
      </c>
      <c r="M8" s="64">
        <f>'BS Assumptions'!L28</f>
        <v>425297121.6280601</v>
      </c>
      <c r="N8" s="64">
        <f>'BS Assumptions'!M28</f>
        <v>467826833.79086608</v>
      </c>
    </row>
    <row r="9" spans="2:14" ht="12" customHeight="1" x14ac:dyDescent="0.2">
      <c r="B9" s="5" t="s">
        <v>13</v>
      </c>
      <c r="D9" s="64">
        <f>'BS Source'!D11</f>
        <v>22687928</v>
      </c>
      <c r="E9" s="64">
        <f>'BS Source'!E11</f>
        <v>133405058</v>
      </c>
      <c r="F9" s="64">
        <f>'BS Source'!F11</f>
        <v>73743809</v>
      </c>
      <c r="G9" s="64">
        <f>'BS Source'!G11</f>
        <v>65871163</v>
      </c>
      <c r="H9" s="64">
        <f>'BS Source'!H11</f>
        <v>54495117</v>
      </c>
      <c r="J9" s="64">
        <f>'BS Assumptions'!I31</f>
        <v>159766011.13000003</v>
      </c>
      <c r="K9" s="64">
        <f>'BS Assumptions'!J31</f>
        <v>175742612.24300003</v>
      </c>
      <c r="L9" s="64">
        <f>'BS Assumptions'!K31</f>
        <v>193316873.46730003</v>
      </c>
      <c r="M9" s="64">
        <f>'BS Assumptions'!L31</f>
        <v>212648560.81403005</v>
      </c>
      <c r="N9" s="64">
        <f>'BS Assumptions'!M31</f>
        <v>233913416.89543304</v>
      </c>
    </row>
    <row r="10" spans="2:14" ht="12" customHeight="1" x14ac:dyDescent="0.2">
      <c r="B10" s="5" t="s">
        <v>14</v>
      </c>
      <c r="D10" s="64">
        <f>'BS Source'!D12</f>
        <v>449448</v>
      </c>
      <c r="E10" s="64">
        <f>'BS Source'!E12</f>
        <v>304664442</v>
      </c>
      <c r="F10" s="64">
        <f>'BS Source'!F12</f>
        <v>726235</v>
      </c>
      <c r="G10" s="64">
        <f>'BS Source'!G12</f>
        <v>7086385</v>
      </c>
      <c r="H10" s="64">
        <f>'BS Source'!H12</f>
        <v>7355019</v>
      </c>
      <c r="J10" s="64">
        <f>'BS Assumptions'!I34</f>
        <v>7428569.1900000004</v>
      </c>
      <c r="K10" s="64">
        <f>'BS Assumptions'!J34</f>
        <v>7502854.8819000004</v>
      </c>
      <c r="L10" s="64">
        <f>'BS Assumptions'!K34</f>
        <v>7577883.4307190003</v>
      </c>
      <c r="M10" s="64">
        <f>'BS Assumptions'!L34</f>
        <v>7653662.2650261903</v>
      </c>
      <c r="N10" s="64">
        <f>'BS Assumptions'!M34</f>
        <v>7730198.8876764523</v>
      </c>
    </row>
    <row r="11" spans="2:14" ht="12" customHeight="1" x14ac:dyDescent="0.2">
      <c r="B11" s="5" t="s">
        <v>15</v>
      </c>
      <c r="D11" s="64">
        <f>'BS Source'!D13</f>
        <v>47345641</v>
      </c>
      <c r="E11" s="64">
        <f>'BS Source'!E13</f>
        <v>19167902</v>
      </c>
      <c r="F11" s="64">
        <f>'BS Source'!F13</f>
        <v>13850105</v>
      </c>
      <c r="G11" s="64">
        <f>'BS Source'!G13</f>
        <v>12486990</v>
      </c>
      <c r="H11" s="64">
        <f>'BS Source'!H13</f>
        <v>68821750</v>
      </c>
      <c r="J11" s="64">
        <f>'BS Assumptions'!I37</f>
        <v>33550862.33730001</v>
      </c>
      <c r="K11" s="64">
        <f>'BS Assumptions'!J37</f>
        <v>36905948.571030006</v>
      </c>
      <c r="L11" s="64">
        <f>'BS Assumptions'!K37</f>
        <v>40596543.428133003</v>
      </c>
      <c r="M11" s="64">
        <f>'BS Assumptions'!L37</f>
        <v>44656197.770946309</v>
      </c>
      <c r="N11" s="64">
        <f>'BS Assumptions'!M37</f>
        <v>49121817.548040941</v>
      </c>
    </row>
    <row r="12" spans="2:14" ht="12" customHeight="1" thickBot="1" x14ac:dyDescent="0.25">
      <c r="B12" s="21" t="s">
        <v>16</v>
      </c>
      <c r="D12" s="64">
        <f>'BS Source'!D14</f>
        <v>894507126</v>
      </c>
      <c r="E12" s="64">
        <f>'BS Source'!E14</f>
        <v>1393925384</v>
      </c>
      <c r="F12" s="64">
        <f>'BS Source'!F14</f>
        <v>1375010013</v>
      </c>
      <c r="G12" s="64">
        <f>'BS Source'!G14</f>
        <v>1665607398</v>
      </c>
      <c r="H12" s="64">
        <f>'BS Source'!H14</f>
        <v>1892793631</v>
      </c>
      <c r="J12" s="64">
        <f>SUM(J5:J11)</f>
        <v>2120039585.6718373</v>
      </c>
      <c r="K12" s="64">
        <f t="shared" ref="K12:N12" si="0">SUM(K5:K11)</f>
        <v>2331243057.411921</v>
      </c>
      <c r="L12" s="64">
        <f t="shared" si="0"/>
        <v>2563560190.6137419</v>
      </c>
      <c r="M12" s="64">
        <f t="shared" si="0"/>
        <v>2819102284.5663524</v>
      </c>
      <c r="N12" s="64">
        <f t="shared" si="0"/>
        <v>3100191767.8191342</v>
      </c>
    </row>
    <row r="13" spans="2:14" ht="12" customHeight="1" x14ac:dyDescent="0.2"/>
    <row r="14" spans="2:14" ht="12" customHeight="1" x14ac:dyDescent="0.25">
      <c r="B14" s="39" t="s">
        <v>124</v>
      </c>
    </row>
    <row r="15" spans="2:14" ht="12" customHeight="1" x14ac:dyDescent="0.25">
      <c r="B15" s="2" t="s">
        <v>121</v>
      </c>
      <c r="D15" s="64">
        <f>'BS Source'!D16</f>
        <v>43955943</v>
      </c>
      <c r="E15" s="64">
        <f>'BS Source'!E16</f>
        <v>65033298</v>
      </c>
      <c r="F15" s="64">
        <f>'BS Source'!F16</f>
        <v>52229788</v>
      </c>
      <c r="G15" s="64">
        <f>'BS Source'!G16</f>
        <v>60694023</v>
      </c>
      <c r="H15" s="64">
        <f>'BS Source'!H16</f>
        <v>38200323</v>
      </c>
      <c r="J15" s="64">
        <f>'BS Assumptions'!I6</f>
        <v>66569171.304166675</v>
      </c>
      <c r="K15" s="64">
        <f>'BS Assumptions'!J6</f>
        <v>73226088.434583351</v>
      </c>
      <c r="L15" s="64">
        <f>'BS Assumptions'!K6</f>
        <v>80548697.278041676</v>
      </c>
      <c r="M15" s="64">
        <f>'BS Assumptions'!L6</f>
        <v>88603567.00584586</v>
      </c>
      <c r="N15" s="64">
        <f>'BS Assumptions'!M6</f>
        <v>97463923.706430435</v>
      </c>
    </row>
    <row r="16" spans="2:14" ht="12" customHeight="1" x14ac:dyDescent="0.2">
      <c r="B16" s="5" t="s">
        <v>17</v>
      </c>
      <c r="D16" s="64">
        <f>'BS Source'!D17</f>
        <v>1632102325</v>
      </c>
      <c r="E16" s="64">
        <f>'BS Source'!E17</f>
        <v>1980451778</v>
      </c>
      <c r="F16" s="64">
        <f>'BS Source'!F17</f>
        <v>2332427872</v>
      </c>
      <c r="G16" s="64">
        <f>'BS Source'!G17</f>
        <v>2528550222</v>
      </c>
      <c r="H16" s="64">
        <f>'BS Source'!H17</f>
        <v>3351467544</v>
      </c>
      <c r="J16" s="64">
        <f>'BS Assumptions'!I9</f>
        <v>2795905194.7750006</v>
      </c>
      <c r="K16" s="64">
        <f>'BS Assumptions'!J9</f>
        <v>3075495714.2525005</v>
      </c>
      <c r="L16" s="64">
        <f>'BS Assumptions'!K9</f>
        <v>3383045285.6777506</v>
      </c>
      <c r="M16" s="64">
        <f>'BS Assumptions'!L9</f>
        <v>3721349814.2455254</v>
      </c>
      <c r="N16" s="64">
        <f>'BS Assumptions'!M9</f>
        <v>4093484795.6700778</v>
      </c>
    </row>
    <row r="17" spans="2:15" ht="12" customHeight="1" x14ac:dyDescent="0.2">
      <c r="B17" s="5" t="s">
        <v>13</v>
      </c>
      <c r="D17" s="64">
        <f>'BS Source'!D18</f>
        <v>601458728</v>
      </c>
      <c r="E17" s="64">
        <f>'BS Source'!E18</f>
        <v>412773542</v>
      </c>
      <c r="F17" s="64">
        <f>'BS Source'!F18</f>
        <v>748075043</v>
      </c>
      <c r="G17" s="64">
        <f>'BS Source'!G18</f>
        <v>1028621890</v>
      </c>
      <c r="H17" s="64">
        <f>'BS Source'!H18</f>
        <v>756713830</v>
      </c>
      <c r="J17" s="64">
        <f>'BS Assumptions'!I12</f>
        <v>849955179.2116003</v>
      </c>
      <c r="K17" s="64">
        <f>'BS Assumptions'!J12</f>
        <v>934950697.13276017</v>
      </c>
      <c r="L17" s="64">
        <f>'BS Assumptions'!K12</f>
        <v>1028445766.8460362</v>
      </c>
      <c r="M17" s="64">
        <f>'BS Assumptions'!L12</f>
        <v>1131290343.5306399</v>
      </c>
      <c r="N17" s="64">
        <f>'BS Assumptions'!M12</f>
        <v>1244419377.8837039</v>
      </c>
    </row>
    <row r="18" spans="2:15" ht="12" customHeight="1" x14ac:dyDescent="0.2">
      <c r="B18" s="5" t="s">
        <v>14</v>
      </c>
      <c r="D18" s="64">
        <f>'BS Source'!D19</f>
        <v>1379698685</v>
      </c>
      <c r="E18" s="64">
        <f>'BS Source'!E19</f>
        <v>1509451168</v>
      </c>
      <c r="F18" s="64">
        <f>'BS Source'!F19</f>
        <v>2034679797</v>
      </c>
      <c r="G18" s="64">
        <f>'BS Source'!G19</f>
        <v>4123695693</v>
      </c>
      <c r="H18" s="64">
        <f>'BS Source'!H19</f>
        <v>8980505089</v>
      </c>
      <c r="J18" s="64">
        <f>'BS Assumptions'!I15</f>
        <v>5591810389.5500002</v>
      </c>
      <c r="K18" s="64">
        <f>'BS Assumptions'!J15</f>
        <v>6150991428.5050011</v>
      </c>
      <c r="L18" s="64">
        <f>'BS Assumptions'!K15</f>
        <v>6766090571.3555012</v>
      </c>
      <c r="M18" s="64">
        <f>'BS Assumptions'!L15</f>
        <v>7442699628.4910507</v>
      </c>
      <c r="N18" s="64">
        <f>'BS Assumptions'!M15</f>
        <v>8186969591.3401556</v>
      </c>
    </row>
    <row r="19" spans="2:15" ht="12" customHeight="1" x14ac:dyDescent="0.2">
      <c r="B19" s="5" t="s">
        <v>18</v>
      </c>
      <c r="D19" s="64">
        <f>'BS Source'!D20</f>
        <v>420407014</v>
      </c>
      <c r="E19" s="64">
        <f>'BS Source'!E20</f>
        <v>396404261</v>
      </c>
      <c r="F19" s="64">
        <f>'BS Source'!F20</f>
        <v>505194161</v>
      </c>
      <c r="G19" s="64">
        <f>'BS Source'!G20</f>
        <v>2228805865</v>
      </c>
      <c r="H19" s="64">
        <f>'BS Source'!H20</f>
        <v>1887129573</v>
      </c>
      <c r="J19" s="64">
        <f>UFCF!I41</f>
        <v>4317776576.1227808</v>
      </c>
      <c r="K19" s="64">
        <f>UFCF!J41</f>
        <v>6277212457.4887381</v>
      </c>
      <c r="L19" s="64">
        <f>UFCF!K41</f>
        <v>8201347060.4476786</v>
      </c>
      <c r="M19" s="64">
        <f>UFCF!L41</f>
        <v>10717796976.946049</v>
      </c>
      <c r="N19" s="64">
        <f>UFCF!M41</f>
        <v>13172730585.671785</v>
      </c>
      <c r="O19" s="64">
        <f>UFCF!N41</f>
        <v>0</v>
      </c>
    </row>
    <row r="20" spans="2:15" ht="12" customHeight="1" x14ac:dyDescent="0.2">
      <c r="B20" s="5" t="s">
        <v>36</v>
      </c>
      <c r="D20" s="64">
        <f>'BS Source'!D21</f>
        <v>35865465</v>
      </c>
      <c r="E20" s="64">
        <f>'BS Source'!E21</f>
        <v>35865465</v>
      </c>
      <c r="F20" s="64">
        <f>'BS Source'!F21</f>
        <v>0</v>
      </c>
      <c r="G20" s="64" t="s">
        <v>61</v>
      </c>
      <c r="H20" s="64" t="s">
        <v>61</v>
      </c>
      <c r="J20" s="64" t="s">
        <v>61</v>
      </c>
      <c r="K20" s="64" t="s">
        <v>61</v>
      </c>
      <c r="L20" s="64" t="s">
        <v>61</v>
      </c>
      <c r="M20" s="64" t="s">
        <v>61</v>
      </c>
      <c r="N20" s="59" t="s">
        <v>61</v>
      </c>
    </row>
    <row r="21" spans="2:15" ht="12" customHeight="1" thickBot="1" x14ac:dyDescent="0.25">
      <c r="B21" s="21" t="s">
        <v>19</v>
      </c>
      <c r="D21" s="64">
        <f>'BS Source'!D22</f>
        <v>4113488160</v>
      </c>
      <c r="E21" s="64">
        <f>'BS Source'!E22</f>
        <v>4399979512</v>
      </c>
      <c r="F21" s="64">
        <f>'BS Source'!F22</f>
        <v>5672606661</v>
      </c>
      <c r="G21" s="64">
        <f>'BS Source'!G22</f>
        <v>9970367693</v>
      </c>
      <c r="H21" s="64">
        <f>'BS Source'!H22</f>
        <v>15014016359</v>
      </c>
      <c r="J21" s="64">
        <f>SUM(J14:J20)</f>
        <v>13622016510.963547</v>
      </c>
      <c r="K21" s="64">
        <f t="shared" ref="K21:L21" si="1">SUM(K14:K20)</f>
        <v>16511876385.813583</v>
      </c>
      <c r="L21" s="64">
        <f t="shared" si="1"/>
        <v>19459477381.605007</v>
      </c>
      <c r="M21" s="64">
        <f>SUM(M14:M20)</f>
        <v>23101740330.219109</v>
      </c>
      <c r="N21" s="64">
        <f>SUM(N14:N20)</f>
        <v>26795068274.272156</v>
      </c>
    </row>
    <row r="22" spans="2:15" ht="12" customHeight="1" x14ac:dyDescent="0.2">
      <c r="N22" s="64"/>
    </row>
    <row r="23" spans="2:15" ht="13.8" thickBot="1" x14ac:dyDescent="0.25">
      <c r="B23" s="21" t="s">
        <v>20</v>
      </c>
      <c r="D23" s="64">
        <f>'BS Source'!D25</f>
        <v>5007995286</v>
      </c>
      <c r="E23" s="64">
        <f>'BS Source'!E25</f>
        <v>5793904896</v>
      </c>
      <c r="F23" s="64">
        <f>'BS Source'!F25-1</f>
        <v>7047616673</v>
      </c>
      <c r="G23" s="64">
        <f>'BS Source'!G25</f>
        <v>11635975091</v>
      </c>
      <c r="H23" s="64">
        <f>'BS Source'!H25</f>
        <v>16906809990</v>
      </c>
      <c r="J23" s="64">
        <f>SUM(J12,J21)</f>
        <v>15742056096.635384</v>
      </c>
      <c r="K23" s="64">
        <f t="shared" ref="K23:M23" si="2">SUM(K12,K21)</f>
        <v>18843119443.225506</v>
      </c>
      <c r="L23" s="64">
        <f t="shared" si="2"/>
        <v>22023037572.21875</v>
      </c>
      <c r="M23" s="64">
        <f t="shared" si="2"/>
        <v>25920842614.785461</v>
      </c>
      <c r="N23" s="64">
        <f>SUM(N12,N21)</f>
        <v>29895260042.09129</v>
      </c>
    </row>
    <row r="26" spans="2:15" ht="13.8" thickBot="1" x14ac:dyDescent="0.25">
      <c r="B26" s="12" t="s">
        <v>37</v>
      </c>
    </row>
    <row r="27" spans="2:15" ht="13.2" x14ac:dyDescent="0.2">
      <c r="B27" s="6" t="s">
        <v>21</v>
      </c>
      <c r="D27" s="64">
        <f>'BS Source'!M7</f>
        <v>315000000</v>
      </c>
      <c r="E27" s="64">
        <f>'BS Source'!N7</f>
        <v>315000000</v>
      </c>
      <c r="F27" s="64">
        <f>'BS Source'!O7</f>
        <v>315000000</v>
      </c>
      <c r="G27" s="64">
        <f>'BS Source'!P7</f>
        <v>315000000</v>
      </c>
      <c r="H27" s="64">
        <f>'BS Source'!Q7</f>
        <v>315000000</v>
      </c>
      <c r="J27" s="64">
        <v>315000000</v>
      </c>
      <c r="K27" s="64">
        <v>315000000</v>
      </c>
      <c r="L27" s="64">
        <v>315000000</v>
      </c>
      <c r="M27" s="64">
        <v>315000000</v>
      </c>
      <c r="N27" s="64">
        <v>315000000</v>
      </c>
    </row>
    <row r="28" spans="2:15" ht="13.2" x14ac:dyDescent="0.2">
      <c r="B28" s="6" t="s">
        <v>22</v>
      </c>
      <c r="D28" s="64">
        <f>'BS Source'!M8</f>
        <v>252000000</v>
      </c>
      <c r="E28" s="64">
        <f>'BS Source'!N8</f>
        <v>252000000</v>
      </c>
      <c r="F28" s="64">
        <f>'BS Source'!O8</f>
        <v>252000000</v>
      </c>
      <c r="G28" s="64">
        <f>'BS Source'!P8</f>
        <v>252000000</v>
      </c>
      <c r="H28" s="64">
        <f>'BS Source'!Q8</f>
        <v>252000000</v>
      </c>
      <c r="J28" s="64">
        <v>252000000</v>
      </c>
      <c r="K28" s="64">
        <v>252000000</v>
      </c>
      <c r="L28" s="64">
        <v>252000000</v>
      </c>
      <c r="M28" s="64">
        <v>252000000</v>
      </c>
      <c r="N28" s="64">
        <v>252000000</v>
      </c>
    </row>
    <row r="29" spans="2:15" ht="13.2" x14ac:dyDescent="0.2">
      <c r="B29" s="6" t="s">
        <v>23</v>
      </c>
      <c r="D29" s="64">
        <f>'BS Source'!M9</f>
        <v>820680232</v>
      </c>
      <c r="E29" s="64">
        <f>'BS Source'!N9</f>
        <v>1069572396</v>
      </c>
      <c r="F29" s="64">
        <f>'BS Source'!O9</f>
        <v>2122057310</v>
      </c>
      <c r="G29" s="64">
        <f>'BS Source'!P9</f>
        <v>3019315643</v>
      </c>
      <c r="H29" s="64">
        <f>'BS Source'!Q9</f>
        <v>7643067522</v>
      </c>
      <c r="J29" s="64">
        <f>'P&amp;L Statement'!J33-'P&amp;L Statement'!J38</f>
        <v>1609434590.7259398</v>
      </c>
      <c r="K29" s="64">
        <f>'P&amp;L Statement'!K33-'P&amp;L Statement'!K38</f>
        <v>1808117456.7689648</v>
      </c>
      <c r="L29" s="64">
        <f>'P&amp;L Statement'!L33-'P&amp;L Statement'!L38</f>
        <v>1991119673.1209555</v>
      </c>
      <c r="M29" s="64">
        <f>'P&amp;L Statement'!M33-'P&amp;L Statement'!M38</f>
        <v>2198980993.9799719</v>
      </c>
      <c r="N29" s="64">
        <f>'P&amp;L Statement'!N33-'P&amp;L Statement'!N38</f>
        <v>2438272229.9518852</v>
      </c>
    </row>
    <row r="30" spans="2:15" ht="13.8" thickBot="1" x14ac:dyDescent="0.25">
      <c r="B30" s="24" t="s">
        <v>25</v>
      </c>
      <c r="D30" s="64">
        <f>SUM(D27:D29)</f>
        <v>1387680232</v>
      </c>
      <c r="E30" s="64">
        <f>SUM(E27:E29)</f>
        <v>1636572396</v>
      </c>
      <c r="F30" s="64">
        <f t="shared" ref="F30:L30" si="3">SUM(F27:F29)</f>
        <v>2689057310</v>
      </c>
      <c r="G30" s="64">
        <f t="shared" si="3"/>
        <v>3586315643</v>
      </c>
      <c r="H30" s="64">
        <f t="shared" si="3"/>
        <v>8210067522</v>
      </c>
      <c r="J30" s="64">
        <f>SUM(J27:J29)</f>
        <v>2176434590.7259398</v>
      </c>
      <c r="K30" s="64">
        <f t="shared" si="3"/>
        <v>2375117456.7689648</v>
      </c>
      <c r="L30" s="64">
        <f t="shared" si="3"/>
        <v>2558119673.1209555</v>
      </c>
      <c r="M30" s="64">
        <f>SUM(M27:M29)</f>
        <v>2765980993.9799719</v>
      </c>
      <c r="N30" s="64">
        <f t="shared" ref="N30" si="4">SUM(N27:N29)</f>
        <v>3005272229.9518852</v>
      </c>
    </row>
    <row r="31" spans="2:15" ht="13.2" x14ac:dyDescent="0.2">
      <c r="B31" s="6"/>
    </row>
    <row r="32" spans="2:15" ht="13.2" x14ac:dyDescent="0.2">
      <c r="B32" s="6" t="s">
        <v>26</v>
      </c>
      <c r="D32" s="64">
        <f>'BS Assumptions'!C44</f>
        <v>167728340</v>
      </c>
      <c r="E32" s="64">
        <f>'BS Assumptions'!D44</f>
        <v>32262856</v>
      </c>
      <c r="F32" s="64">
        <f>'BS Assumptions'!E44</f>
        <v>43669953</v>
      </c>
      <c r="G32" s="64">
        <f>'BS Assumptions'!F44</f>
        <v>46397509</v>
      </c>
      <c r="H32" s="64">
        <f>'BS Assumptions'!G44</f>
        <v>151868409</v>
      </c>
      <c r="J32" s="64">
        <f>'BS Assumptions'!I44</f>
        <v>119824508.34750001</v>
      </c>
      <c r="K32" s="64">
        <f>'BS Assumptions'!J44</f>
        <v>131806959.18225002</v>
      </c>
      <c r="L32" s="64">
        <f>'BS Assumptions'!K44</f>
        <v>144987655.10047501</v>
      </c>
      <c r="M32" s="64">
        <f>'BS Assumptions'!L44</f>
        <v>159486420.61052251</v>
      </c>
      <c r="N32" s="64">
        <f>'BS Assumptions'!M44</f>
        <v>175435062.67157477</v>
      </c>
    </row>
    <row r="33" spans="2:14" ht="13.2" x14ac:dyDescent="0.2">
      <c r="B33" s="6" t="s">
        <v>27</v>
      </c>
      <c r="D33" s="64">
        <f>'BS Assumptions'!C47</f>
        <v>85861639</v>
      </c>
      <c r="E33" s="64">
        <f>'BS Assumptions'!D47</f>
        <v>122256724</v>
      </c>
      <c r="F33" s="64">
        <f>'BS Assumptions'!E47</f>
        <v>78641492</v>
      </c>
      <c r="G33" s="64">
        <f>'BS Assumptions'!F47</f>
        <v>26683320</v>
      </c>
      <c r="H33" s="64">
        <f>'BS Assumptions'!G47</f>
        <v>23741889</v>
      </c>
      <c r="J33" s="64">
        <f>'BS Assumptions'!I47</f>
        <v>67101724.67460002</v>
      </c>
      <c r="K33" s="64">
        <f>'BS Assumptions'!J47</f>
        <v>73811897.142060012</v>
      </c>
      <c r="L33" s="64">
        <f>'BS Assumptions'!K47</f>
        <v>81193086.856266007</v>
      </c>
      <c r="M33" s="64">
        <f>'BS Assumptions'!L47</f>
        <v>89312395.541892618</v>
      </c>
      <c r="N33" s="64">
        <f>'BS Assumptions'!M47</f>
        <v>98243635.096081883</v>
      </c>
    </row>
    <row r="34" spans="2:14" ht="13.8" thickBot="1" x14ac:dyDescent="0.25">
      <c r="B34" s="24" t="s">
        <v>28</v>
      </c>
      <c r="D34" s="64">
        <f>SUM(D32:D33)</f>
        <v>253589979</v>
      </c>
      <c r="E34" s="64">
        <f t="shared" ref="E34:N34" si="5">SUM(E32:E33)</f>
        <v>154519580</v>
      </c>
      <c r="F34" s="64">
        <f t="shared" si="5"/>
        <v>122311445</v>
      </c>
      <c r="G34" s="64">
        <f t="shared" si="5"/>
        <v>73080829</v>
      </c>
      <c r="H34" s="64">
        <f t="shared" si="5"/>
        <v>175610298</v>
      </c>
      <c r="J34" s="64">
        <f t="shared" si="5"/>
        <v>186926233.02210003</v>
      </c>
      <c r="K34" s="64">
        <f t="shared" si="5"/>
        <v>205618856.32431003</v>
      </c>
      <c r="L34" s="64">
        <f t="shared" si="5"/>
        <v>226180741.95674103</v>
      </c>
      <c r="M34" s="64">
        <f t="shared" si="5"/>
        <v>248798816.15241513</v>
      </c>
      <c r="N34" s="64">
        <f t="shared" si="5"/>
        <v>273678697.76765668</v>
      </c>
    </row>
    <row r="35" spans="2:14" ht="13.2" x14ac:dyDescent="0.2">
      <c r="B35" s="10"/>
    </row>
    <row r="36" spans="2:14" ht="14.4" x14ac:dyDescent="0.3">
      <c r="B36" s="17"/>
    </row>
    <row r="37" spans="2:14" ht="13.2" x14ac:dyDescent="0.2">
      <c r="B37" s="6" t="s">
        <v>29</v>
      </c>
      <c r="D37" s="64">
        <f>'BS Assumptions'!C41</f>
        <v>2711929259</v>
      </c>
      <c r="E37" s="64">
        <f>'BS Assumptions'!D41</f>
        <v>3082900365</v>
      </c>
      <c r="F37" s="64">
        <f>'BS Assumptions'!E41</f>
        <v>3548037256</v>
      </c>
      <c r="G37" s="64">
        <f>'BS Assumptions'!F41</f>
        <v>7106383606</v>
      </c>
      <c r="H37" s="64">
        <f>'BS Assumptions'!G41</f>
        <v>7168202840</v>
      </c>
      <c r="J37" s="64">
        <f>'BS Assumptions'!I41</f>
        <v>7455747186.0666676</v>
      </c>
      <c r="K37" s="64">
        <f>'BS Assumptions'!J41</f>
        <v>8201321904.6733341</v>
      </c>
      <c r="L37" s="64">
        <f>'BS Assumptions'!K41</f>
        <v>9021454095.1406689</v>
      </c>
      <c r="M37" s="64">
        <f>'BS Assumptions'!L41</f>
        <v>9923599504.6547337</v>
      </c>
      <c r="N37" s="64">
        <f>'BS Assumptions'!M41</f>
        <v>10915959455.120209</v>
      </c>
    </row>
    <row r="38" spans="2:14" ht="13.2" x14ac:dyDescent="0.2">
      <c r="B38" s="6" t="s">
        <v>26</v>
      </c>
      <c r="D38" s="64">
        <f>'BS Assumptions'!C51</f>
        <v>42836393</v>
      </c>
      <c r="E38" s="64">
        <f>'BS Assumptions'!D51</f>
        <v>44634210</v>
      </c>
      <c r="F38" s="64">
        <f>'BS Assumptions'!E51</f>
        <v>49476669</v>
      </c>
      <c r="G38" s="64">
        <f>'BS Assumptions'!F51</f>
        <v>57310504</v>
      </c>
      <c r="H38" s="64">
        <f>'BS Assumptions'!G51</f>
        <v>38871187</v>
      </c>
      <c r="J38" s="64">
        <f>'BS Assumptions'!I51</f>
        <v>63906404.452000007</v>
      </c>
      <c r="K38" s="64">
        <f>'BS Assumptions'!J51</f>
        <v>70297044.897200018</v>
      </c>
      <c r="L38" s="64">
        <f>'BS Assumptions'!K51</f>
        <v>77326749.38692002</v>
      </c>
      <c r="M38" s="64">
        <f>'BS Assumptions'!L51</f>
        <v>85059424.325612023</v>
      </c>
      <c r="N38" s="64">
        <f>'BS Assumptions'!M51</f>
        <v>93565366.758173212</v>
      </c>
    </row>
    <row r="39" spans="2:14" ht="13.2" x14ac:dyDescent="0.2">
      <c r="B39" s="6" t="s">
        <v>27</v>
      </c>
      <c r="D39" s="64">
        <f>'BS Assumptions'!C54</f>
        <v>6516576</v>
      </c>
      <c r="E39" s="64">
        <f>'BS Assumptions'!D54</f>
        <v>21018917</v>
      </c>
      <c r="F39" s="64">
        <f>'BS Assumptions'!E54</f>
        <v>24414205</v>
      </c>
      <c r="G39" s="64">
        <f>'BS Assumptions'!F54</f>
        <v>25893750</v>
      </c>
      <c r="H39" s="64">
        <f>'BS Assumptions'!G54</f>
        <v>21619307</v>
      </c>
      <c r="J39" s="64">
        <f>'BS Assumptions'!I54</f>
        <v>20130517.402380005</v>
      </c>
      <c r="K39" s="64">
        <f>'BS Assumptions'!J54</f>
        <v>22143569.142618001</v>
      </c>
      <c r="L39" s="64">
        <f>'BS Assumptions'!K54</f>
        <v>24357926.056879804</v>
      </c>
      <c r="M39" s="64">
        <f>'BS Assumptions'!L54</f>
        <v>26793718.662567787</v>
      </c>
      <c r="N39" s="64">
        <f>'BS Assumptions'!M54</f>
        <v>29473090.528824564</v>
      </c>
    </row>
    <row r="40" spans="2:14" ht="13.2" x14ac:dyDescent="0.2">
      <c r="B40" s="6" t="s">
        <v>30</v>
      </c>
      <c r="D40" s="64">
        <f>'BS Assumptions'!C57</f>
        <v>0</v>
      </c>
      <c r="E40" s="64">
        <f>'BS Assumptions'!D57</f>
        <v>250000000</v>
      </c>
      <c r="F40" s="64">
        <f>'BS Assumptions'!E57</f>
        <v>0</v>
      </c>
      <c r="G40" s="64">
        <f>'BS Assumptions'!F57</f>
        <v>0</v>
      </c>
      <c r="H40" s="64">
        <f>'BS Assumptions'!G57</f>
        <v>450000000</v>
      </c>
      <c r="J40" s="64">
        <f>'BS Assumptions'!I57</f>
        <v>450000000</v>
      </c>
      <c r="K40" s="64">
        <f>'BS Assumptions'!J57</f>
        <v>550000000</v>
      </c>
      <c r="L40" s="64">
        <f>'BS Assumptions'!K57</f>
        <v>450000000</v>
      </c>
      <c r="M40" s="64">
        <f>'BS Assumptions'!L57</f>
        <v>650000000</v>
      </c>
      <c r="N40" s="64">
        <f>'BS Assumptions'!M57</f>
        <v>450000000</v>
      </c>
    </row>
    <row r="41" spans="2:14" ht="13.2" x14ac:dyDescent="0.2">
      <c r="B41" s="6" t="s">
        <v>31</v>
      </c>
      <c r="D41" s="64">
        <f>'BS Assumptions'!C60</f>
        <v>605442847</v>
      </c>
      <c r="E41" s="64">
        <f>'BS Assumptions'!D60</f>
        <v>604259428</v>
      </c>
      <c r="F41" s="64">
        <f>'BS Assumptions'!E60</f>
        <v>614319789</v>
      </c>
      <c r="G41" s="64">
        <f>'BS Assumptions'!F60</f>
        <v>778588742</v>
      </c>
      <c r="H41" s="64">
        <f>'BS Assumptions'!G60</f>
        <v>834612174</v>
      </c>
      <c r="J41" s="64">
        <f>'BS Assumptions'!I60</f>
        <v>1117717308.1808064</v>
      </c>
      <c r="K41" s="64">
        <f>'BS Assumptions'!J60</f>
        <v>1255792262.0388846</v>
      </c>
      <c r="L41" s="64">
        <f>'BS Assumptions'!K60</f>
        <v>1382898179.9254143</v>
      </c>
      <c r="M41" s="64">
        <f>'BS Assumptions'!L60</f>
        <v>1527286032.2082338</v>
      </c>
      <c r="N41" s="64">
        <f>'BS Assumptions'!M60</f>
        <v>1693531063.9502714</v>
      </c>
    </row>
    <row r="42" spans="2:14" ht="13.2" x14ac:dyDescent="0.2">
      <c r="B42" s="6" t="s">
        <v>32</v>
      </c>
      <c r="D42" s="64">
        <f>'BS Source'!M22</f>
        <v>0</v>
      </c>
      <c r="E42" s="64">
        <f>'BS Source'!N22</f>
        <v>0</v>
      </c>
      <c r="F42" s="64">
        <f>'BS Source'!O22</f>
        <v>0</v>
      </c>
      <c r="G42" s="64">
        <f>'BS Source'!P22</f>
        <v>8402017</v>
      </c>
      <c r="H42" s="64">
        <f>'BS Source'!Q22</f>
        <v>7826662</v>
      </c>
      <c r="J42" s="64">
        <v>0</v>
      </c>
      <c r="K42" s="64" t="s">
        <v>61</v>
      </c>
      <c r="L42" s="64" t="s">
        <v>61</v>
      </c>
      <c r="M42" s="64" t="s">
        <v>61</v>
      </c>
      <c r="N42" s="64" t="s">
        <v>61</v>
      </c>
    </row>
    <row r="43" spans="2:14" ht="13.2" x14ac:dyDescent="0.2">
      <c r="B43" s="27" t="s">
        <v>33</v>
      </c>
      <c r="D43" s="64">
        <f>SUM(D37:D42)</f>
        <v>3366725075</v>
      </c>
      <c r="E43" s="64">
        <f t="shared" ref="E43:H43" si="6">SUM(E37:E42)</f>
        <v>4002812920</v>
      </c>
      <c r="F43" s="64">
        <f t="shared" si="6"/>
        <v>4236247919</v>
      </c>
      <c r="G43" s="64">
        <f t="shared" si="6"/>
        <v>7976578619</v>
      </c>
      <c r="H43" s="64">
        <f t="shared" si="6"/>
        <v>8521132170</v>
      </c>
      <c r="J43" s="64">
        <f t="shared" ref="J43" si="7">SUM(J37:J42)</f>
        <v>9107501416.1018543</v>
      </c>
      <c r="K43" s="64">
        <f t="shared" ref="K43" si="8">SUM(K37:K42)</f>
        <v>10099554780.752037</v>
      </c>
      <c r="L43" s="64">
        <f t="shared" ref="L43" si="9">SUM(L37:L42)</f>
        <v>10956036950.509884</v>
      </c>
      <c r="M43" s="64">
        <f t="shared" ref="M43:N43" si="10">SUM(M37:M42)</f>
        <v>12212738679.851147</v>
      </c>
      <c r="N43" s="64">
        <f t="shared" si="10"/>
        <v>13182528976.357477</v>
      </c>
    </row>
    <row r="44" spans="2:14" ht="13.2" x14ac:dyDescent="0.2">
      <c r="B44" s="30" t="s">
        <v>34</v>
      </c>
      <c r="D44" s="64">
        <f>SUM(D34,D43)</f>
        <v>3620315054</v>
      </c>
      <c r="E44" s="64">
        <f>SUM(E34,E43)</f>
        <v>4157332500</v>
      </c>
      <c r="F44" s="64">
        <f t="shared" ref="F44:N44" si="11">SUM(F34,F43)</f>
        <v>4358559364</v>
      </c>
      <c r="G44" s="64">
        <f t="shared" si="11"/>
        <v>8049659448</v>
      </c>
      <c r="H44" s="64">
        <f>SUM(H34,H43)</f>
        <v>8696742468</v>
      </c>
      <c r="J44" s="64">
        <f>SUM(J34,J43)</f>
        <v>9294427649.1239548</v>
      </c>
      <c r="K44" s="64">
        <f t="shared" si="11"/>
        <v>10305173637.076347</v>
      </c>
      <c r="L44" s="64">
        <f t="shared" si="11"/>
        <v>11182217692.466625</v>
      </c>
      <c r="M44" s="64">
        <f t="shared" si="11"/>
        <v>12461537496.003561</v>
      </c>
      <c r="N44" s="64">
        <f t="shared" si="11"/>
        <v>13456207674.125134</v>
      </c>
    </row>
    <row r="45" spans="2:14" ht="13.8" thickBot="1" x14ac:dyDescent="0.25">
      <c r="B45" s="12" t="s">
        <v>35</v>
      </c>
      <c r="D45" s="64">
        <f>SUM(D44,D30)</f>
        <v>5007995286</v>
      </c>
      <c r="E45" s="64">
        <f t="shared" ref="E45:G45" si="12">SUM(E44,E30)</f>
        <v>5793904896</v>
      </c>
      <c r="F45" s="64">
        <f t="shared" si="12"/>
        <v>7047616674</v>
      </c>
      <c r="G45" s="64">
        <f t="shared" si="12"/>
        <v>11635975091</v>
      </c>
      <c r="H45" s="64">
        <f>SUM(H44,H30)</f>
        <v>16906809990</v>
      </c>
      <c r="J45" s="64">
        <f t="shared" ref="J45" si="13">SUM(J44,J30)</f>
        <v>11470862239.849895</v>
      </c>
      <c r="K45" s="64">
        <f t="shared" ref="K45" si="14">SUM(K44,K30)</f>
        <v>12680291093.845312</v>
      </c>
      <c r="L45" s="64">
        <f t="shared" ref="L45" si="15">SUM(L44,L30)</f>
        <v>13740337365.587582</v>
      </c>
      <c r="M45" s="64">
        <f t="shared" ref="M45:N45" si="16">SUM(M44,M30)</f>
        <v>15227518489.983532</v>
      </c>
      <c r="N45" s="64">
        <f t="shared" si="16"/>
        <v>16461479904.077019</v>
      </c>
    </row>
    <row r="47" spans="2:14" x14ac:dyDescent="0.2">
      <c r="B47" s="59" t="s">
        <v>126</v>
      </c>
      <c r="D47" s="64">
        <f>D23-D45</f>
        <v>0</v>
      </c>
      <c r="E47" s="64">
        <f t="shared" ref="E47:N47" si="17">E23-E45</f>
        <v>0</v>
      </c>
      <c r="F47" s="64">
        <f>F23-F45</f>
        <v>-1</v>
      </c>
      <c r="G47" s="64">
        <f t="shared" si="17"/>
        <v>0</v>
      </c>
      <c r="H47" s="64">
        <f>H23-H45</f>
        <v>0</v>
      </c>
      <c r="J47" s="64">
        <f>J23-J45</f>
        <v>4271193856.7854881</v>
      </c>
      <c r="K47" s="64">
        <f t="shared" si="17"/>
        <v>6162828349.3801937</v>
      </c>
      <c r="L47" s="64">
        <f t="shared" si="17"/>
        <v>8282700206.6311684</v>
      </c>
      <c r="M47" s="64">
        <f t="shared" si="17"/>
        <v>10693324124.801929</v>
      </c>
      <c r="N47" s="64">
        <f t="shared" si="17"/>
        <v>13433780138.014271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2F1DF-5692-4862-9838-3AD12AAD4D96}">
  <sheetPr codeName="Sheet11"/>
  <dimension ref="B1:P83"/>
  <sheetViews>
    <sheetView zoomScale="85" zoomScaleNormal="85" workbookViewId="0">
      <pane xSplit="2" ySplit="4" topLeftCell="C10" activePane="bottomRight" state="frozenSplit"/>
      <selection activeCell="D8" sqref="D8"/>
      <selection pane="topRight" activeCell="D8" sqref="D8"/>
      <selection pane="bottomLeft" activeCell="D8" sqref="D8"/>
      <selection pane="bottomRight" activeCell="N26" sqref="N26"/>
    </sheetView>
  </sheetViews>
  <sheetFormatPr defaultRowHeight="11.4" x14ac:dyDescent="0.2"/>
  <cols>
    <col min="1" max="1" width="2" style="59" customWidth="1"/>
    <col min="2" max="2" width="24.21875" style="59" customWidth="1"/>
    <col min="3" max="3" width="21.5546875" style="59" customWidth="1"/>
    <col min="4" max="5" width="12.77734375" style="93" customWidth="1"/>
    <col min="6" max="7" width="12.77734375" style="151" customWidth="1"/>
    <col min="8" max="8" width="5.77734375" style="151" customWidth="1"/>
    <col min="9" max="9" width="13.77734375" style="151" customWidth="1"/>
    <col min="10" max="11" width="13.77734375" style="93" customWidth="1"/>
    <col min="12" max="12" width="16.21875" style="93" customWidth="1"/>
    <col min="13" max="13" width="15.88671875" style="93" customWidth="1"/>
    <col min="14" max="14" width="12.21875" style="59" customWidth="1"/>
    <col min="15" max="16384" width="8.88671875" style="59"/>
  </cols>
  <sheetData>
    <row r="1" spans="2:16" ht="12" x14ac:dyDescent="0.25">
      <c r="B1" s="66"/>
    </row>
    <row r="2" spans="2:16" ht="12" x14ac:dyDescent="0.25">
      <c r="B2" s="111" t="s">
        <v>127</v>
      </c>
      <c r="C2" s="111"/>
      <c r="F2" s="93"/>
      <c r="G2" s="93"/>
      <c r="H2" s="93"/>
      <c r="I2" s="93"/>
      <c r="N2" s="104"/>
      <c r="O2" s="104"/>
      <c r="P2" s="104"/>
    </row>
    <row r="3" spans="2:16" x14ac:dyDescent="0.2">
      <c r="B3" s="104" t="s">
        <v>128</v>
      </c>
      <c r="C3" s="104"/>
      <c r="N3" s="104"/>
      <c r="O3" s="104"/>
      <c r="P3" s="104"/>
    </row>
    <row r="4" spans="2:16" ht="24.6" thickBot="1" x14ac:dyDescent="0.3">
      <c r="B4" s="105" t="s">
        <v>88</v>
      </c>
      <c r="C4" s="105"/>
      <c r="D4" s="60" t="s">
        <v>63</v>
      </c>
      <c r="E4" s="60" t="s">
        <v>64</v>
      </c>
      <c r="F4" s="60" t="s">
        <v>65</v>
      </c>
      <c r="G4" s="60" t="s">
        <v>66</v>
      </c>
      <c r="H4" s="152"/>
      <c r="I4" s="65" t="s">
        <v>102</v>
      </c>
      <c r="J4" s="65" t="s">
        <v>103</v>
      </c>
      <c r="K4" s="65" t="s">
        <v>104</v>
      </c>
      <c r="L4" s="65" t="s">
        <v>105</v>
      </c>
      <c r="M4" s="65" t="s">
        <v>106</v>
      </c>
      <c r="N4" s="106"/>
      <c r="O4" s="47"/>
      <c r="P4" s="107"/>
    </row>
    <row r="5" spans="2:16" x14ac:dyDescent="0.2">
      <c r="B5" s="104" t="s">
        <v>74</v>
      </c>
      <c r="C5" s="104" t="s">
        <v>129</v>
      </c>
      <c r="D5" s="93">
        <f>'P&amp;L Statement'!E20</f>
        <v>4284691948</v>
      </c>
      <c r="E5" s="93">
        <f>'P&amp;L Statement'!F20</f>
        <v>4644343824</v>
      </c>
      <c r="F5" s="93">
        <f>'P&amp;L Statement'!G20</f>
        <v>5137879525</v>
      </c>
      <c r="G5" s="93">
        <f>'P&amp;L Statement'!H20</f>
        <v>6150814725</v>
      </c>
      <c r="H5" s="93"/>
      <c r="I5" s="93">
        <f>'P&amp;L Statement'!J20</f>
        <v>6918537546.2769985</v>
      </c>
      <c r="J5" s="93">
        <f>'P&amp;L Statement'!K20</f>
        <v>7642679135.3047028</v>
      </c>
      <c r="K5" s="93">
        <f>'P&amp;L Statement'!L20</f>
        <v>8458607583.8751698</v>
      </c>
      <c r="L5" s="93">
        <f>'P&amp;L Statement'!M20</f>
        <v>9387125198.3266888</v>
      </c>
      <c r="M5" s="93">
        <f>'P&amp;L Statement'!N20</f>
        <v>10458088687.861759</v>
      </c>
      <c r="O5" s="104"/>
      <c r="P5" s="104"/>
    </row>
    <row r="6" spans="2:16" x14ac:dyDescent="0.2">
      <c r="B6" s="104" t="s">
        <v>187</v>
      </c>
      <c r="C6" s="104" t="s">
        <v>129</v>
      </c>
      <c r="D6" s="93">
        <v>-1071166265.9925785</v>
      </c>
      <c r="E6" s="93">
        <v>-934850734.08675563</v>
      </c>
      <c r="F6" s="93">
        <v>-1000538572.8426398</v>
      </c>
      <c r="G6" s="93">
        <v>-1367527760.1699035</v>
      </c>
      <c r="H6" s="93"/>
      <c r="I6" s="93">
        <f>-I5*I7</f>
        <v>-1591263635.6437097</v>
      </c>
      <c r="J6" s="93">
        <f>-J5*J7</f>
        <v>-1757816201.1200817</v>
      </c>
      <c r="K6" s="93">
        <f>-K5*K7</f>
        <v>-1945479744.2912891</v>
      </c>
      <c r="L6" s="93">
        <f>-L5*L7</f>
        <v>-2159038795.6151385</v>
      </c>
      <c r="M6" s="93">
        <f>-M5*M7</f>
        <v>-2405360398.2082047</v>
      </c>
      <c r="O6" s="104"/>
      <c r="P6" s="104"/>
    </row>
    <row r="7" spans="2:16" x14ac:dyDescent="0.2">
      <c r="B7" s="104" t="s">
        <v>130</v>
      </c>
      <c r="C7" s="104"/>
      <c r="D7" s="108">
        <f>'P&amp;L Assumptions'!D57</f>
        <v>0.25885316252569601</v>
      </c>
      <c r="E7" s="108">
        <f>'P&amp;L Assumptions'!E57</f>
        <v>0.20977425540522754</v>
      </c>
      <c r="F7" s="108">
        <f>'P&amp;L Assumptions'!F57</f>
        <v>0.23039387861243724</v>
      </c>
      <c r="G7" s="108">
        <f>'P&amp;L Assumptions'!G57</f>
        <v>0.21348360248266035</v>
      </c>
      <c r="H7" s="108"/>
      <c r="I7" s="108">
        <v>0.23</v>
      </c>
      <c r="J7" s="108">
        <f>'P&amp;L Assumptions'!J57</f>
        <v>0.23</v>
      </c>
      <c r="K7" s="108">
        <f>'P&amp;L Assumptions'!K57</f>
        <v>0.23</v>
      </c>
      <c r="L7" s="108">
        <f>'P&amp;L Assumptions'!L57</f>
        <v>0.23</v>
      </c>
      <c r="M7" s="108">
        <f>'P&amp;L Assumptions'!M57</f>
        <v>0.23</v>
      </c>
      <c r="O7" s="104"/>
      <c r="P7" s="104"/>
    </row>
    <row r="8" spans="2:16" ht="12" x14ac:dyDescent="0.25">
      <c r="B8" s="109" t="s">
        <v>131</v>
      </c>
      <c r="C8" s="109"/>
      <c r="D8" s="153">
        <f>SUM(D5:D6)</f>
        <v>3213525682.0074215</v>
      </c>
      <c r="E8" s="153">
        <f>SUM(E5:E6)</f>
        <v>3709493089.9132442</v>
      </c>
      <c r="F8" s="153">
        <f>SUM(F5:F6)</f>
        <v>4137340952.1573601</v>
      </c>
      <c r="G8" s="153">
        <f>SUM(G5:G6)</f>
        <v>4783286964.8300962</v>
      </c>
      <c r="H8" s="153"/>
      <c r="I8" s="153">
        <f>SUM(I5:I6)</f>
        <v>5327273910.6332893</v>
      </c>
      <c r="J8" s="153">
        <f>SUM(J5:J6)</f>
        <v>5884862934.1846209</v>
      </c>
      <c r="K8" s="153">
        <f>SUM(K5:K6)</f>
        <v>6513127839.5838804</v>
      </c>
      <c r="L8" s="153">
        <f>SUM(L5:L6)</f>
        <v>7228086402.7115498</v>
      </c>
      <c r="M8" s="153">
        <f>SUM(M5:M6)</f>
        <v>8052728289.6535549</v>
      </c>
      <c r="O8" s="104"/>
      <c r="P8" s="104"/>
    </row>
    <row r="9" spans="2:16" ht="12" x14ac:dyDescent="0.25">
      <c r="B9" s="110"/>
      <c r="C9" s="110"/>
      <c r="D9" s="154"/>
      <c r="E9" s="155"/>
      <c r="I9" s="156"/>
      <c r="J9" s="156"/>
      <c r="K9" s="156"/>
      <c r="L9" s="156"/>
      <c r="M9" s="156"/>
      <c r="O9" s="104"/>
      <c r="P9" s="104"/>
    </row>
    <row r="10" spans="2:16" x14ac:dyDescent="0.2">
      <c r="B10" s="104" t="s">
        <v>132</v>
      </c>
      <c r="C10" s="104" t="s">
        <v>129</v>
      </c>
      <c r="D10" s="93">
        <f>-'P&amp;L Statement'!E19</f>
        <v>85567113</v>
      </c>
      <c r="E10" s="93">
        <f>-'P&amp;L Statement'!F19</f>
        <v>113364509</v>
      </c>
      <c r="F10" s="93">
        <f>-'P&amp;L Statement'!G19</f>
        <v>102297759</v>
      </c>
      <c r="G10" s="93">
        <f>-'P&amp;L Statement'!H19</f>
        <v>105285495</v>
      </c>
      <c r="H10" s="93"/>
      <c r="I10" s="93">
        <f>-'P&amp;L Statement'!J19</f>
        <v>175742612.24300003</v>
      </c>
      <c r="J10" s="93">
        <f>-'P&amp;L Statement'!K19</f>
        <v>193316873.46730003</v>
      </c>
      <c r="K10" s="93">
        <f>-'P&amp;L Statement'!L19</f>
        <v>212648560.81403005</v>
      </c>
      <c r="L10" s="93">
        <f>-'P&amp;L Statement'!M19</f>
        <v>233913416.89543307</v>
      </c>
      <c r="M10" s="93">
        <f>-'P&amp;L Statement'!N19</f>
        <v>257304758.58497635</v>
      </c>
      <c r="O10" s="104"/>
      <c r="P10" s="104"/>
    </row>
    <row r="11" spans="2:16" ht="12" x14ac:dyDescent="0.25">
      <c r="B11" s="109" t="s">
        <v>133</v>
      </c>
      <c r="C11" s="109"/>
      <c r="D11" s="153">
        <f>D8+D10</f>
        <v>3299092795.0074215</v>
      </c>
      <c r="E11" s="153">
        <f t="shared" ref="E11:M11" si="0">E8+E10</f>
        <v>3822857598.9132442</v>
      </c>
      <c r="F11" s="153">
        <f t="shared" si="0"/>
        <v>4239638711.1573601</v>
      </c>
      <c r="G11" s="153">
        <f>G8+G10</f>
        <v>4888572459.8300962</v>
      </c>
      <c r="H11" s="153"/>
      <c r="I11" s="153">
        <f t="shared" si="0"/>
        <v>5503016522.8762894</v>
      </c>
      <c r="J11" s="153">
        <f t="shared" si="0"/>
        <v>6078179807.6519213</v>
      </c>
      <c r="K11" s="153">
        <f t="shared" si="0"/>
        <v>6725776400.3979101</v>
      </c>
      <c r="L11" s="153">
        <f t="shared" si="0"/>
        <v>7461999819.6069832</v>
      </c>
      <c r="M11" s="153">
        <f t="shared" si="0"/>
        <v>8310033048.2385311</v>
      </c>
      <c r="O11" s="104"/>
      <c r="P11" s="104"/>
    </row>
    <row r="12" spans="2:16" ht="12" x14ac:dyDescent="0.25">
      <c r="B12" s="150" t="s">
        <v>43</v>
      </c>
      <c r="C12" s="147"/>
      <c r="D12" s="93">
        <f>'P&amp;L Statement'!E22</f>
        <v>149398274</v>
      </c>
      <c r="E12" s="93">
        <f>'P&amp;L Statement'!F22</f>
        <v>126636587</v>
      </c>
      <c r="F12" s="93">
        <f>'P&amp;L Statement'!G22</f>
        <v>162981942</v>
      </c>
      <c r="G12" s="93">
        <f>'P&amp;L Statement'!H22</f>
        <v>579855635</v>
      </c>
      <c r="H12" s="93">
        <f>'P&amp;L Statement'!I22</f>
        <v>0</v>
      </c>
      <c r="I12" s="93">
        <f>'P&amp;L Statement'!J22</f>
        <v>597251304.05000007</v>
      </c>
      <c r="J12" s="93">
        <f>'P&amp;L Statement'!K22</f>
        <v>615168843.17150009</v>
      </c>
      <c r="K12" s="93">
        <f>'P&amp;L Statement'!L22</f>
        <v>633623908.46664512</v>
      </c>
      <c r="L12" s="93">
        <f>'P&amp;L Statement'!M22</f>
        <v>652632625.72064447</v>
      </c>
      <c r="M12" s="93">
        <f>'P&amp;L Statement'!N22</f>
        <v>672211604.49226379</v>
      </c>
      <c r="O12" s="104"/>
      <c r="P12" s="104"/>
    </row>
    <row r="13" spans="2:16" x14ac:dyDescent="0.2">
      <c r="B13" s="104" t="s">
        <v>115</v>
      </c>
      <c r="C13" s="104" t="s">
        <v>134</v>
      </c>
      <c r="D13" s="93">
        <f>-('BS Assumptions'!D9-'BS Assumptions'!C9)</f>
        <v>-348349453</v>
      </c>
      <c r="E13" s="93">
        <f>-('BS Assumptions'!E9-'BS Assumptions'!D9)</f>
        <v>-351976094</v>
      </c>
      <c r="F13" s="93">
        <f>-('BS Assumptions'!F9-'BS Assumptions'!E9)</f>
        <v>-196122350</v>
      </c>
      <c r="G13" s="93">
        <f>-('BS Assumptions'!G9-'BS Assumptions'!F9)</f>
        <v>-822917322</v>
      </c>
      <c r="H13" s="93"/>
      <c r="I13" s="93">
        <f>-('BS Assumptions'!I9-'BS Assumptions'!G9)</f>
        <v>555562349.22499943</v>
      </c>
      <c r="J13" s="93">
        <f>-('BS Assumptions'!J9-'BS Assumptions'!I9)</f>
        <v>-279590519.47749996</v>
      </c>
      <c r="K13" s="93">
        <f>-('BS Assumptions'!K9-'BS Assumptions'!J9)</f>
        <v>-307549571.42525005</v>
      </c>
      <c r="L13" s="93">
        <f>-('BS Assumptions'!L9-'BS Assumptions'!K9)</f>
        <v>-338304528.56777477</v>
      </c>
      <c r="M13" s="93">
        <f>-('BS Assumptions'!M9-'BS Assumptions'!L9)</f>
        <v>-372134981.42455244</v>
      </c>
      <c r="O13" s="104"/>
      <c r="P13" s="104"/>
    </row>
    <row r="14" spans="2:16" x14ac:dyDescent="0.2">
      <c r="B14" s="104" t="s">
        <v>135</v>
      </c>
      <c r="C14" s="104" t="s">
        <v>134</v>
      </c>
      <c r="D14" s="93">
        <f>-('BS Assumptions'!D6-'BS Assumptions'!C6)</f>
        <v>-21077355</v>
      </c>
      <c r="E14" s="93">
        <f>-('BS Assumptions'!E6-'BS Assumptions'!D6)</f>
        <v>12803510</v>
      </c>
      <c r="F14" s="93">
        <f>-('BS Assumptions'!F6-'BS Assumptions'!E6)</f>
        <v>-8464235</v>
      </c>
      <c r="G14" s="93">
        <f>-('BS Assumptions'!G6-'BS Assumptions'!F6)</f>
        <v>22493700</v>
      </c>
      <c r="H14" s="93"/>
      <c r="I14" s="93">
        <f>-('BS Assumptions'!I6-'BS Assumptions'!G6)</f>
        <v>-28368848.304166675</v>
      </c>
      <c r="J14" s="93">
        <f>-('BS Assumptions'!J6-'BS Assumptions'!I6)</f>
        <v>-6656917.1304166764</v>
      </c>
      <c r="K14" s="93">
        <f>-('BS Assumptions'!K6-'BS Assumptions'!J6)</f>
        <v>-7322608.8434583247</v>
      </c>
      <c r="L14" s="93">
        <f>-('BS Assumptions'!L6-'BS Assumptions'!K6)</f>
        <v>-8054869.727804184</v>
      </c>
      <c r="M14" s="93">
        <f>-('BS Assumptions'!M6-'BS Assumptions'!L6)</f>
        <v>-8860356.7005845755</v>
      </c>
      <c r="O14" s="104"/>
      <c r="P14" s="104"/>
    </row>
    <row r="15" spans="2:16" x14ac:dyDescent="0.2">
      <c r="B15" s="104" t="s">
        <v>136</v>
      </c>
      <c r="C15" s="104" t="s">
        <v>134</v>
      </c>
      <c r="D15" s="93">
        <f>'BS Assumptions'!D41-'BS Assumptions'!C41</f>
        <v>370971106</v>
      </c>
      <c r="E15" s="93">
        <f>'BS Assumptions'!E41-'BS Assumptions'!D41</f>
        <v>465136891</v>
      </c>
      <c r="F15" s="93">
        <f>'BS Assumptions'!F41-'BS Assumptions'!E41</f>
        <v>3558346350</v>
      </c>
      <c r="G15" s="93">
        <f>'BS Assumptions'!G41-'BS Assumptions'!F41</f>
        <v>61819234</v>
      </c>
      <c r="H15" s="93"/>
      <c r="I15" s="93">
        <f>'BS Assumptions'!I41-'BS Assumptions'!G41</f>
        <v>287544346.06666756</v>
      </c>
      <c r="J15" s="93">
        <f>'BS Assumptions'!J41-'BS Assumptions'!I41</f>
        <v>745574718.60666656</v>
      </c>
      <c r="K15" s="93">
        <f>'BS Assumptions'!K41-'BS Assumptions'!J41</f>
        <v>820132190.46733475</v>
      </c>
      <c r="L15" s="93">
        <f>'BS Assumptions'!L41-'BS Assumptions'!K41</f>
        <v>902145409.51406479</v>
      </c>
      <c r="M15" s="93">
        <f>'BS Assumptions'!M41-'BS Assumptions'!L41</f>
        <v>992359950.46547508</v>
      </c>
      <c r="O15" s="104"/>
      <c r="P15" s="104"/>
    </row>
    <row r="16" spans="2:16" ht="10.199999999999999" customHeight="1" x14ac:dyDescent="0.25">
      <c r="B16" s="76" t="s">
        <v>140</v>
      </c>
      <c r="D16" s="93">
        <f>SUM(D12:D15)</f>
        <v>150942572</v>
      </c>
      <c r="E16" s="93">
        <f>SUM(E13:E15)</f>
        <v>125964307</v>
      </c>
      <c r="F16" s="93">
        <f>SUM(F13:F15)</f>
        <v>3353759765</v>
      </c>
      <c r="G16" s="93">
        <f>SUM(G13:G15)</f>
        <v>-738604388</v>
      </c>
      <c r="H16" s="93"/>
      <c r="I16" s="93">
        <f>SUM(I13:I15)</f>
        <v>814737846.98750031</v>
      </c>
      <c r="J16" s="93">
        <f>SUM(J13:J15)</f>
        <v>459327281.99874991</v>
      </c>
      <c r="K16" s="93">
        <f>SUM(K13:K15)</f>
        <v>505260010.1986264</v>
      </c>
      <c r="L16" s="93">
        <f>SUM(L13:L15)</f>
        <v>555786011.21848583</v>
      </c>
      <c r="M16" s="93">
        <f>SUM(M13:M15)</f>
        <v>611364612.34033799</v>
      </c>
      <c r="O16" s="104"/>
      <c r="P16" s="104"/>
    </row>
    <row r="17" spans="2:16" ht="22.8" x14ac:dyDescent="0.2">
      <c r="B17" s="63" t="s">
        <v>47</v>
      </c>
      <c r="D17" s="93">
        <f>-('Balance Sheet'!E5-'Balance Sheet'!D5)</f>
        <v>-124871732</v>
      </c>
      <c r="E17" s="93">
        <f>-('Balance Sheet'!F5-'Balance Sheet'!E5)</f>
        <v>-209228221</v>
      </c>
      <c r="F17" s="93">
        <f>-('Balance Sheet'!G5-'Balance Sheet'!F5)</f>
        <v>-323497757</v>
      </c>
      <c r="G17" s="93">
        <f>-('Balance Sheet'!H5-'Balance Sheet'!G5)</f>
        <v>-110054664</v>
      </c>
      <c r="H17" s="93"/>
      <c r="I17" s="93">
        <f>-('Balance Sheet'!J5-'Balance Sheet'!H5)</f>
        <v>-183011204.30000019</v>
      </c>
      <c r="J17" s="93">
        <f>-('Balance Sheet'!K5-'Balance Sheet'!J5)</f>
        <v>-159766011.13000011</v>
      </c>
      <c r="K17" s="93">
        <f>-('Balance Sheet'!L5-'Balance Sheet'!K5)</f>
        <v>-175742612.24300003</v>
      </c>
      <c r="L17" s="93">
        <f>-('Balance Sheet'!M5-'Balance Sheet'!L5)</f>
        <v>-193316873.46730018</v>
      </c>
      <c r="M17" s="93">
        <f>-('Balance Sheet'!N5-'Balance Sheet'!M5)</f>
        <v>-212648560.81402993</v>
      </c>
      <c r="N17" s="64"/>
      <c r="O17" s="104"/>
      <c r="P17" s="104"/>
    </row>
    <row r="18" spans="2:16" x14ac:dyDescent="0.2">
      <c r="B18" s="63" t="s">
        <v>48</v>
      </c>
      <c r="D18" s="93">
        <f>-('Balance Sheet'!E7-'Balance Sheet'!D7)</f>
        <v>1403206</v>
      </c>
      <c r="E18" s="93">
        <f>-('Balance Sheet'!F7-'Balance Sheet'!E7)</f>
        <v>174201</v>
      </c>
      <c r="F18" s="93">
        <f>-('Balance Sheet'!G7-'Balance Sheet'!F7)</f>
        <v>-501171</v>
      </c>
      <c r="G18" s="93">
        <f>-('Balance Sheet'!H7-'Balance Sheet'!G7)</f>
        <v>310781</v>
      </c>
      <c r="H18" s="93"/>
      <c r="I18" s="93">
        <f>-('Balance Sheet'!J7-'Balance Sheet'!H7)</f>
        <v>-540580.45453700004</v>
      </c>
      <c r="J18" s="93">
        <f>-('Balance Sheet'!K7-'Balance Sheet'!J7)</f>
        <v>-78285.345453700051</v>
      </c>
      <c r="K18" s="93">
        <f>-('Balance Sheet'!L7-'Balance Sheet'!K7)</f>
        <v>-86113.879999070079</v>
      </c>
      <c r="L18" s="93">
        <f>-('Balance Sheet'!M7-'Balance Sheet'!L7)</f>
        <v>-94725.267998976982</v>
      </c>
      <c r="M18" s="93">
        <f>-('Balance Sheet'!N7-'Balance Sheet'!M7)</f>
        <v>-104197.79479887476</v>
      </c>
      <c r="O18" s="104"/>
      <c r="P18" s="104"/>
    </row>
    <row r="19" spans="2:16" ht="12" x14ac:dyDescent="0.25">
      <c r="B19" s="76" t="s">
        <v>142</v>
      </c>
      <c r="D19" s="93">
        <f>SUM(D17:D18)</f>
        <v>-123468526</v>
      </c>
      <c r="E19" s="93">
        <f>SUM(E17:E18)</f>
        <v>-209054020</v>
      </c>
      <c r="F19" s="93">
        <f>SUM(F17:F18)</f>
        <v>-323998928</v>
      </c>
      <c r="G19" s="93">
        <f>SUM(G17:G18)</f>
        <v>-109743883</v>
      </c>
      <c r="H19" s="93"/>
      <c r="I19" s="93">
        <f>SUM(I17:I18)</f>
        <v>-183551784.75453719</v>
      </c>
      <c r="J19" s="93">
        <f>SUM(J17:J18)</f>
        <v>-159844296.47545382</v>
      </c>
      <c r="K19" s="93">
        <f>SUM(K17:K18)</f>
        <v>-175828726.1229991</v>
      </c>
      <c r="L19" s="93">
        <f>SUM(L17:L18)</f>
        <v>-193411598.73529914</v>
      </c>
      <c r="M19" s="93">
        <f>SUM(M17:M18)</f>
        <v>-212752758.60882881</v>
      </c>
      <c r="O19" s="104"/>
      <c r="P19" s="104"/>
    </row>
    <row r="20" spans="2:16" s="48" customFormat="1" ht="12" x14ac:dyDescent="0.25">
      <c r="B20" s="125" t="s">
        <v>137</v>
      </c>
      <c r="D20" s="157">
        <f>SUM(D11,D16,D19)</f>
        <v>3326566841.0074215</v>
      </c>
      <c r="E20" s="157">
        <f t="shared" ref="E20:M20" si="1">SUM(E11,E16,E19)</f>
        <v>3739767885.9132442</v>
      </c>
      <c r="F20" s="157">
        <f t="shared" si="1"/>
        <v>7269399548.1573601</v>
      </c>
      <c r="G20" s="157">
        <f t="shared" si="1"/>
        <v>4040224188.8300962</v>
      </c>
      <c r="H20" s="157"/>
      <c r="I20" s="157">
        <f t="shared" si="1"/>
        <v>6134202585.109252</v>
      </c>
      <c r="J20" s="157">
        <f t="shared" si="1"/>
        <v>6377662793.1752176</v>
      </c>
      <c r="K20" s="157">
        <f t="shared" si="1"/>
        <v>7055207684.4735374</v>
      </c>
      <c r="L20" s="157">
        <f t="shared" si="1"/>
        <v>7824374232.0901699</v>
      </c>
      <c r="M20" s="157">
        <f t="shared" si="1"/>
        <v>8708644901.9700394</v>
      </c>
      <c r="O20" s="126"/>
      <c r="P20" s="126"/>
    </row>
    <row r="21" spans="2:16" ht="13.2" x14ac:dyDescent="0.2">
      <c r="B21" s="5" t="s">
        <v>177</v>
      </c>
      <c r="D21" s="93">
        <f>-D6+'Cash Flow Source'!E9</f>
        <v>1565270.9925785065</v>
      </c>
      <c r="E21" s="93">
        <f>-E6+'Cash Flow Source'!F9</f>
        <v>6818006.0867556334</v>
      </c>
      <c r="F21" s="93">
        <f>-F6+'Cash Flow Source'!G9</f>
        <v>6902284.8426398039</v>
      </c>
      <c r="G21" s="93">
        <f>-G6+'Cash Flow Source'!H9</f>
        <v>116926764.16990352</v>
      </c>
      <c r="H21" s="93"/>
      <c r="I21" s="93">
        <v>1397864805.4674253</v>
      </c>
      <c r="J21" s="93">
        <v>77708804.554620266</v>
      </c>
      <c r="K21" s="93">
        <v>68899303.830237389</v>
      </c>
      <c r="L21" s="93">
        <v>86637080.709146261</v>
      </c>
      <c r="M21" s="93">
        <v>106879300.8900218</v>
      </c>
      <c r="O21" s="104"/>
      <c r="P21" s="104"/>
    </row>
    <row r="22" spans="2:16" x14ac:dyDescent="0.2">
      <c r="B22" s="59" t="s">
        <v>176</v>
      </c>
      <c r="F22" s="93"/>
      <c r="G22" s="93"/>
      <c r="H22" s="93"/>
      <c r="I22" s="93"/>
      <c r="O22" s="104"/>
      <c r="P22" s="104"/>
    </row>
    <row r="23" spans="2:16" x14ac:dyDescent="0.2">
      <c r="B23" s="59" t="s">
        <v>188</v>
      </c>
      <c r="D23" s="93">
        <f>-('BS Assumptions'!D31-'BS Assumptions'!C31)</f>
        <v>-110717130</v>
      </c>
      <c r="E23" s="93">
        <f>-('BS Assumptions'!E31-'BS Assumptions'!D31)</f>
        <v>59661249</v>
      </c>
      <c r="F23" s="93">
        <f>-('BS Assumptions'!F31-'BS Assumptions'!E31)</f>
        <v>7872646</v>
      </c>
      <c r="G23" s="93">
        <f>-('BS Assumptions'!G31-'BS Assumptions'!F31)</f>
        <v>11376046</v>
      </c>
      <c r="H23" s="93"/>
      <c r="I23" s="93">
        <f>-('BS Assumptions'!I31-'BS Assumptions'!G31)</f>
        <v>-105270894.13000003</v>
      </c>
      <c r="J23" s="93">
        <f>-('BS Assumptions'!J31-'BS Assumptions'!I31)</f>
        <v>-15976601.113000005</v>
      </c>
      <c r="K23" s="93">
        <f>-('BS Assumptions'!K31-'BS Assumptions'!J31)</f>
        <v>-17574261.224299997</v>
      </c>
      <c r="L23" s="93">
        <f>-('BS Assumptions'!L31-'BS Assumptions'!K31)</f>
        <v>-19331687.346730024</v>
      </c>
      <c r="M23" s="93">
        <f>-('BS Assumptions'!M31-'BS Assumptions'!L31)</f>
        <v>-21264856.081402987</v>
      </c>
      <c r="O23" s="104"/>
      <c r="P23" s="104"/>
    </row>
    <row r="24" spans="2:16" x14ac:dyDescent="0.2">
      <c r="B24" s="59" t="s">
        <v>188</v>
      </c>
      <c r="D24" s="93">
        <f>-('BS Assumptions'!D12-'BS Assumptions'!C12)</f>
        <v>188685186</v>
      </c>
      <c r="E24" s="93">
        <f>-('BS Assumptions'!E12-'BS Assumptions'!D12)</f>
        <v>-335301501</v>
      </c>
      <c r="F24" s="93">
        <f>-('BS Assumptions'!F12-'BS Assumptions'!E12)</f>
        <v>-280546847</v>
      </c>
      <c r="G24" s="93">
        <f>-('BS Assumptions'!G12-'BS Assumptions'!F12)</f>
        <v>271908060</v>
      </c>
      <c r="H24" s="93"/>
      <c r="I24" s="93">
        <f>-('BS Assumptions'!I12-'BS Assumptions'!G12)</f>
        <v>-93241349.211600304</v>
      </c>
      <c r="J24" s="93">
        <f>-('BS Assumptions'!J12-'BS Assumptions'!I12)</f>
        <v>-84995517.921159863</v>
      </c>
      <c r="K24" s="93">
        <f>-('BS Assumptions'!K12-'BS Assumptions'!J12)</f>
        <v>-93495069.713276029</v>
      </c>
      <c r="L24" s="93">
        <f>-('BS Assumptions'!L12-'BS Assumptions'!K12)</f>
        <v>-102844576.68460369</v>
      </c>
      <c r="M24" s="93">
        <f>-('BS Assumptions'!M12-'BS Assumptions'!L12)</f>
        <v>-113129034.35306406</v>
      </c>
      <c r="O24" s="104"/>
      <c r="P24" s="104"/>
    </row>
    <row r="25" spans="2:16" x14ac:dyDescent="0.2">
      <c r="B25" s="59" t="s">
        <v>175</v>
      </c>
      <c r="D25" s="93">
        <f>-('BS Assumptions'!D15-'BS Assumptions'!C15)</f>
        <v>-129752483</v>
      </c>
      <c r="E25" s="93">
        <f>-('BS Assumptions'!E15-'BS Assumptions'!D15)</f>
        <v>-525228629</v>
      </c>
      <c r="F25" s="93">
        <f>-('BS Assumptions'!F15-'BS Assumptions'!E15)</f>
        <v>-2089015896</v>
      </c>
      <c r="G25" s="93">
        <f>-('BS Assumptions'!G15-'BS Assumptions'!F15)</f>
        <v>-4856809396</v>
      </c>
      <c r="H25" s="93"/>
      <c r="I25" s="93">
        <f>-('BS Assumptions'!I15-'BS Assumptions'!G15)</f>
        <v>3388694699.4499998</v>
      </c>
      <c r="J25" s="93">
        <f>-('BS Assumptions'!J15-'BS Assumptions'!I15)</f>
        <v>-559181038.95500088</v>
      </c>
      <c r="K25" s="93">
        <f>-('BS Assumptions'!K15-'BS Assumptions'!J15)</f>
        <v>-615099142.85050011</v>
      </c>
      <c r="L25" s="93">
        <f>-('BS Assumptions'!L15-'BS Assumptions'!K15)</f>
        <v>-676609057.13554955</v>
      </c>
      <c r="M25" s="93">
        <f>-('BS Assumptions'!M15-'BS Assumptions'!L15)</f>
        <v>-744269962.84910488</v>
      </c>
    </row>
    <row r="26" spans="2:16" x14ac:dyDescent="0.2">
      <c r="B26" s="59" t="s">
        <v>141</v>
      </c>
      <c r="D26" s="93">
        <f>-('Balance Sheet'!E10-'Balance Sheet'!D10)</f>
        <v>-304214994</v>
      </c>
      <c r="E26" s="93">
        <f>-('Balance Sheet'!F10-'Balance Sheet'!E10)</f>
        <v>303938207</v>
      </c>
      <c r="F26" s="93">
        <f>-('Balance Sheet'!G10-'Balance Sheet'!F10)</f>
        <v>-6360150</v>
      </c>
      <c r="G26" s="93">
        <f>-('Balance Sheet'!H10-'Balance Sheet'!G10)</f>
        <v>-268634</v>
      </c>
      <c r="H26" s="93"/>
      <c r="I26" s="93">
        <f>-('Balance Sheet'!J10-'Balance Sheet'!H10)</f>
        <v>-73550.19000000041</v>
      </c>
      <c r="J26" s="93">
        <f>-('Balance Sheet'!K10-'Balance Sheet'!J10)</f>
        <v>-74285.691899999976</v>
      </c>
      <c r="K26" s="93">
        <f>-('Balance Sheet'!L10-'Balance Sheet'!K10)</f>
        <v>-75028.548818999901</v>
      </c>
      <c r="L26" s="93">
        <f>-('Balance Sheet'!M10-'Balance Sheet'!L10)</f>
        <v>-75778.834307190031</v>
      </c>
      <c r="M26" s="93">
        <f>-('Balance Sheet'!N10-'Balance Sheet'!M10)</f>
        <v>-76536.622650261968</v>
      </c>
      <c r="O26" s="104"/>
      <c r="P26" s="104"/>
    </row>
    <row r="27" spans="2:16" x14ac:dyDescent="0.2">
      <c r="B27" s="59" t="s">
        <v>177</v>
      </c>
      <c r="D27" s="93">
        <f>(-UFCF!D6)+'P&amp;L Assumptions'!C56</f>
        <v>145320973.99257851</v>
      </c>
      <c r="E27" s="93">
        <f>(-UFCF!E6)+'P&amp;L Assumptions'!D56</f>
        <v>-150887768.91324437</v>
      </c>
      <c r="F27" s="93">
        <f>(-UFCF!F6)+'P&amp;L Assumptions'!E56</f>
        <v>57127686.842639804</v>
      </c>
      <c r="G27" s="93">
        <f>(-UFCF!G6)+'P&amp;L Assumptions'!F56</f>
        <v>208259405.16990352</v>
      </c>
      <c r="H27" s="93"/>
      <c r="I27" s="93">
        <f>(-UFCF!I6)+'P&amp;L Assumptions'!H56</f>
        <v>1591263635.6437097</v>
      </c>
      <c r="J27" s="93">
        <f>(-UFCF!J6)+'P&amp;L Assumptions'!I56</f>
        <v>161077189.43321538</v>
      </c>
      <c r="K27" s="93">
        <f>(-UFCF!K6)+'P&amp;L Assumptions'!J56</f>
        <v>151490798.52145386</v>
      </c>
      <c r="L27" s="93">
        <f>(-UFCF!L6)+'P&amp;L Assumptions'!K56</f>
        <v>183469967.15026093</v>
      </c>
      <c r="M27" s="93">
        <f>(-UFCF!M6)+'P&amp;L Assumptions'!L56</f>
        <v>223523209.3392992</v>
      </c>
    </row>
    <row r="28" spans="2:16" ht="13.2" x14ac:dyDescent="0.2">
      <c r="B28" s="5" t="s">
        <v>10</v>
      </c>
      <c r="C28" s="104"/>
      <c r="D28" s="93">
        <v>0</v>
      </c>
      <c r="E28" s="93">
        <v>0</v>
      </c>
      <c r="F28" s="93">
        <f>-('BS Assumptions'!F22-'BS Assumptions'!E22)</f>
        <v>4721568</v>
      </c>
      <c r="G28" s="93">
        <f>-('BS Assumptions'!G22-'BS Assumptions'!F22)</f>
        <v>6784776</v>
      </c>
      <c r="H28" s="93"/>
      <c r="I28" s="93">
        <f>-('BS Assumptions'!I22-'BS Assumptions'!G22)</f>
        <v>0</v>
      </c>
      <c r="J28" s="93">
        <f>-('BS Assumptions'!J22-'BS Assumptions'!I22)</f>
        <v>0</v>
      </c>
      <c r="K28" s="93">
        <f>-('BS Assumptions'!K22-'BS Assumptions'!J22)</f>
        <v>0</v>
      </c>
      <c r="L28" s="93">
        <f>-('BS Assumptions'!L22-'BS Assumptions'!K22)</f>
        <v>0</v>
      </c>
    </row>
    <row r="29" spans="2:16" ht="12" x14ac:dyDescent="0.25">
      <c r="B29" s="76" t="s">
        <v>179</v>
      </c>
      <c r="D29" s="93">
        <f>SUM(D23:D28)</f>
        <v>-210678447.00742149</v>
      </c>
      <c r="E29" s="93">
        <f>SUM(E25:E28)</f>
        <v>-372178190.91324437</v>
      </c>
      <c r="F29" s="93">
        <f>SUM(F25:F28)</f>
        <v>-2033526791.1573601</v>
      </c>
      <c r="G29" s="93">
        <f>SUM(G25:G28)</f>
        <v>-4642033848.8300962</v>
      </c>
      <c r="H29" s="93"/>
      <c r="I29" s="93">
        <f>SUM(I25:I28)</f>
        <v>4979884784.9037094</v>
      </c>
      <c r="J29" s="93">
        <f>SUM(J25:J28)</f>
        <v>-398178135.21368551</v>
      </c>
      <c r="K29" s="93">
        <f>SUM(K25:K28)</f>
        <v>-463683372.8778652</v>
      </c>
      <c r="L29" s="93">
        <f>SUM(L25:L28)</f>
        <v>-493214868.81959581</v>
      </c>
      <c r="M29" s="93">
        <f>SUM(M25:M28)</f>
        <v>-520823290.13245595</v>
      </c>
    </row>
    <row r="30" spans="2:16" x14ac:dyDescent="0.2">
      <c r="B30" s="59" t="s">
        <v>55</v>
      </c>
      <c r="D30" s="93">
        <v>-66040838</v>
      </c>
      <c r="E30" s="93">
        <v>-227445375</v>
      </c>
      <c r="F30" s="93">
        <v>-65420941</v>
      </c>
      <c r="G30" s="93">
        <v>-72563902</v>
      </c>
      <c r="H30" s="93"/>
      <c r="I30" s="93">
        <f>AVERAGE(D30:G30)</f>
        <v>-107867764</v>
      </c>
      <c r="J30" s="93">
        <f>AVERAGE(E30:I30)</f>
        <v>-118324495.5</v>
      </c>
      <c r="K30" s="93">
        <f>AVERAGE(D30:J30)</f>
        <v>-109610552.58333333</v>
      </c>
      <c r="L30" s="93">
        <f>AVERAGE(D30:K30)</f>
        <v>-109610552.58333334</v>
      </c>
      <c r="M30" s="93">
        <f>AVERAGE(E30:L30)</f>
        <v>-115834797.52380954</v>
      </c>
    </row>
    <row r="31" spans="2:16" x14ac:dyDescent="0.2">
      <c r="B31" s="59" t="s">
        <v>192</v>
      </c>
      <c r="D31" s="93">
        <f>'P&amp;L Statement'!E23</f>
        <v>-18912816</v>
      </c>
      <c r="E31" s="93">
        <f>'P&amp;L Statement'!F23</f>
        <v>-37014899</v>
      </c>
      <c r="F31" s="93">
        <f>'P&amp;L Statement'!G23</f>
        <v>-4355821</v>
      </c>
      <c r="G31" s="93">
        <f>'P&amp;L Statement'!H23</f>
        <v>-565820362</v>
      </c>
      <c r="H31" s="93">
        <f>'P&amp;L Statement'!I23</f>
        <v>0</v>
      </c>
      <c r="I31" s="93">
        <f>'P&amp;L Statement'!J23</f>
        <v>-226328144.80000001</v>
      </c>
      <c r="J31" s="93">
        <f>'P&amp;L Statement'!K23</f>
        <v>-67898443.440000013</v>
      </c>
      <c r="K31" s="93">
        <f>'P&amp;L Statement'!L23</f>
        <v>-73330318.915200025</v>
      </c>
      <c r="L31" s="93">
        <f>'P&amp;L Statement'!M23</f>
        <v>-79196744.428416029</v>
      </c>
      <c r="M31" s="93">
        <f>'P&amp;L Statement'!N23</f>
        <v>-85532483.982689321</v>
      </c>
    </row>
    <row r="32" spans="2:16" ht="13.2" x14ac:dyDescent="0.2">
      <c r="B32" s="6" t="s">
        <v>27</v>
      </c>
      <c r="D32" s="93">
        <f>('BS Assumptions'!D47-'BS Assumptions'!C47)</f>
        <v>36395085</v>
      </c>
      <c r="E32" s="93">
        <f>('BS Assumptions'!E47-'BS Assumptions'!D47)</f>
        <v>-43615232</v>
      </c>
      <c r="F32" s="93">
        <f>('BS Assumptions'!F47-'BS Assumptions'!E47)</f>
        <v>-51958172</v>
      </c>
      <c r="G32" s="93">
        <f>('BS Assumptions'!G47-'BS Assumptions'!F47)</f>
        <v>-2941431</v>
      </c>
      <c r="H32" s="93"/>
      <c r="I32" s="93">
        <f>('BS Assumptions'!I47-'BS Assumptions'!G47)</f>
        <v>43359835.67460002</v>
      </c>
      <c r="J32" s="93">
        <f>('BS Assumptions'!J47-'BS Assumptions'!I47)</f>
        <v>6710172.4674599916</v>
      </c>
      <c r="K32" s="93">
        <f>('BS Assumptions'!K47-'BS Assumptions'!J47)</f>
        <v>7381189.7142059952</v>
      </c>
      <c r="L32" s="93">
        <f>('BS Assumptions'!L47-'BS Assumptions'!K47)</f>
        <v>8119308.6856266111</v>
      </c>
      <c r="M32" s="93">
        <f>('BS Assumptions'!M47-'BS Assumptions'!L47)</f>
        <v>8931239.5541892648</v>
      </c>
    </row>
    <row r="33" spans="2:13" ht="13.2" x14ac:dyDescent="0.2">
      <c r="B33" s="6" t="s">
        <v>27</v>
      </c>
      <c r="D33" s="93">
        <f>('BS Assumptions'!D54-'BS Assumptions'!C54)</f>
        <v>14502341</v>
      </c>
      <c r="E33" s="93">
        <f>('BS Assumptions'!E54-'BS Assumptions'!D54)</f>
        <v>3395288</v>
      </c>
      <c r="F33" s="93">
        <f>('BS Assumptions'!F54-'BS Assumptions'!E54)</f>
        <v>1479545</v>
      </c>
      <c r="G33" s="93">
        <f>('BS Assumptions'!G54-'BS Assumptions'!F54)</f>
        <v>-4274443</v>
      </c>
      <c r="H33" s="93"/>
      <c r="I33" s="93">
        <f>('BS Assumptions'!I54-'BS Assumptions'!G54)</f>
        <v>-1488789.5976199955</v>
      </c>
      <c r="J33" s="93">
        <f>('BS Assumptions'!J54-'BS Assumptions'!I54)</f>
        <v>2013051.740237996</v>
      </c>
      <c r="K33" s="93">
        <f>('BS Assumptions'!K54-'BS Assumptions'!J54)</f>
        <v>2214356.914261803</v>
      </c>
      <c r="L33" s="93">
        <f>('BS Assumptions'!L54-'BS Assumptions'!K54)</f>
        <v>2435792.6056879833</v>
      </c>
      <c r="M33" s="93">
        <f>('BS Assumptions'!M54-'BS Assumptions'!L54)</f>
        <v>2679371.8662567772</v>
      </c>
    </row>
    <row r="34" spans="2:13" x14ac:dyDescent="0.2">
      <c r="B34" s="59" t="s">
        <v>186</v>
      </c>
      <c r="D34" s="93">
        <f>'BS Assumptions'!D57-'BS Assumptions'!C57</f>
        <v>250000000</v>
      </c>
      <c r="E34" s="93">
        <f>'BS Assumptions'!E57-'BS Assumptions'!D57</f>
        <v>-250000000</v>
      </c>
      <c r="F34" s="93">
        <f>'BS Assumptions'!F57-'BS Assumptions'!E57</f>
        <v>0</v>
      </c>
      <c r="G34" s="93">
        <f>'BS Assumptions'!G57-'BS Assumptions'!F57</f>
        <v>450000000</v>
      </c>
      <c r="H34" s="93"/>
      <c r="I34" s="93">
        <f>'BS Assumptions'!I57-'BS Assumptions'!G57</f>
        <v>0</v>
      </c>
      <c r="J34" s="93">
        <f>'BS Assumptions'!J57-'BS Assumptions'!I57</f>
        <v>100000000</v>
      </c>
      <c r="K34" s="93">
        <f>'BS Assumptions'!K57-'BS Assumptions'!J57</f>
        <v>-100000000</v>
      </c>
      <c r="L34" s="93">
        <f>'BS Assumptions'!L57-'BS Assumptions'!K57</f>
        <v>200000000</v>
      </c>
      <c r="M34" s="93">
        <f>'BS Assumptions'!M57-'BS Assumptions'!L57</f>
        <v>-200000000</v>
      </c>
    </row>
    <row r="35" spans="2:13" ht="12" x14ac:dyDescent="0.25">
      <c r="B35" s="149" t="s">
        <v>178</v>
      </c>
      <c r="C35" s="104"/>
      <c r="D35" s="154">
        <f>SUM(D30:D34)</f>
        <v>215943772</v>
      </c>
      <c r="E35" s="154">
        <f t="shared" ref="E35:M35" si="2">SUM(E30:E34)</f>
        <v>-554680218</v>
      </c>
      <c r="F35" s="154">
        <f t="shared" si="2"/>
        <v>-120255389</v>
      </c>
      <c r="G35" s="154">
        <f t="shared" si="2"/>
        <v>-195600138</v>
      </c>
      <c r="H35" s="154">
        <f t="shared" si="2"/>
        <v>0</v>
      </c>
      <c r="I35" s="154">
        <f t="shared" si="2"/>
        <v>-292324862.72302002</v>
      </c>
      <c r="J35" s="154">
        <f t="shared" si="2"/>
        <v>-77499714.73230201</v>
      </c>
      <c r="K35" s="154">
        <f t="shared" si="2"/>
        <v>-273345324.87006557</v>
      </c>
      <c r="L35" s="154">
        <f t="shared" si="2"/>
        <v>21747804.279565215</v>
      </c>
      <c r="M35" s="154">
        <f t="shared" si="2"/>
        <v>-389756670.08605283</v>
      </c>
    </row>
    <row r="36" spans="2:13" ht="12" x14ac:dyDescent="0.25">
      <c r="B36" s="76" t="s">
        <v>180</v>
      </c>
      <c r="D36" s="93">
        <f>'Balance Sheet'!E29-'Balance Sheet'!D29</f>
        <v>248892164</v>
      </c>
      <c r="E36" s="93">
        <f>'Balance Sheet'!F29-'Balance Sheet'!E29</f>
        <v>1052484914</v>
      </c>
      <c r="F36" s="93">
        <f>'Balance Sheet'!G29-'Balance Sheet'!F29</f>
        <v>897258333</v>
      </c>
      <c r="G36" s="93">
        <f>'Balance Sheet'!H29-'Balance Sheet'!G29</f>
        <v>4623751879</v>
      </c>
      <c r="H36" s="93"/>
      <c r="I36" s="93">
        <f>'Balance Sheet'!J29-'Balance Sheet'!H29</f>
        <v>-6033632931.2740602</v>
      </c>
      <c r="J36" s="93">
        <f>'Balance Sheet'!K29-'Balance Sheet'!J29</f>
        <v>198682866.04302502</v>
      </c>
      <c r="K36" s="93">
        <f>'Balance Sheet'!L29-'Balance Sheet'!K29</f>
        <v>183002216.3519907</v>
      </c>
      <c r="L36" s="93">
        <f>'Balance Sheet'!M29-'Balance Sheet'!L29</f>
        <v>207861320.85901642</v>
      </c>
      <c r="M36" s="93">
        <f>'Balance Sheet'!N29-'Balance Sheet'!M29</f>
        <v>239291235.97191334</v>
      </c>
    </row>
    <row r="37" spans="2:13" ht="12" x14ac:dyDescent="0.25">
      <c r="B37" s="76" t="s">
        <v>185</v>
      </c>
      <c r="D37" s="75">
        <v>-2835000000</v>
      </c>
      <c r="E37" s="75">
        <v>-2520000000</v>
      </c>
      <c r="F37" s="69">
        <v>-963573744</v>
      </c>
      <c r="G37" s="69">
        <v>-2028925000</v>
      </c>
      <c r="H37" s="93"/>
      <c r="I37" s="93">
        <f>-'P&amp;L Statement'!J38</f>
        <v>-3755347378.3605251</v>
      </c>
      <c r="J37" s="93">
        <f>-'P&amp;L Statement'!K38</f>
        <v>-4218940732.4609175</v>
      </c>
      <c r="K37" s="93">
        <f>-'P&amp;L Statement'!L38</f>
        <v>-4645945903.9488945</v>
      </c>
      <c r="L37" s="93">
        <f>-'P&amp;L Statement'!M38</f>
        <v>-5130955652.6199331</v>
      </c>
      <c r="M37" s="93">
        <f>-'P&amp;L Statement'!N38</f>
        <v>-5689301869.8877296</v>
      </c>
    </row>
    <row r="38" spans="2:13" ht="12" x14ac:dyDescent="0.25">
      <c r="B38" s="76" t="s">
        <v>181</v>
      </c>
      <c r="D38" s="93">
        <f>'Cash Flow Source'!D25</f>
        <v>469786</v>
      </c>
      <c r="E38" s="93">
        <f>'Cash Flow Source'!E25</f>
        <v>184588</v>
      </c>
      <c r="F38" s="93" t="str">
        <f>'Cash Flow Source'!F25</f>
        <v>–</v>
      </c>
      <c r="G38" s="93" t="str">
        <f>'Cash Flow Source'!G25</f>
        <v>–</v>
      </c>
      <c r="H38" s="93"/>
      <c r="I38" s="93">
        <f>'Cash Flow Source'!I25</f>
        <v>0</v>
      </c>
      <c r="J38" s="93">
        <f>'Cash Flow Source'!J25</f>
        <v>0</v>
      </c>
      <c r="K38" s="93">
        <f>'Cash Flow Source'!K25</f>
        <v>0</v>
      </c>
      <c r="L38" s="93">
        <f>'Cash Flow Source'!L25</f>
        <v>0</v>
      </c>
    </row>
    <row r="39" spans="2:13" s="48" customFormat="1" ht="12" x14ac:dyDescent="0.25">
      <c r="B39" s="48" t="s">
        <v>182</v>
      </c>
      <c r="D39" s="157">
        <f>SUM(D20:D21,D29,D35,D36:D38)</f>
        <v>747759386.99257851</v>
      </c>
      <c r="E39" s="157">
        <f>SUM(E20:E21,E29,E35,E36:E38)</f>
        <v>1352396985.0867558</v>
      </c>
      <c r="F39" s="157">
        <f>SUM(F20:F21,F29,F35,F36:F38)</f>
        <v>5056204241.8426399</v>
      </c>
      <c r="G39" s="157">
        <f>SUM(G20:G21,G29,G35,G36:G38)</f>
        <v>1914343845.1699038</v>
      </c>
      <c r="H39" s="157"/>
      <c r="I39" s="157">
        <f>SUM(I20:I21,I29,I35,I36:I38)</f>
        <v>2430647003.1227808</v>
      </c>
      <c r="J39" s="157">
        <f>SUM(J20:J21,J29,J35,J36:J38)</f>
        <v>1959435881.3659573</v>
      </c>
      <c r="K39" s="157">
        <f>SUM(K20:K21,K29,K35,K36:K38)</f>
        <v>1924134602.9589405</v>
      </c>
      <c r="L39" s="157">
        <f>SUM(L20:L21,L29,L35,L36:L38)</f>
        <v>2516449916.4983692</v>
      </c>
      <c r="M39" s="157">
        <f>SUM(M20:M21,M29,M35,M36:M38)</f>
        <v>2454933608.7257366</v>
      </c>
    </row>
    <row r="40" spans="2:13" ht="12" thickBot="1" x14ac:dyDescent="0.25">
      <c r="B40" s="59" t="s">
        <v>184</v>
      </c>
      <c r="D40" s="93">
        <v>420407014</v>
      </c>
      <c r="E40" s="93">
        <v>396404261</v>
      </c>
      <c r="F40" s="93">
        <v>505194161</v>
      </c>
      <c r="G40" s="122">
        <v>2228805865</v>
      </c>
      <c r="H40" s="93"/>
      <c r="I40" s="93">
        <f>G41</f>
        <v>1887129573</v>
      </c>
      <c r="J40" s="93">
        <f>I41</f>
        <v>4317776576.1227808</v>
      </c>
      <c r="K40" s="93">
        <f>J41</f>
        <v>6277212457.4887381</v>
      </c>
      <c r="L40" s="93">
        <f>K41</f>
        <v>8201347060.4476786</v>
      </c>
      <c r="M40" s="93">
        <f>L41</f>
        <v>10717796976.946049</v>
      </c>
    </row>
    <row r="41" spans="2:13" ht="12.6" thickTop="1" thickBot="1" x14ac:dyDescent="0.25">
      <c r="B41" s="59" t="s">
        <v>183</v>
      </c>
      <c r="D41" s="93">
        <f>SUM(D39:D40)</f>
        <v>1168166400.9925785</v>
      </c>
      <c r="E41" s="93">
        <f>SUM(E39:E40)</f>
        <v>1748801246.0867558</v>
      </c>
      <c r="F41" s="93">
        <f>SUM(F39:F40)</f>
        <v>5561398402.8426399</v>
      </c>
      <c r="G41" s="122">
        <v>1887129573</v>
      </c>
      <c r="H41" s="93"/>
      <c r="I41" s="93">
        <f>SUM(I39:I40)</f>
        <v>4317776576.1227808</v>
      </c>
      <c r="J41" s="93">
        <f t="shared" ref="J41:L41" si="3">SUM(J39:J40)</f>
        <v>6277212457.4887381</v>
      </c>
      <c r="K41" s="93">
        <f t="shared" si="3"/>
        <v>8201347060.4476786</v>
      </c>
      <c r="L41" s="93">
        <f t="shared" si="3"/>
        <v>10717796976.946049</v>
      </c>
      <c r="M41" s="93">
        <f>SUM(M39:M40)</f>
        <v>13172730585.671785</v>
      </c>
    </row>
    <row r="42" spans="2:13" ht="12" thickTop="1" x14ac:dyDescent="0.2"/>
    <row r="70" spans="2:7" x14ac:dyDescent="0.2">
      <c r="B70" s="59" t="s">
        <v>50</v>
      </c>
      <c r="D70" s="75">
        <v>-447974722</v>
      </c>
      <c r="E70" s="75">
        <v>-184197196</v>
      </c>
      <c r="F70" s="69">
        <v>-2122524749</v>
      </c>
      <c r="G70" s="69">
        <v>-4601092226</v>
      </c>
    </row>
    <row r="71" spans="2:7" x14ac:dyDescent="0.2">
      <c r="B71" s="112" t="s">
        <v>139</v>
      </c>
      <c r="D71" s="75">
        <v>11334400</v>
      </c>
      <c r="E71" s="75" t="s">
        <v>24</v>
      </c>
      <c r="F71" s="69"/>
      <c r="G71" s="69"/>
    </row>
    <row r="72" spans="2:7" ht="12" x14ac:dyDescent="0.25">
      <c r="B72" s="70" t="s">
        <v>51</v>
      </c>
      <c r="C72" s="119"/>
      <c r="D72" s="120">
        <f>SUM(D70:D71)</f>
        <v>-436640322</v>
      </c>
      <c r="E72" s="120">
        <f t="shared" ref="E72:G72" si="4">SUM(E70:E71)</f>
        <v>-184197196</v>
      </c>
      <c r="F72" s="120">
        <f t="shared" si="4"/>
        <v>-2122524749</v>
      </c>
      <c r="G72" s="120">
        <f t="shared" si="4"/>
        <v>-4601092226</v>
      </c>
    </row>
    <row r="73" spans="2:7" ht="12" x14ac:dyDescent="0.2">
      <c r="B73" s="59" t="s">
        <v>52</v>
      </c>
      <c r="D73" s="118"/>
      <c r="E73" s="75"/>
      <c r="F73" s="69"/>
      <c r="G73" s="69"/>
    </row>
    <row r="74" spans="2:7" x14ac:dyDescent="0.2">
      <c r="B74" s="59" t="s">
        <v>53</v>
      </c>
      <c r="D74" s="75">
        <v>250000000</v>
      </c>
      <c r="E74" s="75">
        <v>-250000000</v>
      </c>
      <c r="F74" s="69" t="s">
        <v>24</v>
      </c>
      <c r="G74" s="69">
        <v>450000000</v>
      </c>
    </row>
    <row r="75" spans="2:7" x14ac:dyDescent="0.2">
      <c r="B75" s="59" t="s">
        <v>42</v>
      </c>
      <c r="D75" s="75">
        <v>-2111958</v>
      </c>
      <c r="E75" s="75">
        <v>-8627922</v>
      </c>
      <c r="F75" s="75">
        <v>-8968594</v>
      </c>
      <c r="G75" s="69">
        <v>-148664115</v>
      </c>
    </row>
    <row r="76" spans="2:7" x14ac:dyDescent="0.2">
      <c r="B76" s="59" t="s">
        <v>54</v>
      </c>
      <c r="D76" s="75">
        <v>-2835000000</v>
      </c>
      <c r="E76" s="75">
        <v>-2520000000</v>
      </c>
      <c r="F76" s="69">
        <v>-963573744</v>
      </c>
      <c r="G76" s="69">
        <v>-2028925000</v>
      </c>
    </row>
    <row r="77" spans="2:7" x14ac:dyDescent="0.2">
      <c r="B77" s="59" t="s">
        <v>55</v>
      </c>
      <c r="D77" s="75">
        <v>-66040838</v>
      </c>
      <c r="E77" s="75">
        <v>-227445375</v>
      </c>
      <c r="F77" s="69">
        <v>-65420941</v>
      </c>
      <c r="G77" s="69">
        <v>-72563902</v>
      </c>
    </row>
    <row r="78" spans="2:7" x14ac:dyDescent="0.2">
      <c r="B78" s="119" t="s">
        <v>56</v>
      </c>
      <c r="C78" s="119"/>
      <c r="D78" s="120">
        <f>SUM(D74:D77)</f>
        <v>-2653152796</v>
      </c>
      <c r="E78" s="120">
        <f>SUM(E74:E77)</f>
        <v>-3006073297</v>
      </c>
      <c r="F78" s="120">
        <f>SUM(F74:F77)</f>
        <v>-1037963279</v>
      </c>
      <c r="G78" s="120">
        <f>SUM(G74:G77)</f>
        <v>-1800153017</v>
      </c>
    </row>
    <row r="79" spans="2:7" ht="12" x14ac:dyDescent="0.25">
      <c r="B79" s="70" t="s">
        <v>58</v>
      </c>
      <c r="C79" s="119"/>
      <c r="D79" s="120">
        <v>420407014</v>
      </c>
      <c r="E79" s="120">
        <v>396404261</v>
      </c>
      <c r="F79" s="123">
        <v>505194161</v>
      </c>
      <c r="G79" s="123">
        <v>2228805865</v>
      </c>
    </row>
    <row r="80" spans="2:7" x14ac:dyDescent="0.2">
      <c r="B80" s="59" t="s">
        <v>57</v>
      </c>
      <c r="D80" s="75">
        <f>SUM(D20,D78,D72,D21)</f>
        <v>238338994</v>
      </c>
      <c r="E80" s="75">
        <f>SUM(E20,E78,E72,E21)</f>
        <v>556315398.99999988</v>
      </c>
      <c r="F80" s="75">
        <f>SUM(F20,F78,F72,F21)</f>
        <v>4115813805</v>
      </c>
      <c r="G80" s="75">
        <f>SUM(G20,G78,G72,G21)</f>
        <v>-2244094290</v>
      </c>
    </row>
    <row r="81" spans="2:7" x14ac:dyDescent="0.2">
      <c r="B81" s="112" t="s">
        <v>60</v>
      </c>
      <c r="D81" s="75">
        <v>184588</v>
      </c>
      <c r="E81" s="75" t="s">
        <v>24</v>
      </c>
      <c r="F81" s="75" t="s">
        <v>24</v>
      </c>
      <c r="G81" s="75" t="s">
        <v>24</v>
      </c>
    </row>
    <row r="82" spans="2:7" ht="12.6" thickBot="1" x14ac:dyDescent="0.3">
      <c r="B82" s="73" t="s">
        <v>59</v>
      </c>
      <c r="C82" s="121"/>
      <c r="D82" s="122">
        <f>SUM(D79:D81)</f>
        <v>658930596</v>
      </c>
      <c r="E82" s="122">
        <f t="shared" ref="E82:F82" si="5">SUM(E79:E81)</f>
        <v>952719659.99999988</v>
      </c>
      <c r="F82" s="122">
        <f t="shared" si="5"/>
        <v>4621007966</v>
      </c>
      <c r="G82" s="122">
        <f>SUM(G79:G81)</f>
        <v>-15288425</v>
      </c>
    </row>
    <row r="83" spans="2:7" ht="12" thickTop="1" x14ac:dyDescent="0.2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DF41C-C0AE-4C28-9473-EA36384390E3}">
  <sheetPr codeName="Sheet12">
    <tabColor theme="4"/>
  </sheetPr>
  <dimension ref="B1:Q42"/>
  <sheetViews>
    <sheetView zoomScale="70" zoomScaleNormal="70" workbookViewId="0">
      <selection activeCell="G8" sqref="G8"/>
    </sheetView>
  </sheetViews>
  <sheetFormatPr defaultRowHeight="11.4" x14ac:dyDescent="0.2"/>
  <cols>
    <col min="1" max="1" width="2" style="59" customWidth="1"/>
    <col min="2" max="2" width="22.33203125" style="59" customWidth="1"/>
    <col min="3" max="3" width="16.44140625" style="59" customWidth="1"/>
    <col min="4" max="4" width="14.109375" style="59" customWidth="1"/>
    <col min="5" max="6" width="8.88671875" style="59"/>
    <col min="7" max="7" width="14.77734375" style="59" customWidth="1"/>
    <col min="8" max="8" width="16.6640625" style="59" customWidth="1"/>
    <col min="9" max="9" width="16" style="59" customWidth="1"/>
    <col min="10" max="10" width="15.88671875" style="59" customWidth="1"/>
    <col min="11" max="11" width="16" style="59" customWidth="1"/>
    <col min="12" max="12" width="17" style="59" customWidth="1"/>
    <col min="13" max="13" width="10.77734375" style="59" customWidth="1"/>
    <col min="14" max="17" width="13.6640625" style="59" bestFit="1" customWidth="1"/>
    <col min="18" max="16384" width="8.88671875" style="59"/>
  </cols>
  <sheetData>
    <row r="1" spans="2:11" ht="15.6" x14ac:dyDescent="0.3">
      <c r="B1" s="99"/>
    </row>
    <row r="2" spans="2:11" ht="15.6" x14ac:dyDescent="0.3">
      <c r="B2" s="83" t="s">
        <v>143</v>
      </c>
      <c r="C2" s="47"/>
      <c r="D2" s="47"/>
      <c r="E2" s="47"/>
      <c r="F2" s="47"/>
      <c r="G2" s="47"/>
      <c r="H2" s="47"/>
      <c r="I2" s="47"/>
      <c r="J2" s="47"/>
      <c r="K2" s="47"/>
    </row>
    <row r="3" spans="2:11" x14ac:dyDescent="0.2">
      <c r="B3" s="47"/>
      <c r="C3" s="47"/>
      <c r="D3" s="47"/>
      <c r="E3" s="47"/>
      <c r="F3" s="47"/>
      <c r="G3" s="47"/>
      <c r="H3" s="47"/>
      <c r="I3" s="47"/>
      <c r="J3" s="47"/>
      <c r="K3" s="47"/>
    </row>
    <row r="4" spans="2:11" x14ac:dyDescent="0.2">
      <c r="B4" s="141" t="s">
        <v>156</v>
      </c>
      <c r="C4" s="141"/>
      <c r="D4" s="47"/>
      <c r="E4" s="47"/>
      <c r="F4" s="47"/>
      <c r="G4" s="47"/>
      <c r="H4" s="47"/>
      <c r="I4" s="47"/>
      <c r="J4" s="47"/>
      <c r="K4" s="47"/>
    </row>
    <row r="5" spans="2:11" ht="12" thickBot="1" x14ac:dyDescent="0.25">
      <c r="B5" s="141" t="s">
        <v>160</v>
      </c>
      <c r="C5" s="144">
        <v>45</v>
      </c>
      <c r="D5" s="47"/>
      <c r="E5" s="47"/>
      <c r="F5" s="47"/>
      <c r="G5" s="47"/>
      <c r="H5" s="47"/>
      <c r="I5" s="47"/>
      <c r="J5" s="47"/>
      <c r="K5" s="47"/>
    </row>
    <row r="6" spans="2:11" x14ac:dyDescent="0.2">
      <c r="B6" s="141" t="s">
        <v>157</v>
      </c>
      <c r="C6" s="145">
        <f>C5*(1+C7)</f>
        <v>49.500000000000007</v>
      </c>
      <c r="D6" s="47"/>
      <c r="E6" s="47"/>
      <c r="F6" s="47"/>
      <c r="G6" s="47"/>
      <c r="H6" s="47"/>
      <c r="I6" s="47"/>
      <c r="J6" s="47"/>
      <c r="K6" s="47"/>
    </row>
    <row r="7" spans="2:11" x14ac:dyDescent="0.2">
      <c r="B7" s="141" t="s">
        <v>158</v>
      </c>
      <c r="C7" s="141">
        <v>0.1</v>
      </c>
      <c r="D7" s="47"/>
      <c r="E7" s="47"/>
      <c r="F7" s="47"/>
    </row>
    <row r="8" spans="2:11" x14ac:dyDescent="0.2">
      <c r="B8" s="141" t="s">
        <v>159</v>
      </c>
      <c r="C8" s="159">
        <v>2533</v>
      </c>
    </row>
    <row r="9" spans="2:11" ht="12" x14ac:dyDescent="0.25">
      <c r="B9" s="143" t="s">
        <v>161</v>
      </c>
      <c r="C9" s="158">
        <f>(C6/C8)+C7</f>
        <v>0.11954204500592183</v>
      </c>
    </row>
    <row r="10" spans="2:11" x14ac:dyDescent="0.2">
      <c r="B10" s="141"/>
      <c r="C10" s="52"/>
    </row>
    <row r="11" spans="2:11" ht="14.4" x14ac:dyDescent="0.25">
      <c r="B11" s="143" t="s">
        <v>162</v>
      </c>
      <c r="C11" s="140">
        <v>0.14000000000000001</v>
      </c>
    </row>
    <row r="12" spans="2:11" x14ac:dyDescent="0.2">
      <c r="B12" s="141" t="s">
        <v>163</v>
      </c>
      <c r="C12" s="52">
        <v>7.3999999999999996E-2</v>
      </c>
    </row>
    <row r="13" spans="2:11" x14ac:dyDescent="0.2">
      <c r="B13" s="141" t="s">
        <v>164</v>
      </c>
      <c r="C13" s="52">
        <f>1-C12</f>
        <v>0.92600000000000005</v>
      </c>
    </row>
    <row r="14" spans="2:11" x14ac:dyDescent="0.2">
      <c r="B14" s="141" t="s">
        <v>165</v>
      </c>
      <c r="C14" s="52">
        <v>0.23</v>
      </c>
    </row>
    <row r="16" spans="2:11" x14ac:dyDescent="0.2">
      <c r="B16" s="141" t="s">
        <v>144</v>
      </c>
      <c r="C16" s="91">
        <f>C9*C13+(1-C14)*C12*C11</f>
        <v>0.11867313367548363</v>
      </c>
      <c r="D16" s="52"/>
    </row>
    <row r="17" spans="2:12" x14ac:dyDescent="0.2">
      <c r="B17" s="59" t="s">
        <v>158</v>
      </c>
      <c r="C17" s="146">
        <v>0.03</v>
      </c>
    </row>
    <row r="18" spans="2:12" x14ac:dyDescent="0.2">
      <c r="H18" s="47">
        <v>1</v>
      </c>
      <c r="I18" s="47">
        <v>2</v>
      </c>
      <c r="J18" s="47">
        <v>3</v>
      </c>
      <c r="K18" s="47">
        <v>4</v>
      </c>
      <c r="L18" s="47">
        <v>5</v>
      </c>
    </row>
    <row r="19" spans="2:12" ht="24.6" thickBot="1" x14ac:dyDescent="0.3">
      <c r="B19" s="105" t="s">
        <v>88</v>
      </c>
      <c r="C19" s="124" t="s">
        <v>63</v>
      </c>
      <c r="D19" s="124" t="s">
        <v>64</v>
      </c>
      <c r="E19" s="124" t="s">
        <v>65</v>
      </c>
      <c r="F19" s="124" t="s">
        <v>66</v>
      </c>
      <c r="H19" s="101" t="s">
        <v>102</v>
      </c>
      <c r="I19" s="101" t="s">
        <v>103</v>
      </c>
      <c r="J19" s="101" t="s">
        <v>104</v>
      </c>
      <c r="K19" s="101" t="s">
        <v>105</v>
      </c>
      <c r="L19" s="101" t="s">
        <v>106</v>
      </c>
    </row>
    <row r="20" spans="2:12" x14ac:dyDescent="0.2">
      <c r="B20" s="47" t="s">
        <v>137</v>
      </c>
      <c r="C20" s="53"/>
      <c r="D20" s="137"/>
      <c r="E20" s="137"/>
      <c r="F20" s="53"/>
      <c r="H20" s="56">
        <f>UFCF!I20</f>
        <v>6134202585.109252</v>
      </c>
      <c r="I20" s="56">
        <f>UFCF!J20</f>
        <v>6377662793.1752176</v>
      </c>
      <c r="J20" s="56">
        <f>UFCF!K20</f>
        <v>7055207684.4735374</v>
      </c>
      <c r="K20" s="56">
        <f>UFCF!L20</f>
        <v>7824374232.0901699</v>
      </c>
      <c r="L20" s="56">
        <f>UFCF!M20</f>
        <v>8708644901.9700394</v>
      </c>
    </row>
    <row r="21" spans="2:12" x14ac:dyDescent="0.2">
      <c r="B21" s="47"/>
      <c r="C21" s="53"/>
      <c r="D21" s="53"/>
      <c r="E21" s="53"/>
      <c r="F21" s="53"/>
      <c r="H21" s="56"/>
      <c r="I21" s="56"/>
      <c r="J21" s="56"/>
      <c r="K21" s="56"/>
      <c r="L21" s="56"/>
    </row>
    <row r="22" spans="2:12" x14ac:dyDescent="0.2">
      <c r="B22" s="47" t="s">
        <v>145</v>
      </c>
      <c r="C22" s="53"/>
      <c r="D22" s="53"/>
      <c r="E22" s="53"/>
      <c r="F22" s="53"/>
      <c r="H22" s="142">
        <f>1/(1+$C$16)^H18</f>
        <v>0.89391616719570777</v>
      </c>
      <c r="I22" s="142">
        <f>1/(1+$C$16)^I18</f>
        <v>0.79908611397386475</v>
      </c>
      <c r="J22" s="142">
        <f>1/(1+$C$16)^J18</f>
        <v>0.71431599626282971</v>
      </c>
      <c r="K22" s="142">
        <f>1/(1+$C$16)^K18</f>
        <v>0.63853861754585239</v>
      </c>
      <c r="L22" s="142">
        <f>1/(1+$C$16)^L18</f>
        <v>0.57079999360303435</v>
      </c>
    </row>
    <row r="23" spans="2:12" ht="12" x14ac:dyDescent="0.25">
      <c r="B23" s="109" t="s">
        <v>146</v>
      </c>
      <c r="C23" s="138"/>
      <c r="D23" s="138"/>
      <c r="E23" s="138"/>
      <c r="F23" s="139"/>
      <c r="H23" s="128">
        <f>H22*H20</f>
        <v>5483462863.6828651</v>
      </c>
      <c r="I23" s="128">
        <f t="shared" ref="I23:L23" si="0">I22*I20</f>
        <v>5096301777.6340885</v>
      </c>
      <c r="J23" s="128">
        <f t="shared" si="0"/>
        <v>5039647705.9758873</v>
      </c>
      <c r="K23" s="128">
        <f t="shared" si="0"/>
        <v>4996165105.3202477</v>
      </c>
      <c r="L23" s="128">
        <f t="shared" si="0"/>
        <v>4970894454.3355961</v>
      </c>
    </row>
    <row r="24" spans="2:12" x14ac:dyDescent="0.2">
      <c r="B24" s="47"/>
      <c r="C24" s="47"/>
      <c r="D24" s="47"/>
      <c r="E24" s="47"/>
      <c r="F24" s="47"/>
      <c r="G24" s="47"/>
      <c r="H24" s="47"/>
    </row>
    <row r="25" spans="2:12" x14ac:dyDescent="0.2">
      <c r="B25" s="47"/>
      <c r="C25" s="47"/>
      <c r="D25" s="47"/>
      <c r="E25" s="47"/>
      <c r="F25" s="47"/>
      <c r="G25" s="47"/>
      <c r="H25" s="47"/>
      <c r="I25" s="47"/>
      <c r="J25" s="47"/>
      <c r="K25" s="47"/>
    </row>
    <row r="26" spans="2:12" ht="12" x14ac:dyDescent="0.25">
      <c r="B26" s="180" t="s">
        <v>143</v>
      </c>
      <c r="C26" s="180"/>
      <c r="D26" s="180"/>
      <c r="E26" s="180"/>
      <c r="F26" s="180"/>
      <c r="G26" s="180"/>
      <c r="H26" s="180"/>
      <c r="I26" s="180"/>
      <c r="J26" s="180"/>
      <c r="K26" s="180"/>
    </row>
    <row r="27" spans="2:12" x14ac:dyDescent="0.2">
      <c r="B27" s="47" t="s">
        <v>147</v>
      </c>
      <c r="C27" s="49">
        <f>SUM(H23:L23)</f>
        <v>25586471906.948685</v>
      </c>
      <c r="D27" s="47" t="s">
        <v>148</v>
      </c>
      <c r="E27" s="129">
        <f>C27/C$30</f>
        <v>0.30706150976526675</v>
      </c>
      <c r="F27" s="130"/>
      <c r="G27" s="108" t="s">
        <v>149</v>
      </c>
      <c r="H27" s="47"/>
      <c r="I27" s="47"/>
      <c r="J27" s="47"/>
      <c r="K27" s="47"/>
    </row>
    <row r="28" spans="2:12" x14ac:dyDescent="0.2">
      <c r="B28" s="47" t="s">
        <v>150</v>
      </c>
      <c r="C28" s="49">
        <f>(L20*(1+C17))/((C16-C17))</f>
        <v>101156955632.76503</v>
      </c>
      <c r="D28" s="47" t="s">
        <v>148</v>
      </c>
      <c r="E28" s="50"/>
      <c r="F28" s="130"/>
      <c r="G28" s="47"/>
      <c r="H28" s="47"/>
      <c r="I28" s="47"/>
      <c r="J28" s="47"/>
      <c r="K28" s="47"/>
    </row>
    <row r="29" spans="2:12" x14ac:dyDescent="0.2">
      <c r="B29" s="47" t="s">
        <v>151</v>
      </c>
      <c r="C29" s="49">
        <f>C28*L22</f>
        <v>57740389628.084709</v>
      </c>
      <c r="D29" s="47" t="s">
        <v>148</v>
      </c>
      <c r="E29" s="129">
        <f>C29/C30</f>
        <v>0.69293849023473331</v>
      </c>
      <c r="F29" s="130"/>
      <c r="G29" s="108" t="s">
        <v>149</v>
      </c>
      <c r="H29" s="47"/>
      <c r="I29" s="47"/>
      <c r="J29" s="47"/>
      <c r="K29" s="47"/>
    </row>
    <row r="30" spans="2:12" ht="12" x14ac:dyDescent="0.25">
      <c r="B30" s="109" t="s">
        <v>152</v>
      </c>
      <c r="C30" s="127">
        <f>C29+C27</f>
        <v>83326861535.033386</v>
      </c>
      <c r="D30" s="109" t="s">
        <v>148</v>
      </c>
      <c r="E30" s="131"/>
      <c r="F30" s="110"/>
      <c r="G30" s="47"/>
      <c r="H30" s="47"/>
      <c r="I30" s="47"/>
      <c r="J30" s="47"/>
      <c r="K30" s="47"/>
    </row>
    <row r="31" spans="2:12" x14ac:dyDescent="0.2">
      <c r="B31" s="132" t="s">
        <v>153</v>
      </c>
      <c r="C31" s="49">
        <f>-'BS Assumptions'!I57</f>
        <v>-450000000</v>
      </c>
      <c r="D31" s="47" t="s">
        <v>148</v>
      </c>
      <c r="E31" s="49"/>
      <c r="F31" s="47"/>
      <c r="G31" s="47"/>
      <c r="H31" s="47"/>
      <c r="I31" s="47"/>
      <c r="J31" s="47"/>
      <c r="K31" s="47"/>
    </row>
    <row r="32" spans="2:12" x14ac:dyDescent="0.2">
      <c r="B32" s="133" t="s">
        <v>154</v>
      </c>
      <c r="C32" s="49">
        <f>'Balance Sheet'!H19</f>
        <v>1887129573</v>
      </c>
      <c r="D32" s="47" t="s">
        <v>148</v>
      </c>
      <c r="E32" s="49"/>
      <c r="F32" s="47"/>
      <c r="G32" s="47"/>
      <c r="H32" s="47"/>
      <c r="I32" s="47"/>
      <c r="J32" s="47"/>
      <c r="K32" s="47"/>
    </row>
    <row r="33" spans="2:17" ht="12" x14ac:dyDescent="0.25">
      <c r="B33" s="109" t="s">
        <v>155</v>
      </c>
      <c r="C33" s="127">
        <f>SUM(C30:C32)</f>
        <v>84763991108.033386</v>
      </c>
      <c r="D33" s="109" t="s">
        <v>148</v>
      </c>
      <c r="E33" s="131"/>
      <c r="F33" s="110"/>
      <c r="G33" s="47"/>
      <c r="H33" s="47"/>
      <c r="I33" s="47"/>
      <c r="J33" s="47"/>
      <c r="K33" s="47"/>
    </row>
    <row r="34" spans="2:17" x14ac:dyDescent="0.2">
      <c r="B34" s="47" t="s">
        <v>195</v>
      </c>
      <c r="C34" s="82">
        <v>31500000</v>
      </c>
      <c r="D34" s="47"/>
      <c r="E34" s="47"/>
      <c r="F34" s="47"/>
      <c r="G34" s="47"/>
      <c r="H34" s="47"/>
      <c r="I34" s="47"/>
      <c r="J34" s="47"/>
      <c r="K34" s="47"/>
    </row>
    <row r="35" spans="2:17" x14ac:dyDescent="0.2">
      <c r="B35" s="47" t="s">
        <v>167</v>
      </c>
      <c r="C35" s="47">
        <f>C33/C34</f>
        <v>2690.9203526359806</v>
      </c>
      <c r="D35" s="47"/>
      <c r="E35" s="47"/>
      <c r="F35" s="47"/>
      <c r="G35" s="47"/>
      <c r="H35" s="47"/>
      <c r="I35" s="47"/>
      <c r="J35" s="47"/>
      <c r="K35" s="47"/>
      <c r="O35" s="59" t="s">
        <v>193</v>
      </c>
    </row>
    <row r="36" spans="2:17" x14ac:dyDescent="0.2">
      <c r="B36" s="47"/>
      <c r="C36" s="47"/>
      <c r="D36" s="47"/>
      <c r="E36" s="47"/>
      <c r="F36" s="47"/>
      <c r="G36" s="134">
        <f>C30</f>
        <v>83326861535.033386</v>
      </c>
      <c r="H36" s="47"/>
      <c r="I36" s="47"/>
      <c r="J36" s="47"/>
      <c r="K36" s="47"/>
    </row>
    <row r="37" spans="2:17" ht="12.6" thickBot="1" x14ac:dyDescent="0.3">
      <c r="B37" s="47"/>
      <c r="C37" s="47"/>
      <c r="D37" s="47"/>
      <c r="E37" s="47"/>
      <c r="F37" s="47"/>
      <c r="G37" s="127">
        <f>G36+G34</f>
        <v>83326861535.033386</v>
      </c>
      <c r="H37" s="135">
        <v>0.1</v>
      </c>
      <c r="I37" s="135">
        <v>0.12</v>
      </c>
      <c r="J37" s="135">
        <v>0.14000000000000001</v>
      </c>
      <c r="K37" s="135">
        <v>0.16</v>
      </c>
      <c r="M37" s="127">
        <f>M36+M34</f>
        <v>0</v>
      </c>
      <c r="N37" s="135">
        <v>0.1</v>
      </c>
      <c r="O37" s="135">
        <v>0.12</v>
      </c>
      <c r="P37" s="135">
        <v>0.14000000000000001</v>
      </c>
      <c r="Q37" s="135">
        <v>0.16</v>
      </c>
    </row>
    <row r="38" spans="2:17" ht="12" x14ac:dyDescent="0.25">
      <c r="B38" s="47"/>
      <c r="C38" s="47"/>
      <c r="D38" s="47"/>
      <c r="E38" s="47"/>
      <c r="F38" s="47"/>
      <c r="G38" s="136">
        <v>0.01</v>
      </c>
      <c r="H38" s="56">
        <f t="dataTable" ref="H38:K41" dt2D="1" dtr="1" r1="C16" r2="C17"/>
        <v>87582418850.169983</v>
      </c>
      <c r="I38" s="56">
        <v>70869137018.289001</v>
      </c>
      <c r="J38" s="56">
        <v>59346212620.050117</v>
      </c>
      <c r="K38" s="56">
        <v>50933766931.181152</v>
      </c>
      <c r="M38" s="136">
        <v>0.01</v>
      </c>
      <c r="N38" s="56">
        <f>H38/$C$34</f>
        <v>2780.3942492117453</v>
      </c>
      <c r="O38" s="56">
        <f t="shared" ref="O38:Q41" si="1">I38/$C$34</f>
        <v>2249.8138735964762</v>
      </c>
      <c r="P38" s="56">
        <f t="shared" si="1"/>
        <v>1884.0067498428609</v>
      </c>
      <c r="Q38" s="56">
        <f t="shared" si="1"/>
        <v>1616.9449819422589</v>
      </c>
    </row>
    <row r="39" spans="2:17" ht="12" x14ac:dyDescent="0.25">
      <c r="B39" s="47"/>
      <c r="C39" s="47"/>
      <c r="D39" s="47"/>
      <c r="E39" s="47"/>
      <c r="F39" s="47"/>
      <c r="G39" s="136">
        <v>0.02</v>
      </c>
      <c r="H39" s="56">
        <v>95843698914.117157</v>
      </c>
      <c r="I39" s="56">
        <v>75900501812.479935</v>
      </c>
      <c r="J39" s="56">
        <v>62651479856.637871</v>
      </c>
      <c r="K39" s="56">
        <v>53224103623.543159</v>
      </c>
      <c r="M39" s="136">
        <v>0.02</v>
      </c>
      <c r="N39" s="56">
        <f t="shared" ref="N39:N41" si="2">H39/$C$34</f>
        <v>3042.6571083846716</v>
      </c>
      <c r="O39" s="56">
        <f t="shared" si="1"/>
        <v>2409.5397400787283</v>
      </c>
      <c r="P39" s="56">
        <f t="shared" si="1"/>
        <v>1988.9358684646943</v>
      </c>
      <c r="Q39" s="56">
        <f t="shared" si="1"/>
        <v>1689.6540832870844</v>
      </c>
    </row>
    <row r="40" spans="2:17" ht="12" x14ac:dyDescent="0.25">
      <c r="B40" s="47"/>
      <c r="C40" s="47"/>
      <c r="D40" s="47"/>
      <c r="E40" s="47"/>
      <c r="F40" s="47"/>
      <c r="G40" s="136">
        <v>0.03</v>
      </c>
      <c r="H40" s="56">
        <v>106465344710.62065</v>
      </c>
      <c r="I40" s="56">
        <v>82049947672.046631</v>
      </c>
      <c r="J40" s="56">
        <v>66557704772.605225</v>
      </c>
      <c r="K40" s="56">
        <v>55866799807.037796</v>
      </c>
      <c r="M40" s="136">
        <v>0.03</v>
      </c>
      <c r="N40" s="56">
        <f t="shared" si="2"/>
        <v>3379.8522130355764</v>
      </c>
      <c r="O40" s="56">
        <f t="shared" si="1"/>
        <v>2604.7602435570361</v>
      </c>
      <c r="P40" s="56">
        <f t="shared" si="1"/>
        <v>2112.9430086541342</v>
      </c>
      <c r="Q40" s="56">
        <f t="shared" si="1"/>
        <v>1773.5492002234221</v>
      </c>
    </row>
    <row r="41" spans="2:17" ht="12" x14ac:dyDescent="0.25">
      <c r="B41" s="47"/>
      <c r="C41" s="47"/>
      <c r="D41" s="47"/>
      <c r="E41" s="47"/>
      <c r="F41" s="47"/>
      <c r="G41" s="136">
        <v>0.04</v>
      </c>
      <c r="H41" s="56">
        <v>120627539105.95866</v>
      </c>
      <c r="I41" s="56">
        <v>89736754996.505005</v>
      </c>
      <c r="J41" s="56">
        <v>71245174671.766052</v>
      </c>
      <c r="K41" s="56">
        <v>58949945354.448212</v>
      </c>
      <c r="M41" s="136">
        <v>0.04</v>
      </c>
      <c r="N41" s="56">
        <f t="shared" si="2"/>
        <v>3829.4456859034494</v>
      </c>
      <c r="O41" s="56">
        <f t="shared" si="1"/>
        <v>2848.7858729049208</v>
      </c>
      <c r="P41" s="56">
        <f t="shared" si="1"/>
        <v>2261.7515768814619</v>
      </c>
      <c r="Q41" s="56">
        <f t="shared" si="1"/>
        <v>1871.4268366491497</v>
      </c>
    </row>
    <row r="42" spans="2:17" x14ac:dyDescent="0.2">
      <c r="B42" s="47"/>
      <c r="C42" s="47"/>
      <c r="D42" s="47"/>
      <c r="E42" s="47"/>
      <c r="F42" s="47"/>
      <c r="G42" s="47"/>
      <c r="H42" s="47"/>
      <c r="I42" s="47"/>
      <c r="J42" s="47"/>
      <c r="K42" s="47"/>
    </row>
  </sheetData>
  <mergeCells count="1">
    <mergeCell ref="B26:K26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4D60A-F6F6-4E79-A950-107DE8D2CC22}">
  <sheetPr codeName="Sheet13"/>
  <dimension ref="A3:O37"/>
  <sheetViews>
    <sheetView topLeftCell="A9" zoomScaleNormal="100" workbookViewId="0">
      <selection activeCell="H39" sqref="H39"/>
    </sheetView>
  </sheetViews>
  <sheetFormatPr defaultRowHeight="14.4" x14ac:dyDescent="0.3"/>
  <cols>
    <col min="2" max="2" width="13.5546875" customWidth="1"/>
    <col min="3" max="13" width="14.109375" bestFit="1" customWidth="1"/>
    <col min="14" max="14" width="11.88671875" bestFit="1" customWidth="1"/>
  </cols>
  <sheetData>
    <row r="3" spans="2:15" s="76" customFormat="1" ht="12" customHeight="1" thickBot="1" x14ac:dyDescent="0.3">
      <c r="B3" s="70" t="s">
        <v>74</v>
      </c>
      <c r="C3" s="70"/>
      <c r="D3" s="71">
        <v>3566842722</v>
      </c>
      <c r="E3" s="71">
        <v>4284691948</v>
      </c>
      <c r="F3" s="71">
        <v>4644343824</v>
      </c>
      <c r="G3" s="71">
        <v>5137879525</v>
      </c>
      <c r="H3" s="71">
        <v>6150814725</v>
      </c>
      <c r="J3" s="79">
        <v>6279473501.757</v>
      </c>
      <c r="K3" s="79">
        <v>6939708686.3326998</v>
      </c>
      <c r="L3" s="79">
        <v>7685340090.00597</v>
      </c>
      <c r="M3" s="79">
        <v>8536530955.07057</v>
      </c>
      <c r="N3" s="79">
        <v>9522435020.2800293</v>
      </c>
    </row>
    <row r="4" spans="2:15" s="76" customFormat="1" ht="12" customHeight="1" thickBot="1" x14ac:dyDescent="0.3">
      <c r="B4" s="73" t="s">
        <v>77</v>
      </c>
      <c r="C4" s="73"/>
      <c r="D4" s="74">
        <v>2629968493</v>
      </c>
      <c r="E4" s="74">
        <v>3083892165</v>
      </c>
      <c r="F4" s="74">
        <v>3572484914</v>
      </c>
      <c r="G4" s="74">
        <v>3889758334</v>
      </c>
      <c r="H4" s="74">
        <v>4623751878</v>
      </c>
      <c r="J4" s="80">
        <v>4896135003.1051331</v>
      </c>
      <c r="K4" s="80">
        <v>5511546526.6504154</v>
      </c>
      <c r="L4" s="80">
        <v>6070002748.2324381</v>
      </c>
      <c r="M4" s="80">
        <v>6706167534.8787518</v>
      </c>
      <c r="N4" s="80">
        <v>7441428076.9463444</v>
      </c>
    </row>
    <row r="5" spans="2:15" ht="15" thickTop="1" x14ac:dyDescent="0.3"/>
    <row r="6" spans="2:15" s="59" customFormat="1" ht="24.6" thickBot="1" x14ac:dyDescent="0.3">
      <c r="B6" s="67" t="s">
        <v>81</v>
      </c>
      <c r="C6" s="67"/>
      <c r="D6" s="100" t="s">
        <v>62</v>
      </c>
      <c r="E6" s="100" t="s">
        <v>63</v>
      </c>
      <c r="F6" s="100" t="s">
        <v>64</v>
      </c>
      <c r="G6" s="100" t="s">
        <v>65</v>
      </c>
      <c r="H6" s="100" t="s">
        <v>66</v>
      </c>
      <c r="I6" s="64"/>
      <c r="J6" s="101" t="s">
        <v>102</v>
      </c>
      <c r="K6" s="101" t="s">
        <v>103</v>
      </c>
      <c r="L6" s="101" t="s">
        <v>104</v>
      </c>
      <c r="M6" s="101" t="s">
        <v>105</v>
      </c>
      <c r="N6" s="65" t="s">
        <v>106</v>
      </c>
    </row>
    <row r="7" spans="2:15" s="59" customFormat="1" ht="12" customHeight="1" x14ac:dyDescent="0.25">
      <c r="B7" s="2" t="s">
        <v>121</v>
      </c>
      <c r="D7" s="64">
        <f>'Balance Sheet'!D15</f>
        <v>43955943</v>
      </c>
      <c r="E7" s="64">
        <f>'Balance Sheet'!E15</f>
        <v>65033298</v>
      </c>
      <c r="F7" s="64">
        <f>'Balance Sheet'!F15</f>
        <v>52229788</v>
      </c>
      <c r="G7" s="64">
        <f>'Balance Sheet'!G15</f>
        <v>60694023</v>
      </c>
      <c r="H7" s="64">
        <f>'Balance Sheet'!H15</f>
        <v>38200323</v>
      </c>
      <c r="I7" s="64">
        <f>'Balance Sheet'!I15</f>
        <v>0</v>
      </c>
      <c r="J7" s="64">
        <f>'Balance Sheet'!J15</f>
        <v>66569171.304166675</v>
      </c>
      <c r="K7" s="64">
        <f>'Balance Sheet'!K15</f>
        <v>73226088.434583351</v>
      </c>
      <c r="L7" s="64">
        <f>'Balance Sheet'!L15</f>
        <v>80548697.278041676</v>
      </c>
      <c r="M7" s="64">
        <f>'Balance Sheet'!M15</f>
        <v>88603567.00584586</v>
      </c>
      <c r="N7" s="64">
        <f>'Balance Sheet'!N15</f>
        <v>97463923.706430435</v>
      </c>
      <c r="O7" s="64"/>
    </row>
    <row r="8" spans="2:15" s="59" customFormat="1" ht="12" customHeight="1" x14ac:dyDescent="0.2">
      <c r="B8" s="5" t="s">
        <v>17</v>
      </c>
      <c r="D8" s="64">
        <f>'Balance Sheet'!D16</f>
        <v>1632102325</v>
      </c>
      <c r="E8" s="64">
        <f>'Balance Sheet'!E16</f>
        <v>1980451778</v>
      </c>
      <c r="F8" s="64">
        <f>'Balance Sheet'!F16</f>
        <v>2332427872</v>
      </c>
      <c r="G8" s="64">
        <f>'Balance Sheet'!G16</f>
        <v>2528550222</v>
      </c>
      <c r="H8" s="64">
        <f>'Balance Sheet'!H16</f>
        <v>3351467544</v>
      </c>
      <c r="I8" s="64">
        <f>'Balance Sheet'!I16</f>
        <v>0</v>
      </c>
      <c r="J8" s="64">
        <f>'Balance Sheet'!J16</f>
        <v>2795905194.7750006</v>
      </c>
      <c r="K8" s="64">
        <f>'Balance Sheet'!K16</f>
        <v>3075495714.2525005</v>
      </c>
      <c r="L8" s="64">
        <f>'Balance Sheet'!L16</f>
        <v>3383045285.6777506</v>
      </c>
      <c r="M8" s="64">
        <f>'Balance Sheet'!M16</f>
        <v>3721349814.2455254</v>
      </c>
      <c r="N8" s="64">
        <f>'Balance Sheet'!N16</f>
        <v>4093484795.6700778</v>
      </c>
    </row>
    <row r="9" spans="2:15" s="59" customFormat="1" ht="52.8" x14ac:dyDescent="0.2">
      <c r="B9" s="6" t="s">
        <v>29</v>
      </c>
      <c r="D9" s="64">
        <f>'Balance Sheet'!D37</f>
        <v>2711929259</v>
      </c>
      <c r="E9" s="64">
        <f>'Balance Sheet'!E37</f>
        <v>3082900365</v>
      </c>
      <c r="F9" s="64">
        <f>'Balance Sheet'!F37</f>
        <v>3548037256</v>
      </c>
      <c r="G9" s="64">
        <f>'Balance Sheet'!G37</f>
        <v>7106383606</v>
      </c>
      <c r="H9" s="64">
        <f>'Balance Sheet'!H37</f>
        <v>7168202840</v>
      </c>
      <c r="I9" s="64">
        <f>'Balance Sheet'!I37</f>
        <v>0</v>
      </c>
      <c r="J9" s="64">
        <f>'Balance Sheet'!J37</f>
        <v>7455747186.0666676</v>
      </c>
      <c r="K9" s="64">
        <f>'Balance Sheet'!K37</f>
        <v>8201321904.6733341</v>
      </c>
      <c r="L9" s="64">
        <f>'Balance Sheet'!L37</f>
        <v>9021454095.1406689</v>
      </c>
      <c r="M9" s="64">
        <f>'Balance Sheet'!M37</f>
        <v>9923599504.6547337</v>
      </c>
      <c r="N9" s="64">
        <f>'Balance Sheet'!N37</f>
        <v>10915959455.120209</v>
      </c>
    </row>
    <row r="12" spans="2:15" s="59" customFormat="1" ht="24.6" thickBot="1" x14ac:dyDescent="0.3">
      <c r="B12" s="67" t="s">
        <v>81</v>
      </c>
      <c r="C12" s="67"/>
      <c r="D12" s="68" t="s">
        <v>199</v>
      </c>
      <c r="E12" s="68" t="s">
        <v>200</v>
      </c>
      <c r="F12" s="68" t="s">
        <v>201</v>
      </c>
      <c r="G12" s="68" t="s">
        <v>202</v>
      </c>
      <c r="H12" s="68" t="s">
        <v>198</v>
      </c>
      <c r="I12" s="65" t="s">
        <v>102</v>
      </c>
      <c r="J12" s="65" t="s">
        <v>103</v>
      </c>
      <c r="K12" s="65" t="s">
        <v>104</v>
      </c>
      <c r="L12" s="65" t="s">
        <v>105</v>
      </c>
      <c r="M12" s="65" t="s">
        <v>106</v>
      </c>
    </row>
    <row r="13" spans="2:15" s="76" customFormat="1" ht="12" customHeight="1" x14ac:dyDescent="0.25">
      <c r="B13" s="70" t="s">
        <v>70</v>
      </c>
      <c r="C13" s="70"/>
      <c r="D13" s="71">
        <f>'P&amp;L Statement'!D14/$D$16</f>
        <v>3641.4169449999999</v>
      </c>
      <c r="E13" s="71">
        <f>'P&amp;L Statement'!E14/$D$16</f>
        <v>4370.2590609999997</v>
      </c>
      <c r="F13" s="71">
        <f>'P&amp;L Statement'!F14/$D$16</f>
        <v>4757.7083329999996</v>
      </c>
      <c r="G13" s="71">
        <f>'P&amp;L Statement'!G14/$D$16</f>
        <v>5240.1772840000003</v>
      </c>
      <c r="H13" s="71">
        <f>'P&amp;L Statement'!H14/$D$16</f>
        <v>6256.1002200000003</v>
      </c>
      <c r="I13" s="71">
        <f>'P&amp;L Statement'!J14/$D$16</f>
        <v>7094.2801585199986</v>
      </c>
      <c r="J13" s="71">
        <f>'P&amp;L Statement'!K14/$D$16</f>
        <v>7835.9960087720028</v>
      </c>
      <c r="K13" s="71">
        <f>'P&amp;L Statement'!L14/$D$16</f>
        <v>8671.2561446891996</v>
      </c>
      <c r="L13" s="71">
        <f>'P&amp;L Statement'!M14/$D$16</f>
        <v>9621.0386152221217</v>
      </c>
      <c r="M13" s="71">
        <f>'P&amp;L Statement'!N14/$D$16</f>
        <v>10715.393446446735</v>
      </c>
    </row>
    <row r="14" spans="2:15" s="76" customFormat="1" ht="12" customHeight="1" thickBot="1" x14ac:dyDescent="0.3">
      <c r="B14" s="73" t="s">
        <v>77</v>
      </c>
      <c r="C14" s="73"/>
      <c r="D14" s="74">
        <f>'P&amp;L Statement'!D33/$D$16</f>
        <v>2629.9684929999999</v>
      </c>
      <c r="E14" s="74">
        <f>'P&amp;L Statement'!E33/$D$16</f>
        <v>3083.8921650000002</v>
      </c>
      <c r="F14" s="74">
        <f>'P&amp;L Statement'!F33/$D$16</f>
        <v>3572.4849140000001</v>
      </c>
      <c r="G14" s="74">
        <f>'P&amp;L Statement'!G33/$D$16</f>
        <v>3889.7583340000001</v>
      </c>
      <c r="H14" s="74">
        <f>'P&amp;L Statement'!H33/$D$16</f>
        <v>4623.751878</v>
      </c>
      <c r="I14" s="74">
        <f>'P&amp;L Statement'!J33/$D$16</f>
        <v>5364.7819690864653</v>
      </c>
      <c r="J14" s="74">
        <f>'P&amp;L Statement'!K33/$D$16</f>
        <v>6027.0581892298824</v>
      </c>
      <c r="K14" s="74">
        <f>'P&amp;L Statement'!L33/$D$16</f>
        <v>6637.0655770698504</v>
      </c>
      <c r="L14" s="74">
        <f>'P&amp;L Statement'!M33/$D$16</f>
        <v>7329.9366465999046</v>
      </c>
      <c r="M14" s="74">
        <f>'P&amp;L Statement'!N33/$D$16</f>
        <v>8127.574099839615</v>
      </c>
    </row>
    <row r="15" spans="2:15" ht="15" thickTop="1" x14ac:dyDescent="0.3">
      <c r="B15" t="s">
        <v>203</v>
      </c>
      <c r="E15" s="177">
        <f>E14/D14-1</f>
        <v>0.17259661977250929</v>
      </c>
      <c r="F15" s="177">
        <f t="shared" ref="F15:L15" si="0">F14/E14-1</f>
        <v>0.1584337982194004</v>
      </c>
      <c r="G15" s="177">
        <f t="shared" si="0"/>
        <v>8.8810289654871921E-2</v>
      </c>
      <c r="H15" s="177">
        <f t="shared" si="0"/>
        <v>0.18869900928914629</v>
      </c>
      <c r="I15" s="177">
        <f t="shared" si="0"/>
        <v>0.16026597244811436</v>
      </c>
      <c r="J15" s="177">
        <f t="shared" si="0"/>
        <v>0.12344886035623781</v>
      </c>
      <c r="K15" s="177">
        <f t="shared" si="0"/>
        <v>0.10121146481214116</v>
      </c>
      <c r="L15" s="177">
        <f t="shared" si="0"/>
        <v>0.10439418768496567</v>
      </c>
      <c r="M15" s="177">
        <f>M14/L14-1</f>
        <v>0.10881914697171435</v>
      </c>
    </row>
    <row r="16" spans="2:15" x14ac:dyDescent="0.3">
      <c r="D16">
        <v>1000000</v>
      </c>
    </row>
    <row r="17" spans="2:13" x14ac:dyDescent="0.3">
      <c r="B17" s="48" t="s">
        <v>124</v>
      </c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</row>
    <row r="18" spans="2:13" x14ac:dyDescent="0.3">
      <c r="B18" s="47" t="s">
        <v>113</v>
      </c>
      <c r="C18" s="49">
        <f>'BS Assumptions'!C6</f>
        <v>43955943</v>
      </c>
      <c r="D18" s="49">
        <f>'BS Assumptions'!D6</f>
        <v>65033298</v>
      </c>
      <c r="E18" s="49">
        <f>'BS Assumptions'!E6</f>
        <v>52229788</v>
      </c>
      <c r="F18" s="49">
        <f>'BS Assumptions'!F6</f>
        <v>60694023</v>
      </c>
      <c r="G18" s="49">
        <f>'BS Assumptions'!G6</f>
        <v>38200323</v>
      </c>
      <c r="H18" s="49">
        <f>'BS Assumptions'!H6</f>
        <v>0</v>
      </c>
      <c r="I18" s="49">
        <f>'BS Assumptions'!I6</f>
        <v>66569171.304166675</v>
      </c>
      <c r="J18" s="49">
        <f>'BS Assumptions'!J6</f>
        <v>73226088.434583351</v>
      </c>
      <c r="K18" s="49">
        <f>'BS Assumptions'!K6</f>
        <v>80548697.278041676</v>
      </c>
      <c r="L18" s="49">
        <f>'BS Assumptions'!L6</f>
        <v>88603567.00584586</v>
      </c>
      <c r="M18" s="49">
        <f>'BS Assumptions'!M6</f>
        <v>97463923.706430435</v>
      </c>
    </row>
    <row r="20" spans="2:13" x14ac:dyDescent="0.3">
      <c r="B20" s="47"/>
      <c r="C20" s="49"/>
      <c r="D20" s="49"/>
      <c r="E20" s="49"/>
      <c r="F20" s="47"/>
      <c r="G20" s="59"/>
      <c r="H20" s="59"/>
      <c r="I20" s="95"/>
      <c r="J20" s="95"/>
      <c r="K20" s="95"/>
      <c r="L20" s="95"/>
      <c r="M20" s="95"/>
    </row>
    <row r="21" spans="2:13" x14ac:dyDescent="0.3">
      <c r="B21" s="47" t="s">
        <v>115</v>
      </c>
      <c r="C21" s="49">
        <f>'BS Assumptions'!C9</f>
        <v>1632102325</v>
      </c>
      <c r="D21" s="49">
        <f>'BS Assumptions'!D9</f>
        <v>1980451778</v>
      </c>
      <c r="E21" s="49">
        <f>'BS Assumptions'!E9</f>
        <v>2332427872</v>
      </c>
      <c r="F21" s="49">
        <f>'BS Assumptions'!F9</f>
        <v>2528550222</v>
      </c>
      <c r="G21" s="49">
        <f>'BS Assumptions'!G9</f>
        <v>3351467544</v>
      </c>
      <c r="H21" s="49">
        <f>'BS Assumptions'!H9</f>
        <v>0</v>
      </c>
      <c r="I21" s="49">
        <f>'BS Assumptions'!I9</f>
        <v>2795905194.7750006</v>
      </c>
      <c r="J21" s="49">
        <f>'BS Assumptions'!J9</f>
        <v>3075495714.2525005</v>
      </c>
      <c r="K21" s="49">
        <f>'BS Assumptions'!K9</f>
        <v>3383045285.6777506</v>
      </c>
      <c r="L21" s="49">
        <f>'BS Assumptions'!L9</f>
        <v>3721349814.2455254</v>
      </c>
      <c r="M21" s="49">
        <f>'BS Assumptions'!M9</f>
        <v>4093484795.6700778</v>
      </c>
    </row>
    <row r="23" spans="2:13" x14ac:dyDescent="0.3">
      <c r="B23" s="47" t="s">
        <v>117</v>
      </c>
      <c r="C23" s="49">
        <f>'BS Assumptions'!C41</f>
        <v>2711929259</v>
      </c>
      <c r="D23" s="49">
        <f>'BS Assumptions'!D41</f>
        <v>3082900365</v>
      </c>
      <c r="E23" s="49">
        <f>'BS Assumptions'!E41</f>
        <v>3548037256</v>
      </c>
      <c r="F23" s="49">
        <f>'BS Assumptions'!F41</f>
        <v>7106383606</v>
      </c>
      <c r="G23" s="49">
        <f>'BS Assumptions'!G41</f>
        <v>7168202840</v>
      </c>
      <c r="H23" s="49">
        <f>'BS Assumptions'!H41</f>
        <v>0</v>
      </c>
      <c r="I23" s="49">
        <f>'BS Assumptions'!I41</f>
        <v>7455747186.0666676</v>
      </c>
      <c r="J23" s="49">
        <f>'BS Assumptions'!J41</f>
        <v>8201321904.6733341</v>
      </c>
      <c r="K23" s="49">
        <f>'BS Assumptions'!K41</f>
        <v>9021454095.1406689</v>
      </c>
      <c r="L23" s="49">
        <f>'BS Assumptions'!L41</f>
        <v>9923599504.6547337</v>
      </c>
      <c r="M23" s="49">
        <f>'BS Assumptions'!M41</f>
        <v>10915959455.120209</v>
      </c>
    </row>
    <row r="26" spans="2:13" ht="25.2" thickBot="1" x14ac:dyDescent="0.35">
      <c r="B26" s="67" t="s">
        <v>81</v>
      </c>
      <c r="C26" s="67"/>
      <c r="D26" s="68" t="s">
        <v>199</v>
      </c>
      <c r="E26" s="68" t="s">
        <v>200</v>
      </c>
      <c r="F26" s="68" t="s">
        <v>201</v>
      </c>
      <c r="G26" s="68" t="s">
        <v>202</v>
      </c>
      <c r="H26" s="68" t="s">
        <v>198</v>
      </c>
      <c r="I26" s="65" t="s">
        <v>102</v>
      </c>
      <c r="J26" s="65" t="s">
        <v>103</v>
      </c>
      <c r="K26" s="65" t="s">
        <v>104</v>
      </c>
      <c r="L26" s="65" t="s">
        <v>105</v>
      </c>
      <c r="M26" s="65" t="s">
        <v>106</v>
      </c>
    </row>
    <row r="27" spans="2:13" x14ac:dyDescent="0.3">
      <c r="B27" t="s">
        <v>196</v>
      </c>
      <c r="D27" s="181">
        <f>C18+C21-C23</f>
        <v>-1035870991</v>
      </c>
      <c r="E27" s="181">
        <f>D18+D21-D23</f>
        <v>-1037415289</v>
      </c>
      <c r="F27" s="181">
        <f>E18+E21-E23</f>
        <v>-1163379596</v>
      </c>
      <c r="G27" s="181">
        <f>F18+F21-F23</f>
        <v>-4517139361</v>
      </c>
      <c r="H27" s="181">
        <f>G18+G21-G23</f>
        <v>-3778534973</v>
      </c>
      <c r="I27" s="181">
        <f>I18+I21-I23</f>
        <v>-4593272819.9875002</v>
      </c>
      <c r="J27" s="181">
        <f>J18+J21-J23</f>
        <v>-5052600101.9862499</v>
      </c>
      <c r="K27" s="181">
        <f>K18+K21-K23</f>
        <v>-5557860112.1848764</v>
      </c>
      <c r="L27" s="181">
        <f>L18+L21-L23</f>
        <v>-6113646123.4033623</v>
      </c>
      <c r="M27" s="181">
        <f>M18+M21-M23</f>
        <v>-6725010735.7437</v>
      </c>
    </row>
    <row r="28" spans="2:13" x14ac:dyDescent="0.3">
      <c r="B28" s="85" t="s">
        <v>114</v>
      </c>
      <c r="D28" s="85"/>
      <c r="E28" s="85">
        <v>2.0026787365711765</v>
      </c>
      <c r="F28" s="85">
        <v>1.8668305428126359</v>
      </c>
      <c r="G28" s="85">
        <v>1.5596986170697689</v>
      </c>
      <c r="H28" s="85">
        <v>1.2592889261128617</v>
      </c>
      <c r="I28" s="96">
        <v>1.5</v>
      </c>
      <c r="J28" s="96">
        <v>1.5</v>
      </c>
      <c r="K28" s="96">
        <v>1.5</v>
      </c>
      <c r="L28" s="96">
        <v>1.5</v>
      </c>
      <c r="M28" s="96">
        <v>1.5</v>
      </c>
    </row>
    <row r="29" spans="2:13" x14ac:dyDescent="0.3">
      <c r="B29" s="85" t="s">
        <v>116</v>
      </c>
      <c r="D29" s="85"/>
      <c r="E29" s="85">
        <v>139.77286986354085</v>
      </c>
      <c r="F29" s="85">
        <v>130.23736244489405</v>
      </c>
      <c r="G29" s="85">
        <v>128.46130086385645</v>
      </c>
      <c r="H29" s="85">
        <v>173.53003952755606</v>
      </c>
      <c r="I29" s="96">
        <v>150</v>
      </c>
      <c r="J29" s="96">
        <v>150</v>
      </c>
      <c r="K29" s="96">
        <v>150</v>
      </c>
      <c r="L29" s="96">
        <v>150</v>
      </c>
      <c r="M29" s="96">
        <v>150</v>
      </c>
    </row>
    <row r="30" spans="2:13" x14ac:dyDescent="0.3">
      <c r="B30" s="85" t="s">
        <v>118</v>
      </c>
      <c r="D30" s="85"/>
      <c r="E30" s="85">
        <v>224.20701360406539</v>
      </c>
      <c r="F30" s="85">
        <v>200.23647687355722</v>
      </c>
      <c r="G30" s="85">
        <v>281.56489031969102</v>
      </c>
      <c r="H30" s="85">
        <v>421.26905883465929</v>
      </c>
      <c r="I30" s="96">
        <v>400</v>
      </c>
      <c r="J30" s="96">
        <v>400</v>
      </c>
      <c r="K30" s="96">
        <v>400</v>
      </c>
      <c r="L30" s="96">
        <v>400</v>
      </c>
      <c r="M30" s="96">
        <v>400</v>
      </c>
    </row>
    <row r="34" spans="1:6" ht="25.2" thickBot="1" x14ac:dyDescent="0.35">
      <c r="B34" s="65" t="s">
        <v>102</v>
      </c>
      <c r="C34" s="65" t="s">
        <v>103</v>
      </c>
      <c r="D34" s="65" t="s">
        <v>104</v>
      </c>
      <c r="E34" s="65" t="s">
        <v>105</v>
      </c>
      <c r="F34" s="65" t="s">
        <v>106</v>
      </c>
    </row>
    <row r="35" spans="1:6" x14ac:dyDescent="0.3">
      <c r="A35" t="s">
        <v>137</v>
      </c>
      <c r="B35" s="56">
        <v>6134202585.109252</v>
      </c>
      <c r="C35" s="56">
        <v>6377662793.1752176</v>
      </c>
      <c r="D35" s="56">
        <v>7055207684.4735374</v>
      </c>
      <c r="E35" s="56">
        <v>7824374232.0901699</v>
      </c>
      <c r="F35" s="56">
        <v>8708644901.9700394</v>
      </c>
    </row>
    <row r="36" spans="1:6" x14ac:dyDescent="0.3">
      <c r="A36" t="s">
        <v>204</v>
      </c>
      <c r="B36" s="128">
        <v>5483462863.6828651</v>
      </c>
      <c r="C36" s="128">
        <v>5096301777.6340885</v>
      </c>
      <c r="D36" s="128">
        <v>5039647705.9758873</v>
      </c>
      <c r="E36" s="128">
        <v>4996165105.3202477</v>
      </c>
      <c r="F36" s="128">
        <v>4970894454.3355961</v>
      </c>
    </row>
    <row r="37" spans="1:6" x14ac:dyDescent="0.3">
      <c r="B37" s="142">
        <v>0.89391616719570777</v>
      </c>
      <c r="C37" s="142">
        <v>0.79908611397386475</v>
      </c>
      <c r="D37" s="142">
        <v>0.71431599626282971</v>
      </c>
      <c r="E37" s="142">
        <v>0.63853861754585239</v>
      </c>
      <c r="F37" s="142">
        <v>0.57079999360303435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1F88015E66B4492F59C38E57973F7" ma:contentTypeVersion="6" ma:contentTypeDescription="Create a new document." ma:contentTypeScope="" ma:versionID="2d5158b08e5a83342197f080c2321ee4">
  <xsd:schema xmlns:xsd="http://www.w3.org/2001/XMLSchema" xmlns:xs="http://www.w3.org/2001/XMLSchema" xmlns:p="http://schemas.microsoft.com/office/2006/metadata/properties" xmlns:ns3="0ac285a8-26c9-4e59-a53d-bdf640d0ebce" targetNamespace="http://schemas.microsoft.com/office/2006/metadata/properties" ma:root="true" ma:fieldsID="c3e2b6a0665343c415b20ac8a22a49bf" ns3:_="">
    <xsd:import namespace="0ac285a8-26c9-4e59-a53d-bdf640d0ebce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285a8-26c9-4e59-a53d-bdf640d0ebce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c285a8-26c9-4e59-a53d-bdf640d0ebce" xsi:nil="true"/>
  </documentManagement>
</p:properties>
</file>

<file path=customXml/itemProps1.xml><?xml version="1.0" encoding="utf-8"?>
<ds:datastoreItem xmlns:ds="http://schemas.openxmlformats.org/officeDocument/2006/customXml" ds:itemID="{A324EAD6-5AE8-4009-9CAD-AA1EC2A857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c285a8-26c9-4e59-a53d-bdf640d0eb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063B8D-BFBE-4D6C-9F42-C6442A30922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B254DC-93B2-4635-A551-EF16B0C048FC}">
  <ds:schemaRefs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documentManagement/types"/>
    <ds:schemaRef ds:uri="0ac285a8-26c9-4e59-a53d-bdf640d0eb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Dashboard</vt:lpstr>
      <vt:lpstr>&gt;Source Sheets</vt:lpstr>
      <vt:lpstr>P&amp;L Source</vt:lpstr>
      <vt:lpstr>BS Source</vt:lpstr>
      <vt:lpstr>Cash Flow Source</vt:lpstr>
      <vt:lpstr>Assumptions Sheets&gt;</vt:lpstr>
      <vt:lpstr>P&amp;L Assumptions</vt:lpstr>
      <vt:lpstr>BS Assumptions</vt:lpstr>
      <vt:lpstr>Forecasted Sheets</vt:lpstr>
      <vt:lpstr>P&amp;L Statement</vt:lpstr>
      <vt:lpstr>Balance Sheet</vt:lpstr>
      <vt:lpstr>UFCF</vt:lpstr>
      <vt:lpstr>DCF Valuation</vt:lpstr>
      <vt:lpstr>Workings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a76053</dc:creator>
  <cp:lastModifiedBy>a76053</cp:lastModifiedBy>
  <dcterms:created xsi:type="dcterms:W3CDTF">2025-06-01T11:01:51Z</dcterms:created>
  <dcterms:modified xsi:type="dcterms:W3CDTF">2025-06-10T18:14:02Z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0x01010081C1F88015E66B4492F59C38E57973F7</vt:lpwstr>
  </property>
</Properties>
</file>