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6a44ef2ff30a9bf4/00_23webclamp/00羽生市倉庫/02設計資料/99フーチングの検討/"/>
    </mc:Choice>
  </mc:AlternateContent>
  <xr:revisionPtr revIDLastSave="719" documentId="13_ncr:1_{B1EE9A6B-A315-4159-A842-35BEFC1B9320}" xr6:coauthVersionLast="47" xr6:coauthVersionMax="47" xr10:uidLastSave="{62830E5D-3140-44C6-9943-C9C7FA7059E9}"/>
  <bookViews>
    <workbookView xWindow="3216" yWindow="1620" windowWidth="17532" windowHeight="10572" xr2:uid="{00000000-000D-0000-FFFF-FFFF00000000}"/>
  </bookViews>
  <sheets>
    <sheet name="フーチングの検討" sheetId="6" r:id="rId1"/>
    <sheet name="RC壁" sheetId="2" r:id="rId2"/>
  </sheets>
  <definedNames>
    <definedName name="_xlnm.Print_Area" localSheetId="0">フーチングの検討!$A$1:$S$86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4" i="6" l="1"/>
  <c r="M17" i="6"/>
  <c r="M20" i="6"/>
  <c r="G67" i="6"/>
  <c r="F67" i="6"/>
  <c r="H67" i="6" s="1"/>
  <c r="G66" i="6"/>
  <c r="F66" i="6"/>
  <c r="H66" i="6" s="1"/>
  <c r="G65" i="6"/>
  <c r="F65" i="6"/>
  <c r="H65" i="6" s="1"/>
  <c r="K37" i="6"/>
  <c r="L37" i="6"/>
  <c r="M37" i="6"/>
  <c r="N37" i="6"/>
  <c r="L38" i="6"/>
  <c r="K39" i="6"/>
  <c r="L39" i="6"/>
  <c r="M39" i="6"/>
  <c r="N39" i="6"/>
  <c r="K40" i="6"/>
  <c r="L40" i="6"/>
  <c r="M40" i="6"/>
  <c r="N40" i="6"/>
  <c r="K41" i="6"/>
  <c r="L41" i="6"/>
  <c r="M41" i="6"/>
  <c r="N41" i="6"/>
  <c r="K42" i="6"/>
  <c r="L42" i="6"/>
  <c r="M42" i="6"/>
  <c r="N42" i="6"/>
  <c r="K43" i="6"/>
  <c r="L43" i="6"/>
  <c r="M43" i="6"/>
  <c r="N43" i="6"/>
  <c r="K44" i="6"/>
  <c r="L44" i="6"/>
  <c r="M44" i="6"/>
  <c r="N44" i="6"/>
  <c r="K45" i="6"/>
  <c r="L45" i="6"/>
  <c r="M45" i="6"/>
  <c r="N45" i="6"/>
  <c r="J38" i="6"/>
  <c r="J39" i="6"/>
  <c r="J40" i="6"/>
  <c r="J41" i="6"/>
  <c r="J42" i="6"/>
  <c r="J43" i="6"/>
  <c r="J44" i="6"/>
  <c r="J45" i="6"/>
  <c r="J37" i="6"/>
  <c r="AN19" i="6"/>
  <c r="AM19" i="6"/>
  <c r="AO19" i="6" s="1"/>
  <c r="AP19" i="6" s="1"/>
  <c r="AL19" i="6"/>
  <c r="AO16" i="6"/>
  <c r="AP16" i="6" s="1"/>
  <c r="AN16" i="6"/>
  <c r="AM16" i="6"/>
  <c r="AL16" i="6"/>
  <c r="AN13" i="6"/>
  <c r="AM13" i="6"/>
  <c r="K38" i="6" s="1"/>
  <c r="AL13" i="6"/>
  <c r="D37" i="6"/>
  <c r="E37" i="6"/>
  <c r="F37" i="6"/>
  <c r="G37" i="6"/>
  <c r="H37" i="6"/>
  <c r="D38" i="6"/>
  <c r="F38" i="6"/>
  <c r="D39" i="6"/>
  <c r="E39" i="6"/>
  <c r="F39" i="6"/>
  <c r="G39" i="6"/>
  <c r="H39" i="6"/>
  <c r="D40" i="6"/>
  <c r="E40" i="6"/>
  <c r="F40" i="6"/>
  <c r="G40" i="6"/>
  <c r="H40" i="6"/>
  <c r="D41" i="6"/>
  <c r="F41" i="6"/>
  <c r="D42" i="6"/>
  <c r="E42" i="6"/>
  <c r="F42" i="6"/>
  <c r="G42" i="6"/>
  <c r="H42" i="6"/>
  <c r="D43" i="6"/>
  <c r="E43" i="6"/>
  <c r="F43" i="6"/>
  <c r="G43" i="6"/>
  <c r="H43" i="6"/>
  <c r="D44" i="6"/>
  <c r="F44" i="6"/>
  <c r="D45" i="6"/>
  <c r="E45" i="6"/>
  <c r="F45" i="6"/>
  <c r="G45" i="6"/>
  <c r="H45" i="6"/>
  <c r="C39" i="6"/>
  <c r="C40" i="6"/>
  <c r="C42" i="6"/>
  <c r="C43" i="6"/>
  <c r="C45" i="6"/>
  <c r="C37" i="6"/>
  <c r="B38" i="6"/>
  <c r="B39" i="6"/>
  <c r="B40" i="6"/>
  <c r="B41" i="6"/>
  <c r="B42" i="6"/>
  <c r="B43" i="6"/>
  <c r="B44" i="6"/>
  <c r="B45" i="6"/>
  <c r="B37" i="6"/>
  <c r="AG19" i="6"/>
  <c r="AG16" i="6"/>
  <c r="AG13" i="6"/>
  <c r="G64" i="6"/>
  <c r="G63" i="6"/>
  <c r="F64" i="6"/>
  <c r="H64" i="6" s="1"/>
  <c r="F63" i="6"/>
  <c r="H63" i="6" s="1"/>
  <c r="K75" i="6"/>
  <c r="K74" i="6"/>
  <c r="L70" i="6"/>
  <c r="C83" i="6" s="1"/>
  <c r="L69" i="6"/>
  <c r="C82" i="6" s="1"/>
  <c r="L68" i="6"/>
  <c r="C81" i="6" s="1"/>
  <c r="L67" i="6"/>
  <c r="C80" i="6" s="1"/>
  <c r="L66" i="6"/>
  <c r="C79" i="6" s="1"/>
  <c r="L65" i="6"/>
  <c r="C78" i="6" s="1"/>
  <c r="L64" i="6"/>
  <c r="C77" i="6" s="1"/>
  <c r="L63" i="6"/>
  <c r="C76" i="6" s="1"/>
  <c r="B74" i="6"/>
  <c r="M64" i="6"/>
  <c r="D77" i="6" s="1"/>
  <c r="M65" i="6"/>
  <c r="D78" i="6" s="1"/>
  <c r="M66" i="6"/>
  <c r="M67" i="6"/>
  <c r="D80" i="6" s="1"/>
  <c r="M68" i="6"/>
  <c r="D81" i="6" s="1"/>
  <c r="M69" i="6"/>
  <c r="D82" i="6" s="1"/>
  <c r="M70" i="6"/>
  <c r="M63" i="6"/>
  <c r="D76" i="6" s="1"/>
  <c r="J64" i="6"/>
  <c r="K64" i="6"/>
  <c r="J65" i="6"/>
  <c r="K65" i="6"/>
  <c r="J66" i="6"/>
  <c r="K66" i="6"/>
  <c r="J67" i="6"/>
  <c r="K67" i="6"/>
  <c r="J68" i="6"/>
  <c r="K68" i="6"/>
  <c r="J69" i="6"/>
  <c r="K69" i="6"/>
  <c r="J70" i="6"/>
  <c r="K70" i="6"/>
  <c r="K63" i="6"/>
  <c r="J63" i="6"/>
  <c r="O64" i="6"/>
  <c r="F77" i="6" s="1"/>
  <c r="O65" i="6"/>
  <c r="F78" i="6" s="1"/>
  <c r="O66" i="6"/>
  <c r="F79" i="6" s="1"/>
  <c r="O67" i="6"/>
  <c r="F80" i="6" s="1"/>
  <c r="O68" i="6"/>
  <c r="F81" i="6" s="1"/>
  <c r="O69" i="6"/>
  <c r="F82" i="6" s="1"/>
  <c r="O70" i="6"/>
  <c r="F83" i="6" s="1"/>
  <c r="O63" i="6"/>
  <c r="F76" i="6" s="1"/>
  <c r="B70" i="6"/>
  <c r="B83" i="6" s="1"/>
  <c r="B64" i="6"/>
  <c r="B77" i="6" s="1"/>
  <c r="B65" i="6"/>
  <c r="B78" i="6" s="1"/>
  <c r="B66" i="6"/>
  <c r="B79" i="6" s="1"/>
  <c r="B67" i="6"/>
  <c r="B80" i="6" s="1"/>
  <c r="B68" i="6"/>
  <c r="B81" i="6" s="1"/>
  <c r="B69" i="6"/>
  <c r="B82" i="6" s="1"/>
  <c r="B63" i="6"/>
  <c r="E12" i="6"/>
  <c r="H12" i="6"/>
  <c r="H13" i="6" s="1"/>
  <c r="H14" i="6" s="1"/>
  <c r="J13" i="6"/>
  <c r="J14" i="6" s="1"/>
  <c r="I13" i="6"/>
  <c r="I14" i="6" s="1"/>
  <c r="H15" i="6"/>
  <c r="H18" i="6"/>
  <c r="F13" i="6"/>
  <c r="F14" i="6" s="1"/>
  <c r="B26" i="6"/>
  <c r="B27" i="6"/>
  <c r="B28" i="6"/>
  <c r="B29" i="6"/>
  <c r="B30" i="6"/>
  <c r="B31" i="6"/>
  <c r="B32" i="6"/>
  <c r="B33" i="6"/>
  <c r="B25" i="6"/>
  <c r="O19" i="6"/>
  <c r="O20" i="6" s="1"/>
  <c r="O16" i="6"/>
  <c r="O17" i="6" s="1"/>
  <c r="O13" i="6"/>
  <c r="O14" i="6" s="1"/>
  <c r="F69" i="6" l="1"/>
  <c r="H69" i="6" s="1"/>
  <c r="M15" i="6"/>
  <c r="G69" i="6"/>
  <c r="M16" i="6"/>
  <c r="M19" i="6"/>
  <c r="G68" i="6"/>
  <c r="F70" i="6"/>
  <c r="H70" i="6" s="1"/>
  <c r="M12" i="6"/>
  <c r="M18" i="6"/>
  <c r="F68" i="6"/>
  <c r="H68" i="6" s="1"/>
  <c r="G70" i="6"/>
  <c r="M13" i="6"/>
  <c r="AO13" i="6"/>
  <c r="N66" i="6"/>
  <c r="E79" i="6" s="1"/>
  <c r="N70" i="6"/>
  <c r="E83" i="6" s="1"/>
  <c r="N65" i="6"/>
  <c r="E78" i="6" s="1"/>
  <c r="D83" i="6"/>
  <c r="N64" i="6"/>
  <c r="E77" i="6" s="1"/>
  <c r="N63" i="6"/>
  <c r="N69" i="6"/>
  <c r="E82" i="6" s="1"/>
  <c r="D79" i="6"/>
  <c r="N68" i="6"/>
  <c r="E81" i="6" s="1"/>
  <c r="N67" i="6"/>
  <c r="E80" i="6" s="1"/>
  <c r="B76" i="6"/>
  <c r="H16" i="6"/>
  <c r="H17" i="6" s="1"/>
  <c r="D19" i="6"/>
  <c r="D20" i="6" s="1"/>
  <c r="C19" i="6"/>
  <c r="D16" i="6"/>
  <c r="D17" i="6" s="1"/>
  <c r="C16" i="6"/>
  <c r="D13" i="6"/>
  <c r="D14" i="6" s="1"/>
  <c r="C13" i="6"/>
  <c r="H19" i="6"/>
  <c r="H20" i="6" s="1"/>
  <c r="E15" i="6"/>
  <c r="E16" i="6" s="1"/>
  <c r="E17" i="6" s="1"/>
  <c r="E18" i="6"/>
  <c r="E19" i="6" s="1"/>
  <c r="E20" i="6" s="1"/>
  <c r="N19" i="6"/>
  <c r="N20" i="6" s="1"/>
  <c r="L19" i="6"/>
  <c r="L20" i="6" s="1"/>
  <c r="K19" i="6"/>
  <c r="K20" i="6" s="1"/>
  <c r="J19" i="6"/>
  <c r="J20" i="6" s="1"/>
  <c r="I19" i="6"/>
  <c r="I20" i="6" s="1"/>
  <c r="G19" i="6"/>
  <c r="G20" i="6" s="1"/>
  <c r="F19" i="6"/>
  <c r="F20" i="6" s="1"/>
  <c r="AB18" i="6"/>
  <c r="I31" i="6" s="1"/>
  <c r="X18" i="6"/>
  <c r="E31" i="6" s="1"/>
  <c r="K13" i="6"/>
  <c r="N16" i="6"/>
  <c r="N17" i="6" s="1"/>
  <c r="L16" i="6"/>
  <c r="L17" i="6" s="1"/>
  <c r="K16" i="6"/>
  <c r="K17" i="6" s="1"/>
  <c r="J16" i="6"/>
  <c r="J17" i="6" s="1"/>
  <c r="I16" i="6"/>
  <c r="I17" i="6" s="1"/>
  <c r="G16" i="6"/>
  <c r="G17" i="6" s="1"/>
  <c r="F16" i="6"/>
  <c r="F17" i="6" s="1"/>
  <c r="AB15" i="6"/>
  <c r="I28" i="6" s="1"/>
  <c r="X15" i="6"/>
  <c r="E28" i="6" s="1"/>
  <c r="X14" i="6"/>
  <c r="E27" i="6" s="1"/>
  <c r="N13" i="6"/>
  <c r="N14" i="6" s="1"/>
  <c r="X13" i="6"/>
  <c r="E26" i="6" s="1"/>
  <c r="AB12" i="6"/>
  <c r="I25" i="6" s="1"/>
  <c r="X12" i="6"/>
  <c r="E25" i="6" s="1"/>
  <c r="AP13" i="6" l="1"/>
  <c r="N38" i="6" s="1"/>
  <c r="M38" i="6"/>
  <c r="Q66" i="6"/>
  <c r="P65" i="6"/>
  <c r="Q67" i="6"/>
  <c r="P66" i="6"/>
  <c r="Q68" i="6"/>
  <c r="P67" i="6"/>
  <c r="Q69" i="6"/>
  <c r="P68" i="6"/>
  <c r="Q70" i="6"/>
  <c r="P69" i="6"/>
  <c r="E76" i="6"/>
  <c r="Q63" i="6"/>
  <c r="H76" i="6" s="1"/>
  <c r="P63" i="6"/>
  <c r="Q64" i="6"/>
  <c r="P70" i="6"/>
  <c r="Q65" i="6"/>
  <c r="P64" i="6"/>
  <c r="I70" i="6"/>
  <c r="I67" i="6"/>
  <c r="I68" i="6"/>
  <c r="I66" i="6"/>
  <c r="I63" i="6"/>
  <c r="I64" i="6"/>
  <c r="I65" i="6"/>
  <c r="I69" i="6"/>
  <c r="C20" i="6"/>
  <c r="AB20" i="6" s="1"/>
  <c r="I33" i="6" s="1"/>
  <c r="C14" i="6"/>
  <c r="C17" i="6"/>
  <c r="AB17" i="6" s="1"/>
  <c r="I30" i="6" s="1"/>
  <c r="AI16" i="6"/>
  <c r="AI19" i="6"/>
  <c r="AB13" i="6"/>
  <c r="I26" i="6" s="1"/>
  <c r="AI13" i="6"/>
  <c r="K14" i="6"/>
  <c r="X19" i="6"/>
  <c r="E32" i="6" s="1"/>
  <c r="X20" i="6"/>
  <c r="E33" i="6" s="1"/>
  <c r="AB19" i="6"/>
  <c r="I32" i="6" s="1"/>
  <c r="X16" i="6"/>
  <c r="E29" i="6" s="1"/>
  <c r="X17" i="6"/>
  <c r="E30" i="6" s="1"/>
  <c r="AB16" i="6"/>
  <c r="I29" i="6" s="1"/>
  <c r="S63" i="6" l="1"/>
  <c r="J76" i="6" s="1"/>
  <c r="G83" i="6"/>
  <c r="R70" i="6"/>
  <c r="I83" i="6" s="1"/>
  <c r="H82" i="6"/>
  <c r="S69" i="6"/>
  <c r="J82" i="6" s="1"/>
  <c r="G76" i="6"/>
  <c r="R63" i="6"/>
  <c r="I76" i="6" s="1"/>
  <c r="H81" i="6"/>
  <c r="S68" i="6"/>
  <c r="J81" i="6" s="1"/>
  <c r="G78" i="6"/>
  <c r="R65" i="6"/>
  <c r="I78" i="6" s="1"/>
  <c r="G81" i="6"/>
  <c r="R68" i="6"/>
  <c r="I81" i="6" s="1"/>
  <c r="G80" i="6"/>
  <c r="R67" i="6"/>
  <c r="I80" i="6" s="1"/>
  <c r="G79" i="6"/>
  <c r="R66" i="6"/>
  <c r="I79" i="6" s="1"/>
  <c r="G82" i="6"/>
  <c r="R69" i="6"/>
  <c r="I82" i="6" s="1"/>
  <c r="H78" i="6"/>
  <c r="S65" i="6"/>
  <c r="J78" i="6" s="1"/>
  <c r="H77" i="6"/>
  <c r="S64" i="6"/>
  <c r="J77" i="6" s="1"/>
  <c r="H80" i="6"/>
  <c r="S67" i="6"/>
  <c r="J80" i="6" s="1"/>
  <c r="G77" i="6"/>
  <c r="R64" i="6"/>
  <c r="I77" i="6" s="1"/>
  <c r="H83" i="6"/>
  <c r="S70" i="6"/>
  <c r="J83" i="6" s="1"/>
  <c r="H79" i="6"/>
  <c r="S66" i="6"/>
  <c r="J79" i="6" s="1"/>
  <c r="AB14" i="6"/>
  <c r="I27" i="6" s="1"/>
  <c r="K8" i="2" l="1"/>
  <c r="K9" i="2"/>
  <c r="H9" i="2"/>
  <c r="J9" i="2" s="1"/>
  <c r="H8" i="2" l="1"/>
  <c r="J8" i="2" s="1"/>
  <c r="E13" i="2"/>
  <c r="D13" i="2"/>
  <c r="F13" i="2" l="1"/>
  <c r="Z17" i="6"/>
  <c r="AA17" i="6" s="1"/>
  <c r="Z18" i="6"/>
  <c r="AA18" i="6" s="1"/>
  <c r="Z20" i="6"/>
  <c r="AA20" i="6" s="1"/>
  <c r="Z13" i="6"/>
  <c r="AA13" i="6" s="1"/>
  <c r="Z14" i="6"/>
  <c r="AA14" i="6" s="1"/>
  <c r="Z15" i="6"/>
  <c r="AA15" i="6" s="1"/>
  <c r="Z12" i="6"/>
  <c r="AA12" i="6" s="1"/>
  <c r="Z16" i="6"/>
  <c r="AA16" i="6" s="1"/>
  <c r="Z19" i="6"/>
  <c r="AA19" i="6" s="1"/>
  <c r="V15" i="6" l="1"/>
  <c r="G28" i="6"/>
  <c r="H33" i="6"/>
  <c r="V18" i="6"/>
  <c r="G31" i="6"/>
  <c r="V13" i="6"/>
  <c r="G26" i="6"/>
  <c r="H25" i="6"/>
  <c r="G27" i="6"/>
  <c r="V14" i="6"/>
  <c r="V19" i="6"/>
  <c r="G32" i="6"/>
  <c r="V16" i="6"/>
  <c r="G29" i="6"/>
  <c r="V17" i="6"/>
  <c r="G30" i="6"/>
  <c r="G33" i="6"/>
  <c r="V12" i="6"/>
  <c r="G25" i="6"/>
  <c r="V20" i="6"/>
  <c r="W18" i="6" l="1"/>
  <c r="C31" i="6"/>
  <c r="AC18" i="6"/>
  <c r="H27" i="6"/>
  <c r="AC14" i="6"/>
  <c r="W14" i="6"/>
  <c r="C27" i="6"/>
  <c r="H29" i="6"/>
  <c r="AC12" i="6"/>
  <c r="C25" i="6"/>
  <c r="W12" i="6"/>
  <c r="H26" i="6"/>
  <c r="W16" i="6"/>
  <c r="AF16" i="6"/>
  <c r="C41" i="6" s="1"/>
  <c r="AC16" i="6"/>
  <c r="C29" i="6"/>
  <c r="C30" i="6"/>
  <c r="AC17" i="6"/>
  <c r="W17" i="6"/>
  <c r="H28" i="6"/>
  <c r="C33" i="6"/>
  <c r="W20" i="6"/>
  <c r="AC20" i="6"/>
  <c r="H31" i="6"/>
  <c r="H32" i="6"/>
  <c r="H30" i="6"/>
  <c r="C32" i="6"/>
  <c r="AF19" i="6"/>
  <c r="C44" i="6" s="1"/>
  <c r="AC19" i="6"/>
  <c r="W19" i="6"/>
  <c r="AC13" i="6"/>
  <c r="AF13" i="6"/>
  <c r="C38" i="6" s="1"/>
  <c r="C26" i="6"/>
  <c r="W13" i="6"/>
  <c r="C28" i="6"/>
  <c r="W15" i="6"/>
  <c r="AC15" i="6"/>
  <c r="AH16" i="6" l="1"/>
  <c r="E41" i="6" s="1"/>
  <c r="AH19" i="6"/>
  <c r="E44" i="6" s="1"/>
  <c r="AH13" i="6"/>
  <c r="E38" i="6" s="1"/>
  <c r="Y14" i="6"/>
  <c r="F27" i="6" s="1"/>
  <c r="D27" i="6"/>
  <c r="D30" i="6"/>
  <c r="Y17" i="6"/>
  <c r="F30" i="6" s="1"/>
  <c r="J30" i="6"/>
  <c r="AD17" i="6"/>
  <c r="D25" i="6"/>
  <c r="Y12" i="6"/>
  <c r="F25" i="6" s="1"/>
  <c r="Y18" i="6"/>
  <c r="F31" i="6" s="1"/>
  <c r="D31" i="6"/>
  <c r="J27" i="6"/>
  <c r="AD14" i="6"/>
  <c r="D32" i="6"/>
  <c r="Y19" i="6"/>
  <c r="F32" i="6" s="1"/>
  <c r="J28" i="6"/>
  <c r="AD15" i="6"/>
  <c r="J32" i="6"/>
  <c r="AJ19" i="6"/>
  <c r="G44" i="6" s="1"/>
  <c r="AD19" i="6"/>
  <c r="Y15" i="6"/>
  <c r="F28" i="6" s="1"/>
  <c r="D28" i="6"/>
  <c r="J31" i="6"/>
  <c r="AD18" i="6"/>
  <c r="Y13" i="6"/>
  <c r="F26" i="6" s="1"/>
  <c r="D26" i="6"/>
  <c r="D29" i="6"/>
  <c r="Y16" i="6"/>
  <c r="F29" i="6" s="1"/>
  <c r="AD13" i="6"/>
  <c r="AJ13" i="6"/>
  <c r="G38" i="6" s="1"/>
  <c r="J26" i="6"/>
  <c r="J33" i="6"/>
  <c r="AD20" i="6"/>
  <c r="J25" i="6"/>
  <c r="AD12" i="6"/>
  <c r="D33" i="6"/>
  <c r="Y20" i="6"/>
  <c r="F33" i="6" s="1"/>
  <c r="AJ16" i="6"/>
  <c r="G41" i="6" s="1"/>
  <c r="AD16" i="6"/>
  <c r="J29" i="6"/>
  <c r="K33" i="6" l="1"/>
  <c r="AE20" i="6"/>
  <c r="L33" i="6" s="1"/>
  <c r="K30" i="6"/>
  <c r="AE17" i="6"/>
  <c r="L30" i="6" s="1"/>
  <c r="AK13" i="6"/>
  <c r="H38" i="6" s="1"/>
  <c r="K31" i="6"/>
  <c r="AE18" i="6"/>
  <c r="L31" i="6" s="1"/>
  <c r="K26" i="6"/>
  <c r="AE13" i="6"/>
  <c r="L26" i="6" s="1"/>
  <c r="K27" i="6"/>
  <c r="AE14" i="6"/>
  <c r="L27" i="6" s="1"/>
  <c r="K29" i="6"/>
  <c r="AE16" i="6"/>
  <c r="L29" i="6" s="1"/>
  <c r="K28" i="6"/>
  <c r="AE15" i="6"/>
  <c r="L28" i="6" s="1"/>
  <c r="AK16" i="6"/>
  <c r="H41" i="6" s="1"/>
  <c r="AK19" i="6"/>
  <c r="H44" i="6" s="1"/>
  <c r="K32" i="6"/>
  <c r="AE19" i="6"/>
  <c r="L32" i="6" s="1"/>
  <c r="K25" i="6"/>
  <c r="AE12" i="6"/>
  <c r="L25" i="6" s="1"/>
</calcChain>
</file>

<file path=xl/sharedStrings.xml><?xml version="1.0" encoding="utf-8"?>
<sst xmlns="http://schemas.openxmlformats.org/spreadsheetml/2006/main" count="277" uniqueCount="192">
  <si>
    <t>B</t>
    <phoneticPr fontId="1"/>
  </si>
  <si>
    <t>D</t>
    <phoneticPr fontId="1"/>
  </si>
  <si>
    <t>記号</t>
    <rPh sb="0" eb="2">
      <t>キゴウ</t>
    </rPh>
    <phoneticPr fontId="1"/>
  </si>
  <si>
    <t>w</t>
    <phoneticPr fontId="1"/>
  </si>
  <si>
    <t>ft</t>
    <phoneticPr fontId="1"/>
  </si>
  <si>
    <t>鉄筋の長期許容応力度(kN/mm^2)</t>
    <rPh sb="0" eb="2">
      <t>テッキン</t>
    </rPh>
    <rPh sb="3" eb="5">
      <t>チョウキ</t>
    </rPh>
    <rPh sb="5" eb="7">
      <t>キョヨウ</t>
    </rPh>
    <rPh sb="7" eb="10">
      <t>オウリョクド</t>
    </rPh>
    <phoneticPr fontId="1"/>
  </si>
  <si>
    <t>スターラップ</t>
    <phoneticPr fontId="1"/>
  </si>
  <si>
    <t>主筋</t>
    <rPh sb="0" eb="2">
      <t>シュキン</t>
    </rPh>
    <phoneticPr fontId="1"/>
  </si>
  <si>
    <t>L</t>
    <phoneticPr fontId="1"/>
  </si>
  <si>
    <t>M</t>
    <phoneticPr fontId="1"/>
  </si>
  <si>
    <t>dc</t>
    <phoneticPr fontId="1"/>
  </si>
  <si>
    <t>かぶり厚(mm)</t>
    <rPh sb="3" eb="4">
      <t>アツ</t>
    </rPh>
    <phoneticPr fontId="1"/>
  </si>
  <si>
    <t>M0</t>
    <phoneticPr fontId="1"/>
  </si>
  <si>
    <t>at_d</t>
    <phoneticPr fontId="1"/>
  </si>
  <si>
    <t>at</t>
    <phoneticPr fontId="1"/>
  </si>
  <si>
    <t>Q_d</t>
    <phoneticPr fontId="1"/>
  </si>
  <si>
    <t>τd</t>
    <phoneticPr fontId="1"/>
  </si>
  <si>
    <t>τd/τa</t>
    <phoneticPr fontId="1"/>
  </si>
  <si>
    <t>判定</t>
    <rPh sb="0" eb="2">
      <t>ハンテイ</t>
    </rPh>
    <phoneticPr fontId="1"/>
  </si>
  <si>
    <t>せん断力の検討</t>
    <rPh sb="2" eb="4">
      <t>ダンリョク</t>
    </rPh>
    <rPh sb="5" eb="7">
      <t>ケントウ</t>
    </rPh>
    <phoneticPr fontId="1"/>
  </si>
  <si>
    <t>C</t>
    <phoneticPr fontId="1"/>
  </si>
  <si>
    <t>at(1.3)</t>
    <phoneticPr fontId="1"/>
  </si>
  <si>
    <t>at(0.004)</t>
    <phoneticPr fontId="1"/>
  </si>
  <si>
    <t>OK</t>
    <phoneticPr fontId="1"/>
  </si>
  <si>
    <t>E</t>
    <phoneticPr fontId="1"/>
  </si>
  <si>
    <t>Fc21のヤング係数(N/mm^2)</t>
    <rPh sb="8" eb="10">
      <t>ケイスウ</t>
    </rPh>
    <phoneticPr fontId="1"/>
  </si>
  <si>
    <t>曲げの検討(at_d&lt;atかつmin(at(1.3), at(0.004))&lt;at)</t>
    <rPh sb="0" eb="1">
      <t>マ</t>
    </rPh>
    <rPh sb="3" eb="5">
      <t>ケントウ</t>
    </rPh>
    <phoneticPr fontId="1"/>
  </si>
  <si>
    <t>DS15A</t>
    <phoneticPr fontId="1"/>
  </si>
  <si>
    <t>W20</t>
    <phoneticPr fontId="1"/>
  </si>
  <si>
    <t>D13@200</t>
    <phoneticPr fontId="1"/>
  </si>
  <si>
    <t>dc：かぶり厚</t>
    <rPh sb="6" eb="7">
      <t>アツ</t>
    </rPh>
    <phoneticPr fontId="1"/>
  </si>
  <si>
    <t>at_d:必要主筋断面積</t>
    <rPh sb="5" eb="7">
      <t>ヒツヨウ</t>
    </rPh>
    <rPh sb="7" eb="9">
      <t>シュキン</t>
    </rPh>
    <rPh sb="9" eb="12">
      <t>ダンメンセキ</t>
    </rPh>
    <phoneticPr fontId="1"/>
  </si>
  <si>
    <t>at：主筋断面積</t>
    <rPh sb="3" eb="8">
      <t>シュキンダンメンセキ</t>
    </rPh>
    <phoneticPr fontId="1"/>
  </si>
  <si>
    <t>Q_d：必要せん断力</t>
    <rPh sb="4" eb="6">
      <t>ヒツヨウ</t>
    </rPh>
    <rPh sb="8" eb="10">
      <t>ダンリョク</t>
    </rPh>
    <phoneticPr fontId="1"/>
  </si>
  <si>
    <t>τd：存在せん断応力</t>
    <rPh sb="3" eb="5">
      <t>ソンザイ</t>
    </rPh>
    <rPh sb="7" eb="8">
      <t>ダン</t>
    </rPh>
    <rPh sb="8" eb="10">
      <t>オウリョク</t>
    </rPh>
    <phoneticPr fontId="1"/>
  </si>
  <si>
    <t>D6</t>
  </si>
  <si>
    <t>D10</t>
  </si>
  <si>
    <t>D13</t>
  </si>
  <si>
    <t>D16</t>
  </si>
  <si>
    <t>D19</t>
  </si>
  <si>
    <t>D22</t>
  </si>
  <si>
    <t>D25</t>
  </si>
  <si>
    <t>D29</t>
  </si>
  <si>
    <t>D32</t>
  </si>
  <si>
    <t>D35</t>
  </si>
  <si>
    <t>D38</t>
  </si>
  <si>
    <t>D41</t>
  </si>
  <si>
    <t>D51</t>
  </si>
  <si>
    <t>13-D25</t>
    <phoneticPr fontId="1"/>
  </si>
  <si>
    <t>別</t>
  </si>
  <si>
    <t>長期</t>
  </si>
  <si>
    <t>引張・圧縮</t>
  </si>
  <si>
    <t>剪断補強</t>
  </si>
  <si>
    <t>SR235</t>
  </si>
  <si>
    <t>SR295</t>
  </si>
  <si>
    <t>SD295A・B</t>
  </si>
  <si>
    <t>SD345</t>
  </si>
  <si>
    <t>SD390</t>
  </si>
  <si>
    <t>SD490</t>
  </si>
  <si>
    <t>215 ( * 195 )</t>
  </si>
  <si>
    <t>溶接金網</t>
  </si>
  <si>
    <t>名称</t>
    <rPh sb="0" eb="2">
      <t>メイショウ</t>
    </rPh>
    <phoneticPr fontId="1"/>
  </si>
  <si>
    <t>組</t>
    <rPh sb="0" eb="1">
      <t>クミ</t>
    </rPh>
    <phoneticPr fontId="1"/>
  </si>
  <si>
    <t>本数</t>
    <rPh sb="0" eb="2">
      <t>ホンスウ</t>
    </rPh>
    <phoneticPr fontId="1"/>
  </si>
  <si>
    <t>かぶり</t>
    <phoneticPr fontId="1"/>
  </si>
  <si>
    <t>τa</t>
    <phoneticPr fontId="1"/>
  </si>
  <si>
    <t>ピッチ</t>
    <phoneticPr fontId="1"/>
  </si>
  <si>
    <t>Fc24のせん断許容応力度</t>
    <rPh sb="7" eb="8">
      <t>ダン</t>
    </rPh>
    <rPh sb="8" eb="13">
      <t>キョヨウオウリョクド</t>
    </rPh>
    <phoneticPr fontId="1"/>
  </si>
  <si>
    <t>pw</t>
    <phoneticPr fontId="1"/>
  </si>
  <si>
    <t>F8長期</t>
    <rPh sb="2" eb="4">
      <t>チョウキ</t>
    </rPh>
    <phoneticPr fontId="1"/>
  </si>
  <si>
    <t>F1</t>
  </si>
  <si>
    <t>F2</t>
  </si>
  <si>
    <t>F5</t>
  </si>
  <si>
    <t>at_d/at</t>
    <phoneticPr fontId="1"/>
  </si>
  <si>
    <t>曲げの検討</t>
    <rPh sb="0" eb="1">
      <t>マ</t>
    </rPh>
    <rPh sb="3" eb="5">
      <t>ケントウ</t>
    </rPh>
    <phoneticPr fontId="1"/>
  </si>
  <si>
    <t>F8短期</t>
    <rPh sb="2" eb="4">
      <t>タンキ</t>
    </rPh>
    <phoneticPr fontId="1"/>
  </si>
  <si>
    <t>杭あき</t>
    <rPh sb="0" eb="1">
      <t>クイ</t>
    </rPh>
    <phoneticPr fontId="1"/>
  </si>
  <si>
    <t>F8短期(上端)</t>
    <rPh sb="2" eb="4">
      <t>タンキ</t>
    </rPh>
    <rPh sb="5" eb="7">
      <t>ウワバ</t>
    </rPh>
    <phoneticPr fontId="1"/>
  </si>
  <si>
    <t>F7長期</t>
    <rPh sb="2" eb="4">
      <t>チョウキ</t>
    </rPh>
    <phoneticPr fontId="1"/>
  </si>
  <si>
    <t>F7短期最大</t>
    <rPh sb="2" eb="4">
      <t>タンキ</t>
    </rPh>
    <rPh sb="4" eb="6">
      <t>サイダイ</t>
    </rPh>
    <phoneticPr fontId="1"/>
  </si>
  <si>
    <t>F7短期最小</t>
    <rPh sb="2" eb="4">
      <t>タンキ</t>
    </rPh>
    <rPh sb="4" eb="6">
      <t>サイショウ</t>
    </rPh>
    <phoneticPr fontId="1"/>
  </si>
  <si>
    <t>F6長期</t>
    <rPh sb="2" eb="4">
      <t>チョウキ</t>
    </rPh>
    <phoneticPr fontId="1"/>
  </si>
  <si>
    <t>F6短期最大</t>
    <rPh sb="2" eb="4">
      <t>タンキ</t>
    </rPh>
    <rPh sb="4" eb="6">
      <t>サイダイ</t>
    </rPh>
    <phoneticPr fontId="1"/>
  </si>
  <si>
    <t>F6短期最小</t>
    <rPh sb="2" eb="4">
      <t>タンキ</t>
    </rPh>
    <rPh sb="4" eb="6">
      <t>サイショウ</t>
    </rPh>
    <phoneticPr fontId="1"/>
  </si>
  <si>
    <t>α</t>
    <phoneticPr fontId="1"/>
  </si>
  <si>
    <t>T0</t>
    <phoneticPr fontId="1"/>
  </si>
  <si>
    <t>Fc24短期許容せん断応力度</t>
    <rPh sb="4" eb="6">
      <t>タンキ</t>
    </rPh>
    <rPh sb="6" eb="8">
      <t>キョヨウ</t>
    </rPh>
    <rPh sb="10" eb="11">
      <t>ダン</t>
    </rPh>
    <rPh sb="11" eb="14">
      <t>オウリョクド</t>
    </rPh>
    <phoneticPr fontId="1"/>
  </si>
  <si>
    <t>(T/T0)2+(Q/Q0)2&lt;1.0</t>
    <phoneticPr fontId="1"/>
  </si>
  <si>
    <t>ねじりの検討</t>
    <rPh sb="4" eb="6">
      <t>ケントウ</t>
    </rPh>
    <phoneticPr fontId="1"/>
  </si>
  <si>
    <t>Q0</t>
    <phoneticPr fontId="1"/>
  </si>
  <si>
    <t>F3/F3B/F3C/F3D</t>
  </si>
  <si>
    <t>F4/F4D</t>
  </si>
  <si>
    <t>F6/F6D</t>
  </si>
  <si>
    <t>F7/F7D</t>
  </si>
  <si>
    <t>F8</t>
  </si>
  <si>
    <t>あばら筋のせん断補強筋用応力度</t>
    <rPh sb="3" eb="4">
      <t>キン</t>
    </rPh>
    <rPh sb="7" eb="8">
      <t>ダン</t>
    </rPh>
    <rPh sb="8" eb="11">
      <t>ホキョウキン</t>
    </rPh>
    <rPh sb="11" eb="12">
      <t>ヨウ</t>
    </rPh>
    <rPh sb="12" eb="15">
      <t>オウリョクド</t>
    </rPh>
    <phoneticPr fontId="1"/>
  </si>
  <si>
    <t>○二本杭フーチング検討諸元</t>
    <rPh sb="1" eb="3">
      <t>ニホン</t>
    </rPh>
    <rPh sb="3" eb="4">
      <t>クイ</t>
    </rPh>
    <rPh sb="9" eb="11">
      <t>ケントウ</t>
    </rPh>
    <rPh sb="11" eb="13">
      <t>ショゲン</t>
    </rPh>
    <phoneticPr fontId="1"/>
  </si>
  <si>
    <t>○二本杭フーチング検討結果</t>
    <rPh sb="1" eb="3">
      <t>ニホン</t>
    </rPh>
    <rPh sb="3" eb="4">
      <t>グイ</t>
    </rPh>
    <rPh sb="9" eb="11">
      <t>ケントウ</t>
    </rPh>
    <rPh sb="11" eb="13">
      <t>ケッカ</t>
    </rPh>
    <phoneticPr fontId="1"/>
  </si>
  <si>
    <t>杭本数</t>
    <rPh sb="0" eb="1">
      <t>クイ</t>
    </rPh>
    <rPh sb="1" eb="3">
      <t>ホンスウ</t>
    </rPh>
    <phoneticPr fontId="1"/>
  </si>
  <si>
    <t>杭径</t>
    <rPh sb="0" eb="1">
      <t>クイ</t>
    </rPh>
    <rPh sb="1" eb="2">
      <t>ケイ</t>
    </rPh>
    <phoneticPr fontId="1"/>
  </si>
  <si>
    <t>Dp(mm)</t>
    <phoneticPr fontId="1"/>
  </si>
  <si>
    <t>有効せい</t>
    <rPh sb="0" eb="2">
      <t>ユウコウ</t>
    </rPh>
    <phoneticPr fontId="1"/>
  </si>
  <si>
    <t>d(mm)</t>
    <phoneticPr fontId="1"/>
  </si>
  <si>
    <t>長期</t>
    <rPh sb="0" eb="2">
      <t>チョウキ</t>
    </rPh>
    <phoneticPr fontId="1"/>
  </si>
  <si>
    <t>長期軸力</t>
    <rPh sb="0" eb="2">
      <t>チョウキ</t>
    </rPh>
    <rPh sb="2" eb="4">
      <t>ジクリョク</t>
    </rPh>
    <phoneticPr fontId="1"/>
  </si>
  <si>
    <t>Nl(kN)</t>
    <phoneticPr fontId="1"/>
  </si>
  <si>
    <t>短期軸力</t>
    <rPh sb="0" eb="2">
      <t>タンキ</t>
    </rPh>
    <rPh sb="2" eb="4">
      <t>ジクリョク</t>
    </rPh>
    <phoneticPr fontId="1"/>
  </si>
  <si>
    <t>Ns(kN)</t>
    <phoneticPr fontId="1"/>
  </si>
  <si>
    <t>長期検討軸力</t>
    <rPh sb="0" eb="2">
      <t>チョウキ</t>
    </rPh>
    <rPh sb="2" eb="4">
      <t>ケントウ</t>
    </rPh>
    <rPh sb="4" eb="6">
      <t>ジクリョク</t>
    </rPh>
    <phoneticPr fontId="1"/>
  </si>
  <si>
    <t>Nl/np</t>
    <phoneticPr fontId="1"/>
  </si>
  <si>
    <t>np(本)</t>
    <rPh sb="3" eb="4">
      <t>ホン</t>
    </rPh>
    <phoneticPr fontId="1"/>
  </si>
  <si>
    <t>fs(Mpa)</t>
    <phoneticPr fontId="1"/>
  </si>
  <si>
    <t>j(mm)</t>
    <phoneticPr fontId="1"/>
  </si>
  <si>
    <t>短期</t>
    <rPh sb="0" eb="2">
      <t>タンキ</t>
    </rPh>
    <phoneticPr fontId="1"/>
  </si>
  <si>
    <t>QPA(kN)</t>
    <phoneticPr fontId="1"/>
  </si>
  <si>
    <t>b0(mm)</t>
    <phoneticPr fontId="1"/>
  </si>
  <si>
    <t>長期検定</t>
    <rPh sb="0" eb="2">
      <t>チョウキ</t>
    </rPh>
    <rPh sb="2" eb="4">
      <t>ケンテイ</t>
    </rPh>
    <phoneticPr fontId="1"/>
  </si>
  <si>
    <t>(Nl/np)/QPA</t>
    <phoneticPr fontId="1"/>
  </si>
  <si>
    <t>短期検定</t>
    <rPh sb="0" eb="2">
      <t>タンキ</t>
    </rPh>
    <rPh sb="2" eb="4">
      <t>ケンテイ</t>
    </rPh>
    <phoneticPr fontId="1"/>
  </si>
  <si>
    <t>(Ns/np)/QPA</t>
    <phoneticPr fontId="1"/>
  </si>
  <si>
    <t>短期検討軸力</t>
    <rPh sb="0" eb="2">
      <t>タンキ</t>
    </rPh>
    <rPh sb="2" eb="4">
      <t>ケントウ</t>
    </rPh>
    <rPh sb="4" eb="6">
      <t>ジクリョク</t>
    </rPh>
    <phoneticPr fontId="1"/>
  </si>
  <si>
    <t>Ns/np</t>
    <phoneticPr fontId="1"/>
  </si>
  <si>
    <t>○パンチングシアの検討諸元</t>
    <rPh sb="9" eb="11">
      <t>ケントウ</t>
    </rPh>
    <rPh sb="11" eb="13">
      <t>ショゲン</t>
    </rPh>
    <phoneticPr fontId="1"/>
  </si>
  <si>
    <t>○パンチングシアの検討結果</t>
    <rPh sb="9" eb="11">
      <t>ケントウ</t>
    </rPh>
    <rPh sb="11" eb="13">
      <t>ケッカ</t>
    </rPh>
    <phoneticPr fontId="1"/>
  </si>
  <si>
    <t>フーチング</t>
    <phoneticPr fontId="1"/>
  </si>
  <si>
    <t>min(b0,b1)</t>
    <phoneticPr fontId="1"/>
  </si>
  <si>
    <t>採用b0</t>
    <rPh sb="0" eb="2">
      <t>サイヨウ</t>
    </rPh>
    <phoneticPr fontId="1"/>
  </si>
  <si>
    <t>B(mm)</t>
    <phoneticPr fontId="1"/>
  </si>
  <si>
    <t>D(mm)</t>
    <phoneticPr fontId="1"/>
  </si>
  <si>
    <t>dc(mm)</t>
    <phoneticPr fontId="1"/>
  </si>
  <si>
    <t>せん断
(kN)</t>
    <rPh sb="2" eb="3">
      <t>ダン</t>
    </rPh>
    <phoneticPr fontId="1"/>
  </si>
  <si>
    <t>杭あき
(mm)</t>
    <rPh sb="0" eb="1">
      <t>クイ</t>
    </rPh>
    <phoneticPr fontId="1"/>
  </si>
  <si>
    <t>ねじり
T(kNm)</t>
    <phoneticPr fontId="1"/>
  </si>
  <si>
    <t>フーチング</t>
    <phoneticPr fontId="5"/>
  </si>
  <si>
    <t>整理名称</t>
    <rPh sb="0" eb="2">
      <t>セイリ</t>
    </rPh>
    <rPh sb="2" eb="4">
      <t>メイショウ</t>
    </rPh>
    <phoneticPr fontId="5"/>
  </si>
  <si>
    <t>軸</t>
    <rPh sb="0" eb="1">
      <t>ジク</t>
    </rPh>
    <phoneticPr fontId="5"/>
  </si>
  <si>
    <t>通</t>
    <rPh sb="0" eb="1">
      <t>トオ</t>
    </rPh>
    <phoneticPr fontId="5"/>
  </si>
  <si>
    <t>y2</t>
  </si>
  <si>
    <t>x6</t>
  </si>
  <si>
    <t>x1</t>
  </si>
  <si>
    <t>y1</t>
  </si>
  <si>
    <t>x2</t>
  </si>
  <si>
    <t>F3</t>
  </si>
  <si>
    <t>x4</t>
  </si>
  <si>
    <t>y8</t>
  </si>
  <si>
    <t>x8</t>
  </si>
  <si>
    <t>F4</t>
  </si>
  <si>
    <t>y5</t>
  </si>
  <si>
    <t>x9</t>
  </si>
  <si>
    <t>y3</t>
  </si>
  <si>
    <t>x7</t>
  </si>
  <si>
    <t>x5</t>
  </si>
  <si>
    <t>y6</t>
  </si>
  <si>
    <t>F6</t>
  </si>
  <si>
    <t>y7</t>
  </si>
  <si>
    <t>F7</t>
  </si>
  <si>
    <t>長期
最大値</t>
    <rPh sb="0" eb="2">
      <t>チョウキ</t>
    </rPh>
    <rPh sb="3" eb="6">
      <t>サイダイチ</t>
    </rPh>
    <phoneticPr fontId="5"/>
  </si>
  <si>
    <t>短期
最大値</t>
    <rPh sb="0" eb="2">
      <t>タンキ</t>
    </rPh>
    <rPh sb="3" eb="6">
      <t>サイダイチ</t>
    </rPh>
    <phoneticPr fontId="5"/>
  </si>
  <si>
    <t>短期
最小値</t>
    <rPh sb="0" eb="2">
      <t>タンキ</t>
    </rPh>
    <rPh sb="3" eb="6">
      <t>サイショウチ</t>
    </rPh>
    <phoneticPr fontId="5"/>
  </si>
  <si>
    <t>断面積
(mm2)</t>
    <rPh sb="0" eb="3">
      <t>ダンメンセキ</t>
    </rPh>
    <phoneticPr fontId="1"/>
  </si>
  <si>
    <t>(1) 曲げの検討</t>
    <rPh sb="4" eb="5">
      <t>マ</t>
    </rPh>
    <rPh sb="7" eb="9">
      <t>ケントウ</t>
    </rPh>
    <phoneticPr fontId="1"/>
  </si>
  <si>
    <t>(2) せん断力の検討</t>
    <rPh sb="6" eb="8">
      <t>ダンリョク</t>
    </rPh>
    <rPh sb="9" eb="11">
      <t>ケントウ</t>
    </rPh>
    <phoneticPr fontId="1"/>
  </si>
  <si>
    <t>M
(kNm)</t>
    <phoneticPr fontId="1"/>
  </si>
  <si>
    <t>at_d
(mm2)</t>
    <phoneticPr fontId="1"/>
  </si>
  <si>
    <t>at
(mm)</t>
    <phoneticPr fontId="1"/>
  </si>
  <si>
    <t>Q_d
(kN)</t>
    <phoneticPr fontId="1"/>
  </si>
  <si>
    <t>τd
(kN)</t>
    <phoneticPr fontId="1"/>
  </si>
  <si>
    <t>フーチング周長b1：フーチングの短辺の4倍とし、これより計算b0が大きい場合はb1をb0とした</t>
    <rPh sb="5" eb="7">
      <t>シュウチョウ</t>
    </rPh>
    <rPh sb="16" eb="18">
      <t>タンペン</t>
    </rPh>
    <rPh sb="20" eb="21">
      <t>バイ</t>
    </rPh>
    <rPh sb="28" eb="30">
      <t>ケイサン</t>
    </rPh>
    <rPh sb="33" eb="34">
      <t>オオ</t>
    </rPh>
    <rPh sb="36" eb="38">
      <t>バアイ</t>
    </rPh>
    <phoneticPr fontId="1"/>
  </si>
  <si>
    <t>周長b1
(mm)</t>
    <rPh sb="0" eb="2">
      <t>シュウチョウ</t>
    </rPh>
    <phoneticPr fontId="1"/>
  </si>
  <si>
    <t>b0
(mm)</t>
    <phoneticPr fontId="1"/>
  </si>
  <si>
    <t>min
(b0,b1)</t>
    <phoneticPr fontId="1"/>
  </si>
  <si>
    <t>j
(mm)</t>
    <phoneticPr fontId="1"/>
  </si>
  <si>
    <t>QPA
(kN)</t>
    <phoneticPr fontId="1"/>
  </si>
  <si>
    <t>(Nl/np)
/QPA</t>
    <phoneticPr fontId="1"/>
  </si>
  <si>
    <t>(Ns/np)
/QPA</t>
    <phoneticPr fontId="1"/>
  </si>
  <si>
    <t>A: T/M</t>
    <phoneticPr fontId="1"/>
  </si>
  <si>
    <t>B: 0.4/
(1+w)</t>
    <phoneticPr fontId="1"/>
  </si>
  <si>
    <t>A/B&lt;1.0</t>
    <phoneticPr fontId="1"/>
  </si>
  <si>
    <t>(3)ねじりの検討</t>
    <rPh sb="7" eb="9">
      <t>ケントウ</t>
    </rPh>
    <phoneticPr fontId="1"/>
  </si>
  <si>
    <t>(T/T0)2
+(Q/Q0)2&lt;1.0</t>
    <phoneticPr fontId="1"/>
  </si>
  <si>
    <t>A/B
&lt;1.0</t>
    <phoneticPr fontId="1"/>
  </si>
  <si>
    <t>A: 
T/M</t>
    <phoneticPr fontId="1"/>
  </si>
  <si>
    <t>B: 
0.4/
(1+w)</t>
    <phoneticPr fontId="1"/>
  </si>
  <si>
    <t>ピッチp
(mm)</t>
    <phoneticPr fontId="1"/>
  </si>
  <si>
    <t>あばら筋
断面積
A(mm2)</t>
    <rPh sb="3" eb="4">
      <t>キン</t>
    </rPh>
    <rPh sb="5" eb="8">
      <t>ダンメンセキ</t>
    </rPh>
    <phoneticPr fontId="1"/>
  </si>
  <si>
    <t>幅B
(mm)</t>
    <rPh sb="0" eb="1">
      <t>ハバ</t>
    </rPh>
    <phoneticPr fontId="1"/>
  </si>
  <si>
    <t>あばら筋比</t>
    <rPh sb="3" eb="4">
      <t>スジ</t>
    </rPh>
    <rPh sb="4" eb="5">
      <t>ヒ</t>
    </rPh>
    <phoneticPr fontId="1"/>
  </si>
  <si>
    <t>0.2/
あばら筋比</t>
    <rPh sb="8" eb="9">
      <t>キン</t>
    </rPh>
    <rPh sb="9" eb="10">
      <t>ヒ</t>
    </rPh>
    <phoneticPr fontId="1"/>
  </si>
  <si>
    <t>あばら筋比0.2%の検討</t>
    <rPh sb="3" eb="4">
      <t>キン</t>
    </rPh>
    <rPh sb="4" eb="5">
      <t>ヒ</t>
    </rPh>
    <rPh sb="10" eb="12">
      <t>ケントウ</t>
    </rPh>
    <phoneticPr fontId="1"/>
  </si>
  <si>
    <t>あばら
筋比</t>
    <rPh sb="4" eb="5">
      <t>スジ</t>
    </rPh>
    <rPh sb="5" eb="6">
      <t>ヒ</t>
    </rPh>
    <phoneticPr fontId="1"/>
  </si>
  <si>
    <t>(4)あばら筋比0.2%の検討</t>
    <rPh sb="6" eb="7">
      <t>キン</t>
    </rPh>
    <rPh sb="7" eb="8">
      <t>ヒ</t>
    </rPh>
    <rPh sb="13" eb="15">
      <t>ケントウ</t>
    </rPh>
    <phoneticPr fontId="1"/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</si>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</sst>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.000_ "/>
    <numFmt numFmtId="178" formatCode="0.0_ "/>
  </numFmts>
  <fonts count="10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8"/>
      <color theme="1"/>
      <name val="Yu Gothic"/>
      <family val="3"/>
      <charset val="128"/>
      <scheme val="minor"/>
    </font>
    <font>
      <b/>
      <sz val="18"/>
      <color theme="1"/>
      <name val="Yu Gothic"/>
      <family val="3"/>
      <charset val="128"/>
      <scheme val="minor"/>
    </font>
    <font>
      <sz val="8"/>
      <color rgb="FFFF0000"/>
      <name val="Yu Gothic"/>
      <family val="3"/>
      <charset val="128"/>
      <scheme val="minor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8"/>
      <name val="Yu Gothic"/>
      <family val="3"/>
      <charset val="128"/>
      <scheme val="minor"/>
    </font>
    <font>
      <sz val="6"/>
      <color theme="1"/>
      <name val="Yu Gothic"/>
      <family val="3"/>
      <charset val="128"/>
      <scheme val="minor"/>
    </font>
    <font>
      <sz val="7"/>
      <color theme="1"/>
      <name val="Yu Gothic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0" borderId="1" xfId="0" applyFont="1" applyBorder="1"/>
    <xf numFmtId="0" fontId="2" fillId="2" borderId="1" xfId="0" applyFont="1" applyFill="1" applyBorder="1"/>
    <xf numFmtId="0" fontId="0" fillId="0" borderId="5" xfId="0" applyBorder="1" applyAlignment="1">
      <alignment vertical="center" wrapText="1"/>
    </xf>
    <xf numFmtId="0" fontId="3" fillId="0" borderId="0" xfId="0" applyFont="1" applyAlignment="1">
      <alignment vertical="center"/>
    </xf>
    <xf numFmtId="0" fontId="2" fillId="3" borderId="1" xfId="0" applyFont="1" applyFill="1" applyBorder="1"/>
    <xf numFmtId="0" fontId="4" fillId="0" borderId="1" xfId="0" applyFont="1" applyBorder="1"/>
    <xf numFmtId="0" fontId="2" fillId="4" borderId="1" xfId="0" applyFont="1" applyFill="1" applyBorder="1"/>
    <xf numFmtId="0" fontId="4" fillId="0" borderId="0" xfId="0" applyFont="1"/>
    <xf numFmtId="0" fontId="2" fillId="0" borderId="6" xfId="0" applyFont="1" applyBorder="1"/>
    <xf numFmtId="0" fontId="2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/>
    <xf numFmtId="176" fontId="2" fillId="0" borderId="0" xfId="0" applyNumberFormat="1" applyFont="1"/>
    <xf numFmtId="0" fontId="2" fillId="5" borderId="1" xfId="0" applyFont="1" applyFill="1" applyBorder="1"/>
    <xf numFmtId="177" fontId="4" fillId="5" borderId="1" xfId="0" applyNumberFormat="1" applyFont="1" applyFill="1" applyBorder="1"/>
    <xf numFmtId="177" fontId="4" fillId="2" borderId="1" xfId="0" applyNumberFormat="1" applyFont="1" applyFill="1" applyBorder="1"/>
    <xf numFmtId="177" fontId="2" fillId="2" borderId="1" xfId="0" applyNumberFormat="1" applyFont="1" applyFill="1" applyBorder="1"/>
    <xf numFmtId="177" fontId="2" fillId="5" borderId="1" xfId="0" applyNumberFormat="1" applyFont="1" applyFill="1" applyBorder="1"/>
    <xf numFmtId="176" fontId="2" fillId="4" borderId="8" xfId="0" applyNumberFormat="1" applyFont="1" applyFill="1" applyBorder="1"/>
    <xf numFmtId="176" fontId="2" fillId="4" borderId="1" xfId="0" applyNumberFormat="1" applyFont="1" applyFill="1" applyBorder="1"/>
    <xf numFmtId="178" fontId="2" fillId="2" borderId="1" xfId="0" applyNumberFormat="1" applyFont="1" applyFill="1" applyBorder="1"/>
    <xf numFmtId="178" fontId="2" fillId="5" borderId="1" xfId="0" applyNumberFormat="1" applyFont="1" applyFill="1" applyBorder="1"/>
    <xf numFmtId="178" fontId="2" fillId="4" borderId="8" xfId="0" applyNumberFormat="1" applyFont="1" applyFill="1" applyBorder="1"/>
    <xf numFmtId="178" fontId="2" fillId="4" borderId="1" xfId="0" applyNumberFormat="1" applyFont="1" applyFill="1" applyBorder="1"/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8" fillId="0" borderId="6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8" xfId="0" applyFont="1" applyBorder="1" applyAlignment="1">
      <alignment horizontal="center" wrapText="1"/>
    </xf>
    <xf numFmtId="178" fontId="2" fillId="4" borderId="7" xfId="0" applyNumberFormat="1" applyFont="1" applyFill="1" applyBorder="1" applyAlignment="1">
      <alignment horizontal="center"/>
    </xf>
    <xf numFmtId="176" fontId="4" fillId="4" borderId="7" xfId="0" applyNumberFormat="1" applyFont="1" applyFill="1" applyBorder="1" applyAlignment="1">
      <alignment horizontal="center"/>
    </xf>
    <xf numFmtId="178" fontId="2" fillId="4" borderId="6" xfId="0" applyNumberFormat="1" applyFont="1" applyFill="1" applyBorder="1" applyAlignment="1">
      <alignment horizontal="center"/>
    </xf>
    <xf numFmtId="176" fontId="4" fillId="4" borderId="6" xfId="0" applyNumberFormat="1" applyFont="1" applyFill="1" applyBorder="1" applyAlignment="1">
      <alignment horizontal="center"/>
    </xf>
    <xf numFmtId="178" fontId="2" fillId="4" borderId="1" xfId="0" applyNumberFormat="1" applyFont="1" applyFill="1" applyBorder="1" applyAlignment="1">
      <alignment horizontal="center"/>
    </xf>
    <xf numFmtId="176" fontId="4" fillId="4" borderId="1" xfId="0" applyNumberFormat="1" applyFont="1" applyFill="1" applyBorder="1" applyAlignment="1">
      <alignment horizont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wrapText="1"/>
    </xf>
    <xf numFmtId="177" fontId="2" fillId="0" borderId="1" xfId="0" applyNumberFormat="1" applyFont="1" applyBorder="1"/>
    <xf numFmtId="0" fontId="4" fillId="0" borderId="1" xfId="0" applyFont="1" applyBorder="1" applyAlignment="1">
      <alignment wrapText="1"/>
    </xf>
    <xf numFmtId="177" fontId="4" fillId="0" borderId="1" xfId="0" applyNumberFormat="1" applyFont="1" applyBorder="1"/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178" fontId="2" fillId="0" borderId="0" xfId="0" applyNumberFormat="1" applyFont="1"/>
    <xf numFmtId="177" fontId="4" fillId="0" borderId="0" xfId="0" applyNumberFormat="1" applyFont="1"/>
    <xf numFmtId="177" fontId="2" fillId="0" borderId="0" xfId="0" applyNumberFormat="1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178" fontId="4" fillId="0" borderId="0" xfId="0" applyNumberFormat="1" applyFont="1"/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177" fontId="4" fillId="5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77" fontId="4" fillId="2" borderId="3" xfId="0" applyNumberFormat="1" applyFont="1" applyFill="1" applyBorder="1" applyAlignment="1">
      <alignment horizontal="center"/>
    </xf>
    <xf numFmtId="177" fontId="4" fillId="2" borderId="2" xfId="0" applyNumberFormat="1" applyFont="1" applyFill="1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177" fontId="4" fillId="5" borderId="3" xfId="0" applyNumberFormat="1" applyFont="1" applyFill="1" applyBorder="1" applyAlignment="1">
      <alignment horizontal="center"/>
    </xf>
    <xf numFmtId="177" fontId="4" fillId="5" borderId="2" xfId="0" applyNumberFormat="1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E7E75-3AE4-4CB7-BAC2-362D04645D4B}">
  <dimension ref="A2:AP101"/>
  <sheetViews>
    <sheetView tabSelected="1" view="pageBreakPreview" topLeftCell="A71" zoomScaleNormal="55" zoomScaleSheetLayoutView="100" workbookViewId="0">
      <selection activeCell="B60" sqref="B60:K70"/>
    </sheetView>
  </sheetViews>
  <sheetFormatPr defaultColWidth="5.59765625" defaultRowHeight="13.2"/>
  <cols>
    <col min="1" max="1" width="5.69921875" style="1" customWidth="1"/>
    <col min="2" max="2" width="12.5" style="1" customWidth="1"/>
    <col min="3" max="17" width="5.19921875" style="1" customWidth="1"/>
    <col min="18" max="18" width="9.3984375" style="1" customWidth="1"/>
    <col min="19" max="21" width="5.59765625" style="1"/>
    <col min="22" max="22" width="6.09765625" style="1" bestFit="1" customWidth="1"/>
    <col min="23" max="24" width="5.59765625" style="1"/>
    <col min="25" max="25" width="6.8984375" style="1" customWidth="1"/>
    <col min="26" max="29" width="5.59765625" style="1"/>
    <col min="30" max="30" width="6.09765625" style="1" bestFit="1" customWidth="1"/>
    <col min="31" max="32" width="5.59765625" style="1"/>
    <col min="33" max="34" width="7.19921875" style="1" customWidth="1"/>
    <col min="35" max="36" width="6.59765625" style="1" customWidth="1"/>
    <col min="37" max="37" width="8.19921875" style="1" customWidth="1"/>
    <col min="38" max="16384" width="5.59765625" style="1"/>
  </cols>
  <sheetData>
    <row r="2" spans="2:42">
      <c r="C2" s="1">
        <v>0.74</v>
      </c>
      <c r="D2" s="59" t="s">
        <v>67</v>
      </c>
      <c r="E2" s="59"/>
      <c r="F2" s="59"/>
      <c r="G2" s="59"/>
      <c r="I2" s="1">
        <v>1.1100000000000001</v>
      </c>
      <c r="J2" s="59" t="s">
        <v>86</v>
      </c>
      <c r="K2" s="59"/>
      <c r="L2" s="59"/>
      <c r="M2" s="59"/>
    </row>
    <row r="3" spans="2:42">
      <c r="C3" s="1">
        <v>0.215</v>
      </c>
      <c r="D3" s="59" t="s">
        <v>5</v>
      </c>
      <c r="E3" s="59"/>
      <c r="F3" s="59"/>
      <c r="G3" s="59"/>
      <c r="I3" s="1">
        <v>0.34499999999999997</v>
      </c>
      <c r="J3" s="59" t="s">
        <v>5</v>
      </c>
      <c r="K3" s="59"/>
      <c r="L3" s="59"/>
      <c r="M3" s="59"/>
      <c r="Y3" s="2"/>
      <c r="Z3" s="2"/>
    </row>
    <row r="4" spans="2:42">
      <c r="C4" s="1">
        <v>0.19500000000000001</v>
      </c>
      <c r="D4" s="59" t="s">
        <v>95</v>
      </c>
      <c r="E4" s="59"/>
      <c r="F4" s="59"/>
      <c r="G4" s="59"/>
      <c r="I4" s="1">
        <v>0.29499999999999998</v>
      </c>
      <c r="J4" s="59" t="s">
        <v>95</v>
      </c>
      <c r="K4" s="59"/>
      <c r="L4" s="59"/>
      <c r="M4" s="59"/>
      <c r="Y4" s="2"/>
      <c r="Z4" s="2"/>
    </row>
    <row r="5" spans="2:42">
      <c r="C5" s="1">
        <v>21700</v>
      </c>
      <c r="D5" s="59" t="s">
        <v>25</v>
      </c>
      <c r="E5" s="59"/>
      <c r="F5" s="59"/>
      <c r="G5" s="59"/>
      <c r="J5" s="59" t="s">
        <v>32</v>
      </c>
      <c r="K5" s="59"/>
      <c r="L5" s="59"/>
      <c r="M5" s="59"/>
    </row>
    <row r="6" spans="2:42">
      <c r="D6" s="59" t="s">
        <v>33</v>
      </c>
      <c r="E6" s="59"/>
      <c r="F6" s="59"/>
      <c r="G6" s="59"/>
      <c r="J6" s="59" t="s">
        <v>34</v>
      </c>
      <c r="K6" s="59"/>
      <c r="L6" s="59"/>
      <c r="M6" s="59"/>
    </row>
    <row r="7" spans="2:42">
      <c r="D7" s="59" t="s">
        <v>31</v>
      </c>
      <c r="E7" s="59"/>
      <c r="F7" s="59"/>
      <c r="G7" s="59"/>
      <c r="J7" s="59" t="s">
        <v>30</v>
      </c>
      <c r="K7" s="59"/>
      <c r="L7" s="59"/>
      <c r="M7" s="59"/>
    </row>
    <row r="9" spans="2:42">
      <c r="B9" s="1" t="s">
        <v>96</v>
      </c>
    </row>
    <row r="10" spans="2:42" ht="13.95" customHeight="1">
      <c r="B10" s="63" t="s">
        <v>2</v>
      </c>
      <c r="C10" s="70" t="s">
        <v>127</v>
      </c>
      <c r="D10" s="70" t="s">
        <v>128</v>
      </c>
      <c r="E10" s="71" t="s">
        <v>7</v>
      </c>
      <c r="F10" s="72"/>
      <c r="G10" s="73"/>
      <c r="H10" s="71" t="s">
        <v>6</v>
      </c>
      <c r="I10" s="72"/>
      <c r="J10" s="72"/>
      <c r="K10" s="73"/>
      <c r="L10" s="30" t="s">
        <v>64</v>
      </c>
      <c r="M10" s="75" t="s">
        <v>130</v>
      </c>
      <c r="N10" s="75" t="s">
        <v>131</v>
      </c>
      <c r="O10" s="76" t="s">
        <v>132</v>
      </c>
      <c r="P10" s="14"/>
      <c r="Q10" s="14"/>
      <c r="R10" s="14"/>
      <c r="S10" s="14"/>
      <c r="T10" s="14"/>
      <c r="U10" s="14"/>
      <c r="V10" s="69" t="s">
        <v>74</v>
      </c>
      <c r="W10" s="69"/>
      <c r="X10" s="69"/>
      <c r="Y10" s="69"/>
      <c r="Z10" s="69" t="s">
        <v>19</v>
      </c>
      <c r="AA10" s="69"/>
      <c r="AB10" s="69"/>
      <c r="AC10" s="69"/>
      <c r="AD10" s="69"/>
      <c r="AE10" s="69"/>
      <c r="AF10" s="69" t="s">
        <v>88</v>
      </c>
      <c r="AG10" s="69"/>
      <c r="AH10" s="69"/>
      <c r="AI10" s="69"/>
      <c r="AJ10" s="69"/>
      <c r="AK10" s="69"/>
      <c r="AL10" s="69" t="s">
        <v>188</v>
      </c>
      <c r="AM10" s="69"/>
      <c r="AN10" s="69"/>
      <c r="AO10" s="69"/>
      <c r="AP10" s="69"/>
    </row>
    <row r="11" spans="2:42" ht="27" customHeight="1">
      <c r="B11" s="70"/>
      <c r="C11" s="74"/>
      <c r="D11" s="74"/>
      <c r="E11" s="16" t="s">
        <v>61</v>
      </c>
      <c r="F11" s="16" t="s">
        <v>63</v>
      </c>
      <c r="G11" s="31" t="s">
        <v>159</v>
      </c>
      <c r="H11" s="16" t="s">
        <v>61</v>
      </c>
      <c r="I11" s="16" t="s">
        <v>62</v>
      </c>
      <c r="J11" s="31" t="s">
        <v>159</v>
      </c>
      <c r="K11" s="16" t="s">
        <v>66</v>
      </c>
      <c r="L11" s="16" t="s">
        <v>129</v>
      </c>
      <c r="M11" s="74"/>
      <c r="N11" s="74"/>
      <c r="O11" s="70"/>
      <c r="P11" s="14"/>
      <c r="Q11" s="14"/>
      <c r="R11" s="14"/>
      <c r="S11" s="14"/>
      <c r="T11" s="14"/>
      <c r="U11" s="14"/>
      <c r="V11" s="3" t="s">
        <v>9</v>
      </c>
      <c r="W11" s="3" t="s">
        <v>13</v>
      </c>
      <c r="X11" s="3" t="s">
        <v>14</v>
      </c>
      <c r="Y11" s="3" t="s">
        <v>73</v>
      </c>
      <c r="Z11" s="3" t="s">
        <v>15</v>
      </c>
      <c r="AA11" s="3" t="s">
        <v>16</v>
      </c>
      <c r="AB11" s="3" t="s">
        <v>68</v>
      </c>
      <c r="AC11" s="3" t="s">
        <v>84</v>
      </c>
      <c r="AD11" s="3" t="s">
        <v>65</v>
      </c>
      <c r="AE11" s="3" t="s">
        <v>17</v>
      </c>
      <c r="AF11" s="3" t="s">
        <v>175</v>
      </c>
      <c r="AG11" s="44" t="s">
        <v>176</v>
      </c>
      <c r="AH11" s="46" t="s">
        <v>177</v>
      </c>
      <c r="AI11" s="12" t="s">
        <v>85</v>
      </c>
      <c r="AJ11" s="12" t="s">
        <v>89</v>
      </c>
      <c r="AK11" s="8" t="s">
        <v>87</v>
      </c>
      <c r="AL11" s="44" t="s">
        <v>183</v>
      </c>
      <c r="AM11" s="44" t="s">
        <v>184</v>
      </c>
      <c r="AN11" s="44" t="s">
        <v>185</v>
      </c>
      <c r="AO11" s="3" t="s">
        <v>186</v>
      </c>
      <c r="AP11" s="46" t="s">
        <v>187</v>
      </c>
    </row>
    <row r="12" spans="2:42">
      <c r="B12" s="4" t="s">
        <v>69</v>
      </c>
      <c r="C12" s="4">
        <v>1400</v>
      </c>
      <c r="D12" s="4">
        <v>1300</v>
      </c>
      <c r="E12" s="4" t="str">
        <f>F12&amp;"-D25"</f>
        <v>15-D25</v>
      </c>
      <c r="F12" s="4">
        <v>15</v>
      </c>
      <c r="G12" s="4">
        <v>507</v>
      </c>
      <c r="H12" s="4" t="str">
        <f>I12&amp;"-D13@"&amp;K12</f>
        <v>3-D13@100</v>
      </c>
      <c r="I12" s="4">
        <v>3</v>
      </c>
      <c r="J12" s="4">
        <v>126</v>
      </c>
      <c r="K12" s="4">
        <v>100</v>
      </c>
      <c r="L12" s="4">
        <v>70</v>
      </c>
      <c r="M12" s="4">
        <f>$F57</f>
        <v>3102.3</v>
      </c>
      <c r="N12" s="4">
        <v>2120</v>
      </c>
      <c r="O12" s="4">
        <v>500</v>
      </c>
      <c r="V12" s="7">
        <f t="shared" ref="V12:V20" si="0">Z12*N12/2/1000</f>
        <v>1644.2190000000001</v>
      </c>
      <c r="W12" s="3">
        <f>V12*1000/$C$3/((D12-L12)*0.875)</f>
        <v>7105.7191475569243</v>
      </c>
      <c r="X12" s="3">
        <f t="shared" ref="X12:X20" si="1">G12*F12</f>
        <v>7605</v>
      </c>
      <c r="Y12" s="8">
        <f t="shared" ref="Y12:Y20" si="2">W12/X12</f>
        <v>0.93434834287402024</v>
      </c>
      <c r="Z12" s="3">
        <f>M12/2</f>
        <v>1551.15</v>
      </c>
      <c r="AA12" s="3">
        <f>Z12*1000/C12/((D12-L12-150)*0.875)</f>
        <v>1.1724489795918367</v>
      </c>
      <c r="AB12" s="3">
        <f t="shared" ref="AB12:AB20" si="3">J12*I12/C12/K12</f>
        <v>2.7000000000000001E-3</v>
      </c>
      <c r="AC12" s="3">
        <f t="shared" ref="AC12:AC20" si="4">MIN( 4/((V12/Z12/(D12/1000))+1), 2 )</f>
        <v>2</v>
      </c>
      <c r="AD12" s="3">
        <f t="shared" ref="AD12:AD18" si="5">(AC12*$C$2+0.5*$C$4*1000*(AB12-0.002))</f>
        <v>1.5482499999999999</v>
      </c>
      <c r="AE12" s="8">
        <f t="shared" ref="AE12:AE20" si="6">AA12/AD12</f>
        <v>0.75727368292707042</v>
      </c>
      <c r="AF12" s="3"/>
      <c r="AG12" s="3"/>
      <c r="AH12" s="8"/>
      <c r="AI12" s="12"/>
      <c r="AJ12" s="12"/>
      <c r="AK12" s="8"/>
      <c r="AL12" s="3"/>
      <c r="AM12" s="3"/>
      <c r="AN12" s="3"/>
      <c r="AO12" s="3"/>
      <c r="AP12" s="8"/>
    </row>
    <row r="13" spans="2:42">
      <c r="B13" s="19" t="s">
        <v>75</v>
      </c>
      <c r="C13" s="9">
        <f>C12</f>
        <v>1400</v>
      </c>
      <c r="D13" s="9">
        <f>D12</f>
        <v>1300</v>
      </c>
      <c r="E13" s="9" t="s">
        <v>48</v>
      </c>
      <c r="F13" s="9">
        <f>F12</f>
        <v>15</v>
      </c>
      <c r="G13" s="9">
        <v>507</v>
      </c>
      <c r="H13" s="9" t="str">
        <f>H12</f>
        <v>3-D13@100</v>
      </c>
      <c r="I13" s="9">
        <f t="shared" ref="I13" si="7">I12</f>
        <v>3</v>
      </c>
      <c r="J13" s="9">
        <f>J12</f>
        <v>126</v>
      </c>
      <c r="K13" s="9">
        <f>K12</f>
        <v>100</v>
      </c>
      <c r="L13" s="9">
        <v>70</v>
      </c>
      <c r="M13" s="9">
        <f>$I57</f>
        <v>3331.3</v>
      </c>
      <c r="N13" s="9">
        <f>N12</f>
        <v>2120</v>
      </c>
      <c r="O13" s="9">
        <f>O12</f>
        <v>500</v>
      </c>
      <c r="V13" s="7">
        <f t="shared" si="0"/>
        <v>1765.5889999999999</v>
      </c>
      <c r="W13" s="3">
        <f>V13*1000/$I$3/((D13-L13)*0.875)</f>
        <v>4755.0748203134208</v>
      </c>
      <c r="X13" s="3">
        <f t="shared" si="1"/>
        <v>7605</v>
      </c>
      <c r="Y13" s="8">
        <f t="shared" si="2"/>
        <v>0.62525638662898364</v>
      </c>
      <c r="Z13" s="3">
        <f t="shared" ref="Z13" si="8">M13/2</f>
        <v>1665.65</v>
      </c>
      <c r="AA13" s="3">
        <f t="shared" ref="AA13:AA20" si="9">Z13*1000/C13/((D13-L13-150)*0.875)</f>
        <v>1.2589947089947089</v>
      </c>
      <c r="AB13" s="3">
        <f t="shared" si="3"/>
        <v>2.7000000000000001E-3</v>
      </c>
      <c r="AC13" s="3">
        <f t="shared" si="4"/>
        <v>2</v>
      </c>
      <c r="AD13" s="3">
        <f>(AC13*$I$2+0.5*$C$4*1000*(AB13-0.002))</f>
        <v>2.2882500000000001</v>
      </c>
      <c r="AE13" s="8">
        <f t="shared" si="6"/>
        <v>0.55019980727399054</v>
      </c>
      <c r="AF13" s="45">
        <f>O13/V13</f>
        <v>0.28319161480956212</v>
      </c>
      <c r="AG13" s="45">
        <f>0.4/(1+K12/C12)</f>
        <v>0.37333333333333335</v>
      </c>
      <c r="AH13" s="47">
        <f>AF13/AG13</f>
        <v>0.75854896823989848</v>
      </c>
      <c r="AI13" s="12">
        <f>POWER(MIN(C13:D13),2)*MAX(C13:D13)*1.15*$I$2/3000000</f>
        <v>1006.7330000000002</v>
      </c>
      <c r="AJ13" s="12">
        <f>C13*(D13*7/8)*AC13*$I$2/1000</f>
        <v>3535.3500000000004</v>
      </c>
      <c r="AK13" s="8">
        <f>POWER(O13/AI13,2)+POWER(Z13/AJ13,2)</f>
        <v>0.46864148311535481</v>
      </c>
      <c r="AL13" s="3">
        <f>K12</f>
        <v>100</v>
      </c>
      <c r="AM13" s="3">
        <f>J12*I12</f>
        <v>378</v>
      </c>
      <c r="AN13" s="3">
        <f>C12</f>
        <v>1400</v>
      </c>
      <c r="AO13" s="3">
        <f>AM13/AL13/AN13*100</f>
        <v>0.26999999999999996</v>
      </c>
      <c r="AP13" s="8">
        <f>0.2/AO13</f>
        <v>0.74074074074074092</v>
      </c>
    </row>
    <row r="14" spans="2:42">
      <c r="B14" s="19" t="s">
        <v>77</v>
      </c>
      <c r="C14" s="9">
        <f>C13</f>
        <v>1400</v>
      </c>
      <c r="D14" s="9">
        <f>D13</f>
        <v>1300</v>
      </c>
      <c r="E14" s="9" t="s">
        <v>48</v>
      </c>
      <c r="F14" s="9">
        <f>F13</f>
        <v>15</v>
      </c>
      <c r="G14" s="9">
        <v>507</v>
      </c>
      <c r="H14" s="9" t="str">
        <f>H13</f>
        <v>3-D13@100</v>
      </c>
      <c r="I14" s="9">
        <f t="shared" ref="I14:I17" si="10">I13</f>
        <v>3</v>
      </c>
      <c r="J14" s="9">
        <f>J13</f>
        <v>126</v>
      </c>
      <c r="K14" s="9">
        <f>K13</f>
        <v>100</v>
      </c>
      <c r="L14" s="9">
        <v>70</v>
      </c>
      <c r="M14" s="9">
        <f>IF($L57&gt;0,0.1,ABS($L57))</f>
        <v>0.1</v>
      </c>
      <c r="N14" s="9">
        <f>N13</f>
        <v>2120</v>
      </c>
      <c r="O14" s="9">
        <f>O13</f>
        <v>500</v>
      </c>
      <c r="V14" s="7">
        <f t="shared" si="0"/>
        <v>5.2999999999999999E-2</v>
      </c>
      <c r="W14" s="3">
        <f>V14*1000/$I$3/((D14-L14)*0.875)</f>
        <v>0.14273931559191369</v>
      </c>
      <c r="X14" s="3">
        <f t="shared" si="1"/>
        <v>7605</v>
      </c>
      <c r="Y14" s="8">
        <f t="shared" si="2"/>
        <v>1.8769140774742103E-5</v>
      </c>
      <c r="Z14" s="3">
        <f t="shared" ref="Z14" si="11">M14/2</f>
        <v>0.05</v>
      </c>
      <c r="AA14" s="3">
        <f t="shared" si="9"/>
        <v>3.7792894935752078E-5</v>
      </c>
      <c r="AB14" s="3">
        <f t="shared" si="3"/>
        <v>2.7000000000000001E-3</v>
      </c>
      <c r="AC14" s="3">
        <f t="shared" si="4"/>
        <v>2</v>
      </c>
      <c r="AD14" s="3">
        <f>(AC14*$I$2+0.5*$C$4*1000*(AB14-0.002))</f>
        <v>2.2882500000000001</v>
      </c>
      <c r="AE14" s="8">
        <f t="shared" si="6"/>
        <v>1.6516069020322114E-5</v>
      </c>
      <c r="AF14" s="3"/>
      <c r="AG14" s="3"/>
      <c r="AH14" s="8"/>
      <c r="AI14" s="12"/>
      <c r="AJ14" s="12"/>
      <c r="AK14" s="8"/>
      <c r="AL14" s="3"/>
      <c r="AM14" s="3"/>
      <c r="AN14" s="3"/>
      <c r="AO14" s="3"/>
      <c r="AP14" s="8"/>
    </row>
    <row r="15" spans="2:42">
      <c r="B15" s="4" t="s">
        <v>78</v>
      </c>
      <c r="C15" s="4">
        <v>1200</v>
      </c>
      <c r="D15" s="4">
        <v>1300</v>
      </c>
      <c r="E15" s="4" t="str">
        <f>F15&amp;"-D25"</f>
        <v>14-D25</v>
      </c>
      <c r="F15" s="4">
        <v>14</v>
      </c>
      <c r="G15" s="4">
        <v>507</v>
      </c>
      <c r="H15" s="4" t="str">
        <f>I15&amp;"-D13@"&amp;K15</f>
        <v>2-D13@100</v>
      </c>
      <c r="I15" s="4">
        <v>2</v>
      </c>
      <c r="J15" s="4">
        <v>126</v>
      </c>
      <c r="K15" s="4">
        <v>100</v>
      </c>
      <c r="L15" s="4">
        <v>70</v>
      </c>
      <c r="M15" s="4">
        <f>$F56</f>
        <v>3352.5</v>
      </c>
      <c r="N15" s="4">
        <v>1870</v>
      </c>
      <c r="O15" s="4">
        <v>500</v>
      </c>
      <c r="V15" s="7">
        <f t="shared" si="0"/>
        <v>1567.29375</v>
      </c>
      <c r="W15" s="3">
        <f>V15*1000/$C$3/((D15-L15)*0.875)</f>
        <v>6773.2760716311486</v>
      </c>
      <c r="X15" s="3">
        <f t="shared" si="1"/>
        <v>7098</v>
      </c>
      <c r="Y15" s="8">
        <f t="shared" si="2"/>
        <v>0.9542513484969215</v>
      </c>
      <c r="Z15" s="3">
        <f>M15/2</f>
        <v>1676.25</v>
      </c>
      <c r="AA15" s="3">
        <f t="shared" si="9"/>
        <v>1.4781746031746033</v>
      </c>
      <c r="AB15" s="3">
        <f t="shared" si="3"/>
        <v>2.0999999999999999E-3</v>
      </c>
      <c r="AC15" s="3">
        <f t="shared" si="4"/>
        <v>2</v>
      </c>
      <c r="AD15" s="3">
        <f t="shared" si="5"/>
        <v>1.4897499999999999</v>
      </c>
      <c r="AE15" s="8">
        <f t="shared" si="6"/>
        <v>0.99222997360268728</v>
      </c>
      <c r="AF15" s="3"/>
      <c r="AG15" s="3"/>
      <c r="AH15" s="8"/>
      <c r="AI15" s="12"/>
      <c r="AJ15" s="12"/>
      <c r="AK15" s="8"/>
      <c r="AL15" s="3"/>
      <c r="AM15" s="3"/>
      <c r="AN15" s="3"/>
      <c r="AO15" s="3"/>
      <c r="AP15" s="8"/>
    </row>
    <row r="16" spans="2:42">
      <c r="B16" s="19" t="s">
        <v>79</v>
      </c>
      <c r="C16" s="9">
        <f t="shared" ref="C16:E17" si="12">C15</f>
        <v>1200</v>
      </c>
      <c r="D16" s="9">
        <f t="shared" si="12"/>
        <v>1300</v>
      </c>
      <c r="E16" s="9" t="str">
        <f t="shared" si="12"/>
        <v>14-D25</v>
      </c>
      <c r="F16" s="9">
        <f t="shared" ref="F16:F17" si="13">F15</f>
        <v>14</v>
      </c>
      <c r="G16" s="9">
        <f t="shared" ref="G16:G17" si="14">G15</f>
        <v>507</v>
      </c>
      <c r="H16" s="9" t="str">
        <f t="shared" ref="H16:H17" si="15">H15</f>
        <v>2-D13@100</v>
      </c>
      <c r="I16" s="9">
        <f t="shared" si="10"/>
        <v>2</v>
      </c>
      <c r="J16" s="9">
        <f t="shared" ref="J16:J17" si="16">J15</f>
        <v>126</v>
      </c>
      <c r="K16" s="9">
        <f t="shared" ref="K16:K17" si="17">K15</f>
        <v>100</v>
      </c>
      <c r="L16" s="9">
        <f t="shared" ref="L16:L17" si="18">L15</f>
        <v>70</v>
      </c>
      <c r="M16" s="9">
        <f>$I56</f>
        <v>4710.5</v>
      </c>
      <c r="N16" s="9">
        <f>N15</f>
        <v>1870</v>
      </c>
      <c r="O16" s="9">
        <f>O15</f>
        <v>500</v>
      </c>
      <c r="V16" s="3">
        <f t="shared" si="0"/>
        <v>2202.1587500000001</v>
      </c>
      <c r="W16" s="3">
        <f>V16*1000/$I$3/((D16-L16)*0.875)</f>
        <v>5930.8421282970603</v>
      </c>
      <c r="X16" s="3">
        <f t="shared" si="1"/>
        <v>7098</v>
      </c>
      <c r="Y16" s="8">
        <f t="shared" si="2"/>
        <v>0.83556524771725282</v>
      </c>
      <c r="Z16" s="3">
        <f t="shared" ref="Z16:Z17" si="19">M16/2</f>
        <v>2355.25</v>
      </c>
      <c r="AA16" s="3">
        <f t="shared" si="9"/>
        <v>2.0769400352733687</v>
      </c>
      <c r="AB16" s="3">
        <f t="shared" si="3"/>
        <v>2.0999999999999999E-3</v>
      </c>
      <c r="AC16" s="3">
        <f t="shared" si="4"/>
        <v>2</v>
      </c>
      <c r="AD16" s="3">
        <f>(AC16*$I$2+0.5*$C$4*1000*(AB16-0.002))</f>
        <v>2.2297500000000001</v>
      </c>
      <c r="AE16" s="8">
        <f t="shared" si="6"/>
        <v>0.93146766914379131</v>
      </c>
      <c r="AF16" s="45">
        <f>O16/V16</f>
        <v>0.22704993452447514</v>
      </c>
      <c r="AG16" s="45">
        <f>0.4/(1+K15/C15)</f>
        <v>0.36923076923076925</v>
      </c>
      <c r="AH16" s="47">
        <f>AF16/AG16</f>
        <v>0.61492690600378686</v>
      </c>
      <c r="AI16" s="12">
        <f>POWER(MIN(C16:D16),2)*MAX(C16:D16)*1.15*$I$2/3000000</f>
        <v>796.53599999999994</v>
      </c>
      <c r="AJ16" s="12">
        <f>C16*(D16*7/8)*AC16*$I$2/1000</f>
        <v>3030.3000000000006</v>
      </c>
      <c r="AK16" s="8">
        <f>POWER(O16/AI16,2)+POWER(Z16/AJ16,2)</f>
        <v>0.99812147864414469</v>
      </c>
      <c r="AL16" s="3">
        <f>K15</f>
        <v>100</v>
      </c>
      <c r="AM16" s="3">
        <f>J15*I15</f>
        <v>252</v>
      </c>
      <c r="AN16" s="3">
        <f>C15</f>
        <v>1200</v>
      </c>
      <c r="AO16" s="3">
        <f>AM16/AL16/AN16*100</f>
        <v>0.21</v>
      </c>
      <c r="AP16" s="8">
        <f>0.2/AO16</f>
        <v>0.95238095238095244</v>
      </c>
    </row>
    <row r="17" spans="2:42">
      <c r="B17" s="19" t="s">
        <v>80</v>
      </c>
      <c r="C17" s="9">
        <f t="shared" si="12"/>
        <v>1200</v>
      </c>
      <c r="D17" s="9">
        <f t="shared" si="12"/>
        <v>1300</v>
      </c>
      <c r="E17" s="9" t="str">
        <f t="shared" si="12"/>
        <v>14-D25</v>
      </c>
      <c r="F17" s="9">
        <f t="shared" si="13"/>
        <v>14</v>
      </c>
      <c r="G17" s="9">
        <f t="shared" si="14"/>
        <v>507</v>
      </c>
      <c r="H17" s="9" t="str">
        <f t="shared" si="15"/>
        <v>2-D13@100</v>
      </c>
      <c r="I17" s="9">
        <f t="shared" si="10"/>
        <v>2</v>
      </c>
      <c r="J17" s="9">
        <f t="shared" si="16"/>
        <v>126</v>
      </c>
      <c r="K17" s="9">
        <f t="shared" si="17"/>
        <v>100</v>
      </c>
      <c r="L17" s="9">
        <f t="shared" si="18"/>
        <v>70</v>
      </c>
      <c r="M17" s="9">
        <f>IF($L56&gt;0,0.1,ABS($L56))</f>
        <v>0.1</v>
      </c>
      <c r="N17" s="9">
        <f>N16</f>
        <v>1870</v>
      </c>
      <c r="O17" s="9">
        <f>O16</f>
        <v>500</v>
      </c>
      <c r="V17" s="3">
        <f t="shared" si="0"/>
        <v>4.675E-2</v>
      </c>
      <c r="W17" s="3">
        <f>V17*1000/$C$3/((D17-L17)*0.875)</f>
        <v>0.20203657186073523</v>
      </c>
      <c r="X17" s="3">
        <f t="shared" si="1"/>
        <v>7098</v>
      </c>
      <c r="Y17" s="8">
        <f t="shared" si="2"/>
        <v>2.8463873184099074E-5</v>
      </c>
      <c r="Z17" s="3">
        <f t="shared" si="19"/>
        <v>0.05</v>
      </c>
      <c r="AA17" s="3">
        <f t="shared" si="9"/>
        <v>4.4091710758377421E-5</v>
      </c>
      <c r="AB17" s="3">
        <f t="shared" si="3"/>
        <v>2.0999999999999999E-3</v>
      </c>
      <c r="AC17" s="3">
        <f t="shared" si="4"/>
        <v>2</v>
      </c>
      <c r="AD17" s="3">
        <f>(AC17*$I$2+0.5*$C$4*1000*(AB17-0.002))</f>
        <v>2.2297500000000001</v>
      </c>
      <c r="AE17" s="8">
        <f t="shared" si="6"/>
        <v>1.9774284452686365E-5</v>
      </c>
      <c r="AF17" s="3"/>
      <c r="AG17" s="3"/>
      <c r="AH17" s="8"/>
      <c r="AI17" s="12"/>
      <c r="AJ17" s="12"/>
      <c r="AK17" s="8"/>
      <c r="AL17" s="3"/>
      <c r="AM17" s="3"/>
      <c r="AN17" s="3"/>
      <c r="AO17" s="3"/>
      <c r="AP17" s="8"/>
    </row>
    <row r="18" spans="2:42">
      <c r="B18" s="4" t="s">
        <v>81</v>
      </c>
      <c r="C18" s="4">
        <v>1200</v>
      </c>
      <c r="D18" s="4">
        <v>1300</v>
      </c>
      <c r="E18" s="4" t="str">
        <f>F18&amp;"-D25"</f>
        <v>10-D25</v>
      </c>
      <c r="F18" s="4">
        <v>10</v>
      </c>
      <c r="G18" s="4">
        <v>507</v>
      </c>
      <c r="H18" s="4" t="str">
        <f>I18&amp;"-D13@"&amp;K18</f>
        <v>2-D13@100</v>
      </c>
      <c r="I18" s="4">
        <v>2</v>
      </c>
      <c r="J18" s="4">
        <v>126</v>
      </c>
      <c r="K18" s="4">
        <v>100</v>
      </c>
      <c r="L18" s="4">
        <v>70</v>
      </c>
      <c r="M18" s="4">
        <f>$F55</f>
        <v>2753.4</v>
      </c>
      <c r="N18" s="4">
        <v>1620</v>
      </c>
      <c r="O18" s="4">
        <v>500</v>
      </c>
      <c r="V18" s="7">
        <f t="shared" si="0"/>
        <v>1115.127</v>
      </c>
      <c r="W18" s="3">
        <f>V18*1000/$C$3/((D18-L18)*0.875)</f>
        <v>4819.1751073656915</v>
      </c>
      <c r="X18" s="3">
        <f t="shared" si="1"/>
        <v>5070</v>
      </c>
      <c r="Y18" s="8">
        <f t="shared" si="2"/>
        <v>0.95052763458889378</v>
      </c>
      <c r="Z18" s="3">
        <f>M18/2</f>
        <v>1376.7</v>
      </c>
      <c r="AA18" s="3">
        <f t="shared" si="9"/>
        <v>1.214021164021164</v>
      </c>
      <c r="AB18" s="3">
        <f t="shared" si="3"/>
        <v>2.0999999999999999E-3</v>
      </c>
      <c r="AC18" s="3">
        <f t="shared" si="4"/>
        <v>2</v>
      </c>
      <c r="AD18" s="3">
        <f t="shared" si="5"/>
        <v>1.4897499999999999</v>
      </c>
      <c r="AE18" s="8">
        <f t="shared" si="6"/>
        <v>0.81491603559064552</v>
      </c>
      <c r="AF18" s="3"/>
      <c r="AG18" s="3"/>
      <c r="AH18" s="8"/>
      <c r="AI18" s="12"/>
      <c r="AJ18" s="12"/>
      <c r="AK18" s="8"/>
      <c r="AL18" s="3"/>
      <c r="AM18" s="3"/>
      <c r="AN18" s="3"/>
      <c r="AO18" s="3"/>
      <c r="AP18" s="8"/>
    </row>
    <row r="19" spans="2:42">
      <c r="B19" s="19" t="s">
        <v>82</v>
      </c>
      <c r="C19" s="9">
        <f t="shared" ref="C19:E20" si="20">C18</f>
        <v>1200</v>
      </c>
      <c r="D19" s="9">
        <f t="shared" si="20"/>
        <v>1300</v>
      </c>
      <c r="E19" s="9" t="str">
        <f t="shared" si="20"/>
        <v>10-D25</v>
      </c>
      <c r="F19" s="9">
        <f t="shared" ref="F19:F20" si="21">F18</f>
        <v>10</v>
      </c>
      <c r="G19" s="9">
        <f t="shared" ref="G19:G20" si="22">G18</f>
        <v>507</v>
      </c>
      <c r="H19" s="9" t="str">
        <f t="shared" ref="H19:H20" si="23">H18</f>
        <v>2-D13@100</v>
      </c>
      <c r="I19" s="9">
        <f t="shared" ref="I19:I20" si="24">I18</f>
        <v>2</v>
      </c>
      <c r="J19" s="9">
        <f t="shared" ref="J19:J20" si="25">J18</f>
        <v>126</v>
      </c>
      <c r="K19" s="9">
        <f t="shared" ref="K19:K20" si="26">K18</f>
        <v>100</v>
      </c>
      <c r="L19" s="9">
        <f t="shared" ref="L19:L20" si="27">L18</f>
        <v>70</v>
      </c>
      <c r="M19" s="9">
        <f>$I55</f>
        <v>4279.2</v>
      </c>
      <c r="N19" s="9">
        <f>N18</f>
        <v>1620</v>
      </c>
      <c r="O19" s="9">
        <f>O18</f>
        <v>500</v>
      </c>
      <c r="V19" s="3">
        <f t="shared" si="0"/>
        <v>1733.076</v>
      </c>
      <c r="W19" s="3">
        <f>V19*1000/$I$3/((D19-L19)*0.875)</f>
        <v>4667.5109831843665</v>
      </c>
      <c r="X19" s="3">
        <f t="shared" si="1"/>
        <v>5070</v>
      </c>
      <c r="Y19" s="8">
        <f t="shared" si="2"/>
        <v>0.9206136061507626</v>
      </c>
      <c r="Z19" s="3">
        <f t="shared" ref="Z19:Z20" si="28">M19/2</f>
        <v>2139.6</v>
      </c>
      <c r="AA19" s="3">
        <f t="shared" si="9"/>
        <v>1.8867724867724869</v>
      </c>
      <c r="AB19" s="3">
        <f t="shared" si="3"/>
        <v>2.0999999999999999E-3</v>
      </c>
      <c r="AC19" s="3">
        <f t="shared" si="4"/>
        <v>2</v>
      </c>
      <c r="AD19" s="3">
        <f>(AC19*$I$2+0.5*$C$4*1000*(AB19-0.002))</f>
        <v>2.2297500000000001</v>
      </c>
      <c r="AE19" s="8">
        <f t="shared" si="6"/>
        <v>0.84618118029935496</v>
      </c>
      <c r="AF19" s="45">
        <f>O19/V19</f>
        <v>0.28850437026420078</v>
      </c>
      <c r="AG19" s="45">
        <f>0.4/(1+K18/C18)</f>
        <v>0.36923076923076925</v>
      </c>
      <c r="AH19" s="47">
        <f>AF19/AG19</f>
        <v>0.78136600279887702</v>
      </c>
      <c r="AI19" s="12">
        <f>POWER(MIN(C19:D19),2)*MAX(C19:D19)*1.15*$I$2/3000000</f>
        <v>796.53599999999994</v>
      </c>
      <c r="AJ19" s="12">
        <f>C19*(D19*7/8)*AC19*$I$2/1000</f>
        <v>3030.3000000000006</v>
      </c>
      <c r="AK19" s="8">
        <f>POWER(O19/AI19,2)+POWER(Z19/AJ19,2)</f>
        <v>0.89256292909490109</v>
      </c>
      <c r="AL19" s="3">
        <f>K18</f>
        <v>100</v>
      </c>
      <c r="AM19" s="3">
        <f>J18*I18</f>
        <v>252</v>
      </c>
      <c r="AN19" s="3">
        <f>C18</f>
        <v>1200</v>
      </c>
      <c r="AO19" s="3">
        <f>AM19/AL19/AN19*100</f>
        <v>0.21</v>
      </c>
      <c r="AP19" s="8">
        <f>0.2/AO19</f>
        <v>0.95238095238095244</v>
      </c>
    </row>
    <row r="20" spans="2:42">
      <c r="B20" s="19" t="s">
        <v>83</v>
      </c>
      <c r="C20" s="9">
        <f t="shared" si="20"/>
        <v>1200</v>
      </c>
      <c r="D20" s="9">
        <f t="shared" si="20"/>
        <v>1300</v>
      </c>
      <c r="E20" s="9" t="str">
        <f t="shared" si="20"/>
        <v>10-D25</v>
      </c>
      <c r="F20" s="9">
        <f t="shared" si="21"/>
        <v>10</v>
      </c>
      <c r="G20" s="9">
        <f t="shared" si="22"/>
        <v>507</v>
      </c>
      <c r="H20" s="9" t="str">
        <f t="shared" si="23"/>
        <v>2-D13@100</v>
      </c>
      <c r="I20" s="9">
        <f t="shared" si="24"/>
        <v>2</v>
      </c>
      <c r="J20" s="9">
        <f t="shared" si="25"/>
        <v>126</v>
      </c>
      <c r="K20" s="9">
        <f t="shared" si="26"/>
        <v>100</v>
      </c>
      <c r="L20" s="9">
        <f t="shared" si="27"/>
        <v>70</v>
      </c>
      <c r="M20" s="9">
        <f>IF($L55&gt;0,0.1,ABS($L55))</f>
        <v>0.1</v>
      </c>
      <c r="N20" s="9">
        <f>N19</f>
        <v>1620</v>
      </c>
      <c r="O20" s="9">
        <f>O19</f>
        <v>500</v>
      </c>
      <c r="V20" s="3">
        <f t="shared" si="0"/>
        <v>4.0500000000000001E-2</v>
      </c>
      <c r="W20" s="3">
        <f>V20*1000/$C$3/((D20-L20)*0.875)</f>
        <v>0.17502633498095779</v>
      </c>
      <c r="X20" s="3">
        <f t="shared" si="1"/>
        <v>5070</v>
      </c>
      <c r="Y20" s="8">
        <f t="shared" si="2"/>
        <v>3.4521959562319092E-5</v>
      </c>
      <c r="Z20" s="3">
        <f t="shared" si="28"/>
        <v>0.05</v>
      </c>
      <c r="AA20" s="3">
        <f t="shared" si="9"/>
        <v>4.4091710758377421E-5</v>
      </c>
      <c r="AB20" s="3">
        <f t="shared" si="3"/>
        <v>2.0999999999999999E-3</v>
      </c>
      <c r="AC20" s="3">
        <f t="shared" si="4"/>
        <v>2</v>
      </c>
      <c r="AD20" s="3">
        <f>(AC20*$I$2+0.5*$C$4*1000*(AB20-0.002))</f>
        <v>2.2297500000000001</v>
      </c>
      <c r="AE20" s="8">
        <f t="shared" si="6"/>
        <v>1.9774284452686365E-5</v>
      </c>
      <c r="AF20" s="3"/>
      <c r="AG20" s="3"/>
      <c r="AH20" s="8"/>
      <c r="AI20" s="12"/>
      <c r="AJ20" s="12"/>
      <c r="AK20" s="3"/>
      <c r="AL20" s="3"/>
      <c r="AM20" s="3"/>
      <c r="AN20" s="3"/>
      <c r="AO20" s="3"/>
      <c r="AP20" s="8"/>
    </row>
    <row r="21" spans="2:42">
      <c r="Y21" s="10"/>
      <c r="AE21" s="10"/>
    </row>
    <row r="22" spans="2:42">
      <c r="B22" s="1" t="s">
        <v>97</v>
      </c>
    </row>
    <row r="23" spans="2:42">
      <c r="B23" s="63" t="s">
        <v>2</v>
      </c>
      <c r="C23" s="63" t="s">
        <v>160</v>
      </c>
      <c r="D23" s="63"/>
      <c r="E23" s="63"/>
      <c r="F23" s="63"/>
      <c r="G23" s="63" t="s">
        <v>161</v>
      </c>
      <c r="H23" s="63"/>
      <c r="I23" s="63"/>
      <c r="J23" s="63"/>
      <c r="K23" s="63"/>
      <c r="L23" s="63"/>
      <c r="M23" s="77"/>
      <c r="N23" s="77"/>
      <c r="O23" s="77"/>
      <c r="P23" s="77"/>
      <c r="Q23" s="77"/>
      <c r="R23" s="77"/>
    </row>
    <row r="24" spans="2:42" ht="30" customHeight="1">
      <c r="B24" s="63"/>
      <c r="C24" s="32" t="s">
        <v>162</v>
      </c>
      <c r="D24" s="32" t="s">
        <v>163</v>
      </c>
      <c r="E24" s="32" t="s">
        <v>164</v>
      </c>
      <c r="F24" s="30" t="s">
        <v>73</v>
      </c>
      <c r="G24" s="32" t="s">
        <v>165</v>
      </c>
      <c r="H24" s="32" t="s">
        <v>166</v>
      </c>
      <c r="I24" s="30" t="s">
        <v>68</v>
      </c>
      <c r="J24" s="30" t="s">
        <v>84</v>
      </c>
      <c r="K24" s="30" t="s">
        <v>65</v>
      </c>
      <c r="L24" s="30" t="s">
        <v>17</v>
      </c>
      <c r="M24" s="53"/>
      <c r="N24" s="54"/>
      <c r="O24" s="55"/>
      <c r="P24" s="56"/>
      <c r="Q24" s="56"/>
      <c r="R24" s="55"/>
    </row>
    <row r="25" spans="2:42">
      <c r="B25" s="4" t="str">
        <f>IF(ISBLANK(B12),"",B12)</f>
        <v>F8長期</v>
      </c>
      <c r="C25" s="26">
        <f>IF(ISBLANK(V12),"",V12)</f>
        <v>1644.2190000000001</v>
      </c>
      <c r="D25" s="26">
        <f t="shared" ref="D25:L25" si="29">IF(ISBLANK(W12),"",W12)</f>
        <v>7105.7191475569243</v>
      </c>
      <c r="E25" s="26">
        <f t="shared" si="29"/>
        <v>7605</v>
      </c>
      <c r="F25" s="21">
        <f t="shared" si="29"/>
        <v>0.93434834287402024</v>
      </c>
      <c r="G25" s="26">
        <f t="shared" si="29"/>
        <v>1551.15</v>
      </c>
      <c r="H25" s="22">
        <f t="shared" si="29"/>
        <v>1.1724489795918367</v>
      </c>
      <c r="I25" s="22">
        <f t="shared" si="29"/>
        <v>2.7000000000000001E-3</v>
      </c>
      <c r="J25" s="22">
        <f t="shared" si="29"/>
        <v>2</v>
      </c>
      <c r="K25" s="22">
        <f t="shared" si="29"/>
        <v>1.5482499999999999</v>
      </c>
      <c r="L25" s="21">
        <f t="shared" si="29"/>
        <v>0.75727368292707042</v>
      </c>
      <c r="M25" s="52"/>
      <c r="N25" s="50"/>
      <c r="O25" s="57"/>
      <c r="P25" s="57"/>
      <c r="Q25" s="57"/>
      <c r="R25" s="51"/>
    </row>
    <row r="26" spans="2:42">
      <c r="B26" s="19" t="str">
        <f t="shared" ref="B26:B33" si="30">IF(ISBLANK(B13),"",B13)</f>
        <v>F8短期</v>
      </c>
      <c r="C26" s="27">
        <f t="shared" ref="C26:C33" si="31">IF(ISBLANK(V13),"",V13)</f>
        <v>1765.5889999999999</v>
      </c>
      <c r="D26" s="27">
        <f t="shared" ref="D26:D33" si="32">IF(ISBLANK(W13),"",W13)</f>
        <v>4755.0748203134208</v>
      </c>
      <c r="E26" s="27">
        <f t="shared" ref="E26:E33" si="33">IF(ISBLANK(X13),"",X13)</f>
        <v>7605</v>
      </c>
      <c r="F26" s="20">
        <f t="shared" ref="F26:F33" si="34">IF(ISBLANK(Y13),"",Y13)</f>
        <v>0.62525638662898364</v>
      </c>
      <c r="G26" s="27">
        <f t="shared" ref="G26:G33" si="35">IF(ISBLANK(Z13),"",Z13)</f>
        <v>1665.65</v>
      </c>
      <c r="H26" s="23">
        <f t="shared" ref="H26:H33" si="36">IF(ISBLANK(AA13),"",AA13)</f>
        <v>1.2589947089947089</v>
      </c>
      <c r="I26" s="23">
        <f t="shared" ref="I26:I33" si="37">IF(ISBLANK(AB13),"",AB13)</f>
        <v>2.7000000000000001E-3</v>
      </c>
      <c r="J26" s="23">
        <f t="shared" ref="J26:J33" si="38">IF(ISBLANK(AC13),"",AC13)</f>
        <v>2</v>
      </c>
      <c r="K26" s="23">
        <f t="shared" ref="K26:K33" si="39">IF(ISBLANK(AD13),"",AD13)</f>
        <v>2.2882500000000001</v>
      </c>
      <c r="L26" s="20">
        <f t="shared" ref="L26:L33" si="40">IF(ISBLANK(AE13),"",AE13)</f>
        <v>0.55019980727399054</v>
      </c>
      <c r="M26" s="52"/>
      <c r="N26" s="52"/>
      <c r="O26" s="51"/>
      <c r="P26" s="50"/>
      <c r="Q26" s="50"/>
      <c r="R26" s="51"/>
    </row>
    <row r="27" spans="2:42">
      <c r="B27" s="19" t="str">
        <f t="shared" si="30"/>
        <v>F8短期(上端)</v>
      </c>
      <c r="C27" s="27">
        <f t="shared" si="31"/>
        <v>5.2999999999999999E-2</v>
      </c>
      <c r="D27" s="27">
        <f t="shared" si="32"/>
        <v>0.14273931559191369</v>
      </c>
      <c r="E27" s="27">
        <f t="shared" si="33"/>
        <v>7605</v>
      </c>
      <c r="F27" s="20">
        <f t="shared" si="34"/>
        <v>1.8769140774742103E-5</v>
      </c>
      <c r="G27" s="27">
        <f t="shared" si="35"/>
        <v>0.05</v>
      </c>
      <c r="H27" s="23">
        <f t="shared" si="36"/>
        <v>3.7792894935752078E-5</v>
      </c>
      <c r="I27" s="23">
        <f t="shared" si="37"/>
        <v>2.7000000000000001E-3</v>
      </c>
      <c r="J27" s="23">
        <f t="shared" si="38"/>
        <v>2</v>
      </c>
      <c r="K27" s="23">
        <f t="shared" si="39"/>
        <v>2.2882500000000001</v>
      </c>
      <c r="L27" s="20">
        <f t="shared" si="40"/>
        <v>1.6516069020322114E-5</v>
      </c>
      <c r="M27" s="52"/>
      <c r="N27" s="52"/>
      <c r="O27" s="51"/>
      <c r="P27" s="50"/>
      <c r="Q27" s="50"/>
      <c r="R27" s="51"/>
    </row>
    <row r="28" spans="2:42">
      <c r="B28" s="4" t="str">
        <f t="shared" si="30"/>
        <v>F7長期</v>
      </c>
      <c r="C28" s="26">
        <f t="shared" si="31"/>
        <v>1567.29375</v>
      </c>
      <c r="D28" s="26">
        <f t="shared" si="32"/>
        <v>6773.2760716311486</v>
      </c>
      <c r="E28" s="26">
        <f t="shared" si="33"/>
        <v>7098</v>
      </c>
      <c r="F28" s="21">
        <f t="shared" si="34"/>
        <v>0.9542513484969215</v>
      </c>
      <c r="G28" s="26">
        <f t="shared" si="35"/>
        <v>1676.25</v>
      </c>
      <c r="H28" s="22">
        <f t="shared" si="36"/>
        <v>1.4781746031746033</v>
      </c>
      <c r="I28" s="22">
        <f t="shared" si="37"/>
        <v>2.0999999999999999E-3</v>
      </c>
      <c r="J28" s="22">
        <f t="shared" si="38"/>
        <v>2</v>
      </c>
      <c r="K28" s="22">
        <f t="shared" si="39"/>
        <v>1.4897499999999999</v>
      </c>
      <c r="L28" s="21">
        <f t="shared" si="40"/>
        <v>0.99222997360268728</v>
      </c>
      <c r="M28" s="52"/>
      <c r="N28" s="52"/>
      <c r="O28" s="51"/>
      <c r="P28" s="50"/>
      <c r="Q28" s="50"/>
      <c r="R28" s="51"/>
    </row>
    <row r="29" spans="2:42">
      <c r="B29" s="19" t="str">
        <f t="shared" si="30"/>
        <v>F7短期最大</v>
      </c>
      <c r="C29" s="27">
        <f t="shared" si="31"/>
        <v>2202.1587500000001</v>
      </c>
      <c r="D29" s="27">
        <f t="shared" si="32"/>
        <v>5930.8421282970603</v>
      </c>
      <c r="E29" s="27">
        <f t="shared" si="33"/>
        <v>7098</v>
      </c>
      <c r="F29" s="20">
        <f t="shared" si="34"/>
        <v>0.83556524771725282</v>
      </c>
      <c r="G29" s="27">
        <f t="shared" si="35"/>
        <v>2355.25</v>
      </c>
      <c r="H29" s="23">
        <f t="shared" si="36"/>
        <v>2.0769400352733687</v>
      </c>
      <c r="I29" s="23">
        <f t="shared" si="37"/>
        <v>2.0999999999999999E-3</v>
      </c>
      <c r="J29" s="23">
        <f t="shared" si="38"/>
        <v>2</v>
      </c>
      <c r="K29" s="23">
        <f t="shared" si="39"/>
        <v>2.2297500000000001</v>
      </c>
      <c r="L29" s="20">
        <f t="shared" si="40"/>
        <v>0.93146766914379131</v>
      </c>
      <c r="M29" s="52"/>
      <c r="N29" s="52"/>
      <c r="O29" s="51"/>
      <c r="P29" s="50"/>
      <c r="Q29" s="50"/>
      <c r="R29" s="51"/>
    </row>
    <row r="30" spans="2:42">
      <c r="B30" s="19" t="str">
        <f t="shared" si="30"/>
        <v>F7短期最小</v>
      </c>
      <c r="C30" s="27">
        <f t="shared" si="31"/>
        <v>4.675E-2</v>
      </c>
      <c r="D30" s="27">
        <f t="shared" si="32"/>
        <v>0.20203657186073523</v>
      </c>
      <c r="E30" s="27">
        <f t="shared" si="33"/>
        <v>7098</v>
      </c>
      <c r="F30" s="20">
        <f t="shared" si="34"/>
        <v>2.8463873184099074E-5</v>
      </c>
      <c r="G30" s="27">
        <f t="shared" si="35"/>
        <v>0.05</v>
      </c>
      <c r="H30" s="23">
        <f t="shared" si="36"/>
        <v>4.4091710758377421E-5</v>
      </c>
      <c r="I30" s="23">
        <f t="shared" si="37"/>
        <v>2.0999999999999999E-3</v>
      </c>
      <c r="J30" s="23">
        <f t="shared" si="38"/>
        <v>2</v>
      </c>
      <c r="K30" s="23">
        <f t="shared" si="39"/>
        <v>2.2297500000000001</v>
      </c>
      <c r="L30" s="20">
        <f t="shared" si="40"/>
        <v>1.9774284452686365E-5</v>
      </c>
      <c r="M30" s="52"/>
      <c r="N30" s="52"/>
      <c r="O30" s="51"/>
      <c r="P30" s="50"/>
      <c r="Q30" s="50"/>
      <c r="R30" s="51"/>
    </row>
    <row r="31" spans="2:42">
      <c r="B31" s="4" t="str">
        <f t="shared" si="30"/>
        <v>F6長期</v>
      </c>
      <c r="C31" s="26">
        <f t="shared" si="31"/>
        <v>1115.127</v>
      </c>
      <c r="D31" s="26">
        <f t="shared" si="32"/>
        <v>4819.1751073656915</v>
      </c>
      <c r="E31" s="26">
        <f t="shared" si="33"/>
        <v>5070</v>
      </c>
      <c r="F31" s="21">
        <f t="shared" si="34"/>
        <v>0.95052763458889378</v>
      </c>
      <c r="G31" s="26">
        <f t="shared" si="35"/>
        <v>1376.7</v>
      </c>
      <c r="H31" s="22">
        <f t="shared" si="36"/>
        <v>1.214021164021164</v>
      </c>
      <c r="I31" s="22">
        <f t="shared" si="37"/>
        <v>2.0999999999999999E-3</v>
      </c>
      <c r="J31" s="22">
        <f t="shared" si="38"/>
        <v>2</v>
      </c>
      <c r="K31" s="22">
        <f t="shared" si="39"/>
        <v>1.4897499999999999</v>
      </c>
      <c r="L31" s="21">
        <f t="shared" si="40"/>
        <v>0.81491603559064552</v>
      </c>
      <c r="M31" s="52"/>
      <c r="N31" s="52"/>
      <c r="O31" s="51"/>
      <c r="P31" s="50"/>
      <c r="Q31" s="50"/>
      <c r="R31" s="51"/>
    </row>
    <row r="32" spans="2:42">
      <c r="B32" s="19" t="str">
        <f t="shared" si="30"/>
        <v>F6短期最大</v>
      </c>
      <c r="C32" s="27">
        <f t="shared" si="31"/>
        <v>1733.076</v>
      </c>
      <c r="D32" s="27">
        <f t="shared" si="32"/>
        <v>4667.5109831843665</v>
      </c>
      <c r="E32" s="27">
        <f t="shared" si="33"/>
        <v>5070</v>
      </c>
      <c r="F32" s="20">
        <f t="shared" si="34"/>
        <v>0.9206136061507626</v>
      </c>
      <c r="G32" s="27">
        <f t="shared" si="35"/>
        <v>2139.6</v>
      </c>
      <c r="H32" s="23">
        <f t="shared" si="36"/>
        <v>1.8867724867724869</v>
      </c>
      <c r="I32" s="23">
        <f t="shared" si="37"/>
        <v>2.0999999999999999E-3</v>
      </c>
      <c r="J32" s="23">
        <f t="shared" si="38"/>
        <v>2</v>
      </c>
      <c r="K32" s="23">
        <f t="shared" si="39"/>
        <v>2.2297500000000001</v>
      </c>
      <c r="L32" s="20">
        <f t="shared" si="40"/>
        <v>0.84618118029935496</v>
      </c>
      <c r="M32" s="52"/>
      <c r="N32" s="52"/>
      <c r="O32" s="51"/>
      <c r="P32" s="50"/>
      <c r="Q32" s="50"/>
      <c r="R32" s="51"/>
    </row>
    <row r="33" spans="1:18">
      <c r="B33" s="19" t="str">
        <f t="shared" si="30"/>
        <v>F6短期最小</v>
      </c>
      <c r="C33" s="27">
        <f t="shared" si="31"/>
        <v>4.0500000000000001E-2</v>
      </c>
      <c r="D33" s="27">
        <f t="shared" si="32"/>
        <v>0.17502633498095779</v>
      </c>
      <c r="E33" s="27">
        <f t="shared" si="33"/>
        <v>5070</v>
      </c>
      <c r="F33" s="20">
        <f t="shared" si="34"/>
        <v>3.4521959562319092E-5</v>
      </c>
      <c r="G33" s="27">
        <f t="shared" si="35"/>
        <v>0.05</v>
      </c>
      <c r="H33" s="23">
        <f t="shared" si="36"/>
        <v>4.4091710758377421E-5</v>
      </c>
      <c r="I33" s="23">
        <f t="shared" si="37"/>
        <v>2.0999999999999999E-3</v>
      </c>
      <c r="J33" s="23">
        <f t="shared" si="38"/>
        <v>2</v>
      </c>
      <c r="K33" s="23">
        <f t="shared" si="39"/>
        <v>2.2297500000000001</v>
      </c>
      <c r="L33" s="20">
        <f t="shared" si="40"/>
        <v>1.9774284452686365E-5</v>
      </c>
      <c r="M33" s="52"/>
      <c r="N33" s="52"/>
      <c r="O33" s="51"/>
      <c r="P33" s="50"/>
      <c r="Q33" s="50"/>
      <c r="R33" s="51"/>
    </row>
    <row r="34" spans="1:18">
      <c r="C34" s="50"/>
      <c r="D34" s="50"/>
      <c r="E34" s="50"/>
      <c r="F34" s="51"/>
      <c r="G34" s="50"/>
      <c r="H34" s="52"/>
      <c r="I34" s="52"/>
      <c r="J34" s="52"/>
      <c r="K34" s="52"/>
      <c r="L34" s="51"/>
      <c r="M34" s="52"/>
      <c r="N34" s="52"/>
      <c r="O34" s="51"/>
      <c r="P34" s="50"/>
      <c r="Q34" s="50"/>
      <c r="R34" s="51"/>
    </row>
    <row r="35" spans="1:18">
      <c r="B35" s="63" t="s">
        <v>2</v>
      </c>
      <c r="C35" s="69" t="s">
        <v>178</v>
      </c>
      <c r="D35" s="69"/>
      <c r="E35" s="69"/>
      <c r="F35" s="69"/>
      <c r="G35" s="69"/>
      <c r="H35" s="69"/>
      <c r="I35" s="69"/>
      <c r="J35" s="69" t="s">
        <v>190</v>
      </c>
      <c r="K35" s="69"/>
      <c r="L35" s="69"/>
      <c r="M35" s="69"/>
      <c r="N35" s="69"/>
      <c r="O35" s="51"/>
      <c r="P35" s="50"/>
      <c r="Q35" s="50"/>
      <c r="R35" s="51"/>
    </row>
    <row r="36" spans="1:18" ht="39.6" customHeight="1">
      <c r="B36" s="70"/>
      <c r="C36" s="48" t="s">
        <v>181</v>
      </c>
      <c r="D36" s="48" t="s">
        <v>182</v>
      </c>
      <c r="E36" s="49" t="s">
        <v>180</v>
      </c>
      <c r="F36" s="30" t="s">
        <v>85</v>
      </c>
      <c r="G36" s="30" t="s">
        <v>89</v>
      </c>
      <c r="H36" s="64" t="s">
        <v>179</v>
      </c>
      <c r="I36" s="64"/>
      <c r="J36" s="44" t="s">
        <v>183</v>
      </c>
      <c r="K36" s="44" t="s">
        <v>184</v>
      </c>
      <c r="L36" s="44" t="s">
        <v>185</v>
      </c>
      <c r="M36" s="44" t="s">
        <v>189</v>
      </c>
      <c r="N36" s="46" t="s">
        <v>187</v>
      </c>
      <c r="O36" s="51"/>
      <c r="P36" s="50"/>
      <c r="Q36" s="50"/>
      <c r="R36" s="51"/>
    </row>
    <row r="37" spans="1:18">
      <c r="B37" s="4" t="str">
        <f>IF(ISBLANK(B25),"",B25)</f>
        <v>F8長期</v>
      </c>
      <c r="C37" s="22" t="str">
        <f>IF(ISBLANK(AF12),"",AF12)</f>
        <v/>
      </c>
      <c r="D37" s="22" t="str">
        <f t="shared" ref="D37:H45" si="41">IF(ISBLANK(AG12),"",AG12)</f>
        <v/>
      </c>
      <c r="E37" s="21" t="str">
        <f t="shared" si="41"/>
        <v/>
      </c>
      <c r="F37" s="26" t="str">
        <f t="shared" si="41"/>
        <v/>
      </c>
      <c r="G37" s="26" t="str">
        <f t="shared" si="41"/>
        <v/>
      </c>
      <c r="H37" s="65" t="str">
        <f t="shared" si="41"/>
        <v/>
      </c>
      <c r="I37" s="66"/>
      <c r="J37" s="26" t="str">
        <f>IF(ISBLANK(AL12),"",AL12)</f>
        <v/>
      </c>
      <c r="K37" s="26" t="str">
        <f t="shared" ref="K37:N45" si="42">IF(ISBLANK(AM12),"",AM12)</f>
        <v/>
      </c>
      <c r="L37" s="26" t="str">
        <f t="shared" si="42"/>
        <v/>
      </c>
      <c r="M37" s="26" t="str">
        <f t="shared" si="42"/>
        <v/>
      </c>
      <c r="N37" s="21" t="str">
        <f t="shared" si="42"/>
        <v/>
      </c>
      <c r="O37" s="51"/>
      <c r="P37" s="50"/>
      <c r="Q37" s="50"/>
      <c r="R37" s="51"/>
    </row>
    <row r="38" spans="1:18">
      <c r="B38" s="19" t="str">
        <f t="shared" ref="B38:B45" si="43">IF(ISBLANK(B26),"",B26)</f>
        <v>F8短期</v>
      </c>
      <c r="C38" s="23">
        <f t="shared" ref="C38:C45" si="44">IF(ISBLANK(AF13),"",AF13)</f>
        <v>0.28319161480956212</v>
      </c>
      <c r="D38" s="23">
        <f t="shared" si="41"/>
        <v>0.37333333333333335</v>
      </c>
      <c r="E38" s="20">
        <f t="shared" si="41"/>
        <v>0.75854896823989848</v>
      </c>
      <c r="F38" s="27">
        <f t="shared" si="41"/>
        <v>1006.7330000000002</v>
      </c>
      <c r="G38" s="27">
        <f t="shared" si="41"/>
        <v>3535.3500000000004</v>
      </c>
      <c r="H38" s="62">
        <f t="shared" si="41"/>
        <v>0.46864148311535481</v>
      </c>
      <c r="I38" s="62"/>
      <c r="J38" s="27">
        <f t="shared" ref="J38:J45" si="45">IF(ISBLANK(AL13),"",AL13)</f>
        <v>100</v>
      </c>
      <c r="K38" s="27">
        <f t="shared" si="42"/>
        <v>378</v>
      </c>
      <c r="L38" s="27">
        <f t="shared" si="42"/>
        <v>1400</v>
      </c>
      <c r="M38" s="27">
        <f t="shared" si="42"/>
        <v>0.26999999999999996</v>
      </c>
      <c r="N38" s="20">
        <f t="shared" si="42"/>
        <v>0.74074074074074092</v>
      </c>
      <c r="O38" s="51"/>
      <c r="P38" s="50"/>
      <c r="Q38" s="50"/>
      <c r="R38" s="51"/>
    </row>
    <row r="39" spans="1:18">
      <c r="B39" s="19" t="str">
        <f t="shared" si="43"/>
        <v>F8短期(上端)</v>
      </c>
      <c r="C39" s="23" t="str">
        <f t="shared" si="44"/>
        <v/>
      </c>
      <c r="D39" s="23" t="str">
        <f t="shared" si="41"/>
        <v/>
      </c>
      <c r="E39" s="20" t="str">
        <f t="shared" si="41"/>
        <v/>
      </c>
      <c r="F39" s="27" t="str">
        <f t="shared" si="41"/>
        <v/>
      </c>
      <c r="G39" s="27" t="str">
        <f t="shared" si="41"/>
        <v/>
      </c>
      <c r="H39" s="78" t="str">
        <f t="shared" si="41"/>
        <v/>
      </c>
      <c r="I39" s="79"/>
      <c r="J39" s="27" t="str">
        <f t="shared" si="45"/>
        <v/>
      </c>
      <c r="K39" s="27" t="str">
        <f t="shared" si="42"/>
        <v/>
      </c>
      <c r="L39" s="27" t="str">
        <f t="shared" si="42"/>
        <v/>
      </c>
      <c r="M39" s="27" t="str">
        <f t="shared" si="42"/>
        <v/>
      </c>
      <c r="N39" s="20" t="str">
        <f t="shared" si="42"/>
        <v/>
      </c>
      <c r="O39" s="51"/>
      <c r="P39" s="50"/>
      <c r="Q39" s="50"/>
      <c r="R39" s="51"/>
    </row>
    <row r="40" spans="1:18">
      <c r="B40" s="4" t="str">
        <f t="shared" si="43"/>
        <v>F7長期</v>
      </c>
      <c r="C40" s="22" t="str">
        <f t="shared" si="44"/>
        <v/>
      </c>
      <c r="D40" s="22" t="str">
        <f t="shared" si="41"/>
        <v/>
      </c>
      <c r="E40" s="21" t="str">
        <f t="shared" si="41"/>
        <v/>
      </c>
      <c r="F40" s="26" t="str">
        <f t="shared" si="41"/>
        <v/>
      </c>
      <c r="G40" s="26" t="str">
        <f t="shared" si="41"/>
        <v/>
      </c>
      <c r="H40" s="65" t="str">
        <f t="shared" si="41"/>
        <v/>
      </c>
      <c r="I40" s="66"/>
      <c r="J40" s="26" t="str">
        <f t="shared" si="45"/>
        <v/>
      </c>
      <c r="K40" s="26" t="str">
        <f t="shared" si="42"/>
        <v/>
      </c>
      <c r="L40" s="26" t="str">
        <f t="shared" si="42"/>
        <v/>
      </c>
      <c r="M40" s="26" t="str">
        <f t="shared" si="42"/>
        <v/>
      </c>
      <c r="N40" s="21" t="str">
        <f t="shared" si="42"/>
        <v/>
      </c>
      <c r="O40" s="51"/>
      <c r="P40" s="50"/>
      <c r="Q40" s="50"/>
      <c r="R40" s="51"/>
    </row>
    <row r="41" spans="1:18">
      <c r="B41" s="19" t="str">
        <f t="shared" si="43"/>
        <v>F7短期最大</v>
      </c>
      <c r="C41" s="23">
        <f t="shared" si="44"/>
        <v>0.22704993452447514</v>
      </c>
      <c r="D41" s="23">
        <f t="shared" si="41"/>
        <v>0.36923076923076925</v>
      </c>
      <c r="E41" s="20">
        <f t="shared" si="41"/>
        <v>0.61492690600378686</v>
      </c>
      <c r="F41" s="27">
        <f t="shared" si="41"/>
        <v>796.53599999999994</v>
      </c>
      <c r="G41" s="27">
        <f t="shared" si="41"/>
        <v>3030.3000000000006</v>
      </c>
      <c r="H41" s="62">
        <f t="shared" si="41"/>
        <v>0.99812147864414469</v>
      </c>
      <c r="I41" s="62"/>
      <c r="J41" s="27">
        <f t="shared" si="45"/>
        <v>100</v>
      </c>
      <c r="K41" s="27">
        <f t="shared" si="42"/>
        <v>252</v>
      </c>
      <c r="L41" s="27">
        <f t="shared" si="42"/>
        <v>1200</v>
      </c>
      <c r="M41" s="27">
        <f t="shared" si="42"/>
        <v>0.21</v>
      </c>
      <c r="N41" s="20">
        <f t="shared" si="42"/>
        <v>0.95238095238095244</v>
      </c>
      <c r="O41" s="51"/>
      <c r="P41" s="50"/>
      <c r="Q41" s="50"/>
      <c r="R41" s="51"/>
    </row>
    <row r="42" spans="1:18">
      <c r="B42" s="19" t="str">
        <f t="shared" si="43"/>
        <v>F7短期最小</v>
      </c>
      <c r="C42" s="23" t="str">
        <f t="shared" si="44"/>
        <v/>
      </c>
      <c r="D42" s="23" t="str">
        <f t="shared" si="41"/>
        <v/>
      </c>
      <c r="E42" s="20" t="str">
        <f t="shared" si="41"/>
        <v/>
      </c>
      <c r="F42" s="27" t="str">
        <f t="shared" si="41"/>
        <v/>
      </c>
      <c r="G42" s="27" t="str">
        <f t="shared" si="41"/>
        <v/>
      </c>
      <c r="H42" s="78" t="str">
        <f t="shared" si="41"/>
        <v/>
      </c>
      <c r="I42" s="79"/>
      <c r="J42" s="27" t="str">
        <f t="shared" si="45"/>
        <v/>
      </c>
      <c r="K42" s="27" t="str">
        <f t="shared" si="42"/>
        <v/>
      </c>
      <c r="L42" s="27" t="str">
        <f t="shared" si="42"/>
        <v/>
      </c>
      <c r="M42" s="27" t="str">
        <f t="shared" si="42"/>
        <v/>
      </c>
      <c r="N42" s="20" t="str">
        <f t="shared" si="42"/>
        <v/>
      </c>
      <c r="O42" s="51"/>
      <c r="P42" s="50"/>
      <c r="Q42" s="50"/>
      <c r="R42" s="51"/>
    </row>
    <row r="43" spans="1:18">
      <c r="B43" s="4" t="str">
        <f t="shared" si="43"/>
        <v>F6長期</v>
      </c>
      <c r="C43" s="22" t="str">
        <f t="shared" si="44"/>
        <v/>
      </c>
      <c r="D43" s="22" t="str">
        <f t="shared" si="41"/>
        <v/>
      </c>
      <c r="E43" s="21" t="str">
        <f t="shared" si="41"/>
        <v/>
      </c>
      <c r="F43" s="26" t="str">
        <f t="shared" si="41"/>
        <v/>
      </c>
      <c r="G43" s="26" t="str">
        <f t="shared" si="41"/>
        <v/>
      </c>
      <c r="H43" s="65" t="str">
        <f t="shared" si="41"/>
        <v/>
      </c>
      <c r="I43" s="66"/>
      <c r="J43" s="26" t="str">
        <f t="shared" si="45"/>
        <v/>
      </c>
      <c r="K43" s="26" t="str">
        <f t="shared" si="42"/>
        <v/>
      </c>
      <c r="L43" s="26" t="str">
        <f t="shared" si="42"/>
        <v/>
      </c>
      <c r="M43" s="26" t="str">
        <f t="shared" si="42"/>
        <v/>
      </c>
      <c r="N43" s="21" t="str">
        <f t="shared" si="42"/>
        <v/>
      </c>
      <c r="O43" s="51"/>
      <c r="P43" s="50"/>
      <c r="Q43" s="50"/>
      <c r="R43" s="51"/>
    </row>
    <row r="44" spans="1:18">
      <c r="B44" s="19" t="str">
        <f t="shared" si="43"/>
        <v>F6短期最大</v>
      </c>
      <c r="C44" s="23">
        <f t="shared" si="44"/>
        <v>0.28850437026420078</v>
      </c>
      <c r="D44" s="23">
        <f t="shared" si="41"/>
        <v>0.36923076923076925</v>
      </c>
      <c r="E44" s="20">
        <f t="shared" si="41"/>
        <v>0.78136600279887702</v>
      </c>
      <c r="F44" s="27">
        <f t="shared" si="41"/>
        <v>796.53599999999994</v>
      </c>
      <c r="G44" s="27">
        <f t="shared" si="41"/>
        <v>3030.3000000000006</v>
      </c>
      <c r="H44" s="62">
        <f t="shared" si="41"/>
        <v>0.89256292909490109</v>
      </c>
      <c r="I44" s="62"/>
      <c r="J44" s="27">
        <f t="shared" si="45"/>
        <v>100</v>
      </c>
      <c r="K44" s="27">
        <f t="shared" si="42"/>
        <v>252</v>
      </c>
      <c r="L44" s="27">
        <f t="shared" si="42"/>
        <v>1200</v>
      </c>
      <c r="M44" s="27">
        <f t="shared" si="42"/>
        <v>0.21</v>
      </c>
      <c r="N44" s="20">
        <f t="shared" si="42"/>
        <v>0.95238095238095244</v>
      </c>
      <c r="O44" s="51"/>
      <c r="P44" s="50"/>
      <c r="Q44" s="50"/>
      <c r="R44" s="51"/>
    </row>
    <row r="45" spans="1:18">
      <c r="B45" s="19" t="str">
        <f t="shared" si="43"/>
        <v>F6短期最小</v>
      </c>
      <c r="C45" s="23" t="str">
        <f t="shared" si="44"/>
        <v/>
      </c>
      <c r="D45" s="23" t="str">
        <f t="shared" si="41"/>
        <v/>
      </c>
      <c r="E45" s="20" t="str">
        <f t="shared" si="41"/>
        <v/>
      </c>
      <c r="F45" s="27" t="str">
        <f t="shared" si="41"/>
        <v/>
      </c>
      <c r="G45" s="27" t="str">
        <f t="shared" si="41"/>
        <v/>
      </c>
      <c r="H45" s="78" t="str">
        <f t="shared" si="41"/>
        <v/>
      </c>
      <c r="I45" s="79"/>
      <c r="J45" s="27" t="str">
        <f t="shared" si="45"/>
        <v/>
      </c>
      <c r="K45" s="27" t="str">
        <f t="shared" si="42"/>
        <v/>
      </c>
      <c r="L45" s="27" t="str">
        <f t="shared" si="42"/>
        <v/>
      </c>
      <c r="M45" s="27" t="str">
        <f t="shared" si="42"/>
        <v/>
      </c>
      <c r="N45" s="20" t="str">
        <f t="shared" si="42"/>
        <v/>
      </c>
      <c r="O45" s="51"/>
      <c r="P45" s="50"/>
      <c r="Q45" s="50"/>
      <c r="R45" s="51"/>
    </row>
    <row r="46" spans="1:18" ht="13.2" customHeight="1"/>
    <row r="47" spans="1:18" ht="13.2" customHeight="1"/>
    <row r="48" spans="1:18" ht="13.2" customHeight="1">
      <c r="A48" s="58"/>
      <c r="B48" s="61" t="s">
        <v>133</v>
      </c>
      <c r="C48" s="61" t="s">
        <v>134</v>
      </c>
      <c r="D48" s="61" t="s">
        <v>135</v>
      </c>
      <c r="E48" s="61" t="s">
        <v>136</v>
      </c>
      <c r="F48" s="60" t="s">
        <v>156</v>
      </c>
      <c r="G48" s="61" t="s">
        <v>135</v>
      </c>
      <c r="H48" s="61" t="s">
        <v>136</v>
      </c>
      <c r="I48" s="60" t="s">
        <v>157</v>
      </c>
      <c r="J48" s="61" t="s">
        <v>135</v>
      </c>
      <c r="K48" s="61" t="s">
        <v>136</v>
      </c>
      <c r="L48" s="60" t="s">
        <v>158</v>
      </c>
    </row>
    <row r="49" spans="1:41">
      <c r="A49" s="58"/>
      <c r="B49" s="61"/>
      <c r="C49" s="61"/>
      <c r="D49" s="61"/>
      <c r="E49" s="61"/>
      <c r="F49" s="61"/>
      <c r="G49" s="61"/>
      <c r="H49" s="61"/>
      <c r="I49" s="61"/>
      <c r="J49" s="61"/>
      <c r="K49" s="61"/>
      <c r="L49" s="61"/>
    </row>
    <row r="50" spans="1:41">
      <c r="B50" s="15" t="s">
        <v>70</v>
      </c>
      <c r="C50" s="15" t="s">
        <v>70</v>
      </c>
      <c r="D50" s="15" t="s">
        <v>137</v>
      </c>
      <c r="E50" s="15" t="s">
        <v>138</v>
      </c>
      <c r="F50" s="15">
        <v>1101</v>
      </c>
      <c r="G50" s="15" t="s">
        <v>137</v>
      </c>
      <c r="H50" s="15" t="s">
        <v>138</v>
      </c>
      <c r="I50" s="15">
        <v>1676.5</v>
      </c>
      <c r="J50" s="15" t="s">
        <v>137</v>
      </c>
      <c r="K50" s="15" t="s">
        <v>138</v>
      </c>
      <c r="L50" s="15">
        <v>952.5</v>
      </c>
    </row>
    <row r="51" spans="1:41">
      <c r="B51" s="15" t="s">
        <v>71</v>
      </c>
      <c r="C51" s="15" t="s">
        <v>71</v>
      </c>
      <c r="D51" s="15" t="s">
        <v>140</v>
      </c>
      <c r="E51" s="15" t="s">
        <v>191</v>
      </c>
      <c r="F51" s="15">
        <v>1510.5</v>
      </c>
      <c r="G51" s="15" t="s">
        <v>140</v>
      </c>
      <c r="H51" s="15" t="s">
        <v>141</v>
      </c>
      <c r="I51" s="15">
        <v>2605.1999999999998</v>
      </c>
      <c r="J51" s="15" t="s">
        <v>140</v>
      </c>
      <c r="K51" s="15" t="s">
        <v>141</v>
      </c>
      <c r="L51" s="15">
        <v>1258.5</v>
      </c>
    </row>
    <row r="52" spans="1:41" ht="13.2" customHeight="1">
      <c r="B52" s="15" t="s">
        <v>90</v>
      </c>
      <c r="C52" s="15" t="s">
        <v>142</v>
      </c>
      <c r="D52" s="15" t="s">
        <v>137</v>
      </c>
      <c r="E52" s="15" t="s">
        <v>143</v>
      </c>
      <c r="F52" s="15">
        <v>1975.3</v>
      </c>
      <c r="G52" s="15" t="s">
        <v>144</v>
      </c>
      <c r="H52" s="15" t="s">
        <v>145</v>
      </c>
      <c r="I52" s="15">
        <v>2950.2</v>
      </c>
      <c r="J52" s="15" t="s">
        <v>137</v>
      </c>
      <c r="K52" s="15" t="s">
        <v>143</v>
      </c>
      <c r="L52" s="15">
        <v>1761.8999999999999</v>
      </c>
    </row>
    <row r="53" spans="1:41" ht="13.2" customHeight="1">
      <c r="B53" s="15" t="s">
        <v>91</v>
      </c>
      <c r="C53" s="15" t="s">
        <v>146</v>
      </c>
      <c r="D53" s="15" t="s">
        <v>147</v>
      </c>
      <c r="E53" s="15" t="s">
        <v>148</v>
      </c>
      <c r="F53" s="15">
        <v>1539.6</v>
      </c>
      <c r="G53" s="15" t="s">
        <v>149</v>
      </c>
      <c r="H53" s="15" t="s">
        <v>150</v>
      </c>
      <c r="I53" s="15">
        <v>3141.6</v>
      </c>
      <c r="J53" s="15" t="s">
        <v>140</v>
      </c>
      <c r="K53" s="15" t="s">
        <v>151</v>
      </c>
      <c r="L53" s="15">
        <v>264</v>
      </c>
    </row>
    <row r="54" spans="1:41" ht="13.2" customHeight="1">
      <c r="B54" s="15" t="s">
        <v>72</v>
      </c>
      <c r="C54" s="15" t="s">
        <v>72</v>
      </c>
      <c r="D54" s="15" t="s">
        <v>152</v>
      </c>
      <c r="E54" s="15" t="s">
        <v>139</v>
      </c>
      <c r="F54" s="15">
        <v>1951.8</v>
      </c>
      <c r="G54" s="15" t="s">
        <v>152</v>
      </c>
      <c r="H54" s="15" t="s">
        <v>139</v>
      </c>
      <c r="I54" s="15">
        <v>4075</v>
      </c>
      <c r="J54" s="15" t="s">
        <v>152</v>
      </c>
      <c r="K54" s="15" t="s">
        <v>139</v>
      </c>
      <c r="L54" s="15">
        <v>-235.29999999999995</v>
      </c>
    </row>
    <row r="55" spans="1:41" ht="13.2" customHeight="1">
      <c r="B55" s="15" t="s">
        <v>92</v>
      </c>
      <c r="C55" s="15" t="s">
        <v>153</v>
      </c>
      <c r="D55" s="15" t="s">
        <v>147</v>
      </c>
      <c r="E55" s="15" t="s">
        <v>141</v>
      </c>
      <c r="F55" s="15">
        <v>2753.4</v>
      </c>
      <c r="G55" s="15" t="s">
        <v>147</v>
      </c>
      <c r="H55" s="15" t="s">
        <v>141</v>
      </c>
      <c r="I55" s="15">
        <v>4279.2</v>
      </c>
      <c r="J55" s="15" t="s">
        <v>154</v>
      </c>
      <c r="K55" s="15" t="s">
        <v>138</v>
      </c>
      <c r="L55" s="15">
        <v>2294.7999999999997</v>
      </c>
    </row>
    <row r="56" spans="1:41" ht="13.2" customHeight="1">
      <c r="B56" s="15" t="s">
        <v>93</v>
      </c>
      <c r="C56" s="15" t="s">
        <v>155</v>
      </c>
      <c r="D56" s="15" t="s">
        <v>147</v>
      </c>
      <c r="E56" s="15" t="s">
        <v>145</v>
      </c>
      <c r="F56" s="15">
        <v>3352.5</v>
      </c>
      <c r="G56" s="15" t="s">
        <v>152</v>
      </c>
      <c r="H56" s="15" t="s">
        <v>141</v>
      </c>
      <c r="I56" s="15">
        <v>4710.5</v>
      </c>
      <c r="J56" s="15" t="s">
        <v>147</v>
      </c>
      <c r="K56" s="15" t="s">
        <v>150</v>
      </c>
      <c r="L56" s="15">
        <v>2505.4</v>
      </c>
    </row>
    <row r="57" spans="1:41" ht="13.2" customHeight="1">
      <c r="B57" s="15" t="s">
        <v>94</v>
      </c>
      <c r="C57" s="15" t="s">
        <v>94</v>
      </c>
      <c r="D57" s="15" t="s">
        <v>149</v>
      </c>
      <c r="E57" s="15" t="s">
        <v>138</v>
      </c>
      <c r="F57" s="15">
        <v>3102.3</v>
      </c>
      <c r="G57" s="15" t="s">
        <v>149</v>
      </c>
      <c r="H57" s="15" t="s">
        <v>138</v>
      </c>
      <c r="I57" s="15">
        <v>3331.3</v>
      </c>
      <c r="J57" s="15" t="s">
        <v>149</v>
      </c>
      <c r="K57" s="15" t="s">
        <v>138</v>
      </c>
      <c r="L57" s="15">
        <v>2660.8</v>
      </c>
    </row>
    <row r="58" spans="1:41" ht="13.2" customHeight="1">
      <c r="AL58"/>
      <c r="AM58"/>
      <c r="AN58"/>
      <c r="AO58"/>
    </row>
    <row r="59" spans="1:41" ht="13.2" customHeight="1">
      <c r="B59" s="1" t="s">
        <v>122</v>
      </c>
      <c r="AL59"/>
      <c r="AM59"/>
      <c r="AN59"/>
      <c r="AO59"/>
    </row>
    <row r="60" spans="1:41" ht="13.2" customHeight="1">
      <c r="B60" s="1" t="s">
        <v>167</v>
      </c>
      <c r="AL60" s="6"/>
      <c r="AM60"/>
      <c r="AN60"/>
      <c r="AO60"/>
    </row>
    <row r="61" spans="1:41" ht="13.2" customHeight="1">
      <c r="B61" s="67" t="s">
        <v>2</v>
      </c>
      <c r="C61" s="11" t="s">
        <v>98</v>
      </c>
      <c r="D61" s="11" t="s">
        <v>99</v>
      </c>
      <c r="E61" s="11" t="s">
        <v>101</v>
      </c>
      <c r="F61" s="11" t="s">
        <v>104</v>
      </c>
      <c r="G61" s="11" t="s">
        <v>106</v>
      </c>
      <c r="H61" s="11" t="s">
        <v>108</v>
      </c>
      <c r="I61" s="11" t="s">
        <v>120</v>
      </c>
      <c r="J61" s="11" t="s">
        <v>103</v>
      </c>
      <c r="K61" s="11" t="s">
        <v>113</v>
      </c>
      <c r="L61" s="1" t="s">
        <v>124</v>
      </c>
      <c r="N61" s="1" t="s">
        <v>126</v>
      </c>
      <c r="P61" s="1" t="s">
        <v>103</v>
      </c>
      <c r="Q61" s="1" t="s">
        <v>113</v>
      </c>
      <c r="R61" s="1" t="s">
        <v>116</v>
      </c>
      <c r="S61" s="1" t="s">
        <v>118</v>
      </c>
      <c r="AL61"/>
      <c r="AM61"/>
      <c r="AN61"/>
      <c r="AO61"/>
    </row>
    <row r="62" spans="1:41" ht="13.2" customHeight="1">
      <c r="B62" s="68"/>
      <c r="C62" s="17" t="s">
        <v>110</v>
      </c>
      <c r="D62" s="17" t="s">
        <v>100</v>
      </c>
      <c r="E62" s="17" t="s">
        <v>102</v>
      </c>
      <c r="F62" s="17" t="s">
        <v>105</v>
      </c>
      <c r="G62" s="17" t="s">
        <v>107</v>
      </c>
      <c r="H62" s="17" t="s">
        <v>109</v>
      </c>
      <c r="I62" s="17" t="s">
        <v>121</v>
      </c>
      <c r="J62" s="17" t="s">
        <v>111</v>
      </c>
      <c r="K62" s="17" t="s">
        <v>111</v>
      </c>
      <c r="L62" s="33" t="s">
        <v>168</v>
      </c>
      <c r="M62" s="1" t="s">
        <v>115</v>
      </c>
      <c r="N62" s="1" t="s">
        <v>125</v>
      </c>
      <c r="O62" s="1" t="s">
        <v>112</v>
      </c>
      <c r="P62" s="1" t="s">
        <v>114</v>
      </c>
      <c r="Q62" s="1" t="s">
        <v>114</v>
      </c>
      <c r="R62" s="1" t="s">
        <v>117</v>
      </c>
      <c r="S62" s="1" t="s">
        <v>119</v>
      </c>
      <c r="AL62"/>
      <c r="AM62"/>
      <c r="AN62"/>
      <c r="AO62"/>
    </row>
    <row r="63" spans="1:41" ht="13.2" customHeight="1">
      <c r="B63" s="9" t="str">
        <f>B50</f>
        <v>F1</v>
      </c>
      <c r="C63" s="24">
        <v>1</v>
      </c>
      <c r="D63" s="24">
        <v>500</v>
      </c>
      <c r="E63" s="28">
        <v>1200</v>
      </c>
      <c r="F63" s="28">
        <f>F50</f>
        <v>1101</v>
      </c>
      <c r="G63" s="28">
        <f>I50</f>
        <v>1676.5</v>
      </c>
      <c r="H63" s="28">
        <f>F63/C63</f>
        <v>1101</v>
      </c>
      <c r="I63" s="28">
        <f>G63/C63</f>
        <v>1676.5</v>
      </c>
      <c r="J63" s="24">
        <f>$C$2</f>
        <v>0.74</v>
      </c>
      <c r="K63" s="24">
        <f>$I$2</f>
        <v>1.1100000000000001</v>
      </c>
      <c r="L63" s="1">
        <f>1200*4</f>
        <v>4800</v>
      </c>
      <c r="M63" s="18">
        <f t="shared" ref="M63:M70" si="46">PI()*(D63+E63)</f>
        <v>5340.7075111026479</v>
      </c>
      <c r="N63" s="18">
        <f>MIN(L63,M63)</f>
        <v>4800</v>
      </c>
      <c r="O63" s="18">
        <f t="shared" ref="O63:O70" si="47">E63*7/8</f>
        <v>1050</v>
      </c>
      <c r="P63" s="18">
        <f>1.5*$N$63*$O$63*J63/1000</f>
        <v>5594.4</v>
      </c>
      <c r="Q63" s="18">
        <f>1.5*$N$63*$O$63*K63/1000</f>
        <v>8391.6</v>
      </c>
      <c r="R63" s="18">
        <f t="shared" ref="R63:R70" si="48">F63/P63</f>
        <v>0.19680394680394681</v>
      </c>
      <c r="S63" s="18">
        <f t="shared" ref="S63:S70" si="49">H63/Q63</f>
        <v>0.1312026312026312</v>
      </c>
      <c r="AL63" s="5"/>
      <c r="AM63" s="5"/>
      <c r="AN63" s="5"/>
      <c r="AO63" s="5"/>
    </row>
    <row r="64" spans="1:41" ht="13.2" customHeight="1">
      <c r="B64" s="9" t="str">
        <f t="shared" ref="B64:B69" si="50">B51</f>
        <v>F2</v>
      </c>
      <c r="C64" s="25">
        <v>1</v>
      </c>
      <c r="D64" s="25">
        <v>600</v>
      </c>
      <c r="E64" s="29">
        <v>1200</v>
      </c>
      <c r="F64" s="28">
        <f t="shared" ref="F64:F70" si="51">F51</f>
        <v>1510.5</v>
      </c>
      <c r="G64" s="28">
        <f t="shared" ref="G64:G70" si="52">I51</f>
        <v>2605.1999999999998</v>
      </c>
      <c r="H64" s="29">
        <f t="shared" ref="H64:H70" si="53">F64/C64</f>
        <v>1510.5</v>
      </c>
      <c r="I64" s="29">
        <f t="shared" ref="I64:I70" si="54">G64/C64</f>
        <v>2605.1999999999998</v>
      </c>
      <c r="J64" s="25">
        <f t="shared" ref="J64:J70" si="55">$C$2</f>
        <v>0.74</v>
      </c>
      <c r="K64" s="25">
        <f t="shared" ref="K64:K70" si="56">$I$2</f>
        <v>1.1100000000000001</v>
      </c>
      <c r="L64" s="1">
        <f>1200*4</f>
        <v>4800</v>
      </c>
      <c r="M64" s="18">
        <f t="shared" si="46"/>
        <v>5654.8667764616275</v>
      </c>
      <c r="N64" s="18">
        <f t="shared" ref="N64:N70" si="57">MIN(L64,M64)</f>
        <v>4800</v>
      </c>
      <c r="O64" s="18">
        <f t="shared" si="47"/>
        <v>1050</v>
      </c>
      <c r="P64" s="18">
        <f t="shared" ref="P64:P69" si="58">1.5*$N$63*$O$63*J64/1000</f>
        <v>5594.4</v>
      </c>
      <c r="Q64" s="18">
        <f t="shared" ref="Q64:Q70" si="59">1.5*$N$63*$O$63*K64/1000</f>
        <v>8391.6</v>
      </c>
      <c r="R64" s="18">
        <f t="shared" si="48"/>
        <v>0.27000214500214503</v>
      </c>
      <c r="S64" s="18">
        <f t="shared" si="49"/>
        <v>0.18000143000142999</v>
      </c>
      <c r="AL64" s="5"/>
      <c r="AM64" s="5"/>
      <c r="AN64" s="5"/>
      <c r="AO64" s="5"/>
    </row>
    <row r="65" spans="2:41" ht="13.2" customHeight="1">
      <c r="B65" s="9" t="str">
        <f t="shared" si="50"/>
        <v>F3/F3B/F3C/F3D</v>
      </c>
      <c r="C65" s="25">
        <v>1</v>
      </c>
      <c r="D65" s="25">
        <v>700</v>
      </c>
      <c r="E65" s="29">
        <v>1200</v>
      </c>
      <c r="F65" s="28">
        <f t="shared" si="51"/>
        <v>1975.3</v>
      </c>
      <c r="G65" s="28">
        <f t="shared" si="52"/>
        <v>2950.2</v>
      </c>
      <c r="H65" s="29">
        <f t="shared" si="53"/>
        <v>1975.3</v>
      </c>
      <c r="I65" s="29">
        <f t="shared" si="54"/>
        <v>2950.2</v>
      </c>
      <c r="J65" s="25">
        <f t="shared" si="55"/>
        <v>0.74</v>
      </c>
      <c r="K65" s="25">
        <f t="shared" si="56"/>
        <v>1.1100000000000001</v>
      </c>
      <c r="L65" s="1">
        <f>1400*4</f>
        <v>5600</v>
      </c>
      <c r="M65" s="18">
        <f t="shared" si="46"/>
        <v>5969.0260418206071</v>
      </c>
      <c r="N65" s="18">
        <f t="shared" si="57"/>
        <v>5600</v>
      </c>
      <c r="O65" s="18">
        <f t="shared" si="47"/>
        <v>1050</v>
      </c>
      <c r="P65" s="18">
        <f t="shared" si="58"/>
        <v>5594.4</v>
      </c>
      <c r="Q65" s="18">
        <f t="shared" si="59"/>
        <v>8391.6</v>
      </c>
      <c r="R65" s="18">
        <f t="shared" si="48"/>
        <v>0.35308522808522808</v>
      </c>
      <c r="S65" s="18">
        <f t="shared" si="49"/>
        <v>0.23539015205681871</v>
      </c>
      <c r="AL65" s="5"/>
      <c r="AM65" s="5"/>
      <c r="AN65" s="5"/>
      <c r="AO65" s="5"/>
    </row>
    <row r="66" spans="2:41" ht="13.2" customHeight="1">
      <c r="B66" s="9" t="str">
        <f t="shared" si="50"/>
        <v>F4/F4D</v>
      </c>
      <c r="C66" s="25">
        <v>1</v>
      </c>
      <c r="D66" s="25">
        <v>600</v>
      </c>
      <c r="E66" s="29">
        <v>1200</v>
      </c>
      <c r="F66" s="28">
        <f t="shared" si="51"/>
        <v>1539.6</v>
      </c>
      <c r="G66" s="28">
        <f t="shared" si="52"/>
        <v>3141.6</v>
      </c>
      <c r="H66" s="29">
        <f t="shared" si="53"/>
        <v>1539.6</v>
      </c>
      <c r="I66" s="29">
        <f t="shared" si="54"/>
        <v>3141.6</v>
      </c>
      <c r="J66" s="25">
        <f t="shared" si="55"/>
        <v>0.74</v>
      </c>
      <c r="K66" s="25">
        <f t="shared" si="56"/>
        <v>1.1100000000000001</v>
      </c>
      <c r="L66" s="1">
        <f>1600*4</f>
        <v>6400</v>
      </c>
      <c r="M66" s="18">
        <f t="shared" si="46"/>
        <v>5654.8667764616275</v>
      </c>
      <c r="N66" s="18">
        <f t="shared" si="57"/>
        <v>5654.8667764616275</v>
      </c>
      <c r="O66" s="18">
        <f t="shared" si="47"/>
        <v>1050</v>
      </c>
      <c r="P66" s="18">
        <f t="shared" si="58"/>
        <v>5594.4</v>
      </c>
      <c r="Q66" s="18">
        <f t="shared" si="59"/>
        <v>8391.6</v>
      </c>
      <c r="R66" s="18">
        <f t="shared" si="48"/>
        <v>0.2752037752037752</v>
      </c>
      <c r="S66" s="18">
        <f t="shared" si="49"/>
        <v>0.18346918346918345</v>
      </c>
      <c r="AL66" s="5"/>
      <c r="AM66" s="5"/>
      <c r="AN66" s="5"/>
      <c r="AO66" s="5"/>
    </row>
    <row r="67" spans="2:41" ht="13.2" customHeight="1">
      <c r="B67" s="9" t="str">
        <f t="shared" si="50"/>
        <v>F5</v>
      </c>
      <c r="C67" s="25">
        <v>1</v>
      </c>
      <c r="D67" s="25">
        <v>700</v>
      </c>
      <c r="E67" s="29">
        <v>1200</v>
      </c>
      <c r="F67" s="28">
        <f t="shared" si="51"/>
        <v>1951.8</v>
      </c>
      <c r="G67" s="28">
        <f t="shared" si="52"/>
        <v>4075</v>
      </c>
      <c r="H67" s="29">
        <f t="shared" si="53"/>
        <v>1951.8</v>
      </c>
      <c r="I67" s="29">
        <f t="shared" si="54"/>
        <v>4075</v>
      </c>
      <c r="J67" s="25">
        <f t="shared" si="55"/>
        <v>0.74</v>
      </c>
      <c r="K67" s="25">
        <f t="shared" si="56"/>
        <v>1.1100000000000001</v>
      </c>
      <c r="L67" s="1">
        <f>1800*4</f>
        <v>7200</v>
      </c>
      <c r="M67" s="18">
        <f t="shared" si="46"/>
        <v>5969.0260418206071</v>
      </c>
      <c r="N67" s="18">
        <f t="shared" si="57"/>
        <v>5969.0260418206071</v>
      </c>
      <c r="O67" s="18">
        <f t="shared" si="47"/>
        <v>1050</v>
      </c>
      <c r="P67" s="18">
        <f t="shared" si="58"/>
        <v>5594.4</v>
      </c>
      <c r="Q67" s="18">
        <f t="shared" si="59"/>
        <v>8391.6</v>
      </c>
      <c r="R67" s="18">
        <f t="shared" si="48"/>
        <v>0.34888459888459888</v>
      </c>
      <c r="S67" s="18">
        <f t="shared" si="49"/>
        <v>0.23258973258973256</v>
      </c>
      <c r="AL67" s="5"/>
      <c r="AM67" s="5"/>
      <c r="AN67" s="5"/>
      <c r="AO67" s="5"/>
    </row>
    <row r="68" spans="2:41" ht="13.2" customHeight="1">
      <c r="B68" s="9" t="str">
        <f t="shared" si="50"/>
        <v>F6/F6D</v>
      </c>
      <c r="C68" s="25">
        <v>2</v>
      </c>
      <c r="D68" s="25">
        <v>500</v>
      </c>
      <c r="E68" s="29">
        <v>1200</v>
      </c>
      <c r="F68" s="28">
        <f t="shared" si="51"/>
        <v>2753.4</v>
      </c>
      <c r="G68" s="28">
        <f t="shared" si="52"/>
        <v>4279.2</v>
      </c>
      <c r="H68" s="29">
        <f t="shared" si="53"/>
        <v>1376.7</v>
      </c>
      <c r="I68" s="29">
        <f t="shared" si="54"/>
        <v>2139.6</v>
      </c>
      <c r="J68" s="25">
        <f t="shared" si="55"/>
        <v>0.74</v>
      </c>
      <c r="K68" s="25">
        <f t="shared" si="56"/>
        <v>1.1100000000000001</v>
      </c>
      <c r="L68" s="1">
        <f>1200*4</f>
        <v>4800</v>
      </c>
      <c r="M68" s="18">
        <f t="shared" si="46"/>
        <v>5340.7075111026479</v>
      </c>
      <c r="N68" s="18">
        <f t="shared" si="57"/>
        <v>4800</v>
      </c>
      <c r="O68" s="18">
        <f t="shared" si="47"/>
        <v>1050</v>
      </c>
      <c r="P68" s="18">
        <f t="shared" si="58"/>
        <v>5594.4</v>
      </c>
      <c r="Q68" s="18">
        <f t="shared" si="59"/>
        <v>8391.6</v>
      </c>
      <c r="R68" s="18">
        <f t="shared" si="48"/>
        <v>0.49217074217074219</v>
      </c>
      <c r="S68" s="18">
        <f t="shared" si="49"/>
        <v>0.16405691405691405</v>
      </c>
      <c r="AL68" s="5"/>
      <c r="AM68" s="5"/>
      <c r="AN68" s="5"/>
      <c r="AO68" s="5"/>
    </row>
    <row r="69" spans="2:41" ht="13.2" customHeight="1">
      <c r="B69" s="9" t="str">
        <f t="shared" si="50"/>
        <v>F7/F7D</v>
      </c>
      <c r="C69" s="25">
        <v>2</v>
      </c>
      <c r="D69" s="25">
        <v>600</v>
      </c>
      <c r="E69" s="29">
        <v>1200</v>
      </c>
      <c r="F69" s="28">
        <f t="shared" si="51"/>
        <v>3352.5</v>
      </c>
      <c r="G69" s="28">
        <f t="shared" si="52"/>
        <v>4710.5</v>
      </c>
      <c r="H69" s="29">
        <f t="shared" si="53"/>
        <v>1676.25</v>
      </c>
      <c r="I69" s="29">
        <f t="shared" si="54"/>
        <v>2355.25</v>
      </c>
      <c r="J69" s="25">
        <f t="shared" si="55"/>
        <v>0.74</v>
      </c>
      <c r="K69" s="25">
        <f t="shared" si="56"/>
        <v>1.1100000000000001</v>
      </c>
      <c r="L69" s="1">
        <f>1200*4</f>
        <v>4800</v>
      </c>
      <c r="M69" s="18">
        <f t="shared" si="46"/>
        <v>5654.8667764616275</v>
      </c>
      <c r="N69" s="18">
        <f t="shared" si="57"/>
        <v>4800</v>
      </c>
      <c r="O69" s="18">
        <f t="shared" si="47"/>
        <v>1050</v>
      </c>
      <c r="P69" s="18">
        <f t="shared" si="58"/>
        <v>5594.4</v>
      </c>
      <c r="Q69" s="18">
        <f t="shared" si="59"/>
        <v>8391.6</v>
      </c>
      <c r="R69" s="18">
        <f t="shared" si="48"/>
        <v>0.59925997425997435</v>
      </c>
      <c r="S69" s="18">
        <f t="shared" si="49"/>
        <v>0.19975332475332475</v>
      </c>
      <c r="AL69" s="5"/>
      <c r="AM69" s="5"/>
      <c r="AN69" s="5"/>
      <c r="AO69" s="5"/>
    </row>
    <row r="70" spans="2:41" ht="13.2" customHeight="1">
      <c r="B70" s="9" t="str">
        <f>B57</f>
        <v>F8</v>
      </c>
      <c r="C70" s="25">
        <v>2</v>
      </c>
      <c r="D70" s="25">
        <v>700</v>
      </c>
      <c r="E70" s="29">
        <v>1200</v>
      </c>
      <c r="F70" s="28">
        <f t="shared" si="51"/>
        <v>3102.3</v>
      </c>
      <c r="G70" s="28">
        <f t="shared" si="52"/>
        <v>3331.3</v>
      </c>
      <c r="H70" s="29">
        <f t="shared" si="53"/>
        <v>1551.15</v>
      </c>
      <c r="I70" s="29">
        <f t="shared" si="54"/>
        <v>1665.65</v>
      </c>
      <c r="J70" s="25">
        <f t="shared" si="55"/>
        <v>0.74</v>
      </c>
      <c r="K70" s="25">
        <f t="shared" si="56"/>
        <v>1.1100000000000001</v>
      </c>
      <c r="L70" s="1">
        <f>1400*4</f>
        <v>5600</v>
      </c>
      <c r="M70" s="18">
        <f t="shared" si="46"/>
        <v>5969.0260418206071</v>
      </c>
      <c r="N70" s="18">
        <f t="shared" si="57"/>
        <v>5600</v>
      </c>
      <c r="O70" s="18">
        <f t="shared" si="47"/>
        <v>1050</v>
      </c>
      <c r="P70" s="18">
        <f>1.5*$N$63*$O$63*J70/1000</f>
        <v>5594.4</v>
      </c>
      <c r="Q70" s="18">
        <f t="shared" si="59"/>
        <v>8391.6</v>
      </c>
      <c r="R70" s="18">
        <f t="shared" si="48"/>
        <v>0.55453667953667962</v>
      </c>
      <c r="S70" s="18">
        <f t="shared" si="49"/>
        <v>0.18484555984555984</v>
      </c>
      <c r="AL70" s="5"/>
      <c r="AM70" s="5"/>
      <c r="AN70" s="5"/>
      <c r="AO70" s="5"/>
    </row>
    <row r="71" spans="2:41" ht="13.2" customHeight="1">
      <c r="AL71" s="5"/>
      <c r="AM71" s="5"/>
      <c r="AN71" s="5"/>
      <c r="AO71" s="5"/>
    </row>
    <row r="72" spans="2:41" ht="13.2" customHeight="1">
      <c r="B72" s="1" t="s">
        <v>123</v>
      </c>
      <c r="AL72" s="5"/>
      <c r="AM72" s="5"/>
      <c r="AN72" s="5"/>
      <c r="AO72" s="5"/>
    </row>
    <row r="73" spans="2:41" ht="13.2" customHeight="1">
      <c r="AL73" s="5"/>
      <c r="AM73" s="5"/>
      <c r="AN73" s="5"/>
      <c r="AO73" s="5"/>
    </row>
    <row r="74" spans="2:41" ht="13.2" customHeight="1">
      <c r="B74" s="67" t="str">
        <f>IF(ISBLANK(B61),"",B61)</f>
        <v>記号</v>
      </c>
      <c r="C74" s="34" t="s">
        <v>124</v>
      </c>
      <c r="D74" s="13"/>
      <c r="E74" s="35" t="s">
        <v>126</v>
      </c>
      <c r="F74" s="35"/>
      <c r="G74" s="35" t="s">
        <v>103</v>
      </c>
      <c r="H74" s="35" t="s">
        <v>113</v>
      </c>
      <c r="I74" s="35" t="s">
        <v>116</v>
      </c>
      <c r="J74" s="35" t="s">
        <v>118</v>
      </c>
      <c r="K74" s="1" t="str">
        <f t="shared" ref="D74:K83" si="60">IF(ISBLANK(T61),"",T61)</f>
        <v/>
      </c>
      <c r="AL74" s="5"/>
      <c r="AM74" s="5"/>
      <c r="AN74" s="5"/>
      <c r="AO74" s="5"/>
    </row>
    <row r="75" spans="2:41" ht="24.6" customHeight="1">
      <c r="B75" s="68"/>
      <c r="C75" s="36" t="s">
        <v>168</v>
      </c>
      <c r="D75" s="36" t="s">
        <v>169</v>
      </c>
      <c r="E75" s="36" t="s">
        <v>170</v>
      </c>
      <c r="F75" s="36" t="s">
        <v>171</v>
      </c>
      <c r="G75" s="36" t="s">
        <v>172</v>
      </c>
      <c r="H75" s="36" t="s">
        <v>172</v>
      </c>
      <c r="I75" s="36" t="s">
        <v>173</v>
      </c>
      <c r="J75" s="36" t="s">
        <v>174</v>
      </c>
      <c r="K75" s="1" t="str">
        <f t="shared" si="60"/>
        <v/>
      </c>
      <c r="AL75" s="5"/>
      <c r="AM75" s="5"/>
      <c r="AN75" s="5"/>
      <c r="AO75" s="5"/>
    </row>
    <row r="76" spans="2:41" ht="13.2" customHeight="1">
      <c r="B76" s="15" t="str">
        <f t="shared" ref="B76:B83" si="61">IF(ISBLANK(B63),"",B63)</f>
        <v>F1</v>
      </c>
      <c r="C76" s="37">
        <f t="shared" ref="C76:C83" si="62">IF(ISBLANK(L63),"",L63)</f>
        <v>4800</v>
      </c>
      <c r="D76" s="37">
        <f t="shared" si="60"/>
        <v>5340.7075111026479</v>
      </c>
      <c r="E76" s="37">
        <f t="shared" si="60"/>
        <v>4800</v>
      </c>
      <c r="F76" s="37">
        <f t="shared" si="60"/>
        <v>1050</v>
      </c>
      <c r="G76" s="37">
        <f t="shared" si="60"/>
        <v>5594.4</v>
      </c>
      <c r="H76" s="37">
        <f t="shared" si="60"/>
        <v>8391.6</v>
      </c>
      <c r="I76" s="38">
        <f t="shared" si="60"/>
        <v>0.19680394680394681</v>
      </c>
      <c r="J76" s="38">
        <f t="shared" si="60"/>
        <v>0.1312026312026312</v>
      </c>
      <c r="AL76" s="5"/>
      <c r="AM76" s="5"/>
      <c r="AN76" s="5"/>
      <c r="AO76" s="5"/>
    </row>
    <row r="77" spans="2:41" ht="13.2" customHeight="1">
      <c r="B77" s="15" t="str">
        <f t="shared" si="61"/>
        <v>F2</v>
      </c>
      <c r="C77" s="39">
        <f t="shared" si="62"/>
        <v>4800</v>
      </c>
      <c r="D77" s="39">
        <f t="shared" si="60"/>
        <v>5654.8667764616275</v>
      </c>
      <c r="E77" s="39">
        <f t="shared" si="60"/>
        <v>4800</v>
      </c>
      <c r="F77" s="39">
        <f t="shared" si="60"/>
        <v>1050</v>
      </c>
      <c r="G77" s="39">
        <f t="shared" si="60"/>
        <v>5594.4</v>
      </c>
      <c r="H77" s="39">
        <f t="shared" si="60"/>
        <v>8391.6</v>
      </c>
      <c r="I77" s="40">
        <f t="shared" si="60"/>
        <v>0.27000214500214503</v>
      </c>
      <c r="J77" s="40">
        <f t="shared" si="60"/>
        <v>0.18000143000142999</v>
      </c>
      <c r="AL77" s="5"/>
      <c r="AM77" s="5"/>
      <c r="AN77" s="5"/>
      <c r="AO77" s="5"/>
    </row>
    <row r="78" spans="2:41" ht="13.2" customHeight="1">
      <c r="B78" s="15" t="str">
        <f t="shared" si="61"/>
        <v>F3/F3B/F3C/F3D</v>
      </c>
      <c r="C78" s="39">
        <f t="shared" si="62"/>
        <v>5600</v>
      </c>
      <c r="D78" s="39">
        <f t="shared" si="60"/>
        <v>5969.0260418206071</v>
      </c>
      <c r="E78" s="39">
        <f t="shared" si="60"/>
        <v>5600</v>
      </c>
      <c r="F78" s="39">
        <f t="shared" si="60"/>
        <v>1050</v>
      </c>
      <c r="G78" s="39">
        <f t="shared" si="60"/>
        <v>5594.4</v>
      </c>
      <c r="H78" s="39">
        <f t="shared" si="60"/>
        <v>8391.6</v>
      </c>
      <c r="I78" s="40">
        <f t="shared" si="60"/>
        <v>0.35308522808522808</v>
      </c>
      <c r="J78" s="40">
        <f t="shared" si="60"/>
        <v>0.23539015205681871</v>
      </c>
    </row>
    <row r="79" spans="2:41" ht="13.2" customHeight="1">
      <c r="B79" s="15" t="str">
        <f t="shared" si="61"/>
        <v>F4/F4D</v>
      </c>
      <c r="C79" s="39">
        <f t="shared" si="62"/>
        <v>6400</v>
      </c>
      <c r="D79" s="39">
        <f t="shared" si="60"/>
        <v>5654.8667764616275</v>
      </c>
      <c r="E79" s="39">
        <f t="shared" si="60"/>
        <v>5654.8667764616275</v>
      </c>
      <c r="F79" s="39">
        <f t="shared" si="60"/>
        <v>1050</v>
      </c>
      <c r="G79" s="39">
        <f t="shared" si="60"/>
        <v>5594.4</v>
      </c>
      <c r="H79" s="39">
        <f t="shared" si="60"/>
        <v>8391.6</v>
      </c>
      <c r="I79" s="40">
        <f t="shared" si="60"/>
        <v>0.2752037752037752</v>
      </c>
      <c r="J79" s="40">
        <f t="shared" si="60"/>
        <v>0.18346918346918345</v>
      </c>
    </row>
    <row r="80" spans="2:41" ht="13.2" customHeight="1">
      <c r="B80" s="15" t="str">
        <f t="shared" si="61"/>
        <v>F5</v>
      </c>
      <c r="C80" s="39">
        <f t="shared" si="62"/>
        <v>7200</v>
      </c>
      <c r="D80" s="39">
        <f t="shared" si="60"/>
        <v>5969.0260418206071</v>
      </c>
      <c r="E80" s="39">
        <f t="shared" si="60"/>
        <v>5969.0260418206071</v>
      </c>
      <c r="F80" s="39">
        <f t="shared" si="60"/>
        <v>1050</v>
      </c>
      <c r="G80" s="39">
        <f t="shared" si="60"/>
        <v>5594.4</v>
      </c>
      <c r="H80" s="39">
        <f t="shared" si="60"/>
        <v>8391.6</v>
      </c>
      <c r="I80" s="40">
        <f t="shared" si="60"/>
        <v>0.34888459888459888</v>
      </c>
      <c r="J80" s="40">
        <f t="shared" si="60"/>
        <v>0.23258973258973256</v>
      </c>
    </row>
    <row r="81" spans="2:40" ht="13.2" customHeight="1">
      <c r="B81" s="15" t="str">
        <f t="shared" si="61"/>
        <v>F6/F6D</v>
      </c>
      <c r="C81" s="39">
        <f t="shared" si="62"/>
        <v>4800</v>
      </c>
      <c r="D81" s="39">
        <f t="shared" si="60"/>
        <v>5340.7075111026479</v>
      </c>
      <c r="E81" s="39">
        <f t="shared" si="60"/>
        <v>4800</v>
      </c>
      <c r="F81" s="39">
        <f t="shared" si="60"/>
        <v>1050</v>
      </c>
      <c r="G81" s="39">
        <f t="shared" si="60"/>
        <v>5594.4</v>
      </c>
      <c r="H81" s="39">
        <f t="shared" si="60"/>
        <v>8391.6</v>
      </c>
      <c r="I81" s="40">
        <f t="shared" si="60"/>
        <v>0.49217074217074219</v>
      </c>
      <c r="J81" s="40">
        <f t="shared" si="60"/>
        <v>0.16405691405691405</v>
      </c>
    </row>
    <row r="82" spans="2:40" ht="13.2" customHeight="1">
      <c r="B82" s="15" t="str">
        <f t="shared" si="61"/>
        <v>F7/F7D</v>
      </c>
      <c r="C82" s="39">
        <f t="shared" si="62"/>
        <v>4800</v>
      </c>
      <c r="D82" s="39">
        <f t="shared" si="60"/>
        <v>5654.8667764616275</v>
      </c>
      <c r="E82" s="39">
        <f t="shared" si="60"/>
        <v>4800</v>
      </c>
      <c r="F82" s="39">
        <f t="shared" si="60"/>
        <v>1050</v>
      </c>
      <c r="G82" s="39">
        <f t="shared" si="60"/>
        <v>5594.4</v>
      </c>
      <c r="H82" s="39">
        <f t="shared" si="60"/>
        <v>8391.6</v>
      </c>
      <c r="I82" s="40">
        <f t="shared" si="60"/>
        <v>0.59925997425997435</v>
      </c>
      <c r="J82" s="40">
        <f t="shared" si="60"/>
        <v>0.19975332475332475</v>
      </c>
    </row>
    <row r="83" spans="2:40" ht="13.2" customHeight="1">
      <c r="B83" s="15" t="str">
        <f t="shared" si="61"/>
        <v>F8</v>
      </c>
      <c r="C83" s="41">
        <f t="shared" si="62"/>
        <v>5600</v>
      </c>
      <c r="D83" s="41">
        <f t="shared" si="60"/>
        <v>5969.0260418206071</v>
      </c>
      <c r="E83" s="41">
        <f t="shared" si="60"/>
        <v>5600</v>
      </c>
      <c r="F83" s="41">
        <f t="shared" si="60"/>
        <v>1050</v>
      </c>
      <c r="G83" s="41">
        <f t="shared" si="60"/>
        <v>5594.4</v>
      </c>
      <c r="H83" s="41">
        <f t="shared" si="60"/>
        <v>8391.6</v>
      </c>
      <c r="I83" s="42">
        <f t="shared" si="60"/>
        <v>0.55453667953667962</v>
      </c>
      <c r="J83" s="42">
        <f t="shared" si="60"/>
        <v>0.18484555984555984</v>
      </c>
    </row>
    <row r="84" spans="2:40" ht="18">
      <c r="AC84" s="5" t="s">
        <v>35</v>
      </c>
      <c r="AD84" s="5">
        <v>0.249</v>
      </c>
      <c r="AE84" s="5">
        <v>32</v>
      </c>
      <c r="AF84" s="5">
        <v>20</v>
      </c>
      <c r="AG84" s="43"/>
      <c r="AH84" s="43"/>
      <c r="AJ84" s="3" t="s">
        <v>49</v>
      </c>
      <c r="AK84" s="3" t="s">
        <v>50</v>
      </c>
      <c r="AL84" s="3"/>
      <c r="AM84" s="3"/>
      <c r="AN84" s="3" t="s">
        <v>76</v>
      </c>
    </row>
    <row r="85" spans="2:40" ht="18">
      <c r="AC85" s="5" t="s">
        <v>36</v>
      </c>
      <c r="AD85" s="5">
        <v>0.56000000000000005</v>
      </c>
      <c r="AE85" s="5">
        <v>71</v>
      </c>
      <c r="AF85" s="5">
        <v>30</v>
      </c>
      <c r="AG85" s="43"/>
      <c r="AH85" s="43"/>
      <c r="AJ85" s="3"/>
      <c r="AK85" s="3" t="s">
        <v>51</v>
      </c>
      <c r="AL85" s="3" t="s">
        <v>52</v>
      </c>
      <c r="AM85" s="3" t="s">
        <v>52</v>
      </c>
      <c r="AN85" s="3">
        <v>1675</v>
      </c>
    </row>
    <row r="86" spans="2:40" ht="18">
      <c r="AC86" s="5"/>
      <c r="AD86" s="5"/>
      <c r="AE86" s="5"/>
      <c r="AF86" s="5"/>
      <c r="AG86" s="43"/>
      <c r="AH86" s="43"/>
      <c r="AJ86" s="3" t="s">
        <v>53</v>
      </c>
      <c r="AK86" s="3">
        <v>155</v>
      </c>
      <c r="AL86" s="3">
        <v>155</v>
      </c>
      <c r="AM86" s="3">
        <v>235</v>
      </c>
      <c r="AN86" s="3">
        <v>1675</v>
      </c>
    </row>
    <row r="87" spans="2:40" ht="18">
      <c r="AC87" s="5" t="s">
        <v>37</v>
      </c>
      <c r="AD87" s="5">
        <v>0.995</v>
      </c>
      <c r="AE87" s="5">
        <v>127</v>
      </c>
      <c r="AF87" s="5">
        <v>40</v>
      </c>
      <c r="AG87" s="43"/>
      <c r="AH87" s="43"/>
      <c r="AJ87" s="3" t="s">
        <v>54</v>
      </c>
      <c r="AK87" s="3">
        <v>155</v>
      </c>
      <c r="AL87" s="3">
        <v>195</v>
      </c>
      <c r="AM87" s="3">
        <v>295</v>
      </c>
      <c r="AN87" s="3">
        <v>1675</v>
      </c>
    </row>
    <row r="88" spans="2:40" ht="18">
      <c r="AC88" s="5"/>
      <c r="AD88" s="5"/>
      <c r="AE88" s="5"/>
      <c r="AF88" s="5"/>
      <c r="AG88" s="43"/>
      <c r="AH88" s="43"/>
      <c r="AJ88" s="3" t="s">
        <v>55</v>
      </c>
      <c r="AK88" s="3">
        <v>195</v>
      </c>
      <c r="AL88" s="3">
        <v>195</v>
      </c>
      <c r="AM88" s="3">
        <v>295</v>
      </c>
      <c r="AN88" s="3">
        <v>1400</v>
      </c>
    </row>
    <row r="89" spans="2:40" ht="18">
      <c r="AC89" s="5" t="s">
        <v>38</v>
      </c>
      <c r="AD89" s="5">
        <v>1.56</v>
      </c>
      <c r="AE89" s="5">
        <v>199</v>
      </c>
      <c r="AF89" s="5">
        <v>50</v>
      </c>
      <c r="AG89" s="43"/>
      <c r="AH89" s="43"/>
      <c r="AJ89" s="3" t="s">
        <v>56</v>
      </c>
      <c r="AK89" s="3" t="s">
        <v>59</v>
      </c>
      <c r="AL89" s="3">
        <v>195</v>
      </c>
      <c r="AM89" s="3">
        <v>345</v>
      </c>
      <c r="AN89" s="3">
        <v>1400</v>
      </c>
    </row>
    <row r="90" spans="2:40" ht="18">
      <c r="AC90" s="5"/>
      <c r="AD90" s="5"/>
      <c r="AE90" s="5"/>
      <c r="AF90" s="5"/>
      <c r="AG90" s="43"/>
      <c r="AH90" s="43"/>
      <c r="AJ90" s="3" t="s">
        <v>57</v>
      </c>
      <c r="AK90" s="3" t="s">
        <v>59</v>
      </c>
      <c r="AL90" s="3">
        <v>195</v>
      </c>
      <c r="AM90" s="3">
        <v>390</v>
      </c>
      <c r="AN90" s="3">
        <v>1400</v>
      </c>
    </row>
    <row r="91" spans="2:40" ht="18">
      <c r="AC91" s="5" t="s">
        <v>39</v>
      </c>
      <c r="AD91" s="5">
        <v>2.25</v>
      </c>
      <c r="AE91" s="5">
        <v>287</v>
      </c>
      <c r="AF91" s="5">
        <v>60</v>
      </c>
      <c r="AG91" s="43"/>
      <c r="AH91" s="43"/>
      <c r="AJ91" s="3" t="s">
        <v>58</v>
      </c>
      <c r="AK91" s="3" t="s">
        <v>59</v>
      </c>
      <c r="AL91" s="3">
        <v>195</v>
      </c>
      <c r="AM91" s="3">
        <v>490</v>
      </c>
      <c r="AN91" s="3">
        <v>1425</v>
      </c>
    </row>
    <row r="92" spans="2:40" ht="18">
      <c r="AC92" s="5"/>
      <c r="AD92" s="5"/>
      <c r="AE92" s="5"/>
      <c r="AF92" s="5"/>
      <c r="AG92" s="43"/>
      <c r="AH92" s="43"/>
      <c r="AJ92" s="3" t="s">
        <v>60</v>
      </c>
      <c r="AK92" s="3">
        <v>195</v>
      </c>
      <c r="AL92" s="3">
        <v>195</v>
      </c>
      <c r="AM92" s="3">
        <v>295</v>
      </c>
      <c r="AN92" s="3">
        <v>1425</v>
      </c>
    </row>
    <row r="93" spans="2:40" ht="18">
      <c r="AC93" s="5" t="s">
        <v>40</v>
      </c>
      <c r="AD93" s="5">
        <v>3.04</v>
      </c>
      <c r="AE93" s="5">
        <v>387</v>
      </c>
      <c r="AF93" s="5">
        <v>70</v>
      </c>
      <c r="AG93" s="43"/>
      <c r="AH93" s="43"/>
      <c r="AJ93" s="3"/>
      <c r="AK93" s="3"/>
      <c r="AL93" s="3"/>
      <c r="AM93" s="3"/>
      <c r="AN93" s="3">
        <v>1425</v>
      </c>
    </row>
    <row r="94" spans="2:40" ht="18">
      <c r="AC94" s="5"/>
      <c r="AD94" s="5"/>
      <c r="AE94" s="5"/>
      <c r="AF94" s="5"/>
      <c r="AG94" s="43"/>
      <c r="AH94" s="43"/>
    </row>
    <row r="95" spans="2:40" ht="18">
      <c r="AC95" s="5" t="s">
        <v>41</v>
      </c>
      <c r="AD95" s="5">
        <v>3.98</v>
      </c>
      <c r="AE95" s="5">
        <v>507</v>
      </c>
      <c r="AF95" s="5">
        <v>80</v>
      </c>
      <c r="AG95" s="43"/>
      <c r="AH95" s="43"/>
    </row>
    <row r="96" spans="2:40" ht="18">
      <c r="AC96" s="5" t="s">
        <v>42</v>
      </c>
      <c r="AD96" s="5">
        <v>5.04</v>
      </c>
      <c r="AE96" s="5">
        <v>642</v>
      </c>
      <c r="AF96" s="5">
        <v>90</v>
      </c>
      <c r="AG96" s="43"/>
      <c r="AH96" s="43"/>
    </row>
    <row r="97" spans="29:34" ht="18">
      <c r="AC97" s="5" t="s">
        <v>43</v>
      </c>
      <c r="AD97" s="5">
        <v>6.23</v>
      </c>
      <c r="AE97" s="5">
        <v>794</v>
      </c>
      <c r="AF97" s="5">
        <v>100</v>
      </c>
      <c r="AG97" s="43"/>
      <c r="AH97" s="43"/>
    </row>
    <row r="98" spans="29:34" ht="18">
      <c r="AC98" s="5" t="s">
        <v>44</v>
      </c>
      <c r="AD98" s="5">
        <v>7.51</v>
      </c>
      <c r="AE98" s="5">
        <v>957</v>
      </c>
      <c r="AF98" s="5">
        <v>110</v>
      </c>
      <c r="AG98" s="43"/>
      <c r="AH98" s="43"/>
    </row>
    <row r="99" spans="29:34" ht="18">
      <c r="AC99" s="5" t="s">
        <v>45</v>
      </c>
      <c r="AD99" s="5">
        <v>8.9499999999999993</v>
      </c>
      <c r="AE99" s="5">
        <v>1140</v>
      </c>
      <c r="AF99" s="5">
        <v>120</v>
      </c>
      <c r="AG99" s="43"/>
      <c r="AH99" s="43"/>
    </row>
    <row r="100" spans="29:34" ht="18">
      <c r="AC100" s="5" t="s">
        <v>46</v>
      </c>
      <c r="AD100" s="5">
        <v>10.5</v>
      </c>
      <c r="AE100" s="5">
        <v>1340</v>
      </c>
      <c r="AF100" s="5">
        <v>130</v>
      </c>
      <c r="AG100" s="43"/>
      <c r="AH100" s="43"/>
    </row>
    <row r="101" spans="29:34" ht="18">
      <c r="AC101" s="5" t="s">
        <v>47</v>
      </c>
      <c r="AD101" s="5">
        <v>15.9</v>
      </c>
      <c r="AE101" s="5">
        <v>2027</v>
      </c>
      <c r="AF101" s="5">
        <v>160</v>
      </c>
      <c r="AG101" s="43"/>
      <c r="AH101" s="43"/>
    </row>
  </sheetData>
  <mergeCells count="55">
    <mergeCell ref="H43:I43"/>
    <mergeCell ref="H42:I42"/>
    <mergeCell ref="AL10:AP10"/>
    <mergeCell ref="J35:N35"/>
    <mergeCell ref="C35:I35"/>
    <mergeCell ref="H37:I37"/>
    <mergeCell ref="H39:I39"/>
    <mergeCell ref="B61:B62"/>
    <mergeCell ref="B74:B75"/>
    <mergeCell ref="AF10:AK10"/>
    <mergeCell ref="B10:B11"/>
    <mergeCell ref="V10:Y10"/>
    <mergeCell ref="Z10:AE10"/>
    <mergeCell ref="E10:G10"/>
    <mergeCell ref="D10:D11"/>
    <mergeCell ref="C10:C11"/>
    <mergeCell ref="H10:K10"/>
    <mergeCell ref="M10:M11"/>
    <mergeCell ref="N10:N11"/>
    <mergeCell ref="O10:O11"/>
    <mergeCell ref="M23:R23"/>
    <mergeCell ref="B35:B36"/>
    <mergeCell ref="H45:I45"/>
    <mergeCell ref="J2:M2"/>
    <mergeCell ref="J3:M3"/>
    <mergeCell ref="J4:M4"/>
    <mergeCell ref="B48:B49"/>
    <mergeCell ref="C48:C49"/>
    <mergeCell ref="D48:D49"/>
    <mergeCell ref="E48:E49"/>
    <mergeCell ref="D3:G3"/>
    <mergeCell ref="D2:G2"/>
    <mergeCell ref="D4:G4"/>
    <mergeCell ref="D5:G5"/>
    <mergeCell ref="B23:B24"/>
    <mergeCell ref="C23:F23"/>
    <mergeCell ref="G23:L23"/>
    <mergeCell ref="H36:I36"/>
    <mergeCell ref="H40:I40"/>
    <mergeCell ref="A48:A49"/>
    <mergeCell ref="J5:M5"/>
    <mergeCell ref="J6:M6"/>
    <mergeCell ref="J7:M7"/>
    <mergeCell ref="D6:G6"/>
    <mergeCell ref="D7:G7"/>
    <mergeCell ref="F48:F49"/>
    <mergeCell ref="G48:G49"/>
    <mergeCell ref="H48:H49"/>
    <mergeCell ref="I48:I49"/>
    <mergeCell ref="J48:J49"/>
    <mergeCell ref="K48:K49"/>
    <mergeCell ref="L48:L49"/>
    <mergeCell ref="H38:I38"/>
    <mergeCell ref="H41:I41"/>
    <mergeCell ref="H44:I44"/>
  </mergeCells>
  <phoneticPr fontId="1"/>
  <pageMargins left="0.7" right="0.7" top="0.75" bottom="0.75" header="0.3" footer="0.3"/>
  <pageSetup paperSize="9" scale="60" orientation="portrait" horizontalDpi="4294967292" verticalDpi="1200" r:id="rId1"/>
  <rowBreaks count="1" manualBreakCount="1">
    <brk id="85" max="18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E55FA-A0C2-4DD9-A541-1E0C6FD15F89}">
  <dimension ref="B3:L13"/>
  <sheetViews>
    <sheetView zoomScale="130" zoomScaleNormal="130" workbookViewId="0">
      <selection activeCell="E22" sqref="E22"/>
    </sheetView>
  </sheetViews>
  <sheetFormatPr defaultColWidth="5.59765625" defaultRowHeight="13.2"/>
  <cols>
    <col min="1" max="1" width="5.59765625" style="1"/>
    <col min="2" max="2" width="9.3984375" style="1" customWidth="1"/>
    <col min="3" max="4" width="5.59765625" style="1"/>
    <col min="5" max="5" width="15.59765625" style="1" customWidth="1"/>
    <col min="6" max="16384" width="5.59765625" style="1"/>
  </cols>
  <sheetData>
    <row r="3" spans="2:12">
      <c r="B3" s="1" t="s">
        <v>4</v>
      </c>
      <c r="C3" s="1">
        <v>0.19500000000000001</v>
      </c>
      <c r="D3" s="1" t="s">
        <v>5</v>
      </c>
    </row>
    <row r="4" spans="2:12">
      <c r="B4" s="1" t="s">
        <v>24</v>
      </c>
      <c r="C4" s="1">
        <v>21700</v>
      </c>
      <c r="D4" s="1" t="s">
        <v>25</v>
      </c>
    </row>
    <row r="5" spans="2:12">
      <c r="B5" s="1" t="s">
        <v>10</v>
      </c>
      <c r="D5" s="1" t="s">
        <v>11</v>
      </c>
    </row>
    <row r="6" spans="2:12" ht="13.95" customHeight="1">
      <c r="B6" s="69" t="s">
        <v>2</v>
      </c>
      <c r="C6" s="80"/>
      <c r="D6" s="81"/>
      <c r="E6" s="81"/>
      <c r="F6" s="82"/>
      <c r="G6" s="69" t="s">
        <v>26</v>
      </c>
      <c r="H6" s="69"/>
      <c r="I6" s="69"/>
      <c r="J6" s="69"/>
      <c r="K6" s="69"/>
      <c r="L6" s="69"/>
    </row>
    <row r="7" spans="2:12">
      <c r="B7" s="69"/>
      <c r="C7" s="3" t="s">
        <v>0</v>
      </c>
      <c r="D7" s="3" t="s">
        <v>1</v>
      </c>
      <c r="E7" s="3" t="s">
        <v>7</v>
      </c>
      <c r="F7" s="3" t="s">
        <v>10</v>
      </c>
      <c r="G7" s="3" t="s">
        <v>9</v>
      </c>
      <c r="H7" s="3" t="s">
        <v>13</v>
      </c>
      <c r="I7" s="3" t="s">
        <v>14</v>
      </c>
      <c r="J7" s="3" t="s">
        <v>21</v>
      </c>
      <c r="K7" s="3" t="s">
        <v>22</v>
      </c>
      <c r="L7" s="3" t="s">
        <v>18</v>
      </c>
    </row>
    <row r="8" spans="2:12">
      <c r="B8" s="3" t="s">
        <v>27</v>
      </c>
      <c r="C8" s="4">
        <v>1000</v>
      </c>
      <c r="D8" s="4">
        <v>150</v>
      </c>
      <c r="E8" s="4" t="s">
        <v>29</v>
      </c>
      <c r="F8" s="4">
        <v>30</v>
      </c>
      <c r="G8" s="4">
        <v>6</v>
      </c>
      <c r="H8" s="3">
        <f>G8*1000/$C$3/((D8-F8)*0.875)</f>
        <v>293.04029304029302</v>
      </c>
      <c r="I8" s="4">
        <v>633.5</v>
      </c>
      <c r="J8" s="3">
        <f t="shared" ref="J8" si="0">H8*1.3</f>
        <v>380.95238095238096</v>
      </c>
      <c r="K8" s="3">
        <f>0.004*C8*((D8-F8))</f>
        <v>480</v>
      </c>
      <c r="L8" s="4" t="s">
        <v>23</v>
      </c>
    </row>
    <row r="9" spans="2:12">
      <c r="B9" s="3" t="s">
        <v>28</v>
      </c>
      <c r="C9" s="4">
        <v>1000</v>
      </c>
      <c r="D9" s="4">
        <v>150</v>
      </c>
      <c r="E9" s="4" t="s">
        <v>29</v>
      </c>
      <c r="F9" s="4">
        <v>30</v>
      </c>
      <c r="G9" s="4">
        <v>10</v>
      </c>
      <c r="H9" s="3">
        <f>G9*1000/$C$3/((D9-F9)*0.875)</f>
        <v>488.40048840048837</v>
      </c>
      <c r="I9" s="4">
        <v>633.5</v>
      </c>
      <c r="J9" s="3">
        <f t="shared" ref="J9" si="1">H9*1.3</f>
        <v>634.92063492063494</v>
      </c>
      <c r="K9" s="3">
        <f>0.004*C9*((D9-F9))</f>
        <v>480</v>
      </c>
      <c r="L9" s="4" t="s">
        <v>23</v>
      </c>
    </row>
    <row r="12" spans="2:12">
      <c r="B12" s="1" t="s">
        <v>3</v>
      </c>
      <c r="C12" s="1" t="s">
        <v>8</v>
      </c>
      <c r="D12" s="1" t="s">
        <v>12</v>
      </c>
      <c r="E12" s="1" t="s">
        <v>20</v>
      </c>
      <c r="F12" s="1" t="s">
        <v>9</v>
      </c>
    </row>
    <row r="13" spans="2:12">
      <c r="B13" s="1">
        <v>119</v>
      </c>
      <c r="C13" s="1">
        <v>13</v>
      </c>
      <c r="D13" s="1">
        <f>B13*C13*C13/8</f>
        <v>2513.875</v>
      </c>
      <c r="E13" s="1">
        <f>B13*C13*C13/12</f>
        <v>1675.9166666666667</v>
      </c>
      <c r="F13" s="2">
        <f>D13-0.35*E13</f>
        <v>1927.3041666666668</v>
      </c>
    </row>
  </sheetData>
  <mergeCells count="3">
    <mergeCell ref="B6:B7"/>
    <mergeCell ref="C6:F6"/>
    <mergeCell ref="G6:L6"/>
  </mergeCells>
  <phoneticPr fontId="1"/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フーチングの検討</vt:lpstr>
      <vt:lpstr>RC壁</vt:lpstr>
      <vt:lpstr>フーチングの検討!Print_Area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keita araki</cp:lastModifiedBy>
  <dcterms:created xsi:type="dcterms:W3CDTF">2015-06-05T18:19:34Z</dcterms:created>
  <dcterms:modified xsi:type="dcterms:W3CDTF">2023-11-30T08:22:43Z</dcterms:modified>
</cp:coreProperties>
</file>