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ropbox (SSLUoT)\00_yuken\00_寄居計画\05_計算書\2章\"/>
    </mc:Choice>
  </mc:AlternateContent>
  <xr:revisionPtr revIDLastSave="0" documentId="10_ncr:8100000_{92531995-C60C-4C2F-825C-AA432787B3AF}" xr6:coauthVersionLast="34" xr6:coauthVersionMax="34" xr10:uidLastSave="{00000000-0000-0000-0000-000000000000}"/>
  <bookViews>
    <workbookView xWindow="1760" yWindow="180" windowWidth="12230" windowHeight="12060" tabRatio="868" activeTab="1" xr2:uid="{00000000-000D-0000-FFFF-FFFF00000000}"/>
  </bookViews>
  <sheets>
    <sheet name="設計荷重" sheetId="40" r:id="rId1"/>
    <sheet name="1-1棟風荷重" sheetId="5" r:id="rId2"/>
    <sheet name="追加荷重" sheetId="33" r:id="rId3"/>
  </sheets>
  <definedNames>
    <definedName name="_xlnm.Print_Area" localSheetId="1">'1-1棟風荷重'!$A$1:$U$61</definedName>
    <definedName name="_xlnm.Print_Area" localSheetId="0">設計荷重!$A$1:$AP$95</definedName>
    <definedName name="_xlnm.Print_Area" localSheetId="2">追加荷重!$A$1:$T$26</definedName>
  </definedNames>
  <calcPr calcId="162913"/>
</workbook>
</file>

<file path=xl/calcChain.xml><?xml version="1.0" encoding="utf-8"?>
<calcChain xmlns="http://schemas.openxmlformats.org/spreadsheetml/2006/main">
  <c r="AM55" i="40" l="1"/>
  <c r="AJ55" i="40"/>
  <c r="AG55" i="40"/>
  <c r="AD55" i="40"/>
  <c r="AM48" i="40"/>
  <c r="AJ48" i="40"/>
  <c r="AG48" i="40"/>
  <c r="AD48" i="40"/>
  <c r="AD57" i="40" l="1"/>
  <c r="AG57" i="40"/>
  <c r="AJ57" i="40"/>
  <c r="AM57" i="40"/>
  <c r="AX33" i="5"/>
  <c r="AX33" i="33"/>
  <c r="AX33" i="40"/>
  <c r="AZ42" i="5"/>
  <c r="AZ42" i="33"/>
  <c r="AZ42" i="40"/>
  <c r="AY42" i="5"/>
  <c r="AY42" i="33"/>
  <c r="AY42" i="40"/>
  <c r="AY44" i="5"/>
  <c r="BB44" i="5" s="1"/>
  <c r="AY44" i="33"/>
  <c r="BB44" i="33" s="1"/>
  <c r="AY44" i="40"/>
  <c r="BB44" i="40" s="1"/>
  <c r="AY36" i="5"/>
  <c r="BB36" i="5" s="1"/>
  <c r="AY36" i="33"/>
  <c r="BB36" i="33" s="1"/>
  <c r="AY36" i="40"/>
  <c r="BB36" i="40" s="1"/>
  <c r="BC45" i="5"/>
  <c r="BC45" i="33"/>
  <c r="BC45" i="40"/>
  <c r="BB43" i="5"/>
  <c r="BB41" i="5"/>
  <c r="BB43" i="33"/>
  <c r="BB41" i="33"/>
  <c r="BB43" i="40"/>
  <c r="BB41" i="40"/>
  <c r="AZ34" i="5"/>
  <c r="BC37" i="5" s="1"/>
  <c r="AZ34" i="33"/>
  <c r="BC37" i="33" s="1"/>
  <c r="AZ34" i="40"/>
  <c r="BC37" i="40" s="1"/>
  <c r="AY34" i="5"/>
  <c r="AY34" i="33"/>
  <c r="AY34" i="40"/>
  <c r="BB35" i="5"/>
  <c r="BB35" i="33"/>
  <c r="BB35" i="40"/>
  <c r="BB42" i="33" l="1"/>
  <c r="BB33" i="40"/>
  <c r="BB33" i="33"/>
  <c r="BB33" i="5"/>
  <c r="BB45" i="33"/>
  <c r="BD45" i="33" s="1"/>
  <c r="BB42" i="5"/>
  <c r="BB45" i="5" s="1"/>
  <c r="BD45" i="5" s="1"/>
  <c r="BB42" i="40"/>
  <c r="BB34" i="40"/>
  <c r="BB34" i="33"/>
  <c r="BB34" i="5"/>
  <c r="L10" i="33"/>
  <c r="S89" i="40"/>
  <c r="BB37" i="5" l="1"/>
  <c r="BB37" i="33"/>
  <c r="BD37" i="33" s="1"/>
  <c r="BB37" i="40"/>
  <c r="BD37" i="40" s="1"/>
  <c r="BD37" i="5"/>
  <c r="BB45" i="40"/>
  <c r="BD45" i="40" s="1"/>
  <c r="AH89" i="40"/>
  <c r="D46" i="5"/>
  <c r="C46" i="5"/>
  <c r="C39" i="5"/>
  <c r="D39" i="5"/>
  <c r="D38" i="5"/>
  <c r="S27" i="5"/>
  <c r="X45" i="40" l="1"/>
  <c r="X44" i="40"/>
  <c r="X43" i="40"/>
  <c r="AM42" i="40"/>
  <c r="AJ42" i="40"/>
  <c r="AG42" i="40"/>
  <c r="AD42" i="40"/>
  <c r="X42" i="40"/>
  <c r="AM41" i="40"/>
  <c r="AJ41" i="40"/>
  <c r="AG41" i="40"/>
  <c r="X41" i="40"/>
  <c r="X40" i="40"/>
  <c r="Y39" i="40"/>
  <c r="X39" i="40"/>
  <c r="X38" i="40"/>
  <c r="X37" i="40"/>
  <c r="X36" i="40"/>
  <c r="X35" i="40"/>
  <c r="AM34" i="40"/>
  <c r="AJ34" i="40"/>
  <c r="AG34" i="40"/>
  <c r="X34" i="40"/>
  <c r="X33" i="40"/>
  <c r="R33" i="40"/>
  <c r="Y33" i="40" s="1"/>
  <c r="Y32" i="40"/>
  <c r="X32" i="40"/>
  <c r="AD37" i="40" l="1"/>
  <c r="AD40" i="40"/>
  <c r="AD33" i="40"/>
  <c r="AD32" i="40"/>
  <c r="AD39" i="40"/>
  <c r="AD44" i="40"/>
  <c r="L63" i="33"/>
  <c r="L62" i="33"/>
  <c r="AD41" i="40" l="1"/>
  <c r="AD43" i="40" s="1"/>
  <c r="AD34" i="40"/>
  <c r="AG43" i="40" l="1"/>
  <c r="AJ43" i="40"/>
  <c r="AM43" i="40"/>
  <c r="R25" i="40"/>
  <c r="N30" i="33" l="1"/>
  <c r="M30" i="33"/>
  <c r="N43" i="33" l="1"/>
  <c r="M43" i="33"/>
  <c r="N61" i="33" l="1"/>
  <c r="N62" i="33" s="1"/>
  <c r="M61" i="33"/>
  <c r="O62" i="33" l="1"/>
  <c r="P62" i="33" s="1"/>
  <c r="N63" i="33"/>
  <c r="M63" i="33"/>
  <c r="O63" i="33" l="1"/>
  <c r="P63" i="33" s="1"/>
  <c r="AD104" i="40"/>
  <c r="AG107" i="40" s="1"/>
  <c r="AD100" i="40"/>
  <c r="AG103" i="40" s="1"/>
  <c r="AH86" i="40" l="1"/>
  <c r="AB68" i="40" l="1"/>
  <c r="X26" i="40"/>
  <c r="X25" i="40"/>
  <c r="Y25" i="40"/>
  <c r="Z85" i="40"/>
  <c r="P14" i="5" l="1"/>
  <c r="N14" i="5"/>
  <c r="L14" i="5"/>
  <c r="X31" i="40" l="1"/>
  <c r="X30" i="40"/>
  <c r="X29" i="40"/>
  <c r="AD26" i="40" l="1"/>
  <c r="AD25" i="40"/>
  <c r="AD30" i="40"/>
  <c r="P31" i="5" l="1"/>
  <c r="H30" i="5"/>
  <c r="T26" i="5"/>
  <c r="Q25" i="5"/>
  <c r="N25" i="5"/>
  <c r="K25" i="5"/>
  <c r="K26" i="5" s="1"/>
  <c r="J16" i="5"/>
  <c r="H25" i="5"/>
  <c r="H26" i="5" l="1"/>
  <c r="H27" i="5" s="1"/>
  <c r="H28" i="5" s="1"/>
  <c r="K27" i="5"/>
  <c r="K28" i="5" s="1"/>
  <c r="T27" i="5"/>
  <c r="T28" i="5" s="1"/>
  <c r="S28" i="5"/>
  <c r="U26" i="5"/>
  <c r="U27" i="5" l="1"/>
  <c r="U28" i="5"/>
  <c r="C104" i="40" l="1"/>
  <c r="C108" i="40" s="1"/>
  <c r="C112" i="40" s="1"/>
  <c r="C116" i="40" s="1"/>
  <c r="C69" i="40"/>
  <c r="C72" i="40" s="1"/>
  <c r="C75" i="40" s="1"/>
  <c r="C78" i="40" s="1"/>
  <c r="B10" i="33" l="1"/>
  <c r="B14" i="33" s="1"/>
  <c r="B18" i="33" l="1"/>
  <c r="B22" i="33" s="1"/>
  <c r="B46" i="33" l="1"/>
  <c r="B49" i="33" s="1"/>
  <c r="B52" i="33" s="1"/>
  <c r="B33" i="33"/>
  <c r="B36" i="33" s="1"/>
  <c r="R46" i="5" l="1"/>
  <c r="AM27" i="40" l="1"/>
  <c r="AJ27" i="40"/>
  <c r="C32" i="40" l="1"/>
  <c r="C7" i="40"/>
  <c r="C39" i="40" l="1"/>
  <c r="C46" i="40" s="1"/>
  <c r="C53" i="40" s="1"/>
  <c r="AH85" i="40"/>
  <c r="C8" i="40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AG27" i="40"/>
  <c r="C86" i="40"/>
  <c r="AJ49" i="40" l="1"/>
  <c r="AJ50" i="40" s="1"/>
  <c r="AG49" i="40"/>
  <c r="AG50" i="40" s="1"/>
  <c r="AD49" i="40"/>
  <c r="AD50" i="40" s="1"/>
  <c r="AM49" i="40"/>
  <c r="AM50" i="40" s="1"/>
  <c r="AD35" i="40"/>
  <c r="AD36" i="40" s="1"/>
  <c r="AJ35" i="40"/>
  <c r="AJ36" i="40" s="1"/>
  <c r="AM35" i="40"/>
  <c r="AM36" i="40" s="1"/>
  <c r="AG35" i="40"/>
  <c r="AG36" i="40" s="1"/>
  <c r="AD28" i="40"/>
  <c r="AG28" i="40"/>
  <c r="AM28" i="40"/>
  <c r="AJ28" i="40"/>
  <c r="AD27" i="40"/>
  <c r="C87" i="40"/>
  <c r="K43" i="33"/>
  <c r="K30" i="33"/>
  <c r="L43" i="33"/>
  <c r="L30" i="33"/>
  <c r="P30" i="33" l="1"/>
  <c r="S31" i="33" s="1"/>
  <c r="O30" i="33"/>
  <c r="O43" i="33"/>
  <c r="S43" i="33" s="1"/>
  <c r="AJ29" i="40"/>
  <c r="AD29" i="40"/>
  <c r="AG29" i="40"/>
  <c r="AM29" i="40"/>
  <c r="C88" i="40"/>
  <c r="C89" i="40" l="1"/>
  <c r="C90" i="40" s="1"/>
  <c r="S30" i="33"/>
  <c r="K10" i="33" l="1"/>
  <c r="O10" i="33" s="1"/>
  <c r="P10" i="33" s="1"/>
  <c r="S11" i="33" s="1"/>
  <c r="C91" i="40"/>
  <c r="C92" i="40" s="1"/>
  <c r="K61" i="33"/>
  <c r="S10" i="33" l="1"/>
  <c r="S12" i="33" s="1"/>
  <c r="O61" i="33"/>
  <c r="S61" i="33" s="1"/>
  <c r="C93" i="40"/>
  <c r="C94" i="40" s="1"/>
  <c r="L61" i="33"/>
  <c r="P61" i="33" l="1"/>
  <c r="S62" i="33" s="1"/>
  <c r="F45" i="5"/>
  <c r="F46" i="5" s="1"/>
  <c r="H46" i="5" s="1"/>
  <c r="F38" i="5"/>
  <c r="R45" i="5"/>
  <c r="D45" i="5"/>
  <c r="C45" i="5"/>
  <c r="C38" i="5"/>
  <c r="L26" i="5"/>
  <c r="F39" i="5" l="1"/>
  <c r="H39" i="5" s="1"/>
  <c r="H45" i="5"/>
  <c r="H38" i="5"/>
  <c r="C44" i="5"/>
  <c r="C37" i="5"/>
  <c r="L13" i="5" l="1"/>
  <c r="E28" i="5"/>
  <c r="E27" i="5" s="1"/>
  <c r="E26" i="5" s="1"/>
  <c r="L25" i="5"/>
  <c r="O25" i="5"/>
  <c r="R25" i="5"/>
  <c r="L27" i="5"/>
  <c r="L28" i="5"/>
  <c r="D37" i="5"/>
  <c r="H37" i="5" s="1"/>
  <c r="D44" i="5"/>
  <c r="H44" i="5" s="1"/>
  <c r="J30" i="5" l="1"/>
  <c r="L30" i="5" s="1"/>
  <c r="P30" i="5" s="1"/>
  <c r="R31" i="5" s="1"/>
  <c r="L19" i="5"/>
  <c r="L18" i="5"/>
  <c r="G18" i="5"/>
  <c r="K18" i="5"/>
  <c r="F27" i="5"/>
  <c r="G27" i="5" s="1"/>
  <c r="I27" i="5" s="1"/>
  <c r="F28" i="5"/>
  <c r="G28" i="5" s="1"/>
  <c r="I28" i="5" s="1"/>
  <c r="F26" i="5" l="1"/>
  <c r="G26" i="5" s="1"/>
  <c r="I26" i="5" s="1"/>
  <c r="E25" i="5"/>
  <c r="F25" i="5" s="1"/>
  <c r="G25" i="5" s="1"/>
  <c r="I25" i="5" s="1"/>
  <c r="L20" i="5"/>
  <c r="Q20" i="5" s="1"/>
  <c r="K46" i="5" l="1"/>
  <c r="J46" i="5"/>
  <c r="K39" i="5"/>
  <c r="J39" i="5"/>
  <c r="J44" i="5"/>
  <c r="K37" i="5"/>
  <c r="K45" i="5"/>
  <c r="K38" i="5"/>
  <c r="J38" i="5"/>
  <c r="J37" i="5"/>
  <c r="J45" i="5"/>
  <c r="K44" i="5"/>
  <c r="L39" i="5" l="1"/>
  <c r="M39" i="5" s="1"/>
  <c r="L38" i="5"/>
  <c r="M38" i="5" s="1"/>
  <c r="O39" i="5" s="1"/>
  <c r="Q39" i="5" s="1"/>
  <c r="L45" i="5"/>
  <c r="M45" i="5" s="1"/>
  <c r="L46" i="5"/>
  <c r="M46" i="5" s="1"/>
  <c r="L37" i="5"/>
  <c r="M37" i="5" s="1"/>
  <c r="L44" i="5"/>
  <c r="M44" i="5" s="1"/>
  <c r="O38" i="5" l="1"/>
  <c r="Q38" i="5" s="1"/>
  <c r="O45" i="5"/>
  <c r="Q45" i="5" s="1"/>
  <c r="O46" i="5"/>
  <c r="Q4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Inoue</author>
  </authors>
  <commentList>
    <comment ref="H22" authorId="0" shapeId="0" xr:uid="{DCE807B3-9C56-4835-B7CE-FF4647701CC2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モデルの荷重確定次第入力をお願いします。</t>
        </r>
      </text>
    </comment>
    <comment ref="F62" authorId="0" shapeId="0" xr:uid="{CA0F9FD4-FEDD-4538-A6A7-EDA820F2B7F2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モデルの荷重確定次第入力をお願いします。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Inoue</author>
  </authors>
  <commentList>
    <comment ref="R38" authorId="0" shapeId="0" xr:uid="{F0289DB4-3E17-4267-80D7-FB1A8A5105F5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モデルが確定したら短期の層せん断力を入力してください。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Inoue</author>
  </authors>
  <commentList>
    <comment ref="E2" authorId="0" shapeId="0" xr:uid="{EAF10BC3-168F-43C9-B434-71D9DCB7983C}">
      <text>
        <r>
          <rPr>
            <b/>
            <sz val="9"/>
            <color indexed="81"/>
            <rFont val="MS P ゴシック"/>
            <family val="3"/>
            <charset val="128"/>
          </rPr>
          <t>Inoue:</t>
        </r>
        <r>
          <rPr>
            <sz val="9"/>
            <color indexed="81"/>
            <rFont val="MS P ゴシック"/>
            <family val="3"/>
            <charset val="128"/>
          </rPr>
          <t xml:space="preserve">
モデルの荷重が確定したら入力してください。
</t>
        </r>
      </text>
    </comment>
  </commentList>
</comments>
</file>

<file path=xl/sharedStrings.xml><?xml version="1.0" encoding="utf-8"?>
<sst xmlns="http://schemas.openxmlformats.org/spreadsheetml/2006/main" count="417" uniqueCount="288">
  <si>
    <t>室　　名</t>
    <rPh sb="0" eb="1">
      <t>シツ</t>
    </rPh>
    <rPh sb="3" eb="4">
      <t>メイ</t>
    </rPh>
    <phoneticPr fontId="2"/>
  </si>
  <si>
    <t>地表粗度区分</t>
    <rPh sb="0" eb="2">
      <t>チヒョウ</t>
    </rPh>
    <rPh sb="2" eb="3">
      <t>ソ</t>
    </rPh>
    <rPh sb="3" eb="4">
      <t>ド</t>
    </rPh>
    <rPh sb="4" eb="6">
      <t>クブン</t>
    </rPh>
    <phoneticPr fontId="2"/>
  </si>
  <si>
    <t>基準風速</t>
    <rPh sb="0" eb="2">
      <t>キジュン</t>
    </rPh>
    <rPh sb="2" eb="4">
      <t>フウソク</t>
    </rPh>
    <phoneticPr fontId="2"/>
  </si>
  <si>
    <r>
      <t>ｑ= 0.6･Ｅ･Ｖo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 xml:space="preserve"> = 0.6･(Ｅr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･Ｇf)･Ｖo</t>
    </r>
    <r>
      <rPr>
        <vertAlign val="superscript"/>
        <sz val="9"/>
        <rFont val="ＭＳ 明朝"/>
        <family val="1"/>
        <charset val="128"/>
      </rPr>
      <t>2</t>
    </r>
    <phoneticPr fontId="2"/>
  </si>
  <si>
    <t>Ⅱ</t>
    <phoneticPr fontId="2"/>
  </si>
  <si>
    <t>kN</t>
    <phoneticPr fontId="5"/>
  </si>
  <si>
    <t>m,H =</t>
    <phoneticPr fontId="2"/>
  </si>
  <si>
    <t xml:space="preserve">  Zb=</t>
    <phoneticPr fontId="2"/>
  </si>
  <si>
    <t>m,ZG=</t>
    <phoneticPr fontId="2"/>
  </si>
  <si>
    <t>m,α=</t>
    <phoneticPr fontId="2"/>
  </si>
  <si>
    <t xml:space="preserve">  Vo=</t>
    <phoneticPr fontId="2"/>
  </si>
  <si>
    <t>m/sec</t>
  </si>
  <si>
    <t>No.</t>
    <phoneticPr fontId="5"/>
  </si>
  <si>
    <t>階　高</t>
    <rPh sb="0" eb="1">
      <t>カイ</t>
    </rPh>
    <rPh sb="2" eb="3">
      <t>ダカ</t>
    </rPh>
    <phoneticPr fontId="2"/>
  </si>
  <si>
    <t>建物幅</t>
    <rPh sb="0" eb="2">
      <t>タテモノ</t>
    </rPh>
    <rPh sb="2" eb="3">
      <t>ハバ</t>
    </rPh>
    <phoneticPr fontId="2"/>
  </si>
  <si>
    <t>受風面積</t>
    <rPh sb="0" eb="1">
      <t>ジュ</t>
    </rPh>
    <rPh sb="1" eb="2">
      <t>フウ</t>
    </rPh>
    <rPh sb="2" eb="4">
      <t>メンセキ</t>
    </rPh>
    <phoneticPr fontId="2"/>
  </si>
  <si>
    <t>風荷重</t>
    <rPh sb="0" eb="1">
      <t>カゼ</t>
    </rPh>
    <rPh sb="1" eb="3">
      <t>カジュウ</t>
    </rPh>
    <phoneticPr fontId="2"/>
  </si>
  <si>
    <t>風:Px(kN)</t>
    <rPh sb="0" eb="1">
      <t>カゼ</t>
    </rPh>
    <phoneticPr fontId="2"/>
  </si>
  <si>
    <t>h  (m)</t>
    <phoneticPr fontId="2"/>
  </si>
  <si>
    <t>ax (m)</t>
    <phoneticPr fontId="2"/>
  </si>
  <si>
    <t>水平力の比較</t>
    <rPh sb="0" eb="2">
      <t>スイヘイ</t>
    </rPh>
    <rPh sb="2" eb="3">
      <t>リョク</t>
    </rPh>
    <rPh sb="4" eb="6">
      <t>ヒカク</t>
    </rPh>
    <phoneticPr fontId="2"/>
  </si>
  <si>
    <t>ay (m)</t>
    <phoneticPr fontId="2"/>
  </si>
  <si>
    <r>
      <t>Ay(m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2"/>
  </si>
  <si>
    <r>
      <t>Ax(m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2"/>
  </si>
  <si>
    <t>風:Py(kN)</t>
    <rPh sb="0" eb="1">
      <t>カゼ</t>
    </rPh>
    <phoneticPr fontId="2"/>
  </si>
  <si>
    <t>地震:Qy(kN)</t>
    <rPh sb="0" eb="2">
      <t>ジシン</t>
    </rPh>
    <phoneticPr fontId="2"/>
  </si>
  <si>
    <t>地震:Qx(kN)</t>
    <rPh sb="0" eb="2">
      <t>ジシン</t>
    </rPh>
    <phoneticPr fontId="2"/>
  </si>
  <si>
    <t>上記より、地震荷重が風荷重より大きいため、風荷重に対する検討は省略する。</t>
    <rPh sb="0" eb="2">
      <t>ジョウキ</t>
    </rPh>
    <rPh sb="5" eb="7">
      <t>ジシン</t>
    </rPh>
    <rPh sb="7" eb="9">
      <t>カジュウ</t>
    </rPh>
    <rPh sb="10" eb="11">
      <t>カゼ</t>
    </rPh>
    <rPh sb="11" eb="13">
      <t>カジュウ</t>
    </rPh>
    <rPh sb="15" eb="16">
      <t>オオ</t>
    </rPh>
    <rPh sb="21" eb="22">
      <t>カゼ</t>
    </rPh>
    <rPh sb="22" eb="24">
      <t>カジュウ</t>
    </rPh>
    <rPh sb="25" eb="26">
      <t>タイ</t>
    </rPh>
    <rPh sb="28" eb="30">
      <t>ケントウ</t>
    </rPh>
    <rPh sb="31" eb="33">
      <t>ショウリャク</t>
    </rPh>
    <phoneticPr fontId="2"/>
  </si>
  <si>
    <r>
      <t>Ｅ</t>
    </r>
    <r>
      <rPr>
        <sz val="9"/>
        <rFont val="ＭＳ 明朝"/>
        <family val="1"/>
        <charset val="128"/>
      </rPr>
      <t>=Ｅr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･Ｇf</t>
    </r>
    <phoneticPr fontId="2"/>
  </si>
  <si>
    <t>Ｅr：平均風速の高さ方向の分布を示す係数</t>
    <rPh sb="3" eb="5">
      <t>ヘイキン</t>
    </rPh>
    <rPh sb="5" eb="7">
      <t>フウソク</t>
    </rPh>
    <rPh sb="8" eb="9">
      <t>タカ</t>
    </rPh>
    <rPh sb="10" eb="12">
      <t>ホウコウ</t>
    </rPh>
    <rPh sb="13" eb="15">
      <t>ブンプ</t>
    </rPh>
    <rPh sb="16" eb="17">
      <t>シメ</t>
    </rPh>
    <rPh sb="18" eb="20">
      <t>ケイスウ</t>
    </rPh>
    <phoneticPr fontId="2"/>
  </si>
  <si>
    <t>Ｈ≦Ｚb の場合</t>
    <rPh sb="6" eb="8">
      <t>バアイ</t>
    </rPh>
    <phoneticPr fontId="2"/>
  </si>
  <si>
    <t>Ｈ＞Ｚb の場合</t>
    <rPh sb="6" eb="8">
      <t>バアイ</t>
    </rPh>
    <phoneticPr fontId="2"/>
  </si>
  <si>
    <t>区分</t>
    <rPh sb="0" eb="2">
      <t>クブン</t>
    </rPh>
    <phoneticPr fontId="2"/>
  </si>
  <si>
    <t>Zb(m)</t>
    <phoneticPr fontId="2"/>
  </si>
  <si>
    <t>ZG(m)</t>
    <phoneticPr fontId="2"/>
  </si>
  <si>
    <t>α</t>
    <phoneticPr fontId="2"/>
  </si>
  <si>
    <t>Ⅰ</t>
    <phoneticPr fontId="2"/>
  </si>
  <si>
    <t>Ⅲ</t>
    <phoneticPr fontId="2"/>
  </si>
  <si>
    <t>Ⅳ</t>
    <phoneticPr fontId="2"/>
  </si>
  <si>
    <t>Ｇf：ガスト影響係数で以下に示す数値</t>
    <rPh sb="6" eb="8">
      <t>エイキョウ</t>
    </rPh>
    <rPh sb="8" eb="10">
      <t>ケイスウ</t>
    </rPh>
    <rPh sb="11" eb="13">
      <t>イカ</t>
    </rPh>
    <rPh sb="14" eb="15">
      <t>シメ</t>
    </rPh>
    <rPh sb="16" eb="18">
      <t>スウチ</t>
    </rPh>
    <phoneticPr fontId="2"/>
  </si>
  <si>
    <t>Ｈ≦10</t>
    <phoneticPr fontId="2"/>
  </si>
  <si>
    <t>10＜Ｈ≦40</t>
    <phoneticPr fontId="2"/>
  </si>
  <si>
    <t>40＜Ｈ</t>
    <phoneticPr fontId="2"/>
  </si>
  <si>
    <t>Ｅ ：地表面の状況により定める係数（平成12年国土交通省告示第1454号第一）</t>
    <rPh sb="3" eb="6">
      <t>チヒョウメン</t>
    </rPh>
    <rPh sb="7" eb="9">
      <t>ジョウキョウ</t>
    </rPh>
    <rPh sb="12" eb="13">
      <t>サダ</t>
    </rPh>
    <rPh sb="15" eb="17">
      <t>ケイスウ</t>
    </rPh>
    <rPh sb="36" eb="37">
      <t>ダイ</t>
    </rPh>
    <rPh sb="37" eb="38">
      <t>１</t>
    </rPh>
    <phoneticPr fontId="2"/>
  </si>
  <si>
    <t>Ｖo：地方区分による設計用基準風速（同告示第二）</t>
    <rPh sb="3" eb="5">
      <t>チホウ</t>
    </rPh>
    <rPh sb="5" eb="7">
      <t>クブン</t>
    </rPh>
    <rPh sb="10" eb="13">
      <t>セッケイヨウ</t>
    </rPh>
    <rPh sb="13" eb="15">
      <t>キジュン</t>
    </rPh>
    <rPh sb="15" eb="17">
      <t>フウソク</t>
    </rPh>
    <rPh sb="18" eb="19">
      <t>ドウ</t>
    </rPh>
    <rPh sb="21" eb="22">
      <t>ダイ</t>
    </rPh>
    <rPh sb="22" eb="23">
      <t>２</t>
    </rPh>
    <phoneticPr fontId="2"/>
  </si>
  <si>
    <t>建物軒高</t>
    <rPh sb="0" eb="2">
      <t>タテモノ</t>
    </rPh>
    <rPh sb="2" eb="3">
      <t>ノキ</t>
    </rPh>
    <rPh sb="3" eb="4">
      <t>ダカ</t>
    </rPh>
    <phoneticPr fontId="2"/>
  </si>
  <si>
    <t>建物高さ</t>
    <rPh sb="0" eb="2">
      <t>タテモノ</t>
    </rPh>
    <rPh sb="2" eb="3">
      <t>タカ</t>
    </rPh>
    <phoneticPr fontId="2"/>
  </si>
  <si>
    <t>h1=</t>
    <phoneticPr fontId="2"/>
  </si>
  <si>
    <t>h2=</t>
    <phoneticPr fontId="2"/>
  </si>
  <si>
    <t>Ｇf=</t>
    <phoneticPr fontId="2"/>
  </si>
  <si>
    <r>
      <t>ｑ= 0.6･Ｅ･Ｖo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 xml:space="preserve"> =</t>
    </r>
    <phoneticPr fontId="2"/>
  </si>
  <si>
    <r>
      <t>N/m</t>
    </r>
    <r>
      <rPr>
        <vertAlign val="superscript"/>
        <sz val="9"/>
        <rFont val="ＭＳ 明朝"/>
        <family val="1"/>
        <charset val="128"/>
      </rPr>
      <t>2</t>
    </r>
    <phoneticPr fontId="2"/>
  </si>
  <si>
    <t>階</t>
    <rPh sb="0" eb="1">
      <t>カイ</t>
    </rPh>
    <phoneticPr fontId="2"/>
  </si>
  <si>
    <t>hi(m)</t>
    <phoneticPr fontId="2"/>
  </si>
  <si>
    <t>Zi(m)</t>
    <phoneticPr fontId="2"/>
  </si>
  <si>
    <t>kz</t>
    <phoneticPr fontId="2"/>
  </si>
  <si>
    <t>Cpe</t>
    <phoneticPr fontId="2"/>
  </si>
  <si>
    <t>Cpi</t>
    <phoneticPr fontId="2"/>
  </si>
  <si>
    <t>Cf</t>
    <phoneticPr fontId="2"/>
  </si>
  <si>
    <t>風上壁面</t>
    <rPh sb="0" eb="2">
      <t>カザカミ</t>
    </rPh>
    <rPh sb="2" eb="4">
      <t>ヘキメン</t>
    </rPh>
    <phoneticPr fontId="2"/>
  </si>
  <si>
    <t>風下壁面</t>
    <rPh sb="0" eb="2">
      <t>カザシモ</t>
    </rPh>
    <rPh sb="2" eb="4">
      <t>ヘキメン</t>
    </rPh>
    <phoneticPr fontId="2"/>
  </si>
  <si>
    <t>風上屋根面</t>
    <rPh sb="0" eb="2">
      <t>カザカミ</t>
    </rPh>
    <rPh sb="2" eb="4">
      <t>ヤネ</t>
    </rPh>
    <rPh sb="4" eb="5">
      <t>メン</t>
    </rPh>
    <phoneticPr fontId="2"/>
  </si>
  <si>
    <t>風下屋根面</t>
    <rPh sb="0" eb="2">
      <t>カザシモ</t>
    </rPh>
    <rPh sb="2" eb="4">
      <t>ヤネ</t>
    </rPh>
    <rPh sb="4" eb="5">
      <t>メン</t>
    </rPh>
    <phoneticPr fontId="2"/>
  </si>
  <si>
    <t>階高</t>
    <rPh sb="0" eb="1">
      <t>カイ</t>
    </rPh>
    <rPh sb="1" eb="2">
      <t>ダカ</t>
    </rPh>
    <phoneticPr fontId="2"/>
  </si>
  <si>
    <t>高さ</t>
    <rPh sb="0" eb="1">
      <t>タカ</t>
    </rPh>
    <phoneticPr fontId="2"/>
  </si>
  <si>
    <t>ｋz：以下に示す数値</t>
    <rPh sb="3" eb="5">
      <t>イカ</t>
    </rPh>
    <rPh sb="6" eb="7">
      <t>シメ</t>
    </rPh>
    <rPh sb="8" eb="10">
      <t>スウチ</t>
    </rPh>
    <phoneticPr fontId="2"/>
  </si>
  <si>
    <r>
      <t>Ｅr=1.7･(Ｈ/ＺG)</t>
    </r>
    <r>
      <rPr>
        <vertAlign val="superscript"/>
        <sz val="9"/>
        <rFont val="ＭＳ 明朝"/>
        <family val="1"/>
        <charset val="128"/>
      </rPr>
      <t>α</t>
    </r>
    <phoneticPr fontId="2"/>
  </si>
  <si>
    <r>
      <t>Ｅr=1.7･(Ｚb/ＺG)</t>
    </r>
    <r>
      <rPr>
        <vertAlign val="superscript"/>
        <sz val="9"/>
        <rFont val="ＭＳ 明朝"/>
        <family val="1"/>
        <charset val="128"/>
      </rPr>
      <t>α</t>
    </r>
    <phoneticPr fontId="2"/>
  </si>
  <si>
    <t>ｋz</t>
    <phoneticPr fontId="2"/>
  </si>
  <si>
    <t>内訳</t>
    <rPh sb="0" eb="2">
      <t>ウチワケ</t>
    </rPh>
    <phoneticPr fontId="2"/>
  </si>
  <si>
    <t>m</t>
    <phoneticPr fontId="2"/>
  </si>
  <si>
    <t>名　　称</t>
    <rPh sb="0" eb="1">
      <t>ナ</t>
    </rPh>
    <rPh sb="3" eb="4">
      <t>ショウ</t>
    </rPh>
    <phoneticPr fontId="2"/>
  </si>
  <si>
    <t>架構用</t>
    <rPh sb="0" eb="1">
      <t>カ</t>
    </rPh>
    <rPh sb="1" eb="2">
      <t>コウ</t>
    </rPh>
    <rPh sb="2" eb="3">
      <t>ヨウ</t>
    </rPh>
    <phoneticPr fontId="2"/>
  </si>
  <si>
    <t>W=</t>
    <phoneticPr fontId="5"/>
  </si>
  <si>
    <t>床　用</t>
    <rPh sb="0" eb="1">
      <t>ユカ</t>
    </rPh>
    <rPh sb="2" eb="3">
      <t>ヨウ</t>
    </rPh>
    <phoneticPr fontId="2"/>
  </si>
  <si>
    <t>小梁用</t>
    <rPh sb="0" eb="3">
      <t>コハリヨウ</t>
    </rPh>
    <phoneticPr fontId="2"/>
  </si>
  <si>
    <t>地震用</t>
    <rPh sb="0" eb="2">
      <t>ジシン</t>
    </rPh>
    <rPh sb="2" eb="3">
      <t>ヨウ</t>
    </rPh>
    <phoneticPr fontId="2"/>
  </si>
  <si>
    <r>
      <t>設計用床荷重(N/m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rPh sb="0" eb="3">
      <t>セッケイヨウ</t>
    </rPh>
    <rPh sb="3" eb="4">
      <t>ユカ</t>
    </rPh>
    <rPh sb="4" eb="6">
      <t>カジュウ</t>
    </rPh>
    <phoneticPr fontId="5"/>
  </si>
  <si>
    <t>区分</t>
    <rPh sb="0" eb="2">
      <t>クブン</t>
    </rPh>
    <phoneticPr fontId="5"/>
  </si>
  <si>
    <t xml:space="preserve"> 基礎梁</t>
    <rPh sb="1" eb="3">
      <t>キソ</t>
    </rPh>
    <rPh sb="3" eb="4">
      <t>ハリ</t>
    </rPh>
    <phoneticPr fontId="5"/>
  </si>
  <si>
    <t>Ⅲ</t>
    <phoneticPr fontId="2"/>
  </si>
  <si>
    <t>GL</t>
    <phoneticPr fontId="2"/>
  </si>
  <si>
    <t>1F</t>
    <phoneticPr fontId="2"/>
  </si>
  <si>
    <t>直線補間
した数値</t>
    <rPh sb="0" eb="2">
      <t>チョクセン</t>
    </rPh>
    <rPh sb="2" eb="4">
      <t>ホカン</t>
    </rPh>
    <rPh sb="7" eb="9">
      <t>スウチ</t>
    </rPh>
    <phoneticPr fontId="2"/>
  </si>
  <si>
    <t>備考</t>
    <rPh sb="0" eb="2">
      <t>ビコウ</t>
    </rPh>
    <phoneticPr fontId="5"/>
  </si>
  <si>
    <t>固定荷重</t>
    <rPh sb="0" eb="2">
      <t>コテイ</t>
    </rPh>
    <rPh sb="2" eb="4">
      <t>カジュウ</t>
    </rPh>
    <phoneticPr fontId="5"/>
  </si>
  <si>
    <t>1F</t>
    <phoneticPr fontId="5"/>
  </si>
  <si>
    <t>Z≦Zb</t>
    <phoneticPr fontId="2"/>
  </si>
  <si>
    <t>Z＞Zb</t>
    <phoneticPr fontId="2"/>
  </si>
  <si>
    <t>H&gt;Zb の場合</t>
    <rPh sb="6" eb="8">
      <t>バアイ</t>
    </rPh>
    <phoneticPr fontId="2"/>
  </si>
  <si>
    <r>
      <t>(Zb/ZG)</t>
    </r>
    <r>
      <rPr>
        <vertAlign val="superscript"/>
        <sz val="9"/>
        <rFont val="ＭＳ 明朝"/>
        <family val="1"/>
        <charset val="128"/>
      </rPr>
      <t>2α</t>
    </r>
    <phoneticPr fontId="2"/>
  </si>
  <si>
    <r>
      <t>(Z/ZG)</t>
    </r>
    <r>
      <rPr>
        <vertAlign val="superscript"/>
        <sz val="9"/>
        <rFont val="ＭＳ 明朝"/>
        <family val="1"/>
        <charset val="128"/>
      </rPr>
      <t>2α</t>
    </r>
    <phoneticPr fontId="2"/>
  </si>
  <si>
    <t>Zb,α：地表面粗度区分に応</t>
    <rPh sb="5" eb="8">
      <t>チヒョウメン</t>
    </rPh>
    <rPh sb="8" eb="9">
      <t>ソ</t>
    </rPh>
    <rPh sb="9" eb="10">
      <t>ド</t>
    </rPh>
    <rPh sb="10" eb="12">
      <t>クブン</t>
    </rPh>
    <phoneticPr fontId="2"/>
  </si>
  <si>
    <t xml:space="preserve">       じて以下に示す数値</t>
    <phoneticPr fontId="2"/>
  </si>
  <si>
    <t>1) 速度圧算定式</t>
    <rPh sb="3" eb="5">
      <t>ソクド</t>
    </rPh>
    <rPh sb="5" eb="6">
      <t>アツ</t>
    </rPh>
    <rPh sb="6" eb="8">
      <t>サンテイ</t>
    </rPh>
    <rPh sb="8" eb="9">
      <t>シキ</t>
    </rPh>
    <phoneticPr fontId="2"/>
  </si>
  <si>
    <t>2) 速度圧算定条件</t>
    <rPh sb="3" eb="5">
      <t>ソクド</t>
    </rPh>
    <rPh sb="5" eb="6">
      <t>アツ</t>
    </rPh>
    <rPh sb="6" eb="8">
      <t>サンテイ</t>
    </rPh>
    <rPh sb="8" eb="10">
      <t>ジョウケン</t>
    </rPh>
    <phoneticPr fontId="2"/>
  </si>
  <si>
    <t>3) 速度圧の算定</t>
    <rPh sb="3" eb="5">
      <t>ソクド</t>
    </rPh>
    <rPh sb="5" eb="6">
      <t>アツ</t>
    </rPh>
    <rPh sb="7" eb="9">
      <t>サンテイ</t>
    </rPh>
    <phoneticPr fontId="2"/>
  </si>
  <si>
    <t>1) Ｘ方向</t>
    <rPh sb="4" eb="6">
      <t>ホウコウ</t>
    </rPh>
    <phoneticPr fontId="2"/>
  </si>
  <si>
    <t>2) Ｙ方向</t>
    <rPh sb="4" eb="6">
      <t>ホウコウ</t>
    </rPh>
    <phoneticPr fontId="2"/>
  </si>
  <si>
    <t>名　　称</t>
    <rPh sb="0" eb="1">
      <t>ナ</t>
    </rPh>
    <rPh sb="3" eb="4">
      <t>ショウ</t>
    </rPh>
    <phoneticPr fontId="5"/>
  </si>
  <si>
    <t>躯体自重</t>
    <rPh sb="0" eb="2">
      <t>クタイ</t>
    </rPh>
    <rPh sb="2" eb="4">
      <t>ジジュウ</t>
    </rPh>
    <phoneticPr fontId="5"/>
  </si>
  <si>
    <t>仕上重量</t>
    <rPh sb="0" eb="2">
      <t>シア</t>
    </rPh>
    <rPh sb="2" eb="4">
      <t>ジュウリョウ</t>
    </rPh>
    <phoneticPr fontId="5"/>
  </si>
  <si>
    <t>壁荷重</t>
    <rPh sb="0" eb="1">
      <t>カベ</t>
    </rPh>
    <rPh sb="1" eb="3">
      <t>カジュウ</t>
    </rPh>
    <phoneticPr fontId="5"/>
  </si>
  <si>
    <t>外部(内部)</t>
    <rPh sb="0" eb="2">
      <t>ガイブ</t>
    </rPh>
    <rPh sb="3" eb="5">
      <t>ナイブ</t>
    </rPh>
    <phoneticPr fontId="5"/>
  </si>
  <si>
    <t>内　部</t>
    <rPh sb="0" eb="1">
      <t>ウチ</t>
    </rPh>
    <rPh sb="2" eb="3">
      <t>ブ</t>
    </rPh>
    <phoneticPr fontId="5"/>
  </si>
  <si>
    <t>1) 壁仕上げ荷重</t>
    <rPh sb="3" eb="4">
      <t>カベ</t>
    </rPh>
    <rPh sb="4" eb="6">
      <t>シア</t>
    </rPh>
    <rPh sb="7" eb="9">
      <t>カジュウ</t>
    </rPh>
    <phoneticPr fontId="5"/>
  </si>
  <si>
    <t>kN/m</t>
    <phoneticPr fontId="5"/>
  </si>
  <si>
    <t>備　　考</t>
    <rPh sb="0" eb="1">
      <t>ソナエ</t>
    </rPh>
    <rPh sb="3" eb="4">
      <t>コウ</t>
    </rPh>
    <phoneticPr fontId="5"/>
  </si>
  <si>
    <t xml:space="preserve"> 居室</t>
    <rPh sb="1" eb="3">
      <t>キョシツ</t>
    </rPh>
    <phoneticPr fontId="5"/>
  </si>
  <si>
    <t xml:space="preserve"> 事務所</t>
    <rPh sb="1" eb="3">
      <t>ジム</t>
    </rPh>
    <rPh sb="3" eb="4">
      <t>ショ</t>
    </rPh>
    <phoneticPr fontId="5"/>
  </si>
  <si>
    <t xml:space="preserve"> 教室</t>
    <rPh sb="1" eb="3">
      <t>キョウシツ</t>
    </rPh>
    <phoneticPr fontId="5"/>
  </si>
  <si>
    <t xml:space="preserve"> 店舗</t>
    <rPh sb="1" eb="3">
      <t>テンポ</t>
    </rPh>
    <phoneticPr fontId="5"/>
  </si>
  <si>
    <t xml:space="preserve"> 集会室(固定席)</t>
    <rPh sb="1" eb="4">
      <t>シュウカイシツ</t>
    </rPh>
    <rPh sb="5" eb="7">
      <t>コテイ</t>
    </rPh>
    <rPh sb="7" eb="8">
      <t>セキ</t>
    </rPh>
    <phoneticPr fontId="5"/>
  </si>
  <si>
    <t xml:space="preserve"> 集会室(その他)</t>
    <rPh sb="1" eb="4">
      <t>シュウカイシツ</t>
    </rPh>
    <rPh sb="7" eb="8">
      <t>タ</t>
    </rPh>
    <phoneticPr fontId="5"/>
  </si>
  <si>
    <t>FL</t>
    <phoneticPr fontId="5"/>
  </si>
  <si>
    <t>パラ</t>
    <phoneticPr fontId="2"/>
  </si>
  <si>
    <t>地震</t>
    <rPh sb="0" eb="2">
      <t>ジシン</t>
    </rPh>
    <phoneticPr fontId="5"/>
  </si>
  <si>
    <t>架構</t>
    <rPh sb="0" eb="1">
      <t>カ</t>
    </rPh>
    <rPh sb="1" eb="2">
      <t>コウ</t>
    </rPh>
    <phoneticPr fontId="5"/>
  </si>
  <si>
    <t>負担幅</t>
    <rPh sb="0" eb="2">
      <t>フタン</t>
    </rPh>
    <rPh sb="2" eb="3">
      <t>ハバ</t>
    </rPh>
    <phoneticPr fontId="5"/>
  </si>
  <si>
    <t xml:space="preserve"> 増しコン</t>
    <rPh sb="1" eb="2">
      <t>マ</t>
    </rPh>
    <phoneticPr fontId="5"/>
  </si>
  <si>
    <t>KL01</t>
    <phoneticPr fontId="5"/>
  </si>
  <si>
    <t>仕上げ荷重</t>
    <rPh sb="0" eb="2">
      <t>シア</t>
    </rPh>
    <rPh sb="3" eb="5">
      <t>カジュウ</t>
    </rPh>
    <phoneticPr fontId="5"/>
  </si>
  <si>
    <t>比重</t>
    <rPh sb="0" eb="2">
      <t>ヒジュウ</t>
    </rPh>
    <phoneticPr fontId="5"/>
  </si>
  <si>
    <t>幅</t>
    <rPh sb="0" eb="1">
      <t>ハバ</t>
    </rPh>
    <phoneticPr fontId="5"/>
  </si>
  <si>
    <t>厚さ</t>
    <rPh sb="0" eb="1">
      <t>アツ</t>
    </rPh>
    <phoneticPr fontId="5"/>
  </si>
  <si>
    <t>備　考</t>
    <rPh sb="0" eb="1">
      <t>ソナエ</t>
    </rPh>
    <rPh sb="2" eb="3">
      <t>コウ</t>
    </rPh>
    <phoneticPr fontId="5"/>
  </si>
  <si>
    <t>No</t>
    <phoneticPr fontId="2"/>
  </si>
  <si>
    <r>
      <t>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</si>
  <si>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a) 躯体仕上荷重表</t>
    <rPh sb="3" eb="5">
      <t>クタイ</t>
    </rPh>
    <rPh sb="5" eb="7">
      <t>シアゲ</t>
    </rPh>
    <rPh sb="7" eb="9">
      <t>カジュウ</t>
    </rPh>
    <rPh sb="9" eb="10">
      <t>ヒョウ</t>
    </rPh>
    <phoneticPr fontId="5"/>
  </si>
  <si>
    <t>WL01</t>
    <phoneticPr fontId="5"/>
  </si>
  <si>
    <r>
      <t>W</t>
    </r>
    <r>
      <rPr>
        <sz val="9"/>
        <rFont val="ＭＳ 明朝"/>
        <family val="1"/>
        <charset val="128"/>
      </rPr>
      <t>L01</t>
    </r>
    <phoneticPr fontId="5"/>
  </si>
  <si>
    <t>W01</t>
    <phoneticPr fontId="5"/>
  </si>
  <si>
    <t>Ｗ</t>
    <phoneticPr fontId="5"/>
  </si>
  <si>
    <t>2) 壁荷重表</t>
    <phoneticPr fontId="5"/>
  </si>
  <si>
    <t>ΣＷ</t>
    <phoneticPr fontId="5"/>
  </si>
  <si>
    <t>No</t>
    <phoneticPr fontId="2"/>
  </si>
  <si>
    <r>
      <t>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</si>
  <si>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LL01</t>
    <phoneticPr fontId="5"/>
  </si>
  <si>
    <t>備考</t>
    <rPh sb="0" eb="1">
      <t>ソナエ</t>
    </rPh>
    <rPh sb="1" eb="2">
      <t>コウ</t>
    </rPh>
    <phoneticPr fontId="5"/>
  </si>
  <si>
    <t>仕上</t>
    <rPh sb="0" eb="2">
      <t>シアゲ</t>
    </rPh>
    <phoneticPr fontId="5"/>
  </si>
  <si>
    <t>ＴＬ</t>
    <phoneticPr fontId="5"/>
  </si>
  <si>
    <t>ＤＬ</t>
    <phoneticPr fontId="5"/>
  </si>
  <si>
    <t>ｽﾗﾌﾞ</t>
    <phoneticPr fontId="5"/>
  </si>
  <si>
    <t>TL01</t>
    <phoneticPr fontId="5"/>
  </si>
  <si>
    <t>区分</t>
    <rPh sb="0" eb="1">
      <t>ク</t>
    </rPh>
    <rPh sb="1" eb="2">
      <t>フン</t>
    </rPh>
    <phoneticPr fontId="5"/>
  </si>
  <si>
    <t>Ｗ</t>
    <phoneticPr fontId="5"/>
  </si>
  <si>
    <t>非表示</t>
    <rPh sb="0" eb="3">
      <t>ヒヒョウジ</t>
    </rPh>
    <phoneticPr fontId="5"/>
  </si>
  <si>
    <t>No</t>
    <phoneticPr fontId="2"/>
  </si>
  <si>
    <r>
      <t>(N/m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</si>
  <si>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L(m)</t>
    <phoneticPr fontId="5"/>
  </si>
  <si>
    <t>B(m)</t>
    <phoneticPr fontId="5"/>
  </si>
  <si>
    <t>P(kN,kN/m)</t>
    <phoneticPr fontId="5"/>
  </si>
  <si>
    <r>
      <t>Wo(kN/m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</si>
  <si>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Type</t>
    <phoneticPr fontId="5"/>
  </si>
  <si>
    <t>名　称</t>
    <rPh sb="0" eb="1">
      <t>ナ</t>
    </rPh>
    <rPh sb="2" eb="3">
      <t>ショウ</t>
    </rPh>
    <phoneticPr fontId="5"/>
  </si>
  <si>
    <t>位　　置</t>
    <rPh sb="0" eb="1">
      <t>イ</t>
    </rPh>
    <rPh sb="3" eb="4">
      <t>チ</t>
    </rPh>
    <phoneticPr fontId="5"/>
  </si>
  <si>
    <t>VE=</t>
    <phoneticPr fontId="5"/>
  </si>
  <si>
    <t>L(m)</t>
    <phoneticPr fontId="5"/>
  </si>
  <si>
    <t>B(m)</t>
    <phoneticPr fontId="5"/>
  </si>
  <si>
    <t>P(kN,kN/m)</t>
    <phoneticPr fontId="5"/>
  </si>
  <si>
    <r>
      <t>Wo(kN/m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</si>
  <si>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Type</t>
    <phoneticPr fontId="5"/>
  </si>
  <si>
    <t>FL</t>
    <phoneticPr fontId="5"/>
  </si>
  <si>
    <t>No.</t>
    <phoneticPr fontId="5"/>
  </si>
  <si>
    <t>#30</t>
    <phoneticPr fontId="5"/>
  </si>
  <si>
    <t>2.3.追加荷重</t>
    <phoneticPr fontId="2"/>
  </si>
  <si>
    <t>1F</t>
    <phoneticPr fontId="5"/>
  </si>
  <si>
    <t>§２．準備計算</t>
    <phoneticPr fontId="5"/>
  </si>
  <si>
    <t xml:space="preserve"> 梁上増しコン</t>
    <rPh sb="1" eb="2">
      <t>ハリ</t>
    </rPh>
    <rPh sb="2" eb="3">
      <t>ウエ</t>
    </rPh>
    <rPh sb="3" eb="4">
      <t>マ</t>
    </rPh>
    <phoneticPr fontId="5"/>
  </si>
  <si>
    <t>2.3.1.梁追加荷重</t>
    <rPh sb="6" eb="7">
      <t>ハリ</t>
    </rPh>
    <rPh sb="7" eb="9">
      <t>ツイカ</t>
    </rPh>
    <rPh sb="9" eb="11">
      <t>カジュウ</t>
    </rPh>
    <phoneticPr fontId="5"/>
  </si>
  <si>
    <t>2.3.2.片持ち床先端荷重</t>
    <rPh sb="6" eb="8">
      <t>カタモ</t>
    </rPh>
    <rPh sb="9" eb="10">
      <t>ユカ</t>
    </rPh>
    <rPh sb="10" eb="12">
      <t>センタン</t>
    </rPh>
    <rPh sb="12" eb="14">
      <t>カジュウ</t>
    </rPh>
    <phoneticPr fontId="5"/>
  </si>
  <si>
    <t>外壁</t>
    <rPh sb="0" eb="2">
      <t>ガイヘキ</t>
    </rPh>
    <phoneticPr fontId="5"/>
  </si>
  <si>
    <t>分布</t>
    <rPh sb="0" eb="2">
      <t>ブンプ</t>
    </rPh>
    <phoneticPr fontId="5"/>
  </si>
  <si>
    <t>先端</t>
    <rPh sb="0" eb="2">
      <t>センタン</t>
    </rPh>
    <phoneticPr fontId="5"/>
  </si>
  <si>
    <t>W001</t>
  </si>
  <si>
    <t xml:space="preserve"> 非常用バルコニー、屋外階段</t>
    <rPh sb="1" eb="4">
      <t>ヒジョウヨウ</t>
    </rPh>
    <rPh sb="10" eb="12">
      <t>オクガイ</t>
    </rPh>
    <rPh sb="12" eb="14">
      <t>カイダン</t>
    </rPh>
    <phoneticPr fontId="5"/>
  </si>
  <si>
    <t>共通</t>
    <rPh sb="0" eb="2">
      <t>キョウツウ</t>
    </rPh>
    <phoneticPr fontId="5"/>
  </si>
  <si>
    <t>･屋外階段</t>
    <rPh sb="1" eb="3">
      <t>オクガイ</t>
    </rPh>
    <rPh sb="3" eb="5">
      <t>カイダン</t>
    </rPh>
    <phoneticPr fontId="5"/>
  </si>
  <si>
    <t>LL01</t>
    <phoneticPr fontId="5"/>
  </si>
  <si>
    <t>2,1.設計用荷重表</t>
    <rPh sb="4" eb="7">
      <t>セッケイヨウ</t>
    </rPh>
    <rPh sb="7" eb="9">
      <t>カジュウ</t>
    </rPh>
    <rPh sb="9" eb="10">
      <t>ヒョウ</t>
    </rPh>
    <phoneticPr fontId="2"/>
  </si>
  <si>
    <t>2.1.3.壁荷重</t>
    <rPh sb="6" eb="7">
      <t>カベ</t>
    </rPh>
    <rPh sb="7" eb="9">
      <t>カジュウ</t>
    </rPh>
    <phoneticPr fontId="5"/>
  </si>
  <si>
    <t>外部仕上</t>
    <rPh sb="0" eb="2">
      <t>ガイブ</t>
    </rPh>
    <rPh sb="2" eb="4">
      <t>シア</t>
    </rPh>
    <phoneticPr fontId="5"/>
  </si>
  <si>
    <t>2.1.4.躯体仕上荷重</t>
    <rPh sb="6" eb="8">
      <t>クタイ</t>
    </rPh>
    <rPh sb="8" eb="10">
      <t>シアゲ</t>
    </rPh>
    <rPh sb="10" eb="12">
      <t>カジュウ</t>
    </rPh>
    <phoneticPr fontId="5"/>
  </si>
  <si>
    <t>2.2.風圧力に対する検討　(建物用：建築基準法施行令第87条,平成12年国土交通省告示第1454号)</t>
    <rPh sb="4" eb="5">
      <t>カゼ</t>
    </rPh>
    <rPh sb="5" eb="7">
      <t>アツリョク</t>
    </rPh>
    <rPh sb="8" eb="9">
      <t>タイ</t>
    </rPh>
    <rPh sb="11" eb="13">
      <t>ケントウ</t>
    </rPh>
    <rPh sb="15" eb="17">
      <t>タテモノ</t>
    </rPh>
    <rPh sb="17" eb="18">
      <t>ヨウ</t>
    </rPh>
    <phoneticPr fontId="2"/>
  </si>
  <si>
    <t>解放条件</t>
    <rPh sb="0" eb="2">
      <t>カイホウ</t>
    </rPh>
    <rPh sb="2" eb="4">
      <t>ジョウケン</t>
    </rPh>
    <phoneticPr fontId="2"/>
  </si>
  <si>
    <t>側壁面</t>
    <rPh sb="0" eb="2">
      <t>ソクヘキ</t>
    </rPh>
    <rPh sb="2" eb="3">
      <t>メン</t>
    </rPh>
    <phoneticPr fontId="2"/>
  </si>
  <si>
    <t>Cpe</t>
    <phoneticPr fontId="2"/>
  </si>
  <si>
    <t>Cpi</t>
    <phoneticPr fontId="2"/>
  </si>
  <si>
    <t>Cf</t>
    <phoneticPr fontId="2"/>
  </si>
  <si>
    <t>・庇面風力係数</t>
    <rPh sb="1" eb="2">
      <t>ヒサシ</t>
    </rPh>
    <rPh sb="2" eb="3">
      <t>メン</t>
    </rPh>
    <rPh sb="3" eb="5">
      <t>フウリョク</t>
    </rPh>
    <rPh sb="5" eb="7">
      <t>ケイスウ</t>
    </rPh>
    <phoneticPr fontId="2"/>
  </si>
  <si>
    <t>壁面</t>
    <rPh sb="0" eb="2">
      <t>ヘキメン</t>
    </rPh>
    <phoneticPr fontId="2"/>
  </si>
  <si>
    <t>h=</t>
    <phoneticPr fontId="2"/>
  </si>
  <si>
    <t>m,kz=</t>
    <phoneticPr fontId="2"/>
  </si>
  <si>
    <t>Cpe=</t>
    <phoneticPr fontId="2"/>
  </si>
  <si>
    <t>Cpi=</t>
    <phoneticPr fontId="2"/>
  </si>
  <si>
    <t>Cf=</t>
    <phoneticPr fontId="2"/>
  </si>
  <si>
    <t>屋根</t>
    <rPh sb="0" eb="2">
      <t>ヤネ</t>
    </rPh>
    <phoneticPr fontId="2"/>
  </si>
  <si>
    <t>ΣCf=</t>
    <phoneticPr fontId="2"/>
  </si>
  <si>
    <t>風上</t>
    <rPh sb="0" eb="2">
      <t>カザカミ</t>
    </rPh>
    <phoneticPr fontId="2"/>
  </si>
  <si>
    <t>風下</t>
    <rPh sb="0" eb="2">
      <t>カザシモ</t>
    </rPh>
    <phoneticPr fontId="2"/>
  </si>
  <si>
    <t>計</t>
    <rPh sb="0" eb="1">
      <t>ケイ</t>
    </rPh>
    <phoneticPr fontId="2"/>
  </si>
  <si>
    <t>風圧力(q･Cf)</t>
    <rPh sb="0" eb="1">
      <t>フウ</t>
    </rPh>
    <rPh sb="1" eb="3">
      <t>アツリョク</t>
    </rPh>
    <phoneticPr fontId="2"/>
  </si>
  <si>
    <t>Pix (kN)</t>
    <phoneticPr fontId="2"/>
  </si>
  <si>
    <t>Piy (kN)</t>
    <phoneticPr fontId="2"/>
  </si>
  <si>
    <t>2.1.1.積載荷重表</t>
    <rPh sb="6" eb="8">
      <t>セキサイ</t>
    </rPh>
    <rPh sb="8" eb="10">
      <t>カジュウ</t>
    </rPh>
    <phoneticPr fontId="2"/>
  </si>
  <si>
    <t>2.1.2.床荷重表</t>
    <rPh sb="6" eb="7">
      <t>ユカ</t>
    </rPh>
    <rPh sb="7" eb="9">
      <t>カジュウ</t>
    </rPh>
    <phoneticPr fontId="2"/>
  </si>
  <si>
    <t xml:space="preserve"> 車庫(一般)</t>
    <rPh sb="1" eb="3">
      <t>シャコ</t>
    </rPh>
    <rPh sb="4" eb="6">
      <t>イッパン</t>
    </rPh>
    <phoneticPr fontId="5"/>
  </si>
  <si>
    <t xml:space="preserve"> 車庫(乗用車のみ)</t>
    <rPh sb="1" eb="3">
      <t>シャコ</t>
    </rPh>
    <rPh sb="4" eb="7">
      <t>ジョウヨウシャ</t>
    </rPh>
    <phoneticPr fontId="5"/>
  </si>
  <si>
    <t>2F,RF</t>
    <phoneticPr fontId="3"/>
  </si>
  <si>
    <t>･車路、車庫</t>
    <rPh sb="1" eb="3">
      <t>シャロ</t>
    </rPh>
    <rPh sb="4" eb="6">
      <t>シャコ</t>
    </rPh>
    <phoneticPr fontId="3"/>
  </si>
  <si>
    <t xml:space="preserve"> 合成デッキ</t>
    <rPh sb="1" eb="3">
      <t>ゴウセイ</t>
    </rPh>
    <phoneticPr fontId="5"/>
  </si>
  <si>
    <t xml:space="preserve"> 車庫(車両総重量2.0t)</t>
    <rPh sb="1" eb="3">
      <t>シャコ</t>
    </rPh>
    <rPh sb="4" eb="6">
      <t>シャリョウ</t>
    </rPh>
    <rPh sb="6" eb="7">
      <t>ソウ</t>
    </rPh>
    <rPh sb="7" eb="9">
      <t>ジュウリョウ</t>
    </rPh>
    <phoneticPr fontId="5"/>
  </si>
  <si>
    <t>LL09</t>
    <phoneticPr fontId="5"/>
  </si>
  <si>
    <t xml:space="preserve"> 鉄骨下地</t>
    <rPh sb="1" eb="3">
      <t>テッコツ</t>
    </rPh>
    <rPh sb="3" eb="5">
      <t>シタジ</t>
    </rPh>
    <phoneticPr fontId="5"/>
  </si>
  <si>
    <t xml:space="preserve"> カラー鋼板t=1.0mm</t>
    <rPh sb="4" eb="6">
      <t>コウハン</t>
    </rPh>
    <phoneticPr fontId="2"/>
  </si>
  <si>
    <t>転落防止</t>
    <rPh sb="0" eb="2">
      <t>テンラク</t>
    </rPh>
    <rPh sb="2" eb="4">
      <t>ボウシ</t>
    </rPh>
    <phoneticPr fontId="5"/>
  </si>
  <si>
    <t xml:space="preserve"> モルタル</t>
    <phoneticPr fontId="5"/>
  </si>
  <si>
    <t xml:space="preserve"> 勾配増打ちコン</t>
    <rPh sb="1" eb="3">
      <t>コウバイ</t>
    </rPh>
    <rPh sb="3" eb="4">
      <t>マ</t>
    </rPh>
    <rPh sb="4" eb="5">
      <t>ウ</t>
    </rPh>
    <phoneticPr fontId="5"/>
  </si>
  <si>
    <t>2.3.2.スロープ床</t>
    <rPh sb="10" eb="11">
      <t>ユカ</t>
    </rPh>
    <phoneticPr fontId="5"/>
  </si>
  <si>
    <t>B(m)</t>
    <phoneticPr fontId="5"/>
  </si>
  <si>
    <t>L(m)</t>
    <phoneticPr fontId="5"/>
  </si>
  <si>
    <t>スロープ</t>
    <phoneticPr fontId="5"/>
  </si>
  <si>
    <t>kN</t>
    <phoneticPr fontId="5"/>
  </si>
  <si>
    <t>3) 節点追加重量(ADD3)</t>
    <rPh sb="3" eb="4">
      <t>セツ</t>
    </rPh>
    <rPh sb="4" eb="5">
      <t>テン</t>
    </rPh>
    <rPh sb="5" eb="7">
      <t>ツイカ</t>
    </rPh>
    <rPh sb="7" eb="9">
      <t>ジュウリョウ</t>
    </rPh>
    <phoneticPr fontId="5"/>
  </si>
  <si>
    <t>No.</t>
    <phoneticPr fontId="5"/>
  </si>
  <si>
    <t>FL</t>
    <phoneticPr fontId="5"/>
  </si>
  <si>
    <t>Type</t>
    <phoneticPr fontId="5"/>
  </si>
  <si>
    <r>
      <t>Wo(kN/m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</t>
    </r>
    <phoneticPr fontId="5"/>
  </si>
  <si>
    <t>P(kN,kN/m)</t>
    <phoneticPr fontId="5"/>
  </si>
  <si>
    <t>kN</t>
    <phoneticPr fontId="5"/>
  </si>
  <si>
    <t>W=</t>
    <phoneticPr fontId="5"/>
  </si>
  <si>
    <t>鉄　骨</t>
    <rPh sb="0" eb="1">
      <t>テツ</t>
    </rPh>
    <rPh sb="2" eb="3">
      <t>ホネ</t>
    </rPh>
    <phoneticPr fontId="5"/>
  </si>
  <si>
    <t>N,W</t>
    <phoneticPr fontId="5"/>
  </si>
  <si>
    <t>N,W</t>
    <phoneticPr fontId="5"/>
  </si>
  <si>
    <t>N=</t>
    <phoneticPr fontId="5"/>
  </si>
  <si>
    <t>SP1</t>
    <phoneticPr fontId="5"/>
  </si>
  <si>
    <t>SP2</t>
    <phoneticPr fontId="5"/>
  </si>
  <si>
    <t>PDa</t>
    <phoneticPr fontId="5"/>
  </si>
  <si>
    <t>PEa</t>
    <phoneticPr fontId="5"/>
  </si>
  <si>
    <t>TL02</t>
    <phoneticPr fontId="5"/>
  </si>
  <si>
    <t>2F</t>
    <phoneticPr fontId="5"/>
  </si>
  <si>
    <t>PEa</t>
    <phoneticPr fontId="5"/>
  </si>
  <si>
    <t>PEa</t>
    <phoneticPr fontId="5"/>
  </si>
  <si>
    <t>SP1-SP2</t>
    <phoneticPr fontId="5"/>
  </si>
  <si>
    <t>SP1-SP2</t>
    <phoneticPr fontId="5"/>
  </si>
  <si>
    <t>1F</t>
    <phoneticPr fontId="5"/>
  </si>
  <si>
    <t>TL05</t>
    <phoneticPr fontId="5"/>
  </si>
  <si>
    <t>階段</t>
    <rPh sb="0" eb="2">
      <t>カイダン</t>
    </rPh>
    <phoneticPr fontId="5"/>
  </si>
  <si>
    <t>集中</t>
    <rPh sb="0" eb="2">
      <t>シュウチュウ</t>
    </rPh>
    <phoneticPr fontId="5"/>
  </si>
  <si>
    <t>kN</t>
    <phoneticPr fontId="5"/>
  </si>
  <si>
    <t>(ADD1)</t>
    <phoneticPr fontId="5"/>
  </si>
  <si>
    <t>(GMD4)</t>
    <phoneticPr fontId="5"/>
  </si>
  <si>
    <t>2.3.2.柱追加荷重</t>
    <rPh sb="6" eb="7">
      <t>ハシラ</t>
    </rPh>
    <rPh sb="7" eb="9">
      <t>ツイカ</t>
    </rPh>
    <rPh sb="9" eb="11">
      <t>カジュウ</t>
    </rPh>
    <phoneticPr fontId="5"/>
  </si>
  <si>
    <t xml:space="preserve"> 合成スラブ(t=50+80)</t>
    <rPh sb="1" eb="3">
      <t>ゴウセイ</t>
    </rPh>
    <phoneticPr fontId="5"/>
  </si>
  <si>
    <t>2F</t>
    <phoneticPr fontId="2"/>
  </si>
  <si>
    <t xml:space="preserve"> 腰壁</t>
    <rPh sb="1" eb="3">
      <t>コシカベ</t>
    </rPh>
    <phoneticPr fontId="5"/>
  </si>
  <si>
    <t>1F</t>
    <phoneticPr fontId="5"/>
  </si>
  <si>
    <t>2F</t>
    <phoneticPr fontId="5"/>
  </si>
  <si>
    <t>RF</t>
    <phoneticPr fontId="5"/>
  </si>
  <si>
    <t>W05</t>
    <phoneticPr fontId="5"/>
  </si>
  <si>
    <t>元</t>
    <rPh sb="0" eb="1">
      <t>モト</t>
    </rPh>
    <phoneticPr fontId="5"/>
  </si>
  <si>
    <t>変更</t>
    <rPh sb="0" eb="2">
      <t>ヘンコウ</t>
    </rPh>
    <phoneticPr fontId="5"/>
  </si>
  <si>
    <t>勾配をとる場合</t>
    <rPh sb="0" eb="2">
      <t>コウバイ</t>
    </rPh>
    <rPh sb="5" eb="7">
      <t>バアイ</t>
    </rPh>
    <phoneticPr fontId="5"/>
  </si>
  <si>
    <t>2F, RF</t>
    <phoneticPr fontId="5"/>
  </si>
  <si>
    <t>スロープ</t>
    <phoneticPr fontId="5"/>
  </si>
  <si>
    <t>増打</t>
    <rPh sb="0" eb="1">
      <t>マ</t>
    </rPh>
    <rPh sb="1" eb="2">
      <t>ウ</t>
    </rPh>
    <phoneticPr fontId="5"/>
  </si>
  <si>
    <t>合成スラブ(t=50+80)</t>
    <phoneticPr fontId="5"/>
  </si>
  <si>
    <t>合成デッキ</t>
    <rPh sb="0" eb="2">
      <t>ゴウセイ</t>
    </rPh>
    <phoneticPr fontId="5"/>
  </si>
  <si>
    <t>自走式駐車場工業会基準に準拠</t>
    <rPh sb="0" eb="3">
      <t>ジソウシキ</t>
    </rPh>
    <rPh sb="3" eb="6">
      <t>チュウシャジョウ</t>
    </rPh>
    <rPh sb="6" eb="9">
      <t>コウギョウカイ</t>
    </rPh>
    <rPh sb="9" eb="11">
      <t>キジュン</t>
    </rPh>
    <rPh sb="12" eb="14">
      <t>ジュンキョ</t>
    </rPh>
    <phoneticPr fontId="5"/>
  </si>
  <si>
    <t>RF</t>
    <phoneticPr fontId="5"/>
  </si>
  <si>
    <t>折板屋根</t>
    <rPh sb="0" eb="2">
      <t>セッパン</t>
    </rPh>
    <rPh sb="2" eb="4">
      <t>ヤネ</t>
    </rPh>
    <phoneticPr fontId="5"/>
  </si>
  <si>
    <t>折板屋根</t>
    <rPh sb="0" eb="1">
      <t>オ</t>
    </rPh>
    <rPh sb="1" eb="2">
      <t>イタ</t>
    </rPh>
    <rPh sb="2" eb="4">
      <t>ヤネ</t>
    </rPh>
    <phoneticPr fontId="5"/>
  </si>
  <si>
    <t>水平ブレース</t>
    <rPh sb="0" eb="2">
      <t>スイヘイ</t>
    </rPh>
    <phoneticPr fontId="5"/>
  </si>
  <si>
    <t>LL10</t>
    <phoneticPr fontId="5"/>
  </si>
  <si>
    <r>
      <t>(N/m</t>
    </r>
    <r>
      <rPr>
        <sz val="9"/>
        <rFont val="ＭＳ 明朝"/>
        <family val="1"/>
        <charset val="128"/>
      </rPr>
      <t>)</t>
    </r>
    <phoneticPr fontId="5"/>
  </si>
  <si>
    <t>階段</t>
    <rPh sb="0" eb="2">
      <t>カイダン</t>
    </rPh>
    <phoneticPr fontId="5"/>
  </si>
  <si>
    <t>集中
#12</t>
    <rPh sb="0" eb="2">
      <t>シュウチュウ</t>
    </rPh>
    <phoneticPr fontId="5"/>
  </si>
  <si>
    <t>転落防止+外壁</t>
    <rPh sb="0" eb="2">
      <t>テンラク</t>
    </rPh>
    <rPh sb="2" eb="4">
      <t>ボウシ</t>
    </rPh>
    <rPh sb="5" eb="7">
      <t>ガイヘキ</t>
    </rPh>
    <phoneticPr fontId="5"/>
  </si>
  <si>
    <t>転落防止</t>
    <rPh sb="0" eb="2">
      <t>テンラク</t>
    </rPh>
    <rPh sb="2" eb="4">
      <t>ボウシ</t>
    </rPh>
    <phoneticPr fontId="5"/>
  </si>
  <si>
    <t>H形鋼</t>
    <rPh sb="1" eb="2">
      <t>カタチ</t>
    </rPh>
    <rPh sb="2" eb="3">
      <t>コウ</t>
    </rPh>
    <phoneticPr fontId="5"/>
  </si>
  <si>
    <t>支柱および仕上</t>
    <rPh sb="0" eb="2">
      <t>シチュウ</t>
    </rPh>
    <rPh sb="5" eb="7">
      <t>シア</t>
    </rPh>
    <phoneticPr fontId="5"/>
  </si>
  <si>
    <r>
      <t>Ｅ=Ｅr</t>
    </r>
    <r>
      <rPr>
        <vertAlign val="superscript"/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･Ｇf=</t>
    </r>
    <phoneticPr fontId="2"/>
  </si>
  <si>
    <t>2.2.1.速度圧の算定</t>
    <rPh sb="6" eb="8">
      <t>ソクド</t>
    </rPh>
    <rPh sb="8" eb="9">
      <t>アツ</t>
    </rPh>
    <rPh sb="10" eb="12">
      <t>サンテイ</t>
    </rPh>
    <phoneticPr fontId="2"/>
  </si>
  <si>
    <t>2.2.2.風力係数の算定</t>
    <rPh sb="6" eb="8">
      <t>フウリョク</t>
    </rPh>
    <rPh sb="8" eb="10">
      <t>ケイスウ</t>
    </rPh>
    <rPh sb="11" eb="13">
      <t>サンテイ</t>
    </rPh>
    <phoneticPr fontId="2"/>
  </si>
  <si>
    <t>2.2.3.水平荷重の算定</t>
    <rPh sb="6" eb="8">
      <t>スイヘイ</t>
    </rPh>
    <rPh sb="8" eb="10">
      <t>カジュウ</t>
    </rPh>
    <rPh sb="11" eb="13">
      <t>サンテイ</t>
    </rPh>
    <phoneticPr fontId="2"/>
  </si>
  <si>
    <t>2.2.4.諸係数</t>
    <rPh sb="6" eb="7">
      <t>ショ</t>
    </rPh>
    <rPh sb="7" eb="9">
      <t>ケイスウ</t>
    </rPh>
    <phoneticPr fontId="2"/>
  </si>
  <si>
    <t>TL03から階段重量を概算</t>
    <rPh sb="6" eb="8">
      <t>カイダン</t>
    </rPh>
    <rPh sb="8" eb="10">
      <t>ジュウリョウ</t>
    </rPh>
    <rPh sb="11" eb="13">
      <t>ガイサン</t>
    </rPh>
    <phoneticPr fontId="5"/>
  </si>
  <si>
    <t>地震時は余裕みてC=0.5</t>
    <rPh sb="0" eb="3">
      <t>ジシンジ</t>
    </rPh>
    <rPh sb="4" eb="6">
      <t>ヨユウ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</si>
</sst>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"/>
    <numFmt numFmtId="177" formatCode="0.000"/>
    <numFmt numFmtId="178" formatCode="#,##0_ "/>
    <numFmt numFmtId="179" formatCode="0.0_ "/>
    <numFmt numFmtId="180" formatCode="#,##0.0_ "/>
    <numFmt numFmtId="181" formatCode="0_ "/>
    <numFmt numFmtId="182" formatCode="#,##0.0\ "/>
    <numFmt numFmtId="183" formatCode="#,##0.0"/>
    <numFmt numFmtId="184" formatCode="0.00\ "/>
    <numFmt numFmtId="185" formatCode="0.0;;;"/>
    <numFmt numFmtId="186" formatCode="#,##0_);\(#,##0\)"/>
  </numFmts>
  <fonts count="10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7"/>
      <name val="ＭＳ Ｐ明朝"/>
      <family val="1"/>
      <charset val="128"/>
    </font>
    <font>
      <vertAlign val="superscript"/>
      <sz val="9"/>
      <name val="ＭＳ 明朝"/>
      <family val="1"/>
      <charset val="128"/>
    </font>
    <font>
      <sz val="6"/>
      <name val="ＭＳ 明朝"/>
      <family val="1"/>
      <charset val="128"/>
    </font>
    <font>
      <sz val="9"/>
      <color theme="0"/>
      <name val="ＭＳ 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rgb="FFFF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dashed">
        <color indexed="64"/>
      </left>
      <right style="thin">
        <color indexed="64"/>
      </right>
      <top/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hair">
        <color indexed="64"/>
      </right>
      <top/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ashed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78"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2" fontId="0" fillId="0" borderId="0" xfId="0" applyNumberFormat="1" applyBorder="1" applyAlignment="1" applyProtection="1"/>
    <xf numFmtId="2" fontId="0" fillId="0" borderId="0" xfId="0" applyNumberFormat="1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2" fontId="0" fillId="0" borderId="0" xfId="0" applyNumberFormat="1" applyFont="1" applyFill="1" applyBorder="1" applyAlignment="1"/>
    <xf numFmtId="0" fontId="0" fillId="0" borderId="0" xfId="0" applyAlignment="1">
      <alignment horizontal="right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0" fillId="0" borderId="24" xfId="0" applyFont="1" applyFill="1" applyBorder="1" applyAlignment="1"/>
    <xf numFmtId="0" fontId="0" fillId="0" borderId="0" xfId="0" applyFill="1" applyBorder="1" applyAlignment="1" applyProtection="1"/>
    <xf numFmtId="0" fontId="0" fillId="0" borderId="0" xfId="0" applyFill="1" applyBorder="1" applyAlignment="1">
      <alignment horizontal="right"/>
    </xf>
    <xf numFmtId="0" fontId="0" fillId="0" borderId="29" xfId="0" applyFont="1" applyFill="1" applyBorder="1" applyAlignment="1" applyProtection="1"/>
    <xf numFmtId="0" fontId="0" fillId="0" borderId="20" xfId="0" applyFill="1" applyBorder="1" applyAlignment="1">
      <alignment horizontal="right"/>
    </xf>
    <xf numFmtId="0" fontId="0" fillId="0" borderId="32" xfId="0" applyNumberFormat="1" applyFill="1" applyBorder="1" applyAlignment="1"/>
    <xf numFmtId="0" fontId="0" fillId="0" borderId="21" xfId="0" applyNumberFormat="1" applyFill="1" applyBorder="1" applyAlignment="1"/>
    <xf numFmtId="0" fontId="0" fillId="0" borderId="21" xfId="0" applyFill="1" applyBorder="1" applyAlignment="1">
      <alignment horizontal="right"/>
    </xf>
    <xf numFmtId="0" fontId="0" fillId="0" borderId="24" xfId="0" applyNumberFormat="1" applyFill="1" applyBorder="1" applyAlignment="1"/>
    <xf numFmtId="0" fontId="0" fillId="0" borderId="22" xfId="0" applyNumberFormat="1" applyFill="1" applyBorder="1" applyAlignment="1"/>
    <xf numFmtId="0" fontId="0" fillId="0" borderId="22" xfId="0" applyFill="1" applyBorder="1" applyAlignment="1">
      <alignment horizontal="right"/>
    </xf>
    <xf numFmtId="0" fontId="0" fillId="0" borderId="32" xfId="0" applyFill="1" applyBorder="1" applyAlignment="1" applyProtection="1">
      <alignment horizontal="left"/>
    </xf>
    <xf numFmtId="0" fontId="0" fillId="0" borderId="0" xfId="0" applyBorder="1" applyAlignment="1">
      <alignment horizontal="center"/>
    </xf>
    <xf numFmtId="179" fontId="0" fillId="0" borderId="0" xfId="0" applyNumberFormat="1" applyFill="1" applyBorder="1" applyAlignment="1"/>
    <xf numFmtId="0" fontId="0" fillId="0" borderId="29" xfId="0" applyFill="1" applyBorder="1" applyAlignment="1" applyProtection="1">
      <alignment horizontal="left"/>
    </xf>
    <xf numFmtId="0" fontId="0" fillId="0" borderId="24" xfId="0" applyFill="1" applyBorder="1" applyAlignment="1" applyProtection="1">
      <alignment horizontal="left"/>
    </xf>
    <xf numFmtId="0" fontId="0" fillId="0" borderId="32" xfId="0" applyFill="1" applyBorder="1" applyAlignment="1">
      <alignment horizontal="center"/>
    </xf>
    <xf numFmtId="180" fontId="0" fillId="0" borderId="0" xfId="0" applyNumberForma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1" fillId="0" borderId="21" xfId="0" applyFont="1" applyFill="1" applyBorder="1" applyAlignment="1" applyProtection="1">
      <alignment horizontal="left"/>
    </xf>
    <xf numFmtId="0" fontId="0" fillId="0" borderId="0" xfId="0" applyFont="1" applyFill="1" applyAlignment="1"/>
    <xf numFmtId="178" fontId="1" fillId="0" borderId="0" xfId="1" applyNumberFormat="1" applyFont="1" applyFill="1" applyBorder="1" applyAlignment="1" applyProtection="1"/>
    <xf numFmtId="0" fontId="1" fillId="0" borderId="20" xfId="0" applyFont="1" applyFill="1" applyBorder="1" applyAlignment="1" applyProtection="1">
      <alignment horizontal="left"/>
    </xf>
    <xf numFmtId="2" fontId="0" fillId="0" borderId="0" xfId="0" applyNumberFormat="1" applyFill="1" applyBorder="1" applyAlignment="1">
      <alignment horizontal="center"/>
    </xf>
    <xf numFmtId="0" fontId="1" fillId="0" borderId="24" xfId="0" applyFont="1" applyFill="1" applyBorder="1" applyAlignment="1" applyProtection="1">
      <alignment horizontal="left"/>
    </xf>
    <xf numFmtId="0" fontId="0" fillId="2" borderId="0" xfId="0" applyFill="1" applyAlignment="1"/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 applyAlignment="1" applyProtection="1"/>
    <xf numFmtId="176" fontId="0" fillId="0" borderId="0" xfId="0" applyNumberFormat="1" applyFont="1" applyFill="1" applyBorder="1" applyAlignment="1"/>
    <xf numFmtId="49" fontId="0" fillId="0" borderId="0" xfId="0" applyNumberFormat="1" applyFont="1" applyFill="1" applyBorder="1" applyAlignment="1"/>
    <xf numFmtId="0" fontId="0" fillId="0" borderId="37" xfId="0" applyBorder="1" applyAlignment="1"/>
    <xf numFmtId="2" fontId="1" fillId="0" borderId="44" xfId="0" applyNumberFormat="1" applyFont="1" applyFill="1" applyBorder="1" applyAlignment="1"/>
    <xf numFmtId="0" fontId="0" fillId="0" borderId="46" xfId="0" applyNumberFormat="1" applyFill="1" applyBorder="1" applyAlignment="1"/>
    <xf numFmtId="2" fontId="1" fillId="0" borderId="38" xfId="0" applyNumberFormat="1" applyFont="1" applyFill="1" applyBorder="1" applyAlignment="1"/>
    <xf numFmtId="0" fontId="0" fillId="0" borderId="40" xfId="0" applyNumberFormat="1" applyFill="1" applyBorder="1" applyAlignment="1"/>
    <xf numFmtId="2" fontId="1" fillId="0" borderId="35" xfId="0" applyNumberFormat="1" applyFont="1" applyFill="1" applyBorder="1" applyAlignment="1"/>
    <xf numFmtId="2" fontId="0" fillId="0" borderId="44" xfId="0" applyNumberFormat="1" applyFill="1" applyBorder="1" applyAlignment="1"/>
    <xf numFmtId="0" fontId="0" fillId="0" borderId="37" xfId="0" applyNumberFormat="1" applyFill="1" applyBorder="1" applyAlignment="1"/>
    <xf numFmtId="0" fontId="0" fillId="0" borderId="35" xfId="0" applyBorder="1" applyAlignment="1">
      <alignment horizontal="center"/>
    </xf>
    <xf numFmtId="2" fontId="0" fillId="0" borderId="45" xfId="0" applyNumberFormat="1" applyFont="1" applyFill="1" applyBorder="1" applyAlignment="1"/>
    <xf numFmtId="2" fontId="0" fillId="0" borderId="39" xfId="0" applyNumberFormat="1" applyFont="1" applyFill="1" applyBorder="1" applyAlignment="1"/>
    <xf numFmtId="2" fontId="0" fillId="0" borderId="36" xfId="0" applyNumberFormat="1" applyFont="1" applyFill="1" applyBorder="1" applyAlignment="1"/>
    <xf numFmtId="2" fontId="1" fillId="0" borderId="40" xfId="0" applyNumberFormat="1" applyFont="1" applyFill="1" applyBorder="1" applyAlignment="1"/>
    <xf numFmtId="2" fontId="1" fillId="0" borderId="46" xfId="0" applyNumberFormat="1" applyFont="1" applyFill="1" applyBorder="1" applyAlignment="1"/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" fontId="0" fillId="0" borderId="8" xfId="0" applyNumberForma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176" fontId="0" fillId="0" borderId="57" xfId="0" applyNumberFormat="1" applyFill="1" applyBorder="1" applyAlignment="1"/>
    <xf numFmtId="176" fontId="0" fillId="0" borderId="63" xfId="0" applyNumberFormat="1" applyBorder="1" applyAlignment="1"/>
    <xf numFmtId="0" fontId="0" fillId="0" borderId="29" xfId="0" applyFont="1" applyFill="1" applyBorder="1" applyAlignment="1" applyProtection="1">
      <alignment horizontal="left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2" fontId="0" fillId="0" borderId="70" xfId="0" applyNumberFormat="1" applyFont="1" applyFill="1" applyBorder="1" applyAlignment="1"/>
    <xf numFmtId="2" fontId="1" fillId="0" borderId="69" xfId="0" applyNumberFormat="1" applyFont="1" applyFill="1" applyBorder="1" applyAlignment="1"/>
    <xf numFmtId="0" fontId="0" fillId="0" borderId="47" xfId="0" applyNumberFormat="1" applyFill="1" applyBorder="1" applyAlignment="1"/>
    <xf numFmtId="1" fontId="0" fillId="0" borderId="7" xfId="0" applyNumberFormat="1" applyBorder="1" applyAlignment="1">
      <alignment horizontal="center"/>
    </xf>
    <xf numFmtId="0" fontId="1" fillId="0" borderId="20" xfId="0" applyFont="1" applyFill="1" applyBorder="1" applyAlignment="1" applyProtection="1"/>
    <xf numFmtId="0" fontId="1" fillId="0" borderId="30" xfId="0" applyFont="1" applyFill="1" applyBorder="1" applyAlignment="1" applyProtection="1"/>
    <xf numFmtId="178" fontId="1" fillId="0" borderId="35" xfId="0" applyNumberFormat="1" applyFont="1" applyFill="1" applyBorder="1" applyAlignment="1"/>
    <xf numFmtId="0" fontId="0" fillId="0" borderId="26" xfId="0" applyFont="1" applyFill="1" applyBorder="1" applyAlignment="1"/>
    <xf numFmtId="0" fontId="1" fillId="0" borderId="24" xfId="0" applyFont="1" applyFill="1" applyBorder="1" applyAlignment="1"/>
    <xf numFmtId="0" fontId="0" fillId="0" borderId="32" xfId="0" applyFont="1" applyFill="1" applyBorder="1" applyAlignment="1" applyProtection="1"/>
    <xf numFmtId="3" fontId="1" fillId="0" borderId="0" xfId="0" applyNumberFormat="1" applyFont="1" applyFill="1" applyBorder="1" applyAlignment="1"/>
    <xf numFmtId="0" fontId="0" fillId="0" borderId="24" xfId="0" applyFill="1" applyBorder="1" applyAlignment="1"/>
    <xf numFmtId="0" fontId="0" fillId="0" borderId="22" xfId="0" applyFill="1" applyBorder="1" applyAlignment="1"/>
    <xf numFmtId="0" fontId="0" fillId="0" borderId="25" xfId="0" applyFill="1" applyBorder="1" applyAlignment="1"/>
    <xf numFmtId="0" fontId="0" fillId="0" borderId="29" xfId="0" applyFill="1" applyBorder="1" applyAlignment="1"/>
    <xf numFmtId="0" fontId="0" fillId="0" borderId="20" xfId="0" applyFill="1" applyBorder="1" applyAlignment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21" xfId="0" applyFill="1" applyBorder="1" applyAlignment="1"/>
    <xf numFmtId="0" fontId="0" fillId="0" borderId="34" xfId="0" applyFill="1" applyBorder="1" applyAlignment="1"/>
    <xf numFmtId="0" fontId="0" fillId="0" borderId="67" xfId="0" applyBorder="1" applyAlignment="1">
      <alignment horizontal="center"/>
    </xf>
    <xf numFmtId="0" fontId="0" fillId="0" borderId="66" xfId="0" applyBorder="1" applyAlignment="1">
      <alignment horizontal="center"/>
    </xf>
    <xf numFmtId="3" fontId="0" fillId="0" borderId="0" xfId="0" applyNumberFormat="1" applyFont="1" applyFill="1" applyBorder="1" applyAlignment="1"/>
    <xf numFmtId="180" fontId="0" fillId="2" borderId="0" xfId="0" applyNumberFormat="1" applyFill="1" applyBorder="1" applyAlignment="1"/>
    <xf numFmtId="0" fontId="0" fillId="2" borderId="0" xfId="0" applyFill="1" applyBorder="1" applyAlignment="1"/>
    <xf numFmtId="183" fontId="0" fillId="2" borderId="24" xfId="0" applyNumberFormat="1" applyFill="1" applyBorder="1" applyAlignment="1"/>
    <xf numFmtId="183" fontId="0" fillId="2" borderId="32" xfId="0" applyNumberFormat="1" applyFill="1" applyBorder="1" applyAlignment="1"/>
    <xf numFmtId="183" fontId="0" fillId="2" borderId="21" xfId="0" applyNumberFormat="1" applyFill="1" applyBorder="1" applyAlignment="1"/>
    <xf numFmtId="183" fontId="0" fillId="2" borderId="29" xfId="0" applyNumberFormat="1" applyFill="1" applyBorder="1" applyAlignment="1"/>
    <xf numFmtId="0" fontId="0" fillId="0" borderId="30" xfId="0" applyFill="1" applyBorder="1" applyAlignment="1">
      <alignment horizontal="right"/>
    </xf>
    <xf numFmtId="0" fontId="0" fillId="0" borderId="31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5" xfId="0" applyBorder="1" applyAlignment="1"/>
    <xf numFmtId="0" fontId="0" fillId="0" borderId="22" xfId="0" applyBorder="1" applyAlignment="1"/>
    <xf numFmtId="0" fontId="0" fillId="0" borderId="24" xfId="0" applyBorder="1" applyAlignment="1"/>
    <xf numFmtId="2" fontId="1" fillId="0" borderId="37" xfId="0" applyNumberFormat="1" applyFont="1" applyFill="1" applyBorder="1" applyAlignment="1"/>
    <xf numFmtId="49" fontId="0" fillId="0" borderId="25" xfId="0" applyNumberFormat="1" applyBorder="1" applyAlignment="1"/>
    <xf numFmtId="0" fontId="0" fillId="0" borderId="54" xfId="0" applyBorder="1" applyAlignment="1"/>
    <xf numFmtId="0" fontId="0" fillId="0" borderId="53" xfId="0" applyBorder="1" applyAlignment="1"/>
    <xf numFmtId="0" fontId="0" fillId="0" borderId="33" xfId="0" applyBorder="1" applyAlignment="1"/>
    <xf numFmtId="2" fontId="0" fillId="0" borderId="47" xfId="0" applyNumberFormat="1" applyBorder="1" applyAlignment="1"/>
    <xf numFmtId="1" fontId="0" fillId="0" borderId="68" xfId="0" applyNumberFormat="1" applyFill="1" applyBorder="1" applyAlignment="1">
      <alignment horizontal="center"/>
    </xf>
    <xf numFmtId="49" fontId="0" fillId="0" borderId="54" xfId="0" applyNumberFormat="1" applyBorder="1" applyAlignment="1"/>
    <xf numFmtId="49" fontId="0" fillId="0" borderId="33" xfId="0" applyNumberFormat="1" applyBorder="1" applyAlignment="1">
      <alignment horizontal="right"/>
    </xf>
    <xf numFmtId="2" fontId="0" fillId="0" borderId="53" xfId="0" applyNumberFormat="1" applyBorder="1" applyAlignment="1"/>
    <xf numFmtId="0" fontId="0" fillId="0" borderId="53" xfId="0" applyBorder="1" applyAlignment="1">
      <alignment horizontal="right"/>
    </xf>
    <xf numFmtId="2" fontId="0" fillId="0" borderId="34" xfId="0" applyNumberFormat="1" applyBorder="1" applyAlignment="1"/>
    <xf numFmtId="176" fontId="0" fillId="0" borderId="21" xfId="0" applyNumberFormat="1" applyBorder="1" applyAlignment="1"/>
    <xf numFmtId="2" fontId="0" fillId="0" borderId="21" xfId="0" applyNumberFormat="1" applyFill="1" applyBorder="1" applyAlignment="1">
      <alignment horizontal="right"/>
    </xf>
    <xf numFmtId="2" fontId="0" fillId="0" borderId="40" xfId="0" applyNumberFormat="1" applyBorder="1" applyAlignment="1"/>
    <xf numFmtId="49" fontId="0" fillId="0" borderId="34" xfId="0" applyNumberFormat="1" applyBorder="1" applyAlignment="1"/>
    <xf numFmtId="49" fontId="0" fillId="0" borderId="21" xfId="0" applyNumberFormat="1" applyBorder="1" applyAlignment="1"/>
    <xf numFmtId="49" fontId="0" fillId="0" borderId="32" xfId="0" applyNumberFormat="1" applyBorder="1" applyAlignment="1">
      <alignment horizontal="right"/>
    </xf>
    <xf numFmtId="2" fontId="0" fillId="0" borderId="27" xfId="0" applyNumberFormat="1" applyFill="1" applyBorder="1" applyAlignment="1"/>
    <xf numFmtId="176" fontId="0" fillId="0" borderId="31" xfId="0" applyNumberFormat="1" applyFill="1" applyBorder="1" applyAlignment="1">
      <alignment horizontal="right"/>
    </xf>
    <xf numFmtId="2" fontId="0" fillId="0" borderId="31" xfId="0" applyNumberFormat="1" applyFill="1" applyBorder="1" applyAlignment="1">
      <alignment horizontal="right"/>
    </xf>
    <xf numFmtId="0" fontId="0" fillId="0" borderId="26" xfId="0" applyBorder="1" applyAlignment="1">
      <alignment horizontal="center"/>
    </xf>
    <xf numFmtId="2" fontId="0" fillId="0" borderId="46" xfId="0" applyNumberFormat="1" applyBorder="1" applyAlignment="1"/>
    <xf numFmtId="49" fontId="0" fillId="0" borderId="30" xfId="0" applyNumberFormat="1" applyBorder="1" applyAlignment="1"/>
    <xf numFmtId="49" fontId="0" fillId="0" borderId="20" xfId="0" applyNumberFormat="1" applyBorder="1" applyAlignment="1"/>
    <xf numFmtId="49" fontId="0" fillId="0" borderId="29" xfId="0" applyNumberFormat="1" applyBorder="1" applyAlignment="1">
      <alignment horizontal="right"/>
    </xf>
    <xf numFmtId="0" fontId="1" fillId="0" borderId="25" xfId="0" applyNumberFormat="1" applyFont="1" applyFill="1" applyBorder="1" applyAlignment="1"/>
    <xf numFmtId="2" fontId="1" fillId="0" borderId="36" xfId="0" applyNumberFormat="1" applyFont="1" applyFill="1" applyBorder="1" applyAlignment="1"/>
    <xf numFmtId="49" fontId="0" fillId="0" borderId="25" xfId="0" applyNumberFormat="1" applyFont="1" applyFill="1" applyBorder="1" applyAlignment="1"/>
    <xf numFmtId="49" fontId="1" fillId="0" borderId="22" xfId="0" applyNumberFormat="1" applyFont="1" applyFill="1" applyBorder="1" applyAlignment="1">
      <alignment horizontal="right"/>
    </xf>
    <xf numFmtId="49" fontId="1" fillId="0" borderId="24" xfId="0" applyNumberFormat="1" applyFont="1" applyFill="1" applyBorder="1" applyAlignment="1">
      <alignment horizontal="right"/>
    </xf>
    <xf numFmtId="2" fontId="0" fillId="0" borderId="54" xfId="0" applyNumberFormat="1" applyFont="1" applyFill="1" applyBorder="1" applyAlignment="1"/>
    <xf numFmtId="49" fontId="0" fillId="0" borderId="22" xfId="0" applyNumberFormat="1" applyBorder="1" applyAlignment="1"/>
    <xf numFmtId="49" fontId="0" fillId="0" borderId="24" xfId="0" applyNumberFormat="1" applyBorder="1" applyAlignment="1"/>
    <xf numFmtId="49" fontId="0" fillId="0" borderId="53" xfId="0" applyNumberFormat="1" applyBorder="1" applyAlignment="1"/>
    <xf numFmtId="1" fontId="0" fillId="0" borderId="0" xfId="0" applyNumberFormat="1" applyBorder="1" applyAlignment="1">
      <alignment horizontal="center"/>
    </xf>
    <xf numFmtId="49" fontId="1" fillId="0" borderId="0" xfId="0" applyNumberFormat="1" applyFont="1" applyFill="1" applyBorder="1" applyAlignment="1">
      <alignment horizontal="right"/>
    </xf>
    <xf numFmtId="2" fontId="0" fillId="0" borderId="21" xfId="0" applyNumberFormat="1" applyBorder="1" applyAlignment="1"/>
    <xf numFmtId="2" fontId="0" fillId="0" borderId="37" xfId="0" applyNumberFormat="1" applyBorder="1" applyAlignment="1"/>
    <xf numFmtId="1" fontId="0" fillId="0" borderId="7" xfId="0" applyNumberFormat="1" applyFill="1" applyBorder="1" applyAlignment="1">
      <alignment horizontal="center"/>
    </xf>
    <xf numFmtId="49" fontId="0" fillId="0" borderId="32" xfId="0" applyNumberFormat="1" applyBorder="1" applyAlignment="1"/>
    <xf numFmtId="0" fontId="0" fillId="0" borderId="0" xfId="0" applyAlignment="1"/>
    <xf numFmtId="0" fontId="0" fillId="0" borderId="32" xfId="0" applyFont="1" applyFill="1" applyBorder="1" applyAlignment="1"/>
    <xf numFmtId="178" fontId="1" fillId="0" borderId="35" xfId="0" applyNumberFormat="1" applyFont="1" applyFill="1" applyBorder="1" applyAlignment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49" fontId="0" fillId="0" borderId="21" xfId="0" applyNumberFormat="1" applyBorder="1" applyAlignment="1">
      <alignment horizontal="center"/>
    </xf>
    <xf numFmtId="49" fontId="0" fillId="0" borderId="27" xfId="0" applyNumberFormat="1" applyBorder="1" applyAlignment="1"/>
    <xf numFmtId="2" fontId="0" fillId="0" borderId="38" xfId="0" applyNumberFormat="1" applyFill="1" applyBorder="1" applyAlignment="1"/>
    <xf numFmtId="176" fontId="0" fillId="0" borderId="58" xfId="0" applyNumberFormat="1" applyFill="1" applyBorder="1" applyAlignment="1"/>
    <xf numFmtId="176" fontId="0" fillId="0" borderId="64" xfId="0" applyNumberFormat="1" applyBorder="1" applyAlignment="1"/>
    <xf numFmtId="0" fontId="0" fillId="0" borderId="7" xfId="0" applyBorder="1" applyAlignment="1">
      <alignment horizontal="center"/>
    </xf>
    <xf numFmtId="176" fontId="1" fillId="0" borderId="0" xfId="0" applyNumberFormat="1" applyFont="1" applyFill="1" applyBorder="1" applyAlignment="1"/>
    <xf numFmtId="0" fontId="0" fillId="0" borderId="32" xfId="0" applyFont="1" applyFill="1" applyBorder="1" applyAlignment="1"/>
    <xf numFmtId="0" fontId="0" fillId="0" borderId="33" xfId="0" applyNumberFormat="1" applyFill="1" applyBorder="1" applyAlignment="1"/>
    <xf numFmtId="0" fontId="0" fillId="0" borderId="53" xfId="0" applyNumberFormat="1" applyFill="1" applyBorder="1" applyAlignment="1"/>
    <xf numFmtId="0" fontId="0" fillId="0" borderId="33" xfId="0" applyFill="1" applyBorder="1" applyAlignment="1"/>
    <xf numFmtId="0" fontId="0" fillId="0" borderId="53" xfId="0" applyFill="1" applyBorder="1" applyAlignment="1"/>
    <xf numFmtId="183" fontId="0" fillId="2" borderId="33" xfId="0" applyNumberFormat="1" applyFill="1" applyBorder="1" applyAlignment="1"/>
    <xf numFmtId="178" fontId="0" fillId="0" borderId="29" xfId="0" applyNumberFormat="1" applyFill="1" applyBorder="1" applyAlignment="1"/>
    <xf numFmtId="178" fontId="0" fillId="0" borderId="20" xfId="0" applyNumberFormat="1" applyFill="1" applyBorder="1" applyAlignment="1"/>
    <xf numFmtId="178" fontId="0" fillId="0" borderId="30" xfId="0" applyNumberFormat="1" applyFill="1" applyBorder="1" applyAlignment="1"/>
    <xf numFmtId="0" fontId="0" fillId="0" borderId="20" xfId="0" applyFont="1" applyFill="1" applyBorder="1" applyAlignment="1"/>
    <xf numFmtId="0" fontId="0" fillId="0" borderId="21" xfId="0" applyFont="1" applyFill="1" applyBorder="1" applyAlignment="1"/>
    <xf numFmtId="0" fontId="0" fillId="0" borderId="32" xfId="0" applyFont="1" applyFill="1" applyBorder="1" applyAlignment="1" applyProtection="1">
      <alignment horizontal="left"/>
    </xf>
    <xf numFmtId="0" fontId="0" fillId="0" borderId="22" xfId="0" applyFont="1" applyFill="1" applyBorder="1" applyAlignment="1"/>
    <xf numFmtId="0" fontId="0" fillId="0" borderId="24" xfId="0" applyFont="1" applyFill="1" applyBorder="1" applyAlignment="1" applyProtection="1">
      <alignment horizontal="left"/>
    </xf>
    <xf numFmtId="0" fontId="0" fillId="0" borderId="54" xfId="0" applyFill="1" applyBorder="1" applyAlignment="1"/>
    <xf numFmtId="0" fontId="0" fillId="0" borderId="33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178" fontId="1" fillId="0" borderId="35" xfId="0" applyNumberFormat="1" applyFont="1" applyFill="1" applyBorder="1" applyAlignment="1"/>
    <xf numFmtId="0" fontId="0" fillId="0" borderId="7" xfId="0" applyBorder="1" applyAlignment="1">
      <alignment horizontal="center"/>
    </xf>
    <xf numFmtId="1" fontId="1" fillId="0" borderId="0" xfId="0" applyNumberFormat="1" applyFont="1" applyFill="1" applyBorder="1" applyAlignment="1"/>
    <xf numFmtId="176" fontId="0" fillId="0" borderId="56" xfId="0" applyNumberFormat="1" applyBorder="1" applyAlignment="1"/>
    <xf numFmtId="176" fontId="0" fillId="0" borderId="65" xfId="0" applyNumberFormat="1" applyFill="1" applyBorder="1" applyAlignment="1"/>
    <xf numFmtId="185" fontId="0" fillId="0" borderId="57" xfId="0" applyNumberFormat="1" applyFill="1" applyBorder="1" applyAlignment="1"/>
    <xf numFmtId="185" fontId="0" fillId="0" borderId="63" xfId="0" applyNumberFormat="1" applyBorder="1" applyAlignment="1"/>
    <xf numFmtId="185" fontId="0" fillId="0" borderId="71" xfId="0" applyNumberFormat="1" applyFill="1" applyBorder="1" applyAlignment="1"/>
    <xf numFmtId="185" fontId="0" fillId="0" borderId="72" xfId="0" applyNumberFormat="1" applyBorder="1" applyAlignment="1"/>
    <xf numFmtId="185" fontId="0" fillId="0" borderId="56" xfId="0" applyNumberFormat="1" applyFill="1" applyBorder="1" applyAlignment="1"/>
    <xf numFmtId="185" fontId="0" fillId="0" borderId="65" xfId="0" applyNumberFormat="1" applyBorder="1" applyAlignment="1"/>
    <xf numFmtId="0" fontId="0" fillId="0" borderId="57" xfId="0" applyFill="1" applyBorder="1" applyAlignment="1"/>
    <xf numFmtId="0" fontId="0" fillId="0" borderId="63" xfId="0" applyBorder="1" applyAlignment="1"/>
    <xf numFmtId="0" fontId="0" fillId="0" borderId="58" xfId="0" applyFill="1" applyBorder="1" applyAlignment="1"/>
    <xf numFmtId="0" fontId="0" fillId="0" borderId="64" xfId="0" applyBorder="1" applyAlignment="1"/>
    <xf numFmtId="0" fontId="0" fillId="0" borderId="56" xfId="0" applyFill="1" applyBorder="1" applyAlignment="1"/>
    <xf numFmtId="0" fontId="0" fillId="0" borderId="65" xfId="0" applyBorder="1" applyAlignment="1"/>
    <xf numFmtId="0" fontId="0" fillId="0" borderId="0" xfId="0" applyNumberFormat="1" applyFill="1" applyBorder="1" applyAlignment="1"/>
    <xf numFmtId="181" fontId="0" fillId="0" borderId="0" xfId="0" applyNumberForma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/>
    <xf numFmtId="183" fontId="0" fillId="2" borderId="0" xfId="0" applyNumberFormat="1" applyFill="1" applyBorder="1" applyAlignment="1"/>
    <xf numFmtId="0" fontId="0" fillId="0" borderId="5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43" xfId="0" applyNumberFormat="1" applyFont="1" applyFill="1" applyBorder="1" applyAlignment="1">
      <alignment horizontal="center"/>
    </xf>
    <xf numFmtId="2" fontId="0" fillId="0" borderId="42" xfId="0" applyNumberFormat="1" applyFont="1" applyFill="1" applyBorder="1" applyAlignment="1">
      <alignment horizontal="center"/>
    </xf>
    <xf numFmtId="2" fontId="0" fillId="0" borderId="30" xfId="0" applyNumberFormat="1" applyFont="1" applyFill="1" applyBorder="1" applyAlignment="1">
      <alignment horizontal="center"/>
    </xf>
    <xf numFmtId="2" fontId="0" fillId="0" borderId="38" xfId="0" applyNumberFormat="1" applyFont="1" applyFill="1" applyBorder="1" applyAlignment="1">
      <alignment horizontal="center"/>
    </xf>
    <xf numFmtId="2" fontId="0" fillId="0" borderId="40" xfId="0" applyNumberFormat="1" applyFont="1" applyFill="1" applyBorder="1" applyAlignment="1">
      <alignment horizontal="center"/>
    </xf>
    <xf numFmtId="2" fontId="0" fillId="0" borderId="34" xfId="0" applyNumberFormat="1" applyFont="1" applyFill="1" applyBorder="1" applyAlignment="1">
      <alignment horizontal="center"/>
    </xf>
    <xf numFmtId="2" fontId="0" fillId="0" borderId="35" xfId="0" applyNumberFormat="1" applyFont="1" applyFill="1" applyBorder="1" applyAlignment="1">
      <alignment horizontal="center"/>
    </xf>
    <xf numFmtId="2" fontId="0" fillId="0" borderId="37" xfId="0" applyNumberFormat="1" applyFont="1" applyFill="1" applyBorder="1" applyAlignment="1">
      <alignment horizontal="center"/>
    </xf>
    <xf numFmtId="2" fontId="0" fillId="0" borderId="25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2" fontId="0" fillId="0" borderId="43" xfId="0" applyNumberFormat="1" applyFont="1" applyFill="1" applyBorder="1" applyAlignment="1"/>
    <xf numFmtId="2" fontId="0" fillId="0" borderId="42" xfId="0" applyNumberFormat="1" applyFont="1" applyFill="1" applyBorder="1" applyAlignment="1"/>
    <xf numFmtId="2" fontId="0" fillId="0" borderId="30" xfId="0" applyNumberFormat="1" applyFont="1" applyFill="1" applyBorder="1" applyAlignment="1"/>
    <xf numFmtId="2" fontId="0" fillId="0" borderId="38" xfId="0" applyNumberFormat="1" applyFont="1" applyFill="1" applyBorder="1" applyAlignment="1"/>
    <xf numFmtId="2" fontId="0" fillId="0" borderId="40" xfId="0" applyNumberFormat="1" applyFont="1" applyFill="1" applyBorder="1" applyAlignment="1"/>
    <xf numFmtId="2" fontId="0" fillId="0" borderId="34" xfId="0" applyNumberFormat="1" applyFont="1" applyFill="1" applyBorder="1" applyAlignment="1"/>
    <xf numFmtId="2" fontId="0" fillId="0" borderId="35" xfId="0" applyNumberFormat="1" applyFont="1" applyFill="1" applyBorder="1" applyAlignment="1"/>
    <xf numFmtId="2" fontId="0" fillId="0" borderId="37" xfId="0" applyNumberFormat="1" applyFont="1" applyFill="1" applyBorder="1" applyAlignment="1"/>
    <xf numFmtId="2" fontId="0" fillId="0" borderId="25" xfId="0" applyNumberFormat="1" applyFont="1" applyFill="1" applyBorder="1" applyAlignment="1"/>
    <xf numFmtId="0" fontId="0" fillId="0" borderId="32" xfId="0" applyFont="1" applyFill="1" applyBorder="1" applyAlignment="1"/>
    <xf numFmtId="0" fontId="0" fillId="0" borderId="32" xfId="0" applyFont="1" applyFill="1" applyBorder="1" applyAlignment="1"/>
    <xf numFmtId="0" fontId="0" fillId="0" borderId="34" xfId="0" applyFill="1" applyBorder="1" applyAlignment="1">
      <alignment horizontal="right"/>
    </xf>
    <xf numFmtId="0" fontId="0" fillId="0" borderId="32" xfId="0" applyFont="1" applyFill="1" applyBorder="1" applyAlignment="1"/>
    <xf numFmtId="0" fontId="1" fillId="0" borderId="21" xfId="0" applyFont="1" applyFill="1" applyBorder="1" applyAlignment="1"/>
    <xf numFmtId="0" fontId="1" fillId="0" borderId="34" xfId="0" applyFont="1" applyFill="1" applyBorder="1" applyAlignment="1"/>
    <xf numFmtId="0" fontId="0" fillId="0" borderId="29" xfId="0" applyFont="1" applyFill="1" applyBorder="1" applyAlignment="1"/>
    <xf numFmtId="0" fontId="1" fillId="0" borderId="20" xfId="0" applyFont="1" applyFill="1" applyBorder="1" applyAlignment="1"/>
    <xf numFmtId="0" fontId="1" fillId="0" borderId="30" xfId="0" applyFont="1" applyFill="1" applyBorder="1" applyAlignment="1"/>
    <xf numFmtId="0" fontId="1" fillId="0" borderId="22" xfId="0" applyFont="1" applyFill="1" applyBorder="1" applyAlignment="1"/>
    <xf numFmtId="0" fontId="1" fillId="0" borderId="22" xfId="0" applyFont="1" applyFill="1" applyBorder="1" applyAlignment="1" applyProtection="1">
      <alignment horizontal="left"/>
    </xf>
    <xf numFmtId="0" fontId="1" fillId="0" borderId="25" xfId="0" applyFont="1" applyFill="1" applyBorder="1" applyAlignment="1"/>
    <xf numFmtId="178" fontId="1" fillId="0" borderId="35" xfId="0" applyNumberFormat="1" applyFont="1" applyFill="1" applyBorder="1" applyAlignment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32" xfId="0" applyNumberFormat="1" applyFill="1" applyBorder="1" applyAlignment="1"/>
    <xf numFmtId="1" fontId="0" fillId="0" borderId="34" xfId="0" applyNumberFormat="1" applyFill="1" applyBorder="1" applyAlignment="1"/>
    <xf numFmtId="0" fontId="1" fillId="0" borderId="21" xfId="0" applyFont="1" applyFill="1" applyBorder="1" applyAlignment="1"/>
    <xf numFmtId="0" fontId="1" fillId="0" borderId="34" xfId="0" applyFont="1" applyFill="1" applyBorder="1" applyAlignment="1"/>
    <xf numFmtId="0" fontId="0" fillId="0" borderId="32" xfId="0" applyFont="1" applyFill="1" applyBorder="1" applyAlignment="1"/>
    <xf numFmtId="0" fontId="0" fillId="0" borderId="3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58" xfId="0" applyNumberFormat="1" applyFill="1" applyBorder="1" applyAlignment="1"/>
    <xf numFmtId="2" fontId="0" fillId="0" borderId="64" xfId="0" applyNumberFormat="1" applyBorder="1" applyAlignment="1"/>
    <xf numFmtId="2" fontId="0" fillId="0" borderId="71" xfId="0" applyNumberFormat="1" applyFill="1" applyBorder="1" applyAlignment="1"/>
    <xf numFmtId="2" fontId="0" fillId="0" borderId="72" xfId="0" applyNumberFormat="1" applyBorder="1" applyAlignment="1"/>
    <xf numFmtId="2" fontId="0" fillId="0" borderId="57" xfId="0" applyNumberFormat="1" applyFill="1" applyBorder="1" applyAlignment="1"/>
    <xf numFmtId="2" fontId="0" fillId="0" borderId="63" xfId="0" applyNumberFormat="1" applyBorder="1" applyAlignment="1"/>
    <xf numFmtId="2" fontId="1" fillId="0" borderId="47" xfId="0" applyNumberFormat="1" applyFont="1" applyFill="1" applyBorder="1" applyAlignment="1"/>
    <xf numFmtId="49" fontId="0" fillId="0" borderId="24" xfId="0" applyNumberFormat="1" applyBorder="1" applyAlignment="1">
      <alignment horizontal="right"/>
    </xf>
    <xf numFmtId="49" fontId="0" fillId="0" borderId="22" xfId="0" applyNumberFormat="1" applyBorder="1" applyAlignment="1">
      <alignment horizontal="right"/>
    </xf>
    <xf numFmtId="2" fontId="0" fillId="0" borderId="56" xfId="0" applyNumberFormat="1" applyFill="1" applyBorder="1" applyAlignment="1"/>
    <xf numFmtId="2" fontId="0" fillId="0" borderId="65" xfId="0" applyNumberFormat="1" applyBorder="1" applyAlignment="1"/>
    <xf numFmtId="49" fontId="0" fillId="0" borderId="53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right"/>
    </xf>
    <xf numFmtId="49" fontId="0" fillId="0" borderId="0" xfId="0" applyNumberFormat="1" applyBorder="1" applyAlignment="1"/>
    <xf numFmtId="0" fontId="0" fillId="0" borderId="0" xfId="0" applyBorder="1" applyAlignment="1">
      <alignment vertical="center"/>
    </xf>
    <xf numFmtId="2" fontId="0" fillId="0" borderId="46" xfId="0" applyNumberFormat="1" applyFill="1" applyBorder="1" applyAlignment="1"/>
    <xf numFmtId="2" fontId="0" fillId="0" borderId="20" xfId="0" applyNumberFormat="1" applyFill="1" applyBorder="1" applyAlignment="1">
      <alignment horizontal="right"/>
    </xf>
    <xf numFmtId="176" fontId="0" fillId="0" borderId="20" xfId="0" applyNumberFormat="1" applyFill="1" applyBorder="1" applyAlignment="1">
      <alignment horizontal="right"/>
    </xf>
    <xf numFmtId="0" fontId="0" fillId="0" borderId="22" xfId="0" applyBorder="1" applyAlignment="1">
      <alignment horizontal="right"/>
    </xf>
    <xf numFmtId="2" fontId="0" fillId="0" borderId="22" xfId="0" applyNumberFormat="1" applyBorder="1" applyAlignment="1"/>
    <xf numFmtId="2" fontId="0" fillId="0" borderId="30" xfId="0" quotePrefix="1" applyNumberFormat="1" applyFill="1" applyBorder="1" applyAlignment="1"/>
    <xf numFmtId="0" fontId="1" fillId="0" borderId="32" xfId="0" applyFont="1" applyFill="1" applyBorder="1" applyAlignment="1"/>
    <xf numFmtId="0" fontId="0" fillId="0" borderId="32" xfId="0" applyFont="1" applyFill="1" applyBorder="1" applyAlignment="1"/>
    <xf numFmtId="0" fontId="0" fillId="0" borderId="29" xfId="0" applyFont="1" applyFill="1" applyBorder="1" applyAlignment="1"/>
    <xf numFmtId="0" fontId="1" fillId="0" borderId="24" xfId="0" applyFont="1" applyFill="1" applyBorder="1" applyAlignment="1"/>
    <xf numFmtId="0" fontId="0" fillId="0" borderId="32" xfId="0" applyFont="1" applyFill="1" applyBorder="1" applyAlignment="1" applyProtection="1"/>
    <xf numFmtId="178" fontId="1" fillId="0" borderId="35" xfId="0" applyNumberFormat="1" applyFont="1" applyFill="1" applyBorder="1" applyAlignment="1"/>
    <xf numFmtId="49" fontId="0" fillId="0" borderId="29" xfId="0" applyNumberFormat="1" applyBorder="1" applyAlignment="1">
      <alignment horizontal="left"/>
    </xf>
    <xf numFmtId="2" fontId="0" fillId="3" borderId="0" xfId="0" applyNumberFormat="1" applyFont="1" applyFill="1" applyBorder="1" applyAlignment="1"/>
    <xf numFmtId="0" fontId="0" fillId="0" borderId="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176" fontId="0" fillId="0" borderId="0" xfId="0" applyNumberFormat="1" applyFill="1" applyBorder="1" applyAlignment="1" applyProtection="1"/>
    <xf numFmtId="176" fontId="0" fillId="0" borderId="0" xfId="0" applyNumberFormat="1" applyFill="1" applyBorder="1" applyAlignment="1"/>
    <xf numFmtId="177" fontId="0" fillId="0" borderId="0" xfId="0" applyNumberFormat="1" applyFill="1" applyBorder="1" applyAlignment="1"/>
    <xf numFmtId="0" fontId="0" fillId="0" borderId="1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44" xfId="0" applyNumberFormat="1" applyFill="1" applyBorder="1" applyAlignment="1">
      <alignment horizontal="center"/>
    </xf>
    <xf numFmtId="2" fontId="0" fillId="0" borderId="46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38" xfId="0" applyNumberFormat="1" applyFill="1" applyBorder="1" applyAlignment="1">
      <alignment horizontal="center"/>
    </xf>
    <xf numFmtId="2" fontId="0" fillId="0" borderId="40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35" xfId="0" applyNumberFormat="1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0" fontId="0" fillId="0" borderId="18" xfId="0" applyFill="1" applyBorder="1" applyAlignment="1"/>
    <xf numFmtId="0" fontId="0" fillId="0" borderId="5" xfId="0" applyFill="1" applyBorder="1" applyAlignment="1"/>
    <xf numFmtId="0" fontId="0" fillId="0" borderId="2" xfId="0" applyFill="1" applyBorder="1" applyAlignment="1"/>
    <xf numFmtId="0" fontId="0" fillId="0" borderId="6" xfId="0" applyFill="1" applyBorder="1" applyAlignment="1">
      <alignment horizontal="center"/>
    </xf>
    <xf numFmtId="0" fontId="0" fillId="0" borderId="19" xfId="0" applyFill="1" applyBorder="1" applyAlignment="1"/>
    <xf numFmtId="2" fontId="0" fillId="0" borderId="4" xfId="0" applyNumberFormat="1" applyFill="1" applyBorder="1" applyAlignment="1">
      <alignment horizontal="center"/>
    </xf>
    <xf numFmtId="0" fontId="6" fillId="0" borderId="32" xfId="0" applyFont="1" applyFill="1" applyBorder="1" applyAlignment="1"/>
    <xf numFmtId="0" fontId="6" fillId="0" borderId="21" xfId="0" applyFont="1" applyFill="1" applyBorder="1" applyAlignment="1"/>
    <xf numFmtId="0" fontId="6" fillId="0" borderId="21" xfId="0" applyFont="1" applyFill="1" applyBorder="1" applyAlignment="1" applyProtection="1">
      <alignment horizontal="left"/>
    </xf>
    <xf numFmtId="0" fontId="6" fillId="0" borderId="34" xfId="0" applyFont="1" applyFill="1" applyBorder="1" applyAlignment="1"/>
    <xf numFmtId="0" fontId="6" fillId="0" borderId="8" xfId="0" applyFont="1" applyBorder="1" applyAlignment="1">
      <alignment horizontal="center"/>
    </xf>
    <xf numFmtId="49" fontId="6" fillId="0" borderId="29" xfId="0" applyNumberFormat="1" applyFont="1" applyBorder="1" applyAlignment="1">
      <alignment horizontal="right"/>
    </xf>
    <xf numFmtId="49" fontId="6" fillId="0" borderId="20" xfId="0" applyNumberFormat="1" applyFont="1" applyBorder="1" applyAlignment="1"/>
    <xf numFmtId="49" fontId="6" fillId="0" borderId="30" xfId="0" applyNumberFormat="1" applyFont="1" applyBorder="1" applyAlignment="1"/>
    <xf numFmtId="1" fontId="6" fillId="0" borderId="8" xfId="0" applyNumberFormat="1" applyFont="1" applyFill="1" applyBorder="1" applyAlignment="1">
      <alignment horizontal="center"/>
    </xf>
    <xf numFmtId="0" fontId="6" fillId="0" borderId="44" xfId="0" applyFont="1" applyBorder="1" applyAlignment="1">
      <alignment horizontal="center"/>
    </xf>
    <xf numFmtId="2" fontId="6" fillId="0" borderId="45" xfId="0" applyNumberFormat="1" applyFont="1" applyFill="1" applyBorder="1" applyAlignment="1"/>
    <xf numFmtId="2" fontId="6" fillId="0" borderId="46" xfId="0" applyNumberFormat="1" applyFont="1" applyBorder="1" applyAlignment="1"/>
    <xf numFmtId="2" fontId="6" fillId="0" borderId="44" xfId="0" applyNumberFormat="1" applyFont="1" applyFill="1" applyBorder="1" applyAlignment="1"/>
    <xf numFmtId="0" fontId="6" fillId="0" borderId="46" xfId="0" applyNumberFormat="1" applyFont="1" applyFill="1" applyBorder="1" applyAlignment="1"/>
    <xf numFmtId="0" fontId="6" fillId="0" borderId="57" xfId="0" applyFont="1" applyFill="1" applyBorder="1" applyAlignment="1"/>
    <xf numFmtId="0" fontId="6" fillId="0" borderId="63" xfId="0" applyFont="1" applyBorder="1" applyAlignment="1"/>
    <xf numFmtId="0" fontId="6" fillId="0" borderId="26" xfId="0" applyFont="1" applyBorder="1" applyAlignment="1">
      <alignment horizontal="center"/>
    </xf>
    <xf numFmtId="2" fontId="6" fillId="0" borderId="31" xfId="0" applyNumberFormat="1" applyFont="1" applyFill="1" applyBorder="1" applyAlignment="1">
      <alignment horizontal="right"/>
    </xf>
    <xf numFmtId="2" fontId="6" fillId="0" borderId="27" xfId="0" applyNumberFormat="1" applyFont="1" applyFill="1" applyBorder="1" applyAlignment="1"/>
    <xf numFmtId="0" fontId="6" fillId="0" borderId="9" xfId="0" applyFont="1" applyBorder="1" applyAlignment="1">
      <alignment horizontal="center"/>
    </xf>
    <xf numFmtId="49" fontId="6" fillId="0" borderId="32" xfId="0" applyNumberFormat="1" applyFont="1" applyBorder="1" applyAlignment="1"/>
    <xf numFmtId="49" fontId="6" fillId="0" borderId="21" xfId="0" applyNumberFormat="1" applyFont="1" applyBorder="1" applyAlignment="1"/>
    <xf numFmtId="49" fontId="6" fillId="0" borderId="34" xfId="0" applyNumberFormat="1" applyFont="1" applyBorder="1" applyAlignment="1"/>
    <xf numFmtId="1" fontId="6" fillId="0" borderId="9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2" fontId="6" fillId="0" borderId="21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/>
    <xf numFmtId="2" fontId="6" fillId="0" borderId="34" xfId="0" applyNumberFormat="1" applyFont="1" applyBorder="1" applyAlignment="1"/>
    <xf numFmtId="0" fontId="6" fillId="0" borderId="68" xfId="0" applyFont="1" applyBorder="1" applyAlignment="1">
      <alignment horizontal="center"/>
    </xf>
    <xf numFmtId="49" fontId="6" fillId="0" borderId="53" xfId="0" applyNumberFormat="1" applyFont="1" applyBorder="1" applyAlignment="1"/>
    <xf numFmtId="49" fontId="6" fillId="0" borderId="54" xfId="0" applyNumberFormat="1" applyFont="1" applyBorder="1" applyAlignment="1"/>
    <xf numFmtId="0" fontId="6" fillId="0" borderId="38" xfId="0" applyFont="1" applyBorder="1" applyAlignment="1">
      <alignment horizontal="center"/>
    </xf>
    <xf numFmtId="2" fontId="6" fillId="0" borderId="39" xfId="0" applyNumberFormat="1" applyFont="1" applyFill="1" applyBorder="1" applyAlignment="1"/>
    <xf numFmtId="2" fontId="6" fillId="0" borderId="40" xfId="0" applyNumberFormat="1" applyFont="1" applyBorder="1" applyAlignment="1"/>
    <xf numFmtId="2" fontId="6" fillId="0" borderId="38" xfId="0" applyNumberFormat="1" applyFont="1" applyFill="1" applyBorder="1" applyAlignment="1"/>
    <xf numFmtId="0" fontId="6" fillId="0" borderId="40" xfId="0" applyNumberFormat="1" applyFont="1" applyFill="1" applyBorder="1" applyAlignment="1"/>
    <xf numFmtId="0" fontId="6" fillId="0" borderId="58" xfId="0" applyFont="1" applyFill="1" applyBorder="1" applyAlignment="1"/>
    <xf numFmtId="0" fontId="6" fillId="0" borderId="64" xfId="0" applyFont="1" applyBorder="1" applyAlignment="1"/>
    <xf numFmtId="0" fontId="6" fillId="0" borderId="33" xfId="0" applyFont="1" applyBorder="1" applyAlignment="1"/>
    <xf numFmtId="0" fontId="6" fillId="0" borderId="53" xfId="0" applyFont="1" applyBorder="1" applyAlignment="1">
      <alignment horizontal="right"/>
    </xf>
    <xf numFmtId="2" fontId="6" fillId="0" borderId="53" xfId="0" applyNumberFormat="1" applyFont="1" applyBorder="1" applyAlignment="1"/>
    <xf numFmtId="0" fontId="6" fillId="0" borderId="54" xfId="0" applyFont="1" applyBorder="1" applyAlignment="1"/>
    <xf numFmtId="0" fontId="6" fillId="0" borderId="7" xfId="0" applyFont="1" applyBorder="1" applyAlignment="1">
      <alignment horizontal="center"/>
    </xf>
    <xf numFmtId="49" fontId="6" fillId="0" borderId="24" xfId="0" applyNumberFormat="1" applyFont="1" applyBorder="1" applyAlignment="1"/>
    <xf numFmtId="49" fontId="6" fillId="0" borderId="22" xfId="0" applyNumberFormat="1" applyFont="1" applyBorder="1" applyAlignment="1"/>
    <xf numFmtId="49" fontId="6" fillId="0" borderId="25" xfId="0" applyNumberFormat="1" applyFont="1" applyBorder="1" applyAlignment="1"/>
    <xf numFmtId="1" fontId="6" fillId="0" borderId="7" xfId="0" applyNumberFormat="1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2" fontId="6" fillId="0" borderId="36" xfId="0" applyNumberFormat="1" applyFont="1" applyFill="1" applyBorder="1" applyAlignment="1"/>
    <xf numFmtId="2" fontId="6" fillId="0" borderId="37" xfId="0" applyNumberFormat="1" applyFont="1" applyFill="1" applyBorder="1" applyAlignment="1"/>
    <xf numFmtId="178" fontId="6" fillId="0" borderId="35" xfId="0" applyNumberFormat="1" applyFont="1" applyFill="1" applyBorder="1" applyAlignment="1"/>
    <xf numFmtId="0" fontId="6" fillId="0" borderId="37" xfId="0" applyFont="1" applyBorder="1" applyAlignment="1"/>
    <xf numFmtId="0" fontId="6" fillId="0" borderId="56" xfId="0" applyFont="1" applyFill="1" applyBorder="1" applyAlignment="1"/>
    <xf numFmtId="0" fontId="6" fillId="0" borderId="65" xfId="0" applyFont="1" applyBorder="1" applyAlignment="1"/>
    <xf numFmtId="0" fontId="6" fillId="0" borderId="24" xfId="0" applyFont="1" applyBorder="1" applyAlignment="1"/>
    <xf numFmtId="0" fontId="6" fillId="0" borderId="22" xfId="0" applyFont="1" applyBorder="1" applyAlignment="1"/>
    <xf numFmtId="0" fontId="6" fillId="0" borderId="25" xfId="0" applyNumberFormat="1" applyFont="1" applyFill="1" applyBorder="1" applyAlignment="1"/>
    <xf numFmtId="1" fontId="0" fillId="0" borderId="0" xfId="0" applyNumberFormat="1" applyFill="1" applyAlignment="1"/>
    <xf numFmtId="176" fontId="0" fillId="0" borderId="0" xfId="0" applyNumberFormat="1" applyFill="1" applyAlignment="1"/>
    <xf numFmtId="2" fontId="0" fillId="0" borderId="0" xfId="0" applyNumberFormat="1" applyFill="1" applyAlignment="1"/>
    <xf numFmtId="0" fontId="0" fillId="4" borderId="29" xfId="0" applyFont="1" applyFill="1" applyBorder="1" applyAlignment="1" applyProtection="1">
      <alignment horizontal="left"/>
    </xf>
    <xf numFmtId="0" fontId="1" fillId="4" borderId="20" xfId="0" applyFont="1" applyFill="1" applyBorder="1" applyAlignment="1" applyProtection="1"/>
    <xf numFmtId="0" fontId="1" fillId="4" borderId="30" xfId="0" applyFont="1" applyFill="1" applyBorder="1" applyAlignment="1" applyProtection="1"/>
    <xf numFmtId="0" fontId="0" fillId="4" borderId="29" xfId="0" applyFont="1" applyFill="1" applyBorder="1" applyAlignment="1"/>
    <xf numFmtId="0" fontId="0" fillId="4" borderId="20" xfId="0" applyFill="1" applyBorder="1" applyAlignment="1"/>
    <xf numFmtId="0" fontId="0" fillId="4" borderId="20" xfId="0" applyFill="1" applyBorder="1" applyAlignment="1">
      <alignment horizontal="right"/>
    </xf>
    <xf numFmtId="183" fontId="0" fillId="4" borderId="29" xfId="0" applyNumberFormat="1" applyFill="1" applyBorder="1" applyAlignment="1"/>
    <xf numFmtId="0" fontId="0" fillId="4" borderId="32" xfId="0" applyNumberFormat="1" applyFill="1" applyBorder="1" applyAlignment="1"/>
    <xf numFmtId="0" fontId="0" fillId="4" borderId="21" xfId="0" applyNumberFormat="1" applyFill="1" applyBorder="1" applyAlignment="1"/>
    <xf numFmtId="0" fontId="0" fillId="4" borderId="32" xfId="0" applyFont="1" applyFill="1" applyBorder="1" applyAlignment="1" applyProtection="1"/>
    <xf numFmtId="0" fontId="0" fillId="4" borderId="21" xfId="0" applyFill="1" applyBorder="1" applyAlignment="1"/>
    <xf numFmtId="0" fontId="0" fillId="4" borderId="26" xfId="0" applyFont="1" applyFill="1" applyBorder="1" applyAlignment="1"/>
    <xf numFmtId="0" fontId="0" fillId="4" borderId="31" xfId="0" applyFill="1" applyBorder="1" applyAlignment="1"/>
    <xf numFmtId="0" fontId="0" fillId="4" borderId="31" xfId="0" applyFill="1" applyBorder="1" applyAlignment="1">
      <alignment horizontal="right"/>
    </xf>
    <xf numFmtId="183" fontId="0" fillId="4" borderId="21" xfId="0" applyNumberFormat="1" applyFill="1" applyBorder="1" applyAlignment="1"/>
    <xf numFmtId="0" fontId="0" fillId="4" borderId="32" xfId="0" applyFill="1" applyBorder="1" applyAlignment="1"/>
    <xf numFmtId="0" fontId="0" fillId="4" borderId="32" xfId="0" applyFont="1" applyFill="1" applyBorder="1" applyAlignment="1"/>
    <xf numFmtId="0" fontId="0" fillId="4" borderId="21" xfId="0" applyFill="1" applyBorder="1" applyAlignment="1">
      <alignment horizontal="right"/>
    </xf>
    <xf numFmtId="183" fontId="0" fillId="4" borderId="32" xfId="0" applyNumberFormat="1" applyFill="1" applyBorder="1" applyAlignment="1"/>
    <xf numFmtId="0" fontId="0" fillId="4" borderId="33" xfId="0" applyNumberFormat="1" applyFill="1" applyBorder="1" applyAlignment="1"/>
    <xf numFmtId="0" fontId="0" fillId="4" borderId="53" xfId="0" applyNumberFormat="1" applyFill="1" applyBorder="1" applyAlignment="1"/>
    <xf numFmtId="0" fontId="0" fillId="4" borderId="33" xfId="0" applyFill="1" applyBorder="1" applyAlignment="1"/>
    <xf numFmtId="0" fontId="0" fillId="4" borderId="53" xfId="0" applyFill="1" applyBorder="1" applyAlignment="1"/>
    <xf numFmtId="183" fontId="0" fillId="4" borderId="33" xfId="0" applyNumberFormat="1" applyFill="1" applyBorder="1" applyAlignment="1"/>
    <xf numFmtId="178" fontId="0" fillId="4" borderId="29" xfId="0" applyNumberFormat="1" applyFill="1" applyBorder="1" applyAlignment="1"/>
    <xf numFmtId="178" fontId="0" fillId="4" borderId="20" xfId="0" applyNumberFormat="1" applyFill="1" applyBorder="1" applyAlignment="1"/>
    <xf numFmtId="178" fontId="0" fillId="4" borderId="30" xfId="0" applyNumberFormat="1" applyFill="1" applyBorder="1" applyAlignment="1"/>
    <xf numFmtId="0" fontId="0" fillId="4" borderId="24" xfId="0" applyNumberFormat="1" applyFill="1" applyBorder="1" applyAlignment="1"/>
    <xf numFmtId="0" fontId="0" fillId="4" borderId="22" xfId="0" applyNumberFormat="1" applyFill="1" applyBorder="1" applyAlignment="1"/>
    <xf numFmtId="0" fontId="1" fillId="4" borderId="24" xfId="0" applyFont="1" applyFill="1" applyBorder="1" applyAlignment="1" applyProtection="1">
      <alignment horizontal="left"/>
    </xf>
    <xf numFmtId="0" fontId="0" fillId="4" borderId="22" xfId="0" applyFill="1" applyBorder="1" applyAlignment="1"/>
    <xf numFmtId="0" fontId="1" fillId="4" borderId="24" xfId="0" applyFont="1" applyFill="1" applyBorder="1" applyAlignment="1"/>
    <xf numFmtId="0" fontId="0" fillId="4" borderId="22" xfId="0" applyFill="1" applyBorder="1" applyAlignment="1">
      <alignment horizontal="right"/>
    </xf>
    <xf numFmtId="183" fontId="0" fillId="4" borderId="24" xfId="0" applyNumberFormat="1" applyFill="1" applyBorder="1" applyAlignment="1"/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30" xfId="0" applyFill="1" applyBorder="1" applyAlignment="1">
      <alignment horizontal="right"/>
    </xf>
    <xf numFmtId="0" fontId="1" fillId="4" borderId="32" xfId="0" applyFont="1" applyFill="1" applyBorder="1" applyAlignment="1"/>
    <xf numFmtId="1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177" fontId="0" fillId="0" borderId="0" xfId="0" applyNumberFormat="1" applyFont="1" applyFill="1" applyBorder="1" applyAlignment="1"/>
    <xf numFmtId="177" fontId="0" fillId="0" borderId="0" xfId="0" applyNumberFormat="1" applyFont="1" applyFill="1" applyBorder="1"/>
    <xf numFmtId="2" fontId="0" fillId="0" borderId="8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0" fontId="0" fillId="0" borderId="26" xfId="0" applyBorder="1" applyAlignment="1"/>
    <xf numFmtId="0" fontId="0" fillId="0" borderId="32" xfId="0" applyBorder="1" applyAlignment="1">
      <alignment horizontal="left"/>
    </xf>
    <xf numFmtId="178" fontId="1" fillId="0" borderId="51" xfId="1" applyNumberFormat="1" applyFont="1" applyFill="1" applyBorder="1" applyAlignment="1" applyProtection="1"/>
    <xf numFmtId="178" fontId="1" fillId="0" borderId="21" xfId="1" applyNumberFormat="1" applyFont="1" applyFill="1" applyBorder="1" applyAlignment="1" applyProtection="1"/>
    <xf numFmtId="178" fontId="1" fillId="0" borderId="34" xfId="1" applyNumberFormat="1" applyFont="1" applyFill="1" applyBorder="1" applyAlignment="1" applyProtection="1"/>
    <xf numFmtId="178" fontId="1" fillId="0" borderId="76" xfId="1" applyNumberFormat="1" applyFont="1" applyFill="1" applyBorder="1" applyAlignment="1" applyProtection="1"/>
    <xf numFmtId="178" fontId="1" fillId="0" borderId="22" xfId="1" applyNumberFormat="1" applyFont="1" applyFill="1" applyBorder="1" applyAlignment="1" applyProtection="1"/>
    <xf numFmtId="178" fontId="1" fillId="0" borderId="25" xfId="1" applyNumberFormat="1" applyFont="1" applyFill="1" applyBorder="1" applyAlignment="1" applyProtection="1"/>
    <xf numFmtId="178" fontId="1" fillId="0" borderId="24" xfId="1" applyNumberFormat="1" applyFont="1" applyFill="1" applyBorder="1" applyAlignment="1" applyProtection="1"/>
    <xf numFmtId="178" fontId="1" fillId="0" borderId="55" xfId="1" applyNumberFormat="1" applyFont="1" applyFill="1" applyBorder="1" applyAlignment="1" applyProtection="1"/>
    <xf numFmtId="181" fontId="0" fillId="0" borderId="24" xfId="0" applyNumberFormat="1" applyFill="1" applyBorder="1" applyAlignment="1"/>
    <xf numFmtId="181" fontId="0" fillId="0" borderId="22" xfId="0" applyNumberFormat="1" applyFill="1" applyBorder="1" applyAlignment="1"/>
    <xf numFmtId="181" fontId="0" fillId="0" borderId="25" xfId="0" applyNumberFormat="1" applyFill="1" applyBorder="1" applyAlignment="1"/>
    <xf numFmtId="181" fontId="0" fillId="0" borderId="9" xfId="0" applyNumberFormat="1" applyFill="1" applyBorder="1" applyAlignment="1"/>
    <xf numFmtId="0" fontId="0" fillId="0" borderId="16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81" fontId="0" fillId="0" borderId="32" xfId="0" applyNumberFormat="1" applyFill="1" applyBorder="1" applyAlignment="1"/>
    <xf numFmtId="181" fontId="0" fillId="0" borderId="21" xfId="0" applyNumberFormat="1" applyFill="1" applyBorder="1" applyAlignment="1"/>
    <xf numFmtId="181" fontId="0" fillId="0" borderId="34" xfId="0" applyNumberFormat="1" applyFill="1" applyBorder="1" applyAlignment="1"/>
    <xf numFmtId="179" fontId="1" fillId="0" borderId="32" xfId="1" applyNumberFormat="1" applyFont="1" applyFill="1" applyBorder="1" applyAlignment="1" applyProtection="1"/>
    <xf numFmtId="179" fontId="1" fillId="0" borderId="21" xfId="1" applyNumberFormat="1" applyFont="1" applyFill="1" applyBorder="1" applyAlignment="1" applyProtection="1"/>
    <xf numFmtId="179" fontId="1" fillId="0" borderId="34" xfId="1" applyNumberFormat="1" applyFont="1" applyFill="1" applyBorder="1" applyAlignment="1" applyProtection="1"/>
    <xf numFmtId="178" fontId="1" fillId="0" borderId="32" xfId="1" applyNumberFormat="1" applyFont="1" applyFill="1" applyBorder="1" applyAlignment="1" applyProtection="1"/>
    <xf numFmtId="178" fontId="1" fillId="0" borderId="52" xfId="1" applyNumberFormat="1" applyFont="1" applyFill="1" applyBorder="1" applyAlignment="1" applyProtection="1"/>
    <xf numFmtId="178" fontId="1" fillId="0" borderId="75" xfId="1" applyNumberFormat="1" applyFont="1" applyFill="1" applyBorder="1" applyAlignment="1" applyProtection="1"/>
    <xf numFmtId="178" fontId="1" fillId="0" borderId="20" xfId="1" applyNumberFormat="1" applyFont="1" applyFill="1" applyBorder="1" applyAlignment="1" applyProtection="1"/>
    <xf numFmtId="178" fontId="1" fillId="0" borderId="30" xfId="1" applyNumberFormat="1" applyFont="1" applyFill="1" applyBorder="1" applyAlignment="1" applyProtection="1"/>
    <xf numFmtId="178" fontId="1" fillId="0" borderId="6" xfId="1" applyNumberFormat="1" applyFont="1" applyFill="1" applyBorder="1" applyAlignment="1" applyProtection="1"/>
    <xf numFmtId="178" fontId="1" fillId="0" borderId="29" xfId="1" applyNumberFormat="1" applyFont="1" applyFill="1" applyBorder="1" applyAlignment="1" applyProtection="1"/>
    <xf numFmtId="178" fontId="6" fillId="0" borderId="44" xfId="1" applyNumberFormat="1" applyFont="1" applyFill="1" applyBorder="1" applyAlignment="1" applyProtection="1">
      <alignment horizontal="center"/>
    </xf>
    <xf numFmtId="178" fontId="6" fillId="0" borderId="73" xfId="1" applyNumberFormat="1" applyFont="1" applyFill="1" applyBorder="1" applyAlignment="1" applyProtection="1">
      <alignment horizontal="center"/>
    </xf>
    <xf numFmtId="178" fontId="6" fillId="0" borderId="45" xfId="1" applyNumberFormat="1" applyFont="1" applyFill="1" applyBorder="1" applyAlignment="1" applyProtection="1">
      <alignment horizontal="center"/>
    </xf>
    <xf numFmtId="179" fontId="1" fillId="0" borderId="24" xfId="1" applyNumberFormat="1" applyFont="1" applyFill="1" applyBorder="1" applyAlignment="1" applyProtection="1"/>
    <xf numFmtId="179" fontId="1" fillId="0" borderId="22" xfId="1" applyNumberFormat="1" applyFont="1" applyFill="1" applyBorder="1" applyAlignment="1" applyProtection="1"/>
    <xf numFmtId="179" fontId="1" fillId="0" borderId="25" xfId="1" applyNumberFormat="1" applyFont="1" applyFill="1" applyBorder="1" applyAlignment="1" applyProtection="1"/>
    <xf numFmtId="181" fontId="0" fillId="0" borderId="29" xfId="0" applyNumberFormat="1" applyFill="1" applyBorder="1" applyAlignment="1"/>
    <xf numFmtId="181" fontId="0" fillId="0" borderId="20" xfId="0" applyNumberFormat="1" applyFill="1" applyBorder="1" applyAlignment="1"/>
    <xf numFmtId="181" fontId="0" fillId="0" borderId="30" xfId="0" applyNumberFormat="1" applyFill="1" applyBorder="1" applyAlignment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179" fontId="1" fillId="0" borderId="29" xfId="1" applyNumberFormat="1" applyFont="1" applyFill="1" applyBorder="1" applyAlignment="1" applyProtection="1"/>
    <xf numFmtId="179" fontId="1" fillId="0" borderId="20" xfId="1" applyNumberFormat="1" applyFont="1" applyFill="1" applyBorder="1" applyAlignment="1" applyProtection="1"/>
    <xf numFmtId="179" fontId="1" fillId="0" borderId="30" xfId="1" applyNumberFormat="1" applyFont="1" applyFill="1" applyBorder="1" applyAlignment="1" applyProtection="1"/>
    <xf numFmtId="178" fontId="1" fillId="0" borderId="74" xfId="1" applyNumberFormat="1" applyFont="1" applyFill="1" applyBorder="1" applyAlignment="1" applyProtection="1"/>
    <xf numFmtId="0" fontId="0" fillId="0" borderId="4" xfId="0" applyFill="1" applyBorder="1" applyAlignment="1">
      <alignment horizontal="center"/>
    </xf>
    <xf numFmtId="0" fontId="0" fillId="0" borderId="4" xfId="0" applyFill="1" applyBorder="1" applyAlignment="1"/>
    <xf numFmtId="0" fontId="1" fillId="0" borderId="38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181" fontId="1" fillId="0" borderId="38" xfId="1" applyNumberFormat="1" applyFont="1" applyFill="1" applyBorder="1" applyAlignment="1" applyProtection="1"/>
    <xf numFmtId="181" fontId="1" fillId="0" borderId="39" xfId="1" applyNumberFormat="1" applyFont="1" applyFill="1" applyBorder="1" applyAlignment="1" applyProtection="1"/>
    <xf numFmtId="179" fontId="1" fillId="0" borderId="39" xfId="1" applyNumberFormat="1" applyFont="1" applyFill="1" applyBorder="1" applyAlignment="1" applyProtection="1"/>
    <xf numFmtId="178" fontId="1" fillId="0" borderId="39" xfId="1" applyNumberFormat="1" applyFont="1" applyFill="1" applyBorder="1" applyAlignment="1" applyProtection="1"/>
    <xf numFmtId="178" fontId="0" fillId="0" borderId="32" xfId="1" applyNumberFormat="1" applyFont="1" applyFill="1" applyBorder="1" applyAlignment="1" applyProtection="1">
      <alignment horizontal="center"/>
    </xf>
    <xf numFmtId="178" fontId="0" fillId="0" borderId="21" xfId="1" applyNumberFormat="1" applyFont="1" applyFill="1" applyBorder="1" applyAlignment="1" applyProtection="1">
      <alignment horizontal="center"/>
    </xf>
    <xf numFmtId="178" fontId="0" fillId="0" borderId="52" xfId="1" applyNumberFormat="1" applyFont="1" applyFill="1" applyBorder="1" applyAlignment="1" applyProtection="1">
      <alignment horizontal="center"/>
    </xf>
    <xf numFmtId="178" fontId="1" fillId="0" borderId="52" xfId="1" applyNumberFormat="1" applyFont="1" applyFill="1" applyBorder="1" applyAlignment="1" applyProtection="1">
      <alignment horizontal="center"/>
    </xf>
    <xf numFmtId="181" fontId="6" fillId="0" borderId="38" xfId="1" applyNumberFormat="1" applyFont="1" applyFill="1" applyBorder="1" applyAlignment="1" applyProtection="1"/>
    <xf numFmtId="181" fontId="6" fillId="0" borderId="39" xfId="1" applyNumberFormat="1" applyFont="1" applyFill="1" applyBorder="1" applyAlignment="1" applyProtection="1"/>
    <xf numFmtId="179" fontId="6" fillId="0" borderId="39" xfId="1" applyNumberFormat="1" applyFont="1" applyFill="1" applyBorder="1" applyAlignment="1" applyProtection="1"/>
    <xf numFmtId="179" fontId="1" fillId="0" borderId="38" xfId="1" applyNumberFormat="1" applyFont="1" applyFill="1" applyBorder="1" applyAlignment="1" applyProtection="1"/>
    <xf numFmtId="178" fontId="1" fillId="0" borderId="36" xfId="1" applyNumberFormat="1" applyFont="1" applyFill="1" applyBorder="1" applyAlignment="1" applyProtection="1"/>
    <xf numFmtId="178" fontId="0" fillId="0" borderId="24" xfId="1" applyNumberFormat="1" applyFont="1" applyFill="1" applyBorder="1" applyAlignment="1" applyProtection="1">
      <alignment horizontal="center"/>
    </xf>
    <xf numFmtId="178" fontId="0" fillId="0" borderId="22" xfId="1" applyNumberFormat="1" applyFont="1" applyFill="1" applyBorder="1" applyAlignment="1" applyProtection="1">
      <alignment horizontal="center"/>
    </xf>
    <xf numFmtId="178" fontId="1" fillId="0" borderId="55" xfId="1" applyNumberFormat="1" applyFont="1" applyFill="1" applyBorder="1" applyAlignment="1" applyProtection="1">
      <alignment horizontal="center"/>
    </xf>
    <xf numFmtId="0" fontId="1" fillId="0" borderId="32" xfId="0" applyFont="1" applyFill="1" applyBorder="1" applyAlignment="1"/>
    <xf numFmtId="0" fontId="1" fillId="0" borderId="21" xfId="0" applyFont="1" applyFill="1" applyBorder="1" applyAlignment="1"/>
    <xf numFmtId="0" fontId="1" fillId="0" borderId="34" xfId="0" applyFont="1" applyFill="1" applyBorder="1" applyAlignment="1"/>
    <xf numFmtId="178" fontId="1" fillId="0" borderId="41" xfId="0" applyNumberFormat="1" applyFont="1" applyFill="1" applyBorder="1" applyAlignment="1"/>
    <xf numFmtId="178" fontId="1" fillId="0" borderId="42" xfId="0" applyNumberFormat="1" applyFont="1" applyFill="1" applyBorder="1" applyAlignment="1"/>
    <xf numFmtId="178" fontId="1" fillId="0" borderId="39" xfId="0" applyNumberFormat="1" applyFont="1" applyFill="1" applyBorder="1" applyAlignment="1"/>
    <xf numFmtId="178" fontId="1" fillId="0" borderId="40" xfId="0" applyNumberFormat="1" applyFont="1" applyFill="1" applyBorder="1" applyAlignment="1"/>
    <xf numFmtId="0" fontId="1" fillId="0" borderId="35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179" fontId="1" fillId="0" borderId="36" xfId="1" applyNumberFormat="1" applyFont="1" applyFill="1" applyBorder="1" applyAlignment="1" applyProtection="1"/>
    <xf numFmtId="0" fontId="0" fillId="0" borderId="2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178" fontId="1" fillId="0" borderId="45" xfId="1" applyNumberFormat="1" applyFont="1" applyFill="1" applyBorder="1" applyAlignment="1" applyProtection="1"/>
    <xf numFmtId="178" fontId="1" fillId="0" borderId="46" xfId="1" applyNumberFormat="1" applyFont="1" applyFill="1" applyBorder="1" applyAlignment="1" applyProtection="1"/>
    <xf numFmtId="178" fontId="1" fillId="0" borderId="9" xfId="1" applyNumberFormat="1" applyFont="1" applyFill="1" applyBorder="1" applyAlignment="1" applyProtection="1"/>
    <xf numFmtId="0" fontId="1" fillId="0" borderId="48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0" fillId="0" borderId="32" xfId="0" applyFont="1" applyFill="1" applyBorder="1" applyAlignment="1"/>
    <xf numFmtId="178" fontId="1" fillId="0" borderId="38" xfId="0" applyNumberFormat="1" applyFont="1" applyFill="1" applyBorder="1" applyAlignment="1"/>
    <xf numFmtId="179" fontId="0" fillId="0" borderId="32" xfId="0" applyNumberFormat="1" applyFill="1" applyBorder="1" applyAlignment="1"/>
    <xf numFmtId="179" fontId="0" fillId="0" borderId="21" xfId="0" applyNumberFormat="1" applyFill="1" applyBorder="1" applyAlignment="1"/>
    <xf numFmtId="179" fontId="0" fillId="0" borderId="34" xfId="0" applyNumberFormat="1" applyFill="1" applyBorder="1" applyAlignment="1"/>
    <xf numFmtId="179" fontId="0" fillId="0" borderId="29" xfId="0" applyNumberFormat="1" applyFill="1" applyBorder="1" applyAlignment="1"/>
    <xf numFmtId="179" fontId="0" fillId="0" borderId="20" xfId="0" applyNumberFormat="1" applyFill="1" applyBorder="1" applyAlignment="1"/>
    <xf numFmtId="179" fontId="0" fillId="0" borderId="30" xfId="0" applyNumberFormat="1" applyFill="1" applyBorder="1" applyAlignment="1"/>
    <xf numFmtId="178" fontId="1" fillId="0" borderId="35" xfId="1" applyNumberFormat="1" applyFont="1" applyFill="1" applyBorder="1" applyAlignment="1" applyProtection="1"/>
    <xf numFmtId="178" fontId="1" fillId="0" borderId="37" xfId="1" applyNumberFormat="1" applyFont="1" applyFill="1" applyBorder="1" applyAlignment="1" applyProtection="1"/>
    <xf numFmtId="0" fontId="1" fillId="0" borderId="44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181" fontId="1" fillId="0" borderId="44" xfId="1" applyNumberFormat="1" applyFont="1" applyFill="1" applyBorder="1" applyAlignment="1" applyProtection="1"/>
    <xf numFmtId="181" fontId="1" fillId="0" borderId="45" xfId="1" applyNumberFormat="1" applyFont="1" applyFill="1" applyBorder="1" applyAlignment="1" applyProtection="1"/>
    <xf numFmtId="180" fontId="1" fillId="0" borderId="19" xfId="0" applyNumberFormat="1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3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81" fontId="0" fillId="0" borderId="6" xfId="0" applyNumberFormat="1" applyFill="1" applyBorder="1" applyAlignment="1"/>
    <xf numFmtId="176" fontId="0" fillId="0" borderId="6" xfId="0" applyNumberFormat="1" applyFill="1" applyBorder="1" applyAlignment="1"/>
    <xf numFmtId="0" fontId="0" fillId="0" borderId="48" xfId="0" applyFont="1" applyFill="1" applyBorder="1" applyAlignment="1">
      <alignment horizontal="center"/>
    </xf>
    <xf numFmtId="176" fontId="0" fillId="0" borderId="9" xfId="0" applyNumberFormat="1" applyFill="1" applyBorder="1" applyAlignment="1"/>
    <xf numFmtId="0" fontId="0" fillId="0" borderId="20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178" fontId="0" fillId="0" borderId="44" xfId="0" applyNumberFormat="1" applyFill="1" applyBorder="1" applyAlignment="1"/>
    <xf numFmtId="178" fontId="0" fillId="0" borderId="45" xfId="0" applyNumberFormat="1" applyFill="1" applyBorder="1" applyAlignment="1"/>
    <xf numFmtId="178" fontId="0" fillId="0" borderId="45" xfId="0" applyNumberFormat="1" applyFill="1" applyBorder="1" applyAlignment="1">
      <alignment horizontal="right"/>
    </xf>
    <xf numFmtId="179" fontId="0" fillId="0" borderId="9" xfId="0" applyNumberFormat="1" applyFill="1" applyBorder="1" applyAlignment="1"/>
    <xf numFmtId="178" fontId="0" fillId="0" borderId="10" xfId="0" applyNumberFormat="1" applyFill="1" applyBorder="1" applyAlignment="1"/>
    <xf numFmtId="178" fontId="0" fillId="0" borderId="23" xfId="0" applyNumberFormat="1" applyFill="1" applyBorder="1" applyAlignment="1"/>
    <xf numFmtId="186" fontId="0" fillId="0" borderId="36" xfId="0" applyNumberFormat="1" applyFill="1" applyBorder="1" applyAlignment="1"/>
    <xf numFmtId="178" fontId="0" fillId="0" borderId="36" xfId="0" applyNumberFormat="1" applyFill="1" applyBorder="1" applyAlignment="1"/>
    <xf numFmtId="178" fontId="0" fillId="0" borderId="37" xfId="0" applyNumberFormat="1" applyFill="1" applyBorder="1" applyAlignment="1"/>
    <xf numFmtId="0" fontId="0" fillId="0" borderId="4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178" fontId="0" fillId="0" borderId="43" xfId="0" applyNumberFormat="1" applyFill="1" applyBorder="1" applyAlignment="1"/>
    <xf numFmtId="178" fontId="0" fillId="0" borderId="41" xfId="0" applyNumberFormat="1" applyFill="1" applyBorder="1" applyAlignment="1"/>
    <xf numFmtId="181" fontId="0" fillId="0" borderId="7" xfId="0" applyNumberFormat="1" applyFill="1" applyBorder="1" applyAlignment="1"/>
    <xf numFmtId="0" fontId="0" fillId="0" borderId="29" xfId="0" applyFont="1" applyFill="1" applyBorder="1" applyAlignment="1"/>
    <xf numFmtId="0" fontId="1" fillId="0" borderId="20" xfId="0" applyFont="1" applyFill="1" applyBorder="1" applyAlignment="1"/>
    <xf numFmtId="0" fontId="1" fillId="0" borderId="30" xfId="0" applyFont="1" applyFill="1" applyBorder="1" applyAlignment="1"/>
    <xf numFmtId="178" fontId="0" fillId="4" borderId="45" xfId="0" applyNumberFormat="1" applyFill="1" applyBorder="1" applyAlignment="1">
      <alignment horizontal="right"/>
    </xf>
    <xf numFmtId="178" fontId="0" fillId="4" borderId="36" xfId="0" applyNumberFormat="1" applyFill="1" applyBorder="1" applyAlignment="1">
      <alignment horizontal="right"/>
    </xf>
    <xf numFmtId="178" fontId="0" fillId="4" borderId="36" xfId="0" applyNumberFormat="1" applyFill="1" applyBorder="1" applyAlignment="1"/>
    <xf numFmtId="178" fontId="0" fillId="4" borderId="37" xfId="0" applyNumberFormat="1" applyFill="1" applyBorder="1" applyAlignment="1"/>
    <xf numFmtId="181" fontId="0" fillId="4" borderId="9" xfId="0" applyNumberFormat="1" applyFill="1" applyBorder="1" applyAlignment="1"/>
    <xf numFmtId="178" fontId="1" fillId="4" borderId="38" xfId="1" applyNumberFormat="1" applyFont="1" applyFill="1" applyBorder="1" applyAlignment="1" applyProtection="1"/>
    <xf numFmtId="178" fontId="1" fillId="4" borderId="39" xfId="1" applyNumberFormat="1" applyFont="1" applyFill="1" applyBorder="1" applyAlignment="1" applyProtection="1"/>
    <xf numFmtId="178" fontId="1" fillId="4" borderId="40" xfId="1" applyNumberFormat="1" applyFont="1" applyFill="1" applyBorder="1" applyAlignment="1" applyProtection="1"/>
    <xf numFmtId="186" fontId="0" fillId="4" borderId="36" xfId="0" applyNumberFormat="1" applyFill="1" applyBorder="1" applyAlignment="1"/>
    <xf numFmtId="186" fontId="0" fillId="4" borderId="37" xfId="0" applyNumberFormat="1" applyFill="1" applyBorder="1" applyAlignment="1"/>
    <xf numFmtId="178" fontId="0" fillId="4" borderId="46" xfId="0" applyNumberFormat="1" applyFill="1" applyBorder="1" applyAlignment="1">
      <alignment horizontal="right"/>
    </xf>
    <xf numFmtId="178" fontId="0" fillId="4" borderId="35" xfId="0" applyNumberFormat="1" applyFill="1" applyBorder="1" applyAlignment="1"/>
    <xf numFmtId="178" fontId="1" fillId="0" borderId="7" xfId="1" applyNumberFormat="1" applyFont="1" applyFill="1" applyBorder="1" applyAlignment="1" applyProtection="1"/>
    <xf numFmtId="176" fontId="0" fillId="0" borderId="7" xfId="0" applyNumberFormat="1" applyFill="1" applyBorder="1" applyAlignment="1"/>
    <xf numFmtId="178" fontId="1" fillId="4" borderId="32" xfId="1" applyNumberFormat="1" applyFont="1" applyFill="1" applyBorder="1" applyAlignment="1" applyProtection="1"/>
    <xf numFmtId="178" fontId="1" fillId="4" borderId="21" xfId="1" applyNumberFormat="1" applyFont="1" applyFill="1" applyBorder="1" applyAlignment="1" applyProtection="1"/>
    <xf numFmtId="178" fontId="1" fillId="4" borderId="34" xfId="1" applyNumberFormat="1" applyFont="1" applyFill="1" applyBorder="1" applyAlignment="1" applyProtection="1"/>
    <xf numFmtId="178" fontId="0" fillId="4" borderId="23" xfId="0" applyNumberFormat="1" applyFill="1" applyBorder="1" applyAlignment="1"/>
    <xf numFmtId="178" fontId="0" fillId="4" borderId="11" xfId="0" applyNumberFormat="1" applyFill="1" applyBorder="1" applyAlignment="1"/>
    <xf numFmtId="186" fontId="0" fillId="4" borderId="35" xfId="0" applyNumberFormat="1" applyFill="1" applyBorder="1" applyAlignment="1"/>
    <xf numFmtId="178" fontId="0" fillId="0" borderId="42" xfId="0" applyNumberFormat="1" applyFill="1" applyBorder="1" applyAlignment="1"/>
    <xf numFmtId="179" fontId="0" fillId="4" borderId="32" xfId="0" applyNumberFormat="1" applyFill="1" applyBorder="1" applyAlignment="1"/>
    <xf numFmtId="179" fontId="0" fillId="4" borderId="21" xfId="0" applyNumberFormat="1" applyFill="1" applyBorder="1" applyAlignment="1"/>
    <xf numFmtId="179" fontId="0" fillId="4" borderId="34" xfId="0" applyNumberFormat="1" applyFill="1" applyBorder="1" applyAlignment="1"/>
    <xf numFmtId="178" fontId="0" fillId="4" borderId="41" xfId="0" applyNumberFormat="1" applyFill="1" applyBorder="1" applyAlignment="1">
      <alignment horizontal="right"/>
    </xf>
    <xf numFmtId="178" fontId="0" fillId="0" borderId="36" xfId="0" applyNumberFormat="1" applyFill="1" applyBorder="1" applyAlignment="1">
      <alignment horizontal="right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78" fontId="0" fillId="4" borderId="10" xfId="0" applyNumberFormat="1" applyFill="1" applyBorder="1" applyAlignment="1"/>
    <xf numFmtId="0" fontId="0" fillId="4" borderId="43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178" fontId="0" fillId="4" borderId="43" xfId="0" applyNumberFormat="1" applyFill="1" applyBorder="1" applyAlignment="1"/>
    <xf numFmtId="178" fontId="0" fillId="4" borderId="41" xfId="0" applyNumberFormat="1" applyFill="1" applyBorder="1" applyAlignment="1"/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78" fontId="0" fillId="0" borderId="11" xfId="0" applyNumberFormat="1" applyFill="1" applyBorder="1" applyAlignment="1"/>
    <xf numFmtId="186" fontId="0" fillId="0" borderId="37" xfId="0" applyNumberFormat="1" applyFill="1" applyBorder="1" applyAlignment="1"/>
    <xf numFmtId="186" fontId="0" fillId="0" borderId="35" xfId="0" applyNumberFormat="1" applyFill="1" applyBorder="1" applyAlignment="1"/>
    <xf numFmtId="178" fontId="0" fillId="0" borderId="35" xfId="0" applyNumberFormat="1" applyFill="1" applyBorder="1" applyAlignment="1"/>
    <xf numFmtId="179" fontId="0" fillId="0" borderId="7" xfId="0" applyNumberFormat="1" applyFill="1" applyBorder="1" applyAlignment="1"/>
    <xf numFmtId="0" fontId="0" fillId="3" borderId="41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79" fontId="0" fillId="4" borderId="9" xfId="0" applyNumberFormat="1" applyFill="1" applyBorder="1" applyAlignment="1"/>
    <xf numFmtId="178" fontId="0" fillId="0" borderId="44" xfId="1" applyNumberFormat="1" applyFont="1" applyFill="1" applyBorder="1" applyAlignment="1" applyProtection="1">
      <alignment horizontal="center"/>
    </xf>
    <xf numFmtId="178" fontId="1" fillId="0" borderId="45" xfId="1" applyNumberFormat="1" applyFont="1" applyFill="1" applyBorder="1" applyAlignment="1" applyProtection="1">
      <alignment horizontal="center"/>
    </xf>
    <xf numFmtId="0" fontId="0" fillId="4" borderId="16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178" fontId="0" fillId="4" borderId="42" xfId="0" applyNumberFormat="1" applyFill="1" applyBorder="1" applyAlignment="1"/>
    <xf numFmtId="0" fontId="0" fillId="0" borderId="4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80" fontId="0" fillId="0" borderId="16" xfId="0" applyNumberFormat="1" applyFont="1" applyFill="1" applyBorder="1" applyAlignment="1">
      <alignment horizontal="center"/>
    </xf>
    <xf numFmtId="180" fontId="1" fillId="0" borderId="17" xfId="0" applyNumberFormat="1" applyFont="1" applyFill="1" applyBorder="1" applyAlignment="1">
      <alignment horizontal="center"/>
    </xf>
    <xf numFmtId="180" fontId="1" fillId="0" borderId="28" xfId="0" applyNumberFormat="1" applyFont="1" applyFill="1" applyBorder="1" applyAlignment="1">
      <alignment horizontal="center"/>
    </xf>
    <xf numFmtId="180" fontId="1" fillId="0" borderId="14" xfId="0" applyNumberFormat="1" applyFont="1" applyFill="1" applyBorder="1" applyAlignment="1">
      <alignment horizontal="center"/>
    </xf>
    <xf numFmtId="180" fontId="1" fillId="0" borderId="1" xfId="0" applyNumberFormat="1" applyFont="1" applyFill="1" applyBorder="1" applyAlignment="1">
      <alignment horizontal="center"/>
    </xf>
    <xf numFmtId="180" fontId="1" fillId="0" borderId="15" xfId="0" applyNumberFormat="1" applyFont="1" applyFill="1" applyBorder="1" applyAlignment="1">
      <alignment horizontal="center"/>
    </xf>
    <xf numFmtId="181" fontId="0" fillId="4" borderId="32" xfId="0" applyNumberFormat="1" applyFill="1" applyBorder="1" applyAlignment="1"/>
    <xf numFmtId="181" fontId="0" fillId="4" borderId="21" xfId="0" applyNumberFormat="1" applyFill="1" applyBorder="1" applyAlignment="1"/>
    <xf numFmtId="181" fontId="0" fillId="4" borderId="34" xfId="0" applyNumberFormat="1" applyFill="1" applyBorder="1" applyAlignment="1"/>
    <xf numFmtId="178" fontId="1" fillId="4" borderId="43" xfId="1" applyNumberFormat="1" applyFont="1" applyFill="1" applyBorder="1" applyAlignment="1" applyProtection="1"/>
    <xf numFmtId="178" fontId="1" fillId="4" borderId="41" xfId="1" applyNumberFormat="1" applyFont="1" applyFill="1" applyBorder="1" applyAlignment="1" applyProtection="1"/>
    <xf numFmtId="178" fontId="1" fillId="4" borderId="42" xfId="1" applyNumberFormat="1" applyFont="1" applyFill="1" applyBorder="1" applyAlignment="1" applyProtection="1"/>
    <xf numFmtId="178" fontId="1" fillId="0" borderId="38" xfId="1" applyNumberFormat="1" applyFont="1" applyFill="1" applyBorder="1" applyAlignment="1" applyProtection="1"/>
    <xf numFmtId="178" fontId="1" fillId="0" borderId="40" xfId="1" applyNumberFormat="1" applyFont="1" applyFill="1" applyBorder="1" applyAlignment="1" applyProtection="1"/>
    <xf numFmtId="0" fontId="1" fillId="0" borderId="24" xfId="0" applyFont="1" applyFill="1" applyBorder="1" applyAlignment="1"/>
    <xf numFmtId="0" fontId="1" fillId="0" borderId="22" xfId="0" applyFont="1" applyFill="1" applyBorder="1" applyAlignment="1"/>
    <xf numFmtId="0" fontId="1" fillId="0" borderId="25" xfId="0" applyFont="1" applyFill="1" applyBorder="1" applyAlignment="1"/>
    <xf numFmtId="0" fontId="0" fillId="0" borderId="1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78" fontId="1" fillId="0" borderId="36" xfId="0" applyNumberFormat="1" applyFont="1" applyFill="1" applyBorder="1" applyAlignment="1"/>
    <xf numFmtId="0" fontId="0" fillId="4" borderId="29" xfId="0" applyNumberFormat="1" applyFill="1" applyBorder="1" applyAlignment="1">
      <alignment horizontal="center"/>
    </xf>
    <xf numFmtId="0" fontId="0" fillId="4" borderId="30" xfId="0" applyNumberForma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0" fillId="0" borderId="29" xfId="0" applyNumberFormat="1" applyFill="1" applyBorder="1" applyAlignment="1">
      <alignment horizontal="center"/>
    </xf>
    <xf numFmtId="0" fontId="0" fillId="0" borderId="30" xfId="0" applyNumberFormat="1" applyFill="1" applyBorder="1" applyAlignment="1">
      <alignment horizontal="center"/>
    </xf>
    <xf numFmtId="0" fontId="0" fillId="0" borderId="32" xfId="0" applyFont="1" applyFill="1" applyBorder="1" applyAlignment="1" applyProtection="1"/>
    <xf numFmtId="0" fontId="1" fillId="0" borderId="21" xfId="0" applyFont="1" applyFill="1" applyBorder="1" applyAlignment="1" applyProtection="1"/>
    <xf numFmtId="0" fontId="1" fillId="0" borderId="34" xfId="0" applyFont="1" applyFill="1" applyBorder="1" applyAlignment="1" applyProtection="1"/>
    <xf numFmtId="179" fontId="0" fillId="4" borderId="7" xfId="0" applyNumberFormat="1" applyFill="1" applyBorder="1" applyAlignment="1"/>
    <xf numFmtId="178" fontId="1" fillId="0" borderId="43" xfId="1" applyNumberFormat="1" applyFont="1" applyFill="1" applyBorder="1" applyAlignment="1" applyProtection="1"/>
    <xf numFmtId="178" fontId="1" fillId="0" borderId="41" xfId="1" applyNumberFormat="1" applyFont="1" applyFill="1" applyBorder="1" applyAlignment="1" applyProtection="1"/>
    <xf numFmtId="178" fontId="1" fillId="0" borderId="42" xfId="1" applyNumberFormat="1" applyFont="1" applyFill="1" applyBorder="1" applyAlignment="1" applyProtection="1"/>
    <xf numFmtId="178" fontId="1" fillId="0" borderId="35" xfId="0" applyNumberFormat="1" applyFont="1" applyFill="1" applyBorder="1" applyAlignment="1"/>
    <xf numFmtId="179" fontId="0" fillId="4" borderId="6" xfId="0" applyNumberFormat="1" applyFill="1" applyBorder="1" applyAlignment="1"/>
    <xf numFmtId="181" fontId="0" fillId="4" borderId="29" xfId="0" applyNumberFormat="1" applyFill="1" applyBorder="1" applyAlignment="1"/>
    <xf numFmtId="181" fontId="0" fillId="4" borderId="20" xfId="0" applyNumberFormat="1" applyFill="1" applyBorder="1" applyAlignment="1"/>
    <xf numFmtId="181" fontId="0" fillId="4" borderId="30" xfId="0" applyNumberFormat="1" applyFill="1" applyBorder="1" applyAlignment="1"/>
    <xf numFmtId="181" fontId="0" fillId="4" borderId="7" xfId="0" applyNumberFormat="1" applyFill="1" applyBorder="1" applyAlignment="1"/>
    <xf numFmtId="178" fontId="1" fillId="4" borderId="35" xfId="1" applyNumberFormat="1" applyFont="1" applyFill="1" applyBorder="1" applyAlignment="1" applyProtection="1"/>
    <xf numFmtId="178" fontId="1" fillId="4" borderId="36" xfId="1" applyNumberFormat="1" applyFont="1" applyFill="1" applyBorder="1" applyAlignment="1" applyProtection="1"/>
    <xf numFmtId="178" fontId="1" fillId="4" borderId="37" xfId="1" applyNumberFormat="1" applyFont="1" applyFill="1" applyBorder="1" applyAlignment="1" applyProtection="1"/>
    <xf numFmtId="179" fontId="0" fillId="0" borderId="6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9" xfId="0" applyFont="1" applyFill="1" applyBorder="1" applyAlignment="1"/>
    <xf numFmtId="178" fontId="1" fillId="0" borderId="43" xfId="0" applyNumberFormat="1" applyFont="1" applyFill="1" applyBorder="1" applyAlignment="1"/>
    <xf numFmtId="0" fontId="1" fillId="0" borderId="50" xfId="0" applyFont="1" applyFill="1" applyBorder="1" applyAlignment="1">
      <alignment horizontal="center"/>
    </xf>
    <xf numFmtId="179" fontId="0" fillId="4" borderId="29" xfId="0" applyNumberFormat="1" applyFill="1" applyBorder="1" applyAlignment="1"/>
    <xf numFmtId="179" fontId="0" fillId="4" borderId="20" xfId="0" applyNumberFormat="1" applyFill="1" applyBorder="1" applyAlignment="1"/>
    <xf numFmtId="179" fontId="0" fillId="4" borderId="30" xfId="0" applyNumberFormat="1" applyFill="1" applyBorder="1" applyAlignment="1"/>
    <xf numFmtId="178" fontId="1" fillId="4" borderId="29" xfId="1" applyNumberFormat="1" applyFont="1" applyFill="1" applyBorder="1" applyAlignment="1" applyProtection="1"/>
    <xf numFmtId="178" fontId="1" fillId="4" borderId="20" xfId="1" applyNumberFormat="1" applyFont="1" applyFill="1" applyBorder="1" applyAlignment="1" applyProtection="1"/>
    <xf numFmtId="178" fontId="1" fillId="4" borderId="30" xfId="1" applyNumberFormat="1" applyFont="1" applyFill="1" applyBorder="1" applyAlignment="1" applyProtection="1"/>
    <xf numFmtId="0" fontId="1" fillId="0" borderId="3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8" fontId="0" fillId="0" borderId="46" xfId="0" applyNumberFormat="1" applyFill="1" applyBorder="1" applyAlignment="1">
      <alignment horizontal="right"/>
    </xf>
    <xf numFmtId="0" fontId="0" fillId="0" borderId="11" xfId="0" applyFill="1" applyBorder="1" applyAlignment="1">
      <alignment horizontal="center"/>
    </xf>
    <xf numFmtId="178" fontId="0" fillId="0" borderId="41" xfId="0" applyNumberFormat="1" applyFill="1" applyBorder="1" applyAlignment="1">
      <alignment horizontal="right"/>
    </xf>
    <xf numFmtId="178" fontId="0" fillId="0" borderId="8" xfId="1" applyNumberFormat="1" applyFont="1" applyFill="1" applyBorder="1" applyAlignment="1" applyProtection="1">
      <alignment horizontal="center"/>
    </xf>
    <xf numFmtId="178" fontId="0" fillId="0" borderId="27" xfId="1" applyNumberFormat="1" applyFont="1" applyFill="1" applyBorder="1" applyAlignment="1" applyProtection="1">
      <alignment horizontal="center"/>
    </xf>
    <xf numFmtId="178" fontId="1" fillId="0" borderId="27" xfId="1" applyNumberFormat="1" applyFont="1" applyFill="1" applyBorder="1" applyAlignment="1" applyProtection="1">
      <alignment horizontal="center"/>
    </xf>
    <xf numFmtId="178" fontId="1" fillId="0" borderId="8" xfId="1" applyNumberFormat="1" applyFont="1" applyFill="1" applyBorder="1" applyAlignment="1" applyProtection="1">
      <alignment horizontal="center"/>
    </xf>
    <xf numFmtId="180" fontId="0" fillId="0" borderId="19" xfId="0" applyNumberFormat="1" applyFont="1" applyFill="1" applyBorder="1" applyAlignment="1">
      <alignment horizontal="center"/>
    </xf>
    <xf numFmtId="180" fontId="0" fillId="0" borderId="2" xfId="0" applyNumberFormat="1" applyFont="1" applyFill="1" applyBorder="1" applyAlignment="1">
      <alignment horizontal="center"/>
    </xf>
    <xf numFmtId="178" fontId="0" fillId="0" borderId="4" xfId="1" applyNumberFormat="1" applyFont="1" applyFill="1" applyBorder="1" applyAlignment="1" applyProtection="1">
      <alignment horizontal="center"/>
    </xf>
    <xf numFmtId="178" fontId="0" fillId="0" borderId="3" xfId="1" applyNumberFormat="1" applyFont="1" applyFill="1" applyBorder="1" applyAlignment="1" applyProtection="1">
      <alignment horizontal="center"/>
    </xf>
    <xf numFmtId="178" fontId="1" fillId="0" borderId="3" xfId="1" applyNumberFormat="1" applyFont="1" applyFill="1" applyBorder="1" applyAlignment="1" applyProtection="1">
      <alignment horizontal="center"/>
    </xf>
    <xf numFmtId="178" fontId="1" fillId="0" borderId="4" xfId="1" applyNumberFormat="1" applyFont="1" applyFill="1" applyBorder="1" applyAlignment="1" applyProtection="1">
      <alignment horizontal="center"/>
    </xf>
    <xf numFmtId="178" fontId="0" fillId="4" borderId="44" xfId="0" applyNumberFormat="1" applyFill="1" applyBorder="1" applyAlignment="1"/>
    <xf numFmtId="178" fontId="0" fillId="4" borderId="45" xfId="0" applyNumberFormat="1" applyFill="1" applyBorder="1" applyAlignment="1"/>
    <xf numFmtId="179" fontId="1" fillId="0" borderId="45" xfId="1" applyNumberFormat="1" applyFont="1" applyFill="1" applyBorder="1" applyAlignment="1" applyProtection="1"/>
    <xf numFmtId="179" fontId="1" fillId="0" borderId="35" xfId="1" applyNumberFormat="1" applyFont="1" applyFill="1" applyBorder="1" applyAlignment="1" applyProtection="1"/>
    <xf numFmtId="178" fontId="0" fillId="0" borderId="73" xfId="1" applyNumberFormat="1" applyFont="1" applyFill="1" applyBorder="1" applyAlignment="1" applyProtection="1">
      <alignment horizontal="center"/>
    </xf>
    <xf numFmtId="178" fontId="1" fillId="0" borderId="9" xfId="1" applyNumberFormat="1" applyFont="1" applyFill="1" applyBorder="1" applyAlignment="1" applyProtection="1">
      <alignment horizontal="center"/>
    </xf>
    <xf numFmtId="178" fontId="1" fillId="0" borderId="34" xfId="1" applyNumberFormat="1" applyFont="1" applyFill="1" applyBorder="1" applyAlignment="1" applyProtection="1">
      <alignment horizontal="center"/>
    </xf>
    <xf numFmtId="178" fontId="6" fillId="0" borderId="32" xfId="1" applyNumberFormat="1" applyFont="1" applyFill="1" applyBorder="1" applyAlignment="1" applyProtection="1"/>
    <xf numFmtId="178" fontId="6" fillId="0" borderId="21" xfId="1" applyNumberFormat="1" applyFont="1" applyFill="1" applyBorder="1" applyAlignment="1" applyProtection="1"/>
    <xf numFmtId="178" fontId="6" fillId="0" borderId="34" xfId="1" applyNumberFormat="1" applyFont="1" applyFill="1" applyBorder="1" applyAlignment="1" applyProtection="1"/>
    <xf numFmtId="178" fontId="6" fillId="0" borderId="39" xfId="1" applyNumberFormat="1" applyFont="1" applyFill="1" applyBorder="1" applyAlignment="1" applyProtection="1"/>
    <xf numFmtId="178" fontId="6" fillId="0" borderId="45" xfId="1" applyNumberFormat="1" applyFont="1" applyFill="1" applyBorder="1" applyAlignment="1" applyProtection="1"/>
    <xf numFmtId="178" fontId="6" fillId="0" borderId="46" xfId="1" applyNumberFormat="1" applyFont="1" applyFill="1" applyBorder="1" applyAlignment="1" applyProtection="1"/>
    <xf numFmtId="178" fontId="1" fillId="0" borderId="7" xfId="1" applyNumberFormat="1" applyFont="1" applyFill="1" applyBorder="1" applyAlignment="1" applyProtection="1">
      <alignment horizontal="center"/>
    </xf>
    <xf numFmtId="178" fontId="1" fillId="0" borderId="25" xfId="1" applyNumberFormat="1" applyFont="1" applyFill="1" applyBorder="1" applyAlignment="1" applyProtection="1">
      <alignment horizontal="center"/>
    </xf>
    <xf numFmtId="178" fontId="0" fillId="0" borderId="9" xfId="1" applyNumberFormat="1" applyFont="1" applyFill="1" applyBorder="1" applyAlignment="1" applyProtection="1">
      <alignment horizontal="center"/>
    </xf>
    <xf numFmtId="178" fontId="0" fillId="0" borderId="34" xfId="1" applyNumberFormat="1" applyFont="1" applyFill="1" applyBorder="1" applyAlignment="1" applyProtection="1">
      <alignment horizontal="center"/>
    </xf>
    <xf numFmtId="0" fontId="0" fillId="0" borderId="24" xfId="0" applyFont="1" applyFill="1" applyBorder="1" applyAlignment="1"/>
    <xf numFmtId="178" fontId="1" fillId="0" borderId="37" xfId="0" applyNumberFormat="1" applyFont="1" applyFill="1" applyBorder="1" applyAlignment="1"/>
    <xf numFmtId="182" fontId="0" fillId="0" borderId="32" xfId="0" applyNumberFormat="1" applyFill="1" applyBorder="1" applyAlignment="1"/>
    <xf numFmtId="182" fontId="0" fillId="0" borderId="34" xfId="0" applyNumberFormat="1" applyFill="1" applyBorder="1" applyAlignment="1"/>
    <xf numFmtId="182" fontId="0" fillId="0" borderId="6" xfId="0" applyNumberFormat="1" applyFill="1" applyBorder="1" applyAlignment="1"/>
    <xf numFmtId="184" fontId="0" fillId="0" borderId="6" xfId="0" applyNumberFormat="1" applyFont="1" applyFill="1" applyBorder="1" applyAlignment="1"/>
    <xf numFmtId="182" fontId="0" fillId="0" borderId="6" xfId="0" applyNumberFormat="1" applyFont="1" applyFill="1" applyBorder="1" applyAlignment="1"/>
    <xf numFmtId="183" fontId="0" fillId="0" borderId="29" xfId="0" applyNumberFormat="1" applyFill="1" applyBorder="1" applyAlignment="1"/>
    <xf numFmtId="183" fontId="0" fillId="0" borderId="20" xfId="0" applyNumberFormat="1" applyFill="1" applyBorder="1" applyAlignment="1"/>
    <xf numFmtId="183" fontId="0" fillId="0" borderId="30" xfId="0" applyNumberFormat="1" applyFill="1" applyBorder="1" applyAlignment="1"/>
    <xf numFmtId="0" fontId="0" fillId="0" borderId="18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76" fontId="0" fillId="0" borderId="4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83" fontId="9" fillId="0" borderId="21" xfId="0" applyNumberFormat="1" applyFont="1" applyFill="1" applyBorder="1" applyAlignment="1"/>
    <xf numFmtId="183" fontId="9" fillId="0" borderId="34" xfId="0" applyNumberFormat="1" applyFont="1" applyFill="1" applyBorder="1" applyAlignment="1"/>
    <xf numFmtId="182" fontId="0" fillId="0" borderId="9" xfId="0" applyNumberFormat="1" applyFont="1" applyFill="1" applyBorder="1" applyAlignment="1"/>
    <xf numFmtId="183" fontId="0" fillId="0" borderId="24" xfId="0" applyNumberFormat="1" applyFill="1" applyBorder="1" applyAlignment="1"/>
    <xf numFmtId="183" fontId="0" fillId="0" borderId="22" xfId="0" applyNumberFormat="1" applyFill="1" applyBorder="1" applyAlignment="1"/>
    <xf numFmtId="183" fontId="9" fillId="0" borderId="22" xfId="0" applyNumberFormat="1" applyFont="1" applyFill="1" applyBorder="1" applyAlignment="1"/>
    <xf numFmtId="183" fontId="9" fillId="0" borderId="25" xfId="0" applyNumberFormat="1" applyFont="1" applyFill="1" applyBorder="1" applyAlignment="1"/>
    <xf numFmtId="182" fontId="0" fillId="0" borderId="7" xfId="0" applyNumberFormat="1" applyFont="1" applyFill="1" applyBorder="1" applyAlignment="1"/>
    <xf numFmtId="183" fontId="0" fillId="0" borderId="32" xfId="0" applyNumberFormat="1" applyFill="1" applyBorder="1" applyAlignment="1"/>
    <xf numFmtId="183" fontId="0" fillId="0" borderId="21" xfId="0" applyNumberFormat="1" applyFill="1" applyBorder="1" applyAlignment="1"/>
    <xf numFmtId="0" fontId="0" fillId="0" borderId="16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84" fontId="0" fillId="0" borderId="7" xfId="0" applyNumberFormat="1" applyFont="1" applyFill="1" applyBorder="1" applyAlignment="1"/>
    <xf numFmtId="184" fontId="0" fillId="0" borderId="24" xfId="0" applyNumberFormat="1" applyFont="1" applyFill="1" applyBorder="1" applyAlignment="1"/>
    <xf numFmtId="184" fontId="0" fillId="0" borderId="25" xfId="0" applyNumberFormat="1" applyFont="1" applyFill="1" applyBorder="1" applyAlignment="1"/>
    <xf numFmtId="182" fontId="0" fillId="0" borderId="24" xfId="0" applyNumberFormat="1" applyFill="1" applyBorder="1" applyAlignment="1"/>
    <xf numFmtId="182" fontId="0" fillId="0" borderId="25" xfId="0" applyNumberFormat="1" applyFill="1" applyBorder="1" applyAlignment="1"/>
    <xf numFmtId="184" fontId="0" fillId="0" borderId="9" xfId="0" applyNumberFormat="1" applyFont="1" applyFill="1" applyBorder="1" applyAlignment="1"/>
    <xf numFmtId="184" fontId="0" fillId="0" borderId="32" xfId="0" applyNumberFormat="1" applyFont="1" applyFill="1" applyBorder="1" applyAlignment="1"/>
    <xf numFmtId="184" fontId="0" fillId="0" borderId="34" xfId="0" applyNumberFormat="1" applyFont="1" applyFill="1" applyBorder="1" applyAlignment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29" xfId="0" applyNumberFormat="1" applyFill="1" applyBorder="1" applyAlignment="1">
      <alignment horizontal="center"/>
    </xf>
    <xf numFmtId="1" fontId="0" fillId="0" borderId="30" xfId="0" applyNumberFormat="1" applyFill="1" applyBorder="1" applyAlignment="1">
      <alignment horizontal="center"/>
    </xf>
    <xf numFmtId="1" fontId="0" fillId="0" borderId="32" xfId="0" applyNumberFormat="1" applyFill="1" applyBorder="1" applyAlignment="1">
      <alignment horizontal="center"/>
    </xf>
    <xf numFmtId="1" fontId="0" fillId="0" borderId="34" xfId="0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9" xfId="0" applyNumberFormat="1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6" fillId="0" borderId="29" xfId="0" applyNumberFormat="1" applyFont="1" applyFill="1" applyBorder="1" applyAlignment="1">
      <alignment horizontal="center"/>
    </xf>
    <xf numFmtId="1" fontId="6" fillId="0" borderId="30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6" fillId="0" borderId="32" xfId="0" applyNumberFormat="1" applyFont="1" applyFill="1" applyBorder="1" applyAlignment="1">
      <alignment horizontal="center"/>
    </xf>
    <xf numFmtId="1" fontId="6" fillId="0" borderId="34" xfId="0" applyNumberFormat="1" applyFont="1" applyFill="1" applyBorder="1" applyAlignment="1">
      <alignment horizont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wrapText="1"/>
    </xf>
    <xf numFmtId="1" fontId="0" fillId="0" borderId="8" xfId="0" applyNumberFormat="1" applyFill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330626</xdr:colOff>
      <xdr:row>72</xdr:row>
      <xdr:rowOff>170639</xdr:rowOff>
    </xdr:from>
    <xdr:to>
      <xdr:col>7</xdr:col>
      <xdr:colOff>1685</xdr:colOff>
      <xdr:row>74</xdr:row>
      <xdr:rowOff>174171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 bwMode="auto">
        <a:xfrm>
          <a:off x="1778426" y="14975210"/>
          <a:ext cx="335088" cy="351875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330626</xdr:colOff>
      <xdr:row>74</xdr:row>
      <xdr:rowOff>163287</xdr:rowOff>
    </xdr:from>
    <xdr:to>
      <xdr:col>7</xdr:col>
      <xdr:colOff>1685</xdr:colOff>
      <xdr:row>77</xdr:row>
      <xdr:rowOff>5442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 bwMode="auto">
        <a:xfrm>
          <a:off x="1778426" y="15316201"/>
          <a:ext cx="335088" cy="364670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328246</xdr:colOff>
      <xdr:row>72</xdr:row>
      <xdr:rowOff>170640</xdr:rowOff>
    </xdr:from>
    <xdr:to>
      <xdr:col>5</xdr:col>
      <xdr:colOff>331318</xdr:colOff>
      <xdr:row>74</xdr:row>
      <xdr:rowOff>168729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1444032" y="14975211"/>
          <a:ext cx="335086" cy="346432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328246</xdr:colOff>
      <xdr:row>74</xdr:row>
      <xdr:rowOff>163287</xdr:rowOff>
    </xdr:from>
    <xdr:to>
      <xdr:col>5</xdr:col>
      <xdr:colOff>331318</xdr:colOff>
      <xdr:row>77</xdr:row>
      <xdr:rowOff>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 bwMode="auto">
        <a:xfrm>
          <a:off x="1444032" y="15316201"/>
          <a:ext cx="335086" cy="359228"/>
        </a:xfrm>
        <a:prstGeom prst="rect">
          <a:avLst/>
        </a:prstGeom>
        <a:pattFill prst="ltUpDiag">
          <a:fgClr>
            <a:schemeClr val="tx1"/>
          </a:fgClr>
          <a:bgClr>
            <a:schemeClr val="bg1"/>
          </a:bgClr>
        </a:pattFill>
        <a:ln w="317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/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329704</xdr:colOff>
      <xdr:row>73</xdr:row>
      <xdr:rowOff>0</xdr:rowOff>
    </xdr:from>
    <xdr:to>
      <xdr:col>4</xdr:col>
      <xdr:colOff>329704</xdr:colOff>
      <xdr:row>76</xdr:row>
      <xdr:rowOff>172329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 bwMode="auto">
        <a:xfrm>
          <a:off x="1445490" y="14978743"/>
          <a:ext cx="0" cy="69484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54199</xdr:colOff>
      <xdr:row>77</xdr:row>
      <xdr:rowOff>8865</xdr:rowOff>
    </xdr:from>
    <xdr:to>
      <xdr:col>6</xdr:col>
      <xdr:colOff>273743</xdr:colOff>
      <xdr:row>77</xdr:row>
      <xdr:rowOff>8865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/>
      </xdr:nvCxnSpPr>
      <xdr:spPr bwMode="auto">
        <a:xfrm>
          <a:off x="1501999" y="15684294"/>
          <a:ext cx="551558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4390</xdr:colOff>
      <xdr:row>72</xdr:row>
      <xdr:rowOff>163286</xdr:rowOff>
    </xdr:from>
    <xdr:to>
      <xdr:col>7</xdr:col>
      <xdr:colOff>4390</xdr:colOff>
      <xdr:row>76</xdr:row>
      <xdr:rowOff>150557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CxnSpPr/>
      </xdr:nvCxnSpPr>
      <xdr:spPr bwMode="auto">
        <a:xfrm>
          <a:off x="2116219" y="14967857"/>
          <a:ext cx="0" cy="68395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293914</xdr:colOff>
      <xdr:row>72</xdr:row>
      <xdr:rowOff>141515</xdr:rowOff>
    </xdr:from>
    <xdr:to>
      <xdr:col>5</xdr:col>
      <xdr:colOff>15900</xdr:colOff>
      <xdr:row>73</xdr:row>
      <xdr:rowOff>21343</xdr:rowOff>
    </xdr:to>
    <xdr:sp macro="" textlink="">
      <xdr:nvSpPr>
        <xdr:cNvPr id="86" name="円/楕円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/>
        </xdr:cNvSpPr>
      </xdr:nvSpPr>
      <xdr:spPr bwMode="auto">
        <a:xfrm>
          <a:off x="1409700" y="14946086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329704</xdr:colOff>
      <xdr:row>71</xdr:row>
      <xdr:rowOff>13380</xdr:rowOff>
    </xdr:from>
    <xdr:to>
      <xdr:col>4</xdr:col>
      <xdr:colOff>329704</xdr:colOff>
      <xdr:row>72</xdr:row>
      <xdr:rowOff>82747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 bwMode="auto">
        <a:xfrm>
          <a:off x="1445490" y="14643780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293914</xdr:colOff>
      <xdr:row>72</xdr:row>
      <xdr:rowOff>136072</xdr:rowOff>
    </xdr:from>
    <xdr:to>
      <xdr:col>7</xdr:col>
      <xdr:colOff>15899</xdr:colOff>
      <xdr:row>73</xdr:row>
      <xdr:rowOff>15900</xdr:rowOff>
    </xdr:to>
    <xdr:sp macro="" textlink="">
      <xdr:nvSpPr>
        <xdr:cNvPr id="93" name="円/楕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/>
        </xdr:cNvSpPr>
      </xdr:nvSpPr>
      <xdr:spPr bwMode="auto">
        <a:xfrm>
          <a:off x="2073728" y="14940643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329704</xdr:colOff>
      <xdr:row>71</xdr:row>
      <xdr:rowOff>7937</xdr:rowOff>
    </xdr:from>
    <xdr:to>
      <xdr:col>6</xdr:col>
      <xdr:colOff>329704</xdr:colOff>
      <xdr:row>72</xdr:row>
      <xdr:rowOff>77304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 bwMode="auto">
        <a:xfrm>
          <a:off x="2109518" y="14638337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299357</xdr:colOff>
      <xdr:row>76</xdr:row>
      <xdr:rowOff>163285</xdr:rowOff>
    </xdr:from>
    <xdr:to>
      <xdr:col>5</xdr:col>
      <xdr:colOff>21343</xdr:colOff>
      <xdr:row>77</xdr:row>
      <xdr:rowOff>43113</xdr:rowOff>
    </xdr:to>
    <xdr:sp macro="" textlink="">
      <xdr:nvSpPr>
        <xdr:cNvPr id="95" name="円/楕円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/>
        </xdr:cNvSpPr>
      </xdr:nvSpPr>
      <xdr:spPr bwMode="auto">
        <a:xfrm>
          <a:off x="1415143" y="15664542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324261</xdr:colOff>
      <xdr:row>77</xdr:row>
      <xdr:rowOff>149450</xdr:rowOff>
    </xdr:from>
    <xdr:to>
      <xdr:col>4</xdr:col>
      <xdr:colOff>324261</xdr:colOff>
      <xdr:row>79</xdr:row>
      <xdr:rowOff>44646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 bwMode="auto">
        <a:xfrm>
          <a:off x="1440047" y="15824879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304797</xdr:colOff>
      <xdr:row>76</xdr:row>
      <xdr:rowOff>163282</xdr:rowOff>
    </xdr:from>
    <xdr:to>
      <xdr:col>7</xdr:col>
      <xdr:colOff>26782</xdr:colOff>
      <xdr:row>77</xdr:row>
      <xdr:rowOff>43110</xdr:rowOff>
    </xdr:to>
    <xdr:sp macro="" textlink="">
      <xdr:nvSpPr>
        <xdr:cNvPr id="97" name="円/楕円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/>
        </xdr:cNvSpPr>
      </xdr:nvSpPr>
      <xdr:spPr bwMode="auto">
        <a:xfrm>
          <a:off x="2084611" y="15664539"/>
          <a:ext cx="54000" cy="54000"/>
        </a:xfrm>
        <a:prstGeom prst="ellipse">
          <a:avLst/>
        </a:prstGeom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329701</xdr:colOff>
      <xdr:row>77</xdr:row>
      <xdr:rowOff>149447</xdr:rowOff>
    </xdr:from>
    <xdr:to>
      <xdr:col>6</xdr:col>
      <xdr:colOff>329701</xdr:colOff>
      <xdr:row>79</xdr:row>
      <xdr:rowOff>44643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/>
      </xdr:nvCxnSpPr>
      <xdr:spPr bwMode="auto">
        <a:xfrm>
          <a:off x="2109515" y="15824876"/>
          <a:ext cx="0" cy="24353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63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99FF99"/>
  </sheetPr>
  <dimension ref="B2:CH119"/>
  <sheetViews>
    <sheetView showGridLines="0" view="pageBreakPreview" topLeftCell="A76" zoomScale="85" zoomScaleNormal="100" zoomScaleSheetLayoutView="85" workbookViewId="0">
      <selection activeCell="V62" sqref="V62"/>
    </sheetView>
  </sheetViews>
  <sheetFormatPr defaultColWidth="2.77734375" defaultRowHeight="13.5" customHeight="1"/>
  <cols>
    <col min="1" max="21" width="2.77734375" style="14"/>
    <col min="22" max="22" width="2.77734375" style="14" customWidth="1"/>
    <col min="23" max="23" width="2.77734375" style="14"/>
    <col min="24" max="24" width="5.77734375" style="43" hidden="1" customWidth="1"/>
    <col min="25" max="26" width="2.77734375" style="14"/>
    <col min="27" max="27" width="2.77734375" style="14" customWidth="1"/>
    <col min="28" max="47" width="2.77734375" style="14"/>
    <col min="48" max="54" width="9.44140625" style="14" customWidth="1"/>
    <col min="55" max="55" width="7.6640625" style="14" customWidth="1"/>
    <col min="56" max="56" width="5" style="14" bestFit="1" customWidth="1"/>
    <col min="57" max="16384" width="2.77734375" style="14"/>
  </cols>
  <sheetData>
    <row r="2" spans="2:41" ht="13.5" customHeight="1">
      <c r="B2" s="3" t="s">
        <v>167</v>
      </c>
    </row>
    <row r="3" spans="2:41" ht="13.5" customHeight="1">
      <c r="B3" s="2" t="s">
        <v>179</v>
      </c>
      <c r="C3" s="2"/>
      <c r="D3" s="2"/>
    </row>
    <row r="4" spans="2:41" ht="13.5" customHeight="1">
      <c r="B4" s="19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01"/>
      <c r="Y4" s="2"/>
      <c r="Z4" s="2"/>
      <c r="AA4" s="2"/>
      <c r="AO4" s="20" t="s">
        <v>136</v>
      </c>
    </row>
    <row r="5" spans="2:41" ht="13.5" customHeight="1">
      <c r="C5" s="522" t="s">
        <v>135</v>
      </c>
      <c r="D5" s="648"/>
      <c r="E5" s="522" t="s">
        <v>0</v>
      </c>
      <c r="F5" s="648"/>
      <c r="G5" s="648"/>
      <c r="H5" s="648"/>
      <c r="I5" s="648"/>
      <c r="J5" s="648"/>
      <c r="K5" s="648"/>
      <c r="L5" s="648"/>
      <c r="M5" s="648"/>
      <c r="N5" s="498" t="s">
        <v>74</v>
      </c>
      <c r="O5" s="499"/>
      <c r="P5" s="499"/>
      <c r="Q5" s="499" t="s">
        <v>75</v>
      </c>
      <c r="R5" s="499"/>
      <c r="S5" s="499"/>
      <c r="T5" s="499" t="s">
        <v>72</v>
      </c>
      <c r="U5" s="499"/>
      <c r="V5" s="499"/>
      <c r="W5" s="499" t="s">
        <v>76</v>
      </c>
      <c r="X5" s="499"/>
      <c r="Y5" s="499"/>
      <c r="Z5" s="654"/>
      <c r="AA5" s="522" t="s">
        <v>107</v>
      </c>
      <c r="AB5" s="648"/>
      <c r="AC5" s="648"/>
      <c r="AD5" s="648"/>
      <c r="AE5" s="648"/>
      <c r="AF5" s="648"/>
      <c r="AG5" s="648"/>
      <c r="AH5" s="648"/>
      <c r="AI5" s="648"/>
      <c r="AJ5" s="648"/>
      <c r="AK5" s="648"/>
      <c r="AL5" s="648"/>
      <c r="AM5" s="648"/>
      <c r="AN5" s="648"/>
      <c r="AO5" s="661"/>
    </row>
    <row r="6" spans="2:41" ht="13.5" customHeight="1">
      <c r="C6" s="492" t="s">
        <v>137</v>
      </c>
      <c r="D6" s="651"/>
      <c r="E6" s="652" t="s">
        <v>108</v>
      </c>
      <c r="F6" s="545"/>
      <c r="G6" s="545"/>
      <c r="H6" s="545"/>
      <c r="I6" s="545"/>
      <c r="J6" s="545"/>
      <c r="K6" s="545"/>
      <c r="L6" s="545"/>
      <c r="M6" s="546"/>
      <c r="N6" s="653">
        <v>1800</v>
      </c>
      <c r="O6" s="485"/>
      <c r="P6" s="485"/>
      <c r="Q6" s="485">
        <v>1800</v>
      </c>
      <c r="R6" s="485"/>
      <c r="S6" s="485"/>
      <c r="T6" s="485">
        <v>1300</v>
      </c>
      <c r="U6" s="485"/>
      <c r="V6" s="485"/>
      <c r="W6" s="485">
        <v>600</v>
      </c>
      <c r="X6" s="485"/>
      <c r="Y6" s="485"/>
      <c r="Z6" s="486"/>
      <c r="AA6" s="544" t="s">
        <v>175</v>
      </c>
      <c r="AB6" s="545"/>
      <c r="AC6" s="545"/>
      <c r="AD6" s="545"/>
      <c r="AE6" s="545"/>
      <c r="AF6" s="545"/>
      <c r="AG6" s="545"/>
      <c r="AH6" s="545"/>
      <c r="AI6" s="545"/>
      <c r="AJ6" s="545"/>
      <c r="AK6" s="545"/>
      <c r="AL6" s="545"/>
      <c r="AM6" s="545"/>
      <c r="AN6" s="545"/>
      <c r="AO6" s="546"/>
    </row>
    <row r="7" spans="2:41" ht="13.5" customHeight="1">
      <c r="C7" s="649" t="str">
        <f t="shared" ref="C7:C20" si="0">LEFT(C6,2)&amp;RIGHT("0"&amp;(RIGHT(C6,2)+1),2)</f>
        <v>LL02</v>
      </c>
      <c r="D7" s="650"/>
      <c r="E7" s="482" t="s">
        <v>109</v>
      </c>
      <c r="F7" s="483"/>
      <c r="G7" s="483"/>
      <c r="H7" s="483"/>
      <c r="I7" s="483"/>
      <c r="J7" s="483"/>
      <c r="K7" s="483"/>
      <c r="L7" s="483"/>
      <c r="M7" s="484"/>
      <c r="N7" s="501">
        <v>2900</v>
      </c>
      <c r="O7" s="487"/>
      <c r="P7" s="487"/>
      <c r="Q7" s="487">
        <v>2900</v>
      </c>
      <c r="R7" s="487"/>
      <c r="S7" s="487"/>
      <c r="T7" s="487">
        <v>1800</v>
      </c>
      <c r="U7" s="487"/>
      <c r="V7" s="487"/>
      <c r="W7" s="487">
        <v>800</v>
      </c>
      <c r="X7" s="487"/>
      <c r="Y7" s="487"/>
      <c r="Z7" s="488"/>
      <c r="AA7" s="482"/>
      <c r="AB7" s="483"/>
      <c r="AC7" s="483"/>
      <c r="AD7" s="483"/>
      <c r="AE7" s="483"/>
      <c r="AF7" s="483"/>
      <c r="AG7" s="483"/>
      <c r="AH7" s="483"/>
      <c r="AI7" s="483"/>
      <c r="AJ7" s="483"/>
      <c r="AK7" s="483"/>
      <c r="AL7" s="483"/>
      <c r="AM7" s="483"/>
      <c r="AN7" s="483"/>
      <c r="AO7" s="484"/>
    </row>
    <row r="8" spans="2:41" ht="13.5" customHeight="1">
      <c r="C8" s="649" t="str">
        <f t="shared" si="0"/>
        <v>LL03</v>
      </c>
      <c r="D8" s="650"/>
      <c r="E8" s="482" t="s">
        <v>110</v>
      </c>
      <c r="F8" s="483"/>
      <c r="G8" s="483"/>
      <c r="H8" s="483"/>
      <c r="I8" s="483"/>
      <c r="J8" s="483"/>
      <c r="K8" s="483"/>
      <c r="L8" s="483"/>
      <c r="M8" s="484"/>
      <c r="N8" s="501">
        <v>2300</v>
      </c>
      <c r="O8" s="487"/>
      <c r="P8" s="487"/>
      <c r="Q8" s="487">
        <v>2300</v>
      </c>
      <c r="R8" s="487"/>
      <c r="S8" s="487"/>
      <c r="T8" s="487">
        <v>2100</v>
      </c>
      <c r="U8" s="487"/>
      <c r="V8" s="487"/>
      <c r="W8" s="487">
        <v>1100</v>
      </c>
      <c r="X8" s="487"/>
      <c r="Y8" s="487"/>
      <c r="Z8" s="488"/>
      <c r="AA8" s="482"/>
      <c r="AB8" s="483"/>
      <c r="AC8" s="483"/>
      <c r="AD8" s="483"/>
      <c r="AE8" s="483"/>
      <c r="AF8" s="483"/>
      <c r="AG8" s="483"/>
      <c r="AH8" s="483"/>
      <c r="AI8" s="483"/>
      <c r="AJ8" s="483"/>
      <c r="AK8" s="483"/>
      <c r="AL8" s="483"/>
      <c r="AM8" s="483"/>
      <c r="AN8" s="483"/>
      <c r="AO8" s="484"/>
    </row>
    <row r="9" spans="2:41" ht="13.5" customHeight="1">
      <c r="C9" s="649" t="str">
        <f t="shared" si="0"/>
        <v>LL04</v>
      </c>
      <c r="D9" s="650"/>
      <c r="E9" s="482" t="s">
        <v>111</v>
      </c>
      <c r="F9" s="483"/>
      <c r="G9" s="483"/>
      <c r="H9" s="483"/>
      <c r="I9" s="483"/>
      <c r="J9" s="483"/>
      <c r="K9" s="483"/>
      <c r="L9" s="483"/>
      <c r="M9" s="484"/>
      <c r="N9" s="501">
        <v>2900</v>
      </c>
      <c r="O9" s="487"/>
      <c r="P9" s="487"/>
      <c r="Q9" s="487">
        <v>2900</v>
      </c>
      <c r="R9" s="487"/>
      <c r="S9" s="487"/>
      <c r="T9" s="487">
        <v>2400</v>
      </c>
      <c r="U9" s="487"/>
      <c r="V9" s="487"/>
      <c r="W9" s="487">
        <v>1300</v>
      </c>
      <c r="X9" s="487"/>
      <c r="Y9" s="487"/>
      <c r="Z9" s="488"/>
      <c r="AA9" s="482"/>
      <c r="AB9" s="483"/>
      <c r="AC9" s="483"/>
      <c r="AD9" s="483"/>
      <c r="AE9" s="483"/>
      <c r="AF9" s="483"/>
      <c r="AG9" s="483"/>
      <c r="AH9" s="483"/>
      <c r="AI9" s="483"/>
      <c r="AJ9" s="483"/>
      <c r="AK9" s="483"/>
      <c r="AL9" s="483"/>
      <c r="AM9" s="483"/>
      <c r="AN9" s="483"/>
      <c r="AO9" s="484"/>
    </row>
    <row r="10" spans="2:41" ht="13.5" customHeight="1">
      <c r="C10" s="649" t="str">
        <f t="shared" si="0"/>
        <v>LL05</v>
      </c>
      <c r="D10" s="650"/>
      <c r="E10" s="482" t="s">
        <v>112</v>
      </c>
      <c r="F10" s="483"/>
      <c r="G10" s="483"/>
      <c r="H10" s="483"/>
      <c r="I10" s="483"/>
      <c r="J10" s="483"/>
      <c r="K10" s="483"/>
      <c r="L10" s="483"/>
      <c r="M10" s="484"/>
      <c r="N10" s="501">
        <v>2900</v>
      </c>
      <c r="O10" s="487"/>
      <c r="P10" s="487"/>
      <c r="Q10" s="487">
        <v>2900</v>
      </c>
      <c r="R10" s="487"/>
      <c r="S10" s="487"/>
      <c r="T10" s="487">
        <v>2600</v>
      </c>
      <c r="U10" s="487"/>
      <c r="V10" s="487"/>
      <c r="W10" s="487">
        <v>1600</v>
      </c>
      <c r="X10" s="487"/>
      <c r="Y10" s="487"/>
      <c r="Z10" s="488"/>
      <c r="AA10" s="482"/>
      <c r="AB10" s="483"/>
      <c r="AC10" s="483"/>
      <c r="AD10" s="483"/>
      <c r="AE10" s="483"/>
      <c r="AF10" s="483"/>
      <c r="AG10" s="483"/>
      <c r="AH10" s="483"/>
      <c r="AI10" s="483"/>
      <c r="AJ10" s="483"/>
      <c r="AK10" s="483"/>
      <c r="AL10" s="483"/>
      <c r="AM10" s="483"/>
      <c r="AN10" s="483"/>
      <c r="AO10" s="484"/>
    </row>
    <row r="11" spans="2:41" ht="13.5" customHeight="1">
      <c r="C11" s="649" t="str">
        <f t="shared" si="0"/>
        <v>LL06</v>
      </c>
      <c r="D11" s="650"/>
      <c r="E11" s="482" t="s">
        <v>113</v>
      </c>
      <c r="F11" s="483"/>
      <c r="G11" s="483"/>
      <c r="H11" s="483"/>
      <c r="I11" s="483"/>
      <c r="J11" s="483"/>
      <c r="K11" s="483"/>
      <c r="L11" s="483"/>
      <c r="M11" s="484"/>
      <c r="N11" s="501">
        <v>3500</v>
      </c>
      <c r="O11" s="487"/>
      <c r="P11" s="487"/>
      <c r="Q11" s="487">
        <v>3500</v>
      </c>
      <c r="R11" s="487"/>
      <c r="S11" s="487"/>
      <c r="T11" s="487">
        <v>3200</v>
      </c>
      <c r="U11" s="487"/>
      <c r="V11" s="487"/>
      <c r="W11" s="487">
        <v>2100</v>
      </c>
      <c r="X11" s="487"/>
      <c r="Y11" s="487"/>
      <c r="Z11" s="488"/>
      <c r="AA11" s="482"/>
      <c r="AB11" s="483"/>
      <c r="AC11" s="483"/>
      <c r="AD11" s="483"/>
      <c r="AE11" s="483"/>
      <c r="AF11" s="483"/>
      <c r="AG11" s="483"/>
      <c r="AH11" s="483"/>
      <c r="AI11" s="483"/>
      <c r="AJ11" s="483"/>
      <c r="AK11" s="483"/>
      <c r="AL11" s="483"/>
      <c r="AM11" s="483"/>
      <c r="AN11" s="483"/>
      <c r="AO11" s="484"/>
    </row>
    <row r="12" spans="2:41" ht="13.5" customHeight="1">
      <c r="C12" s="649" t="str">
        <f t="shared" si="0"/>
        <v>LL07</v>
      </c>
      <c r="D12" s="650"/>
      <c r="E12" s="500" t="s">
        <v>206</v>
      </c>
      <c r="F12" s="483"/>
      <c r="G12" s="483"/>
      <c r="H12" s="483"/>
      <c r="I12" s="483"/>
      <c r="J12" s="483"/>
      <c r="K12" s="483"/>
      <c r="L12" s="483"/>
      <c r="M12" s="484"/>
      <c r="N12" s="501">
        <v>5400</v>
      </c>
      <c r="O12" s="487"/>
      <c r="P12" s="487"/>
      <c r="Q12" s="487">
        <v>5400</v>
      </c>
      <c r="R12" s="487"/>
      <c r="S12" s="487"/>
      <c r="T12" s="487">
        <v>3900</v>
      </c>
      <c r="U12" s="487"/>
      <c r="V12" s="487"/>
      <c r="W12" s="487">
        <v>2000</v>
      </c>
      <c r="X12" s="487"/>
      <c r="Y12" s="487"/>
      <c r="Z12" s="488"/>
      <c r="AA12" s="482"/>
      <c r="AB12" s="483"/>
      <c r="AC12" s="483"/>
      <c r="AD12" s="483"/>
      <c r="AE12" s="483"/>
      <c r="AF12" s="483"/>
      <c r="AG12" s="483"/>
      <c r="AH12" s="483"/>
      <c r="AI12" s="483"/>
      <c r="AJ12" s="483"/>
      <c r="AK12" s="483"/>
      <c r="AL12" s="483"/>
      <c r="AM12" s="483"/>
      <c r="AN12" s="483"/>
      <c r="AO12" s="484"/>
    </row>
    <row r="13" spans="2:41" ht="13.5" customHeight="1">
      <c r="C13" s="649" t="str">
        <f t="shared" si="0"/>
        <v>LL08</v>
      </c>
      <c r="D13" s="650"/>
      <c r="E13" s="500" t="s">
        <v>207</v>
      </c>
      <c r="F13" s="483"/>
      <c r="G13" s="483"/>
      <c r="H13" s="483"/>
      <c r="I13" s="483"/>
      <c r="J13" s="483"/>
      <c r="K13" s="483"/>
      <c r="L13" s="483"/>
      <c r="M13" s="484"/>
      <c r="N13" s="501">
        <v>3900</v>
      </c>
      <c r="O13" s="487"/>
      <c r="P13" s="487"/>
      <c r="Q13" s="487">
        <v>3900</v>
      </c>
      <c r="R13" s="487"/>
      <c r="S13" s="487"/>
      <c r="T13" s="487">
        <v>2900</v>
      </c>
      <c r="U13" s="487"/>
      <c r="V13" s="487"/>
      <c r="W13" s="487">
        <v>1500</v>
      </c>
      <c r="X13" s="487"/>
      <c r="Y13" s="487"/>
      <c r="Z13" s="488"/>
      <c r="AA13" s="482"/>
      <c r="AB13" s="483"/>
      <c r="AC13" s="483"/>
      <c r="AD13" s="483"/>
      <c r="AE13" s="483"/>
      <c r="AF13" s="483"/>
      <c r="AG13" s="483"/>
      <c r="AH13" s="483"/>
      <c r="AI13" s="483"/>
      <c r="AJ13" s="483"/>
      <c r="AK13" s="483"/>
      <c r="AL13" s="483"/>
      <c r="AM13" s="483"/>
      <c r="AN13" s="483"/>
      <c r="AO13" s="484"/>
    </row>
    <row r="14" spans="2:41" ht="13.5" customHeight="1">
      <c r="C14" s="649" t="str">
        <f t="shared" si="0"/>
        <v>LL09</v>
      </c>
      <c r="D14" s="650"/>
      <c r="E14" s="500" t="s">
        <v>211</v>
      </c>
      <c r="F14" s="483"/>
      <c r="G14" s="483"/>
      <c r="H14" s="483"/>
      <c r="I14" s="483"/>
      <c r="J14" s="483"/>
      <c r="K14" s="483"/>
      <c r="L14" s="483"/>
      <c r="M14" s="484"/>
      <c r="N14" s="501">
        <v>3000</v>
      </c>
      <c r="O14" s="487"/>
      <c r="P14" s="487"/>
      <c r="Q14" s="487">
        <v>2600</v>
      </c>
      <c r="R14" s="487"/>
      <c r="S14" s="487"/>
      <c r="T14" s="487">
        <v>2200</v>
      </c>
      <c r="U14" s="487"/>
      <c r="V14" s="487"/>
      <c r="W14" s="487">
        <v>1200</v>
      </c>
      <c r="X14" s="487"/>
      <c r="Y14" s="487"/>
      <c r="Z14" s="488"/>
      <c r="AA14" s="500" t="s">
        <v>268</v>
      </c>
      <c r="AB14" s="483"/>
      <c r="AC14" s="483"/>
      <c r="AD14" s="483"/>
      <c r="AE14" s="483"/>
      <c r="AF14" s="483"/>
      <c r="AG14" s="483"/>
      <c r="AH14" s="483"/>
      <c r="AI14" s="483"/>
      <c r="AJ14" s="483"/>
      <c r="AK14" s="483"/>
      <c r="AL14" s="483"/>
      <c r="AM14" s="483"/>
      <c r="AN14" s="483"/>
      <c r="AO14" s="484"/>
    </row>
    <row r="15" spans="2:41" ht="13.5" customHeight="1">
      <c r="C15" s="649" t="str">
        <f t="shared" si="0"/>
        <v>LL10</v>
      </c>
      <c r="D15" s="650"/>
      <c r="E15" s="631" t="s">
        <v>270</v>
      </c>
      <c r="F15" s="632"/>
      <c r="G15" s="632"/>
      <c r="H15" s="632"/>
      <c r="I15" s="632"/>
      <c r="J15" s="632"/>
      <c r="K15" s="632"/>
      <c r="L15" s="632"/>
      <c r="M15" s="633"/>
      <c r="N15" s="501">
        <v>100</v>
      </c>
      <c r="O15" s="487"/>
      <c r="P15" s="487"/>
      <c r="Q15" s="487">
        <v>100</v>
      </c>
      <c r="R15" s="487"/>
      <c r="S15" s="487"/>
      <c r="T15" s="487">
        <v>100</v>
      </c>
      <c r="U15" s="487"/>
      <c r="V15" s="487"/>
      <c r="W15" s="487">
        <v>100</v>
      </c>
      <c r="X15" s="487"/>
      <c r="Y15" s="487"/>
      <c r="Z15" s="488"/>
      <c r="AA15" s="482"/>
      <c r="AB15" s="483"/>
      <c r="AC15" s="483"/>
      <c r="AD15" s="483"/>
      <c r="AE15" s="483"/>
      <c r="AF15" s="483"/>
      <c r="AG15" s="483"/>
      <c r="AH15" s="483"/>
      <c r="AI15" s="483"/>
      <c r="AJ15" s="483"/>
      <c r="AK15" s="483"/>
      <c r="AL15" s="483"/>
      <c r="AM15" s="483"/>
      <c r="AN15" s="483"/>
      <c r="AO15" s="484"/>
    </row>
    <row r="16" spans="2:41" ht="13.5" customHeight="1">
      <c r="C16" s="649" t="str">
        <f t="shared" si="0"/>
        <v>LL11</v>
      </c>
      <c r="D16" s="650"/>
      <c r="E16" s="631"/>
      <c r="F16" s="632"/>
      <c r="G16" s="632"/>
      <c r="H16" s="632"/>
      <c r="I16" s="632"/>
      <c r="J16" s="632"/>
      <c r="K16" s="632"/>
      <c r="L16" s="632"/>
      <c r="M16" s="633"/>
      <c r="N16" s="501"/>
      <c r="O16" s="487"/>
      <c r="P16" s="487"/>
      <c r="Q16" s="487"/>
      <c r="R16" s="487"/>
      <c r="S16" s="487"/>
      <c r="T16" s="487"/>
      <c r="U16" s="487"/>
      <c r="V16" s="487"/>
      <c r="W16" s="487"/>
      <c r="X16" s="487"/>
      <c r="Y16" s="487"/>
      <c r="Z16" s="488"/>
      <c r="AA16" s="500"/>
      <c r="AB16" s="483"/>
      <c r="AC16" s="483"/>
      <c r="AD16" s="483"/>
      <c r="AE16" s="483"/>
      <c r="AF16" s="483"/>
      <c r="AG16" s="483"/>
      <c r="AH16" s="483"/>
      <c r="AI16" s="483"/>
      <c r="AJ16" s="483"/>
      <c r="AK16" s="483"/>
      <c r="AL16" s="483"/>
      <c r="AM16" s="483"/>
      <c r="AN16" s="483"/>
      <c r="AO16" s="484"/>
    </row>
    <row r="17" spans="2:52" ht="13.5" customHeight="1">
      <c r="C17" s="649" t="str">
        <f t="shared" si="0"/>
        <v>LL12</v>
      </c>
      <c r="D17" s="650"/>
      <c r="E17" s="631"/>
      <c r="F17" s="632"/>
      <c r="G17" s="632"/>
      <c r="H17" s="632"/>
      <c r="I17" s="632"/>
      <c r="J17" s="632"/>
      <c r="K17" s="632"/>
      <c r="L17" s="632"/>
      <c r="M17" s="633"/>
      <c r="N17" s="501"/>
      <c r="O17" s="487"/>
      <c r="P17" s="487"/>
      <c r="Q17" s="487"/>
      <c r="R17" s="487"/>
      <c r="S17" s="487"/>
      <c r="T17" s="487"/>
      <c r="U17" s="487"/>
      <c r="V17" s="487"/>
      <c r="W17" s="487"/>
      <c r="X17" s="487"/>
      <c r="Y17" s="487"/>
      <c r="Z17" s="488"/>
      <c r="AA17" s="500"/>
      <c r="AB17" s="483"/>
      <c r="AC17" s="483"/>
      <c r="AD17" s="483"/>
      <c r="AE17" s="483"/>
      <c r="AF17" s="483"/>
      <c r="AG17" s="483"/>
      <c r="AH17" s="483"/>
      <c r="AI17" s="483"/>
      <c r="AJ17" s="483"/>
      <c r="AK17" s="483"/>
      <c r="AL17" s="483"/>
      <c r="AM17" s="483"/>
      <c r="AN17" s="483"/>
      <c r="AO17" s="484"/>
    </row>
    <row r="18" spans="2:52" ht="13.5" customHeight="1">
      <c r="C18" s="649" t="str">
        <f t="shared" si="0"/>
        <v>LL13</v>
      </c>
      <c r="D18" s="650"/>
      <c r="E18" s="631"/>
      <c r="F18" s="632"/>
      <c r="G18" s="632"/>
      <c r="H18" s="632"/>
      <c r="I18" s="632"/>
      <c r="J18" s="632"/>
      <c r="K18" s="632"/>
      <c r="L18" s="632"/>
      <c r="M18" s="633"/>
      <c r="N18" s="501"/>
      <c r="O18" s="487"/>
      <c r="P18" s="487"/>
      <c r="Q18" s="487"/>
      <c r="R18" s="487"/>
      <c r="S18" s="487"/>
      <c r="T18" s="487"/>
      <c r="U18" s="487"/>
      <c r="V18" s="487"/>
      <c r="W18" s="487"/>
      <c r="X18" s="487"/>
      <c r="Y18" s="487"/>
      <c r="Z18" s="488"/>
      <c r="AA18" s="500"/>
      <c r="AB18" s="483"/>
      <c r="AC18" s="483"/>
      <c r="AD18" s="483"/>
      <c r="AE18" s="483"/>
      <c r="AF18" s="483"/>
      <c r="AG18" s="483"/>
      <c r="AH18" s="483"/>
      <c r="AI18" s="483"/>
      <c r="AJ18" s="483"/>
      <c r="AK18" s="483"/>
      <c r="AL18" s="483"/>
      <c r="AM18" s="483"/>
      <c r="AN18" s="483"/>
      <c r="AO18" s="484"/>
    </row>
    <row r="19" spans="2:52" ht="13.5" customHeight="1">
      <c r="C19" s="649" t="str">
        <f t="shared" si="0"/>
        <v>LL14</v>
      </c>
      <c r="D19" s="650"/>
      <c r="E19" s="631"/>
      <c r="F19" s="632"/>
      <c r="G19" s="632"/>
      <c r="H19" s="632"/>
      <c r="I19" s="632"/>
      <c r="J19" s="632"/>
      <c r="K19" s="632"/>
      <c r="L19" s="632"/>
      <c r="M19" s="633"/>
      <c r="N19" s="501"/>
      <c r="O19" s="487"/>
      <c r="P19" s="487"/>
      <c r="Q19" s="487"/>
      <c r="R19" s="487"/>
      <c r="S19" s="487"/>
      <c r="T19" s="487"/>
      <c r="U19" s="487"/>
      <c r="V19" s="487"/>
      <c r="W19" s="487"/>
      <c r="X19" s="487"/>
      <c r="Y19" s="487"/>
      <c r="Z19" s="488"/>
      <c r="AA19" s="500"/>
      <c r="AB19" s="483"/>
      <c r="AC19" s="483"/>
      <c r="AD19" s="483"/>
      <c r="AE19" s="483"/>
      <c r="AF19" s="483"/>
      <c r="AG19" s="483"/>
      <c r="AH19" s="483"/>
      <c r="AI19" s="483"/>
      <c r="AJ19" s="483"/>
      <c r="AK19" s="483"/>
      <c r="AL19" s="483"/>
      <c r="AM19" s="483"/>
      <c r="AN19" s="483"/>
      <c r="AO19" s="484"/>
    </row>
    <row r="20" spans="2:52" ht="13.5" customHeight="1">
      <c r="C20" s="627" t="str">
        <f t="shared" si="0"/>
        <v>LL15</v>
      </c>
      <c r="D20" s="628"/>
      <c r="E20" s="695"/>
      <c r="F20" s="620"/>
      <c r="G20" s="620"/>
      <c r="H20" s="620"/>
      <c r="I20" s="620"/>
      <c r="J20" s="620"/>
      <c r="K20" s="620"/>
      <c r="L20" s="620"/>
      <c r="M20" s="621"/>
      <c r="N20" s="638"/>
      <c r="O20" s="624"/>
      <c r="P20" s="624"/>
      <c r="Q20" s="624"/>
      <c r="R20" s="624"/>
      <c r="S20" s="624"/>
      <c r="T20" s="624"/>
      <c r="U20" s="624"/>
      <c r="V20" s="624"/>
      <c r="W20" s="624"/>
      <c r="X20" s="624"/>
      <c r="Y20" s="624"/>
      <c r="Z20" s="696"/>
      <c r="AA20" s="619"/>
      <c r="AB20" s="620"/>
      <c r="AC20" s="620"/>
      <c r="AD20" s="620"/>
      <c r="AE20" s="620"/>
      <c r="AF20" s="620"/>
      <c r="AG20" s="620"/>
      <c r="AH20" s="620"/>
      <c r="AI20" s="620"/>
      <c r="AJ20" s="620"/>
      <c r="AK20" s="620"/>
      <c r="AL20" s="620"/>
      <c r="AM20" s="620"/>
      <c r="AN20" s="620"/>
      <c r="AO20" s="621"/>
    </row>
    <row r="21" spans="2:52" ht="13.5" customHeight="1">
      <c r="B21" s="2"/>
      <c r="C21" s="2"/>
      <c r="D21" s="2"/>
    </row>
    <row r="22" spans="2:52" ht="13.5" customHeight="1">
      <c r="B22" s="19" t="s">
        <v>205</v>
      </c>
      <c r="C22" s="19"/>
      <c r="D22" s="19"/>
      <c r="AO22" s="20" t="s">
        <v>148</v>
      </c>
    </row>
    <row r="23" spans="2:52" ht="13.5" customHeight="1">
      <c r="C23" s="462" t="s">
        <v>147</v>
      </c>
      <c r="D23" s="463"/>
      <c r="E23" s="462" t="s">
        <v>0</v>
      </c>
      <c r="F23" s="463"/>
      <c r="G23" s="463"/>
      <c r="H23" s="463"/>
      <c r="I23" s="463"/>
      <c r="J23" s="462" t="s">
        <v>85</v>
      </c>
      <c r="K23" s="462"/>
      <c r="L23" s="462"/>
      <c r="M23" s="462"/>
      <c r="N23" s="462"/>
      <c r="O23" s="462"/>
      <c r="P23" s="462"/>
      <c r="Q23" s="462"/>
      <c r="R23" s="462"/>
      <c r="S23" s="462"/>
      <c r="T23" s="462"/>
      <c r="U23" s="462"/>
      <c r="V23" s="462"/>
      <c r="W23" s="462"/>
      <c r="X23" s="462"/>
      <c r="Y23" s="462"/>
      <c r="Z23" s="462"/>
      <c r="AA23" s="462"/>
      <c r="AB23" s="662" t="s">
        <v>77</v>
      </c>
      <c r="AC23" s="663"/>
      <c r="AD23" s="663"/>
      <c r="AE23" s="663"/>
      <c r="AF23" s="663"/>
      <c r="AG23" s="663"/>
      <c r="AH23" s="663"/>
      <c r="AI23" s="663"/>
      <c r="AJ23" s="663"/>
      <c r="AK23" s="663"/>
      <c r="AL23" s="663"/>
      <c r="AM23" s="663"/>
      <c r="AN23" s="663"/>
      <c r="AO23" s="664"/>
      <c r="AT23" s="2"/>
      <c r="AU23" s="2"/>
    </row>
    <row r="24" spans="2:52" ht="13.5" customHeight="1">
      <c r="C24" s="463"/>
      <c r="D24" s="463"/>
      <c r="E24" s="463"/>
      <c r="F24" s="463"/>
      <c r="G24" s="463"/>
      <c r="H24" s="463"/>
      <c r="I24" s="463"/>
      <c r="J24" s="462" t="s">
        <v>69</v>
      </c>
      <c r="K24" s="462"/>
      <c r="L24" s="462"/>
      <c r="M24" s="462"/>
      <c r="N24" s="462"/>
      <c r="O24" s="462"/>
      <c r="P24" s="462"/>
      <c r="Q24" s="462"/>
      <c r="R24" s="462" t="s">
        <v>124</v>
      </c>
      <c r="S24" s="462"/>
      <c r="T24" s="462"/>
      <c r="U24" s="462" t="s">
        <v>122</v>
      </c>
      <c r="V24" s="462"/>
      <c r="W24" s="462"/>
      <c r="X24" s="109" t="s">
        <v>146</v>
      </c>
      <c r="Y24" s="462" t="s">
        <v>145</v>
      </c>
      <c r="Z24" s="462"/>
      <c r="AA24" s="462"/>
      <c r="AB24" s="662" t="s">
        <v>144</v>
      </c>
      <c r="AC24" s="663"/>
      <c r="AD24" s="622" t="s">
        <v>74</v>
      </c>
      <c r="AE24" s="623"/>
      <c r="AF24" s="623"/>
      <c r="AG24" s="623" t="s">
        <v>75</v>
      </c>
      <c r="AH24" s="623"/>
      <c r="AI24" s="623"/>
      <c r="AJ24" s="623" t="s">
        <v>72</v>
      </c>
      <c r="AK24" s="623"/>
      <c r="AL24" s="623"/>
      <c r="AM24" s="623" t="s">
        <v>76</v>
      </c>
      <c r="AN24" s="623"/>
      <c r="AO24" s="666"/>
    </row>
    <row r="25" spans="2:52" ht="13.5" customHeight="1">
      <c r="C25" s="629" t="s">
        <v>143</v>
      </c>
      <c r="D25" s="630"/>
      <c r="E25" s="21" t="s">
        <v>208</v>
      </c>
      <c r="F25" s="81"/>
      <c r="G25" s="81"/>
      <c r="H25" s="81"/>
      <c r="I25" s="82"/>
      <c r="J25" s="91" t="s">
        <v>253</v>
      </c>
      <c r="K25" s="92"/>
      <c r="L25" s="92"/>
      <c r="M25" s="92"/>
      <c r="N25" s="92"/>
      <c r="O25" s="92"/>
      <c r="P25" s="92"/>
      <c r="Q25" s="106"/>
      <c r="R25" s="453">
        <f>25+80</f>
        <v>105</v>
      </c>
      <c r="S25" s="454"/>
      <c r="T25" s="455"/>
      <c r="U25" s="502">
        <v>24</v>
      </c>
      <c r="V25" s="503"/>
      <c r="W25" s="504"/>
      <c r="X25" s="104">
        <f t="shared" ref="X25:X26" si="1">IF(IFERROR(FIND("スラブ",J25),0)=0,0,1)+IF(IFERROR(FIND("合成デッキ",J25),0)=0,0,1)</f>
        <v>1</v>
      </c>
      <c r="Y25" s="440">
        <f>U25*R25</f>
        <v>2520</v>
      </c>
      <c r="Z25" s="419"/>
      <c r="AA25" s="420"/>
      <c r="AB25" s="539" t="s">
        <v>139</v>
      </c>
      <c r="AC25" s="540"/>
      <c r="AD25" s="541">
        <f ca="1">CEILING(SUM(Y25:AA31)-SUMIF(X25:AA31,"&gt;0",Y25:AA31),50)</f>
        <v>0</v>
      </c>
      <c r="AE25" s="542"/>
      <c r="AF25" s="542"/>
      <c r="AG25" s="667"/>
      <c r="AH25" s="667"/>
      <c r="AI25" s="667"/>
      <c r="AJ25" s="542"/>
      <c r="AK25" s="542"/>
      <c r="AL25" s="542"/>
      <c r="AM25" s="542"/>
      <c r="AN25" s="542"/>
      <c r="AO25" s="567"/>
    </row>
    <row r="26" spans="2:52" ht="13.5" customHeight="1">
      <c r="C26" s="108"/>
      <c r="D26" s="107"/>
      <c r="E26" s="86" t="s">
        <v>209</v>
      </c>
      <c r="F26" s="95"/>
      <c r="G26" s="95"/>
      <c r="H26" s="95"/>
      <c r="I26" s="95"/>
      <c r="J26" s="84" t="s">
        <v>210</v>
      </c>
      <c r="K26" s="95"/>
      <c r="L26" s="95"/>
      <c r="M26" s="95"/>
      <c r="N26" s="95"/>
      <c r="O26" s="95"/>
      <c r="P26" s="95"/>
      <c r="Q26" s="25"/>
      <c r="R26" s="434"/>
      <c r="S26" s="435"/>
      <c r="T26" s="436"/>
      <c r="U26" s="502"/>
      <c r="V26" s="503"/>
      <c r="W26" s="504"/>
      <c r="X26" s="104">
        <f t="shared" si="1"/>
        <v>1</v>
      </c>
      <c r="Y26" s="440">
        <v>150</v>
      </c>
      <c r="Z26" s="419"/>
      <c r="AA26" s="420"/>
      <c r="AB26" s="573" t="s">
        <v>142</v>
      </c>
      <c r="AC26" s="574"/>
      <c r="AD26" s="587">
        <f>CEILING(SUMIF(X25:X31,"&gt;0",Y25:AA31),10)</f>
        <v>2670</v>
      </c>
      <c r="AE26" s="537"/>
      <c r="AF26" s="537"/>
      <c r="AG26" s="572"/>
      <c r="AH26" s="572"/>
      <c r="AI26" s="572"/>
      <c r="AJ26" s="537"/>
      <c r="AK26" s="537"/>
      <c r="AL26" s="537"/>
      <c r="AM26" s="537"/>
      <c r="AN26" s="537"/>
      <c r="AO26" s="538"/>
    </row>
    <row r="27" spans="2:52" ht="13.5" customHeight="1">
      <c r="C27" s="23"/>
      <c r="D27" s="24"/>
      <c r="E27" s="94"/>
      <c r="F27" s="95"/>
      <c r="G27" s="95"/>
      <c r="H27" s="95"/>
      <c r="I27" s="95"/>
      <c r="J27" s="230"/>
      <c r="K27" s="95"/>
      <c r="L27" s="95"/>
      <c r="M27" s="95"/>
      <c r="N27" s="95"/>
      <c r="O27" s="95"/>
      <c r="P27" s="95"/>
      <c r="Q27" s="25"/>
      <c r="R27" s="429"/>
      <c r="S27" s="429"/>
      <c r="T27" s="429"/>
      <c r="U27" s="533"/>
      <c r="V27" s="533"/>
      <c r="W27" s="533"/>
      <c r="X27" s="103"/>
      <c r="Y27" s="440"/>
      <c r="Z27" s="419"/>
      <c r="AA27" s="420"/>
      <c r="AB27" s="528" t="s">
        <v>141</v>
      </c>
      <c r="AC27" s="529"/>
      <c r="AD27" s="530">
        <f ca="1">AD25+AD26</f>
        <v>2670</v>
      </c>
      <c r="AE27" s="531"/>
      <c r="AF27" s="531"/>
      <c r="AG27" s="532" t="str">
        <f>IF(AG25=0,"",SUM(AD25:AI26))</f>
        <v/>
      </c>
      <c r="AH27" s="532"/>
      <c r="AI27" s="532"/>
      <c r="AJ27" s="532" t="str">
        <f>IF(AJ25=0,"",SUM(AD25:AL26))</f>
        <v/>
      </c>
      <c r="AK27" s="532"/>
      <c r="AL27" s="532"/>
      <c r="AM27" s="532" t="str">
        <f>IF(AM25=0,"",SUM(AD25:AO26))</f>
        <v/>
      </c>
      <c r="AN27" s="532"/>
      <c r="AO27" s="665"/>
    </row>
    <row r="28" spans="2:52" ht="13.5" customHeight="1">
      <c r="C28" s="23"/>
      <c r="D28" s="24"/>
      <c r="E28" s="94"/>
      <c r="F28" s="95"/>
      <c r="G28" s="95"/>
      <c r="H28" s="95"/>
      <c r="I28" s="95"/>
      <c r="J28" s="229"/>
      <c r="K28" s="95"/>
      <c r="L28" s="95"/>
      <c r="M28" s="95"/>
      <c r="N28" s="95"/>
      <c r="O28" s="95"/>
      <c r="P28" s="95"/>
      <c r="Q28" s="25"/>
      <c r="R28" s="429"/>
      <c r="S28" s="429"/>
      <c r="T28" s="429"/>
      <c r="U28" s="533"/>
      <c r="V28" s="533"/>
      <c r="W28" s="533"/>
      <c r="X28" s="103"/>
      <c r="Y28" s="440"/>
      <c r="Z28" s="419"/>
      <c r="AA28" s="420"/>
      <c r="AB28" s="573" t="s">
        <v>212</v>
      </c>
      <c r="AC28" s="574"/>
      <c r="AD28" s="586">
        <f>VLOOKUP(AB28,$C$6:$Z$20,12,0)</f>
        <v>3000</v>
      </c>
      <c r="AE28" s="536"/>
      <c r="AF28" s="536"/>
      <c r="AG28" s="536">
        <f>VLOOKUP(AB28,$C$6:$Z$20,15,0)</f>
        <v>2600</v>
      </c>
      <c r="AH28" s="536"/>
      <c r="AI28" s="536"/>
      <c r="AJ28" s="536">
        <f>VLOOKUP(AB28,$C$6:$Z$20,18,0)</f>
        <v>2200</v>
      </c>
      <c r="AK28" s="536"/>
      <c r="AL28" s="536"/>
      <c r="AM28" s="536">
        <f>VLOOKUP(AB28,$C$6:$Z$20,21,0)</f>
        <v>1200</v>
      </c>
      <c r="AN28" s="536"/>
      <c r="AO28" s="585"/>
    </row>
    <row r="29" spans="2:52" ht="13.5" customHeight="1">
      <c r="C29" s="23"/>
      <c r="D29" s="24"/>
      <c r="E29" s="94"/>
      <c r="F29" s="95"/>
      <c r="G29" s="95"/>
      <c r="H29" s="95"/>
      <c r="I29" s="95"/>
      <c r="J29" s="155"/>
      <c r="K29" s="95"/>
      <c r="L29" s="95"/>
      <c r="M29" s="95"/>
      <c r="N29" s="95"/>
      <c r="O29" s="95"/>
      <c r="P29" s="95"/>
      <c r="Q29" s="25"/>
      <c r="R29" s="429"/>
      <c r="S29" s="429"/>
      <c r="T29" s="429"/>
      <c r="U29" s="533"/>
      <c r="V29" s="533"/>
      <c r="W29" s="533"/>
      <c r="X29" s="103">
        <f t="shared" ref="X29:X31" si="2">IF(IFERROR(FIND("スラブ",J29),0)=0,0,1)+IF(IFERROR(FIND("合成デッキ",J29),0)=0,0,1)</f>
        <v>0</v>
      </c>
      <c r="Y29" s="617"/>
      <c r="Z29" s="469"/>
      <c r="AA29" s="618"/>
      <c r="AB29" s="622" t="s">
        <v>140</v>
      </c>
      <c r="AC29" s="623"/>
      <c r="AD29" s="534">
        <f ca="1">AD27+ABS(AD28)</f>
        <v>5670</v>
      </c>
      <c r="AE29" s="535"/>
      <c r="AF29" s="535"/>
      <c r="AG29" s="535">
        <f ca="1">IF(AG27="",AD27,AG27)+ABS(AG28)</f>
        <v>5270</v>
      </c>
      <c r="AH29" s="535"/>
      <c r="AI29" s="535"/>
      <c r="AJ29" s="535">
        <f ca="1">IF(AJ27="",AD27,AJ27)+ABS(AJ28)</f>
        <v>4870</v>
      </c>
      <c r="AK29" s="535"/>
      <c r="AL29" s="535"/>
      <c r="AM29" s="535">
        <f ca="1">IF(AM27="",AD27,AM27)+ABS(AM28)</f>
        <v>3870</v>
      </c>
      <c r="AN29" s="535"/>
      <c r="AO29" s="584"/>
    </row>
    <row r="30" spans="2:52" ht="13.5" customHeight="1">
      <c r="C30" s="169"/>
      <c r="D30" s="170"/>
      <c r="E30" s="171"/>
      <c r="F30" s="172"/>
      <c r="G30" s="172"/>
      <c r="H30" s="172"/>
      <c r="I30" s="172"/>
      <c r="J30" s="168"/>
      <c r="K30" s="95"/>
      <c r="L30" s="95"/>
      <c r="M30" s="95"/>
      <c r="N30" s="95"/>
      <c r="O30" s="95"/>
      <c r="P30" s="95"/>
      <c r="Q30" s="25"/>
      <c r="R30" s="429"/>
      <c r="S30" s="429"/>
      <c r="T30" s="429"/>
      <c r="U30" s="533"/>
      <c r="V30" s="533"/>
      <c r="W30" s="533"/>
      <c r="X30" s="173">
        <f t="shared" si="2"/>
        <v>0</v>
      </c>
      <c r="Y30" s="617"/>
      <c r="Z30" s="469"/>
      <c r="AA30" s="618"/>
      <c r="AB30" s="430" t="s">
        <v>138</v>
      </c>
      <c r="AC30" s="431"/>
      <c r="AD30" s="174" t="str">
        <f>IF(MAX(X25:X31)=2," 合成スラブはデッキ重量を含む","")</f>
        <v/>
      </c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6"/>
    </row>
    <row r="31" spans="2:52" ht="13.5" customHeight="1">
      <c r="C31" s="26"/>
      <c r="D31" s="27"/>
      <c r="E31" s="42"/>
      <c r="F31" s="89"/>
      <c r="G31" s="89"/>
      <c r="H31" s="89"/>
      <c r="I31" s="89"/>
      <c r="J31" s="85"/>
      <c r="K31" s="89"/>
      <c r="L31" s="89"/>
      <c r="M31" s="89"/>
      <c r="N31" s="89"/>
      <c r="O31" s="89"/>
      <c r="P31" s="89"/>
      <c r="Q31" s="28"/>
      <c r="R31" s="543"/>
      <c r="S31" s="543"/>
      <c r="T31" s="543"/>
      <c r="U31" s="588"/>
      <c r="V31" s="588"/>
      <c r="W31" s="588"/>
      <c r="X31" s="102">
        <f t="shared" si="2"/>
        <v>0</v>
      </c>
      <c r="Y31" s="508"/>
      <c r="Z31" s="478"/>
      <c r="AA31" s="509"/>
      <c r="AB31" s="432"/>
      <c r="AC31" s="433"/>
      <c r="AD31" s="88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90"/>
      <c r="AY31" s="14">
        <v>2.8</v>
      </c>
      <c r="AZ31" s="14">
        <v>5</v>
      </c>
    </row>
    <row r="32" spans="2:52" ht="13.5" customHeight="1">
      <c r="C32" s="629" t="str">
        <f>LEFT(C25,2)&amp;RIGHT("0"&amp;(RIGHT(C25,2)+1),2)</f>
        <v>TL02</v>
      </c>
      <c r="D32" s="630"/>
      <c r="E32" s="21" t="s">
        <v>208</v>
      </c>
      <c r="F32" s="81"/>
      <c r="G32" s="81"/>
      <c r="H32" s="81"/>
      <c r="I32" s="82"/>
      <c r="J32" s="277" t="s">
        <v>217</v>
      </c>
      <c r="K32" s="92"/>
      <c r="L32" s="92"/>
      <c r="M32" s="92"/>
      <c r="N32" s="92"/>
      <c r="O32" s="92"/>
      <c r="P32" s="92"/>
      <c r="Q32" s="22"/>
      <c r="R32" s="453">
        <v>20</v>
      </c>
      <c r="S32" s="454"/>
      <c r="T32" s="455"/>
      <c r="U32" s="647">
        <v>24</v>
      </c>
      <c r="V32" s="647"/>
      <c r="W32" s="647"/>
      <c r="X32" s="105">
        <f t="shared" ref="X32:X38" si="3">IF(IFERROR(FIND("スラブ",J32),0)=0,0,1)+IF(IFERROR(FIND("合成デッキ",J32),0)=0,0,1)</f>
        <v>0</v>
      </c>
      <c r="Y32" s="635">
        <f>U32*R32</f>
        <v>480</v>
      </c>
      <c r="Z32" s="636"/>
      <c r="AA32" s="637"/>
      <c r="AB32" s="539" t="s">
        <v>139</v>
      </c>
      <c r="AC32" s="540"/>
      <c r="AD32" s="541">
        <f ca="1">CEILING(SUM(Y32:AA38)-SUMIF(X32:AA38,"&gt;0",Y32:AA38),10)</f>
        <v>480</v>
      </c>
      <c r="AE32" s="542"/>
      <c r="AF32" s="542"/>
      <c r="AG32" s="667"/>
      <c r="AH32" s="667"/>
      <c r="AI32" s="667"/>
      <c r="AJ32" s="542"/>
      <c r="AK32" s="542"/>
      <c r="AL32" s="542"/>
      <c r="AM32" s="542"/>
      <c r="AN32" s="542"/>
      <c r="AO32" s="567"/>
      <c r="AV32" s="14" t="s">
        <v>261</v>
      </c>
    </row>
    <row r="33" spans="3:57" ht="13.5" customHeight="1">
      <c r="C33" s="23"/>
      <c r="D33" s="24"/>
      <c r="E33" s="279" t="s">
        <v>209</v>
      </c>
      <c r="F33" s="95"/>
      <c r="G33" s="95"/>
      <c r="H33" s="95"/>
      <c r="I33" s="95"/>
      <c r="J33" s="94" t="s">
        <v>253</v>
      </c>
      <c r="K33" s="95"/>
      <c r="L33" s="95"/>
      <c r="M33" s="95"/>
      <c r="N33" s="95"/>
      <c r="O33" s="95"/>
      <c r="P33" s="95"/>
      <c r="Q33" s="231"/>
      <c r="R33" s="434">
        <f>25+80</f>
        <v>105</v>
      </c>
      <c r="S33" s="435"/>
      <c r="T33" s="436"/>
      <c r="U33" s="502">
        <v>24</v>
      </c>
      <c r="V33" s="503"/>
      <c r="W33" s="504"/>
      <c r="X33" s="104">
        <f t="shared" si="3"/>
        <v>1</v>
      </c>
      <c r="Y33" s="440">
        <f>U33*R33</f>
        <v>2520</v>
      </c>
      <c r="Z33" s="419"/>
      <c r="AA33" s="420"/>
      <c r="AB33" s="573" t="s">
        <v>142</v>
      </c>
      <c r="AC33" s="574"/>
      <c r="AD33" s="587">
        <f>CEILING(SUMIF(X32:X38,"&gt;0",Y32:AA38),10)</f>
        <v>2670</v>
      </c>
      <c r="AE33" s="537"/>
      <c r="AF33" s="537"/>
      <c r="AG33" s="572"/>
      <c r="AH33" s="572"/>
      <c r="AI33" s="572"/>
      <c r="AJ33" s="537"/>
      <c r="AK33" s="537"/>
      <c r="AL33" s="537"/>
      <c r="AM33" s="537"/>
      <c r="AN33" s="537"/>
      <c r="AO33" s="538"/>
      <c r="AV33" s="14">
        <v>12</v>
      </c>
      <c r="AW33" s="14">
        <v>300</v>
      </c>
      <c r="AX33" s="370">
        <f>2.8+(2.2^2+1.6^2)^0.5</f>
        <v>5.5202941017470888</v>
      </c>
      <c r="AY33" s="14">
        <v>4</v>
      </c>
      <c r="AZ33" s="14">
        <v>2.8</v>
      </c>
      <c r="BA33" s="14">
        <v>2</v>
      </c>
      <c r="BB33" s="368">
        <f>AV33*AW33/10^6*(AX33*AY33+AZ33*BA33)*7850</f>
        <v>782.27004526149096</v>
      </c>
    </row>
    <row r="34" spans="3:57" ht="13.5" customHeight="1">
      <c r="C34" s="23"/>
      <c r="D34" s="24"/>
      <c r="E34" s="279" t="s">
        <v>262</v>
      </c>
      <c r="F34" s="95"/>
      <c r="G34" s="95"/>
      <c r="H34" s="95"/>
      <c r="I34" s="95"/>
      <c r="J34" s="276" t="s">
        <v>210</v>
      </c>
      <c r="K34" s="95"/>
      <c r="L34" s="95"/>
      <c r="M34" s="95"/>
      <c r="N34" s="95"/>
      <c r="O34" s="95"/>
      <c r="P34" s="95"/>
      <c r="Q34" s="25"/>
      <c r="R34" s="434"/>
      <c r="S34" s="435"/>
      <c r="T34" s="436"/>
      <c r="U34" s="502"/>
      <c r="V34" s="503"/>
      <c r="W34" s="504"/>
      <c r="X34" s="104">
        <f t="shared" si="3"/>
        <v>1</v>
      </c>
      <c r="Y34" s="440">
        <v>150</v>
      </c>
      <c r="Z34" s="419"/>
      <c r="AA34" s="420"/>
      <c r="AB34" s="528" t="s">
        <v>141</v>
      </c>
      <c r="AC34" s="529"/>
      <c r="AD34" s="530">
        <f ca="1">AD32+AD33</f>
        <v>3150</v>
      </c>
      <c r="AE34" s="531"/>
      <c r="AF34" s="531"/>
      <c r="AG34" s="532" t="str">
        <f>IF(AG32=0,"",SUM(AD32:AI33))</f>
        <v/>
      </c>
      <c r="AH34" s="532"/>
      <c r="AI34" s="532"/>
      <c r="AJ34" s="532" t="str">
        <f>IF(AJ32=0,"",SUM(AD32:AL33))</f>
        <v/>
      </c>
      <c r="AK34" s="532"/>
      <c r="AL34" s="532"/>
      <c r="AM34" s="532" t="str">
        <f>IF(AM32=0,"",SUM(AD32:AO33))</f>
        <v/>
      </c>
      <c r="AN34" s="532"/>
      <c r="AO34" s="665"/>
      <c r="AV34" s="14">
        <v>9</v>
      </c>
      <c r="AW34" s="14">
        <v>75</v>
      </c>
      <c r="AX34" s="369">
        <v>1.2</v>
      </c>
      <c r="AY34" s="369">
        <f>ROUNDUP(2.8/0.3,0)</f>
        <v>10</v>
      </c>
      <c r="AZ34" s="369">
        <f>ROUNDUP(1.4/0.3,0)</f>
        <v>5</v>
      </c>
      <c r="BA34" s="14">
        <v>2</v>
      </c>
      <c r="BB34" s="368">
        <f>AV34*AW34/10^6*(AX34*AY34*AZ34)*7850</f>
        <v>317.92500000000001</v>
      </c>
    </row>
    <row r="35" spans="3:57" ht="13.5" customHeight="1">
      <c r="C35" s="23"/>
      <c r="D35" s="24"/>
      <c r="E35" s="94"/>
      <c r="F35" s="95"/>
      <c r="G35" s="95"/>
      <c r="H35" s="95"/>
      <c r="I35" s="95"/>
      <c r="J35" s="276"/>
      <c r="K35" s="95"/>
      <c r="L35" s="95"/>
      <c r="M35" s="95"/>
      <c r="N35" s="95"/>
      <c r="O35" s="95"/>
      <c r="P35" s="95"/>
      <c r="Q35" s="25"/>
      <c r="R35" s="434"/>
      <c r="S35" s="435"/>
      <c r="T35" s="436"/>
      <c r="U35" s="502"/>
      <c r="V35" s="503"/>
      <c r="W35" s="504"/>
      <c r="X35" s="103">
        <f t="shared" si="3"/>
        <v>0</v>
      </c>
      <c r="Y35" s="440"/>
      <c r="Z35" s="419"/>
      <c r="AA35" s="420"/>
      <c r="AB35" s="573" t="s">
        <v>212</v>
      </c>
      <c r="AC35" s="574"/>
      <c r="AD35" s="586">
        <f>VLOOKUP(AB35,$C$6:$Z$20,12,0)</f>
        <v>3000</v>
      </c>
      <c r="AE35" s="536"/>
      <c r="AF35" s="536"/>
      <c r="AG35" s="536">
        <f>VLOOKUP(AB35,$C$6:$Z$20,15,0)</f>
        <v>2600</v>
      </c>
      <c r="AH35" s="536"/>
      <c r="AI35" s="536"/>
      <c r="AJ35" s="536">
        <f>VLOOKUP(AB35,$C$6:$Z$20,18,0)</f>
        <v>2200</v>
      </c>
      <c r="AK35" s="536"/>
      <c r="AL35" s="536"/>
      <c r="AM35" s="536">
        <f>VLOOKUP(AB35,$C$6:$Z$20,21,0)</f>
        <v>1200</v>
      </c>
      <c r="AN35" s="536"/>
      <c r="AO35" s="585"/>
      <c r="AV35" s="14">
        <v>6</v>
      </c>
      <c r="AX35" s="14">
        <v>2.8</v>
      </c>
      <c r="AY35" s="14">
        <v>2.8</v>
      </c>
      <c r="BB35" s="368">
        <f>AV35*AX35*AY35/1000*7850</f>
        <v>369.26399999999995</v>
      </c>
    </row>
    <row r="36" spans="3:57" ht="13.5" customHeight="1">
      <c r="C36" s="23"/>
      <c r="D36" s="24"/>
      <c r="E36" s="94"/>
      <c r="F36" s="95"/>
      <c r="G36" s="95"/>
      <c r="H36" s="95"/>
      <c r="I36" s="95"/>
      <c r="J36" s="276"/>
      <c r="K36" s="95"/>
      <c r="L36" s="95"/>
      <c r="M36" s="95"/>
      <c r="N36" s="95"/>
      <c r="O36" s="95"/>
      <c r="P36" s="95"/>
      <c r="Q36" s="25"/>
      <c r="R36" s="429"/>
      <c r="S36" s="429"/>
      <c r="T36" s="429"/>
      <c r="U36" s="533"/>
      <c r="V36" s="533"/>
      <c r="W36" s="533"/>
      <c r="X36" s="103">
        <f t="shared" si="3"/>
        <v>0</v>
      </c>
      <c r="Y36" s="440"/>
      <c r="Z36" s="419"/>
      <c r="AA36" s="420"/>
      <c r="AB36" s="622" t="s">
        <v>140</v>
      </c>
      <c r="AC36" s="623"/>
      <c r="AD36" s="534">
        <f ca="1">AD34+ABS(AD35)</f>
        <v>6150</v>
      </c>
      <c r="AE36" s="535"/>
      <c r="AF36" s="535"/>
      <c r="AG36" s="535">
        <f ca="1">IF(AG34="",AD34,AG34)+ABS(AG35)</f>
        <v>5750</v>
      </c>
      <c r="AH36" s="535"/>
      <c r="AI36" s="535"/>
      <c r="AJ36" s="535">
        <f ca="1">IF(AJ34="",AD34,AJ34)+ABS(AJ35)</f>
        <v>5350</v>
      </c>
      <c r="AK36" s="535"/>
      <c r="AL36" s="535"/>
      <c r="AM36" s="535">
        <f ca="1">IF(AM34="",AD34,AM34)+ABS(AM35)</f>
        <v>4350</v>
      </c>
      <c r="AN36" s="535"/>
      <c r="AO36" s="584"/>
      <c r="AV36" s="14">
        <v>4.5</v>
      </c>
      <c r="AX36" s="14">
        <v>2.8</v>
      </c>
      <c r="AY36" s="14">
        <f>5-2.8</f>
        <v>2.2000000000000002</v>
      </c>
      <c r="AZ36" s="14">
        <v>3</v>
      </c>
      <c r="BB36" s="368">
        <f>AV36*AX36*(AY36+AZ36)/1000*7850</f>
        <v>514.33199999999999</v>
      </c>
    </row>
    <row r="37" spans="3:57" ht="13.5" customHeight="1">
      <c r="C37" s="169"/>
      <c r="D37" s="170"/>
      <c r="E37" s="171"/>
      <c r="F37" s="172"/>
      <c r="G37" s="172"/>
      <c r="H37" s="172"/>
      <c r="I37" s="172"/>
      <c r="J37" s="276"/>
      <c r="K37" s="95"/>
      <c r="L37" s="95"/>
      <c r="M37" s="95"/>
      <c r="N37" s="95"/>
      <c r="O37" s="95"/>
      <c r="P37" s="95"/>
      <c r="Q37" s="25"/>
      <c r="R37" s="429"/>
      <c r="S37" s="429"/>
      <c r="T37" s="429"/>
      <c r="U37" s="533"/>
      <c r="V37" s="533"/>
      <c r="W37" s="533"/>
      <c r="X37" s="173">
        <f t="shared" si="3"/>
        <v>0</v>
      </c>
      <c r="Y37" s="617"/>
      <c r="Z37" s="469"/>
      <c r="AA37" s="618"/>
      <c r="AB37" s="430" t="s">
        <v>138</v>
      </c>
      <c r="AC37" s="431"/>
      <c r="AD37" s="174" t="str">
        <f>IF(MAX(X32:X38)=2," 合成スラブはデッキ重量を含む","")</f>
        <v/>
      </c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6"/>
      <c r="BB37" s="368">
        <f>SUM(BB33:BB36)</f>
        <v>1983.791045261491</v>
      </c>
      <c r="BC37" s="14">
        <f>AZ34*AZ33</f>
        <v>14</v>
      </c>
      <c r="BD37" s="368">
        <f>BB37/BC37</f>
        <v>141.69936037582079</v>
      </c>
    </row>
    <row r="38" spans="3:57" ht="13.5" customHeight="1">
      <c r="C38" s="26"/>
      <c r="D38" s="27"/>
      <c r="E38" s="42"/>
      <c r="F38" s="89"/>
      <c r="G38" s="89"/>
      <c r="H38" s="89"/>
      <c r="I38" s="89"/>
      <c r="J38" s="278"/>
      <c r="K38" s="89"/>
      <c r="L38" s="89"/>
      <c r="M38" s="89"/>
      <c r="N38" s="89"/>
      <c r="O38" s="89"/>
      <c r="P38" s="89"/>
      <c r="Q38" s="28"/>
      <c r="R38" s="543"/>
      <c r="S38" s="543"/>
      <c r="T38" s="543"/>
      <c r="U38" s="588"/>
      <c r="V38" s="588"/>
      <c r="W38" s="588"/>
      <c r="X38" s="102">
        <f t="shared" si="3"/>
        <v>0</v>
      </c>
      <c r="Y38" s="508"/>
      <c r="Z38" s="478"/>
      <c r="AA38" s="509"/>
      <c r="AB38" s="432"/>
      <c r="AC38" s="433"/>
      <c r="AD38" s="88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90"/>
    </row>
    <row r="39" spans="3:57" ht="13.5" customHeight="1">
      <c r="C39" s="629" t="str">
        <f>LEFT(C32,2)&amp;RIGHT("0"&amp;(RIGHT(C32,2)+1),2)</f>
        <v>TL03</v>
      </c>
      <c r="D39" s="630"/>
      <c r="E39" s="74" t="s">
        <v>176</v>
      </c>
      <c r="F39" s="81"/>
      <c r="G39" s="81"/>
      <c r="H39" s="81"/>
      <c r="I39" s="82"/>
      <c r="J39" s="277" t="s">
        <v>216</v>
      </c>
      <c r="K39" s="92"/>
      <c r="L39" s="92"/>
      <c r="M39" s="92"/>
      <c r="N39" s="92"/>
      <c r="O39" s="92"/>
      <c r="P39" s="92"/>
      <c r="Q39" s="106"/>
      <c r="R39" s="453">
        <v>50</v>
      </c>
      <c r="S39" s="454"/>
      <c r="T39" s="455"/>
      <c r="U39" s="505">
        <v>20</v>
      </c>
      <c r="V39" s="506"/>
      <c r="W39" s="507"/>
      <c r="X39" s="105">
        <f t="shared" ref="X39:X45" si="4">IF(IFERROR(FIND("スラブ",J39),0)=0,0,IF(IFERROR(FIND("合成スラブ",J39),0)=0,1,2))</f>
        <v>0</v>
      </c>
      <c r="Y39" s="446">
        <f>R39*U39</f>
        <v>1000</v>
      </c>
      <c r="Z39" s="443"/>
      <c r="AA39" s="444"/>
      <c r="AB39" s="539" t="s">
        <v>139</v>
      </c>
      <c r="AC39" s="589"/>
      <c r="AD39" s="541">
        <f ca="1">CEILING(SUM(Y39:AA45)-SUMIF(X39:AA45,"&gt;0",Y39:AA45),50)</f>
        <v>2500</v>
      </c>
      <c r="AE39" s="542"/>
      <c r="AF39" s="542"/>
      <c r="AG39" s="667"/>
      <c r="AH39" s="667"/>
      <c r="AI39" s="667"/>
      <c r="AJ39" s="542"/>
      <c r="AK39" s="542"/>
      <c r="AL39" s="542"/>
      <c r="AM39" s="542"/>
      <c r="AN39" s="542"/>
      <c r="AO39" s="567"/>
    </row>
    <row r="40" spans="3:57" ht="13.5" customHeight="1">
      <c r="C40" s="23"/>
      <c r="D40" s="24"/>
      <c r="E40" s="279" t="s">
        <v>177</v>
      </c>
      <c r="F40" s="95"/>
      <c r="G40" s="95"/>
      <c r="H40" s="95"/>
      <c r="I40" s="95"/>
      <c r="J40" s="276" t="s">
        <v>213</v>
      </c>
      <c r="K40" s="95"/>
      <c r="L40" s="95"/>
      <c r="M40" s="95"/>
      <c r="N40" s="95"/>
      <c r="O40" s="95"/>
      <c r="P40" s="95"/>
      <c r="Q40" s="25"/>
      <c r="R40" s="434"/>
      <c r="S40" s="435"/>
      <c r="T40" s="436"/>
      <c r="U40" s="502"/>
      <c r="V40" s="503"/>
      <c r="W40" s="504"/>
      <c r="X40" s="104">
        <f t="shared" si="4"/>
        <v>0</v>
      </c>
      <c r="Y40" s="440">
        <v>1500</v>
      </c>
      <c r="Z40" s="419"/>
      <c r="AA40" s="420"/>
      <c r="AB40" s="573" t="s">
        <v>142</v>
      </c>
      <c r="AC40" s="574"/>
      <c r="AD40" s="587">
        <f>CEILING(SUMIF(X39:X45,"&gt;0",Y39:AA45),50)</f>
        <v>0</v>
      </c>
      <c r="AE40" s="537"/>
      <c r="AF40" s="537"/>
      <c r="AG40" s="572"/>
      <c r="AH40" s="572"/>
      <c r="AI40" s="572"/>
      <c r="AJ40" s="537"/>
      <c r="AK40" s="537"/>
      <c r="AL40" s="537"/>
      <c r="AM40" s="537"/>
      <c r="AN40" s="537"/>
      <c r="AO40" s="538"/>
      <c r="AV40" s="14" t="s">
        <v>260</v>
      </c>
    </row>
    <row r="41" spans="3:57" ht="13.5" customHeight="1">
      <c r="C41" s="23"/>
      <c r="D41" s="24"/>
      <c r="E41" s="279"/>
      <c r="F41" s="95"/>
      <c r="G41" s="95"/>
      <c r="H41" s="95"/>
      <c r="I41" s="95"/>
      <c r="J41" s="276"/>
      <c r="K41" s="95"/>
      <c r="L41" s="95"/>
      <c r="M41" s="95"/>
      <c r="N41" s="95"/>
      <c r="O41" s="95"/>
      <c r="P41" s="95"/>
      <c r="Q41" s="25"/>
      <c r="R41" s="434"/>
      <c r="S41" s="435"/>
      <c r="T41" s="436"/>
      <c r="U41" s="502"/>
      <c r="V41" s="503"/>
      <c r="W41" s="504"/>
      <c r="X41" s="104">
        <f t="shared" si="4"/>
        <v>0</v>
      </c>
      <c r="Y41" s="440"/>
      <c r="Z41" s="419"/>
      <c r="AA41" s="420"/>
      <c r="AB41" s="528" t="s">
        <v>141</v>
      </c>
      <c r="AC41" s="529"/>
      <c r="AD41" s="530">
        <f ca="1">AD39+AD40</f>
        <v>2500</v>
      </c>
      <c r="AE41" s="531"/>
      <c r="AF41" s="531"/>
      <c r="AG41" s="532" t="str">
        <f>IF(AG39=0,"",SUM(AD39:AI40))</f>
        <v/>
      </c>
      <c r="AH41" s="532"/>
      <c r="AI41" s="532"/>
      <c r="AJ41" s="532" t="str">
        <f>IF(AJ39=0,"",SUM(AD39:AL40))</f>
        <v/>
      </c>
      <c r="AK41" s="532"/>
      <c r="AL41" s="532"/>
      <c r="AM41" s="532" t="str">
        <f>IF(AM39=0,"",SUM(AD39:AO40))</f>
        <v/>
      </c>
      <c r="AN41" s="532"/>
      <c r="AO41" s="665"/>
      <c r="AV41" s="14">
        <v>12</v>
      </c>
      <c r="AW41" s="14">
        <v>300</v>
      </c>
      <c r="AX41" s="14">
        <v>5</v>
      </c>
      <c r="AY41" s="14">
        <v>4</v>
      </c>
      <c r="AZ41" s="14">
        <v>2.8</v>
      </c>
      <c r="BA41" s="14">
        <v>2</v>
      </c>
      <c r="BB41" s="368">
        <f>AV41*AW41/10^6*(AX41*AY41+AZ41*BA41)*7850</f>
        <v>723.45600000000002</v>
      </c>
    </row>
    <row r="42" spans="3:57" ht="13.5" customHeight="1">
      <c r="C42" s="23"/>
      <c r="D42" s="24"/>
      <c r="E42" s="94"/>
      <c r="F42" s="95"/>
      <c r="G42" s="95"/>
      <c r="H42" s="95"/>
      <c r="I42" s="95"/>
      <c r="J42" s="276"/>
      <c r="K42" s="95"/>
      <c r="L42" s="95"/>
      <c r="M42" s="95"/>
      <c r="N42" s="95"/>
      <c r="O42" s="95"/>
      <c r="P42" s="95"/>
      <c r="Q42" s="25"/>
      <c r="R42" s="429"/>
      <c r="S42" s="429"/>
      <c r="T42" s="429"/>
      <c r="U42" s="533"/>
      <c r="V42" s="533"/>
      <c r="W42" s="533"/>
      <c r="X42" s="103">
        <f t="shared" si="4"/>
        <v>0</v>
      </c>
      <c r="Y42" s="440"/>
      <c r="Z42" s="419"/>
      <c r="AA42" s="420"/>
      <c r="AB42" s="573" t="s">
        <v>178</v>
      </c>
      <c r="AC42" s="574"/>
      <c r="AD42" s="586">
        <f>VLOOKUP(AB42,$C$6:$Z$20,12,0)</f>
        <v>1800</v>
      </c>
      <c r="AE42" s="536"/>
      <c r="AF42" s="536"/>
      <c r="AG42" s="536">
        <f>VLOOKUP(AB42,$C$6:$Z$20,15,0)</f>
        <v>1800</v>
      </c>
      <c r="AH42" s="536"/>
      <c r="AI42" s="536"/>
      <c r="AJ42" s="536">
        <f>VLOOKUP(AB42,$C$6:$Z$20,18,0)</f>
        <v>1300</v>
      </c>
      <c r="AK42" s="536"/>
      <c r="AL42" s="536"/>
      <c r="AM42" s="536">
        <f>VLOOKUP(AB42,$C$6:$Z$20,21,0)</f>
        <v>600</v>
      </c>
      <c r="AN42" s="536"/>
      <c r="AO42" s="585"/>
      <c r="AV42" s="14">
        <v>6</v>
      </c>
      <c r="AW42" s="14">
        <v>75</v>
      </c>
      <c r="AX42" s="369">
        <v>1.2</v>
      </c>
      <c r="AY42" s="369">
        <f>ROUNDUP(2.8/0.45,0)</f>
        <v>7</v>
      </c>
      <c r="AZ42" s="369">
        <f>ROUNDUP(1.4/0.45,0)</f>
        <v>4</v>
      </c>
      <c r="BA42" s="14">
        <v>2</v>
      </c>
      <c r="BB42" s="368">
        <f>AV42*AW42/10^6*(AX42*AY42*AZ42)*7850*2</f>
        <v>237.38399999999999</v>
      </c>
    </row>
    <row r="43" spans="3:57" ht="13.5" customHeight="1">
      <c r="C43" s="23"/>
      <c r="D43" s="24"/>
      <c r="E43" s="94"/>
      <c r="F43" s="95"/>
      <c r="G43" s="95"/>
      <c r="H43" s="95"/>
      <c r="I43" s="95"/>
      <c r="J43" s="275"/>
      <c r="K43" s="95"/>
      <c r="L43" s="95"/>
      <c r="M43" s="95"/>
      <c r="N43" s="95"/>
      <c r="O43" s="95"/>
      <c r="P43" s="95"/>
      <c r="Q43" s="25"/>
      <c r="R43" s="429"/>
      <c r="S43" s="429"/>
      <c r="T43" s="429"/>
      <c r="U43" s="533"/>
      <c r="V43" s="533"/>
      <c r="W43" s="533"/>
      <c r="X43" s="103">
        <f t="shared" si="4"/>
        <v>0</v>
      </c>
      <c r="Y43" s="617"/>
      <c r="Z43" s="469"/>
      <c r="AA43" s="618"/>
      <c r="AB43" s="622" t="s">
        <v>140</v>
      </c>
      <c r="AC43" s="623"/>
      <c r="AD43" s="534">
        <f ca="1">AD41+ABS(AD42)</f>
        <v>4300</v>
      </c>
      <c r="AE43" s="535"/>
      <c r="AF43" s="535"/>
      <c r="AG43" s="535">
        <f ca="1">IF(AG41="",AD41,AG41)+ABS(AG42)</f>
        <v>4300</v>
      </c>
      <c r="AH43" s="535"/>
      <c r="AI43" s="535"/>
      <c r="AJ43" s="535">
        <f ca="1">IF(AJ41="",AD41,AJ41)+ABS(AJ42)</f>
        <v>3800</v>
      </c>
      <c r="AK43" s="535"/>
      <c r="AL43" s="535"/>
      <c r="AM43" s="535">
        <f ca="1">IF(AM41="",AD41,AM41)+ABS(AM42)</f>
        <v>3100</v>
      </c>
      <c r="AN43" s="535"/>
      <c r="AO43" s="584"/>
      <c r="AV43" s="14">
        <v>4.5</v>
      </c>
      <c r="AX43" s="14">
        <v>2.8</v>
      </c>
      <c r="AY43" s="14">
        <v>2.8</v>
      </c>
      <c r="BB43" s="368">
        <f>AV43*AX43*AY43/1000*7850</f>
        <v>276.94799999999992</v>
      </c>
    </row>
    <row r="44" spans="3:57" ht="13.5" customHeight="1">
      <c r="C44" s="169"/>
      <c r="D44" s="170"/>
      <c r="E44" s="171"/>
      <c r="F44" s="172"/>
      <c r="G44" s="172"/>
      <c r="H44" s="172"/>
      <c r="I44" s="172"/>
      <c r="J44" s="276"/>
      <c r="K44" s="95"/>
      <c r="L44" s="95"/>
      <c r="M44" s="95"/>
      <c r="N44" s="95"/>
      <c r="O44" s="95"/>
      <c r="P44" s="95"/>
      <c r="Q44" s="25"/>
      <c r="R44" s="429"/>
      <c r="S44" s="429"/>
      <c r="T44" s="429"/>
      <c r="U44" s="533"/>
      <c r="V44" s="533"/>
      <c r="W44" s="533"/>
      <c r="X44" s="173">
        <f t="shared" si="4"/>
        <v>0</v>
      </c>
      <c r="Y44" s="617"/>
      <c r="Z44" s="469"/>
      <c r="AA44" s="618"/>
      <c r="AB44" s="430" t="s">
        <v>138</v>
      </c>
      <c r="AC44" s="431"/>
      <c r="AD44" s="174" t="str">
        <f>IF(MAX(X39:X45)=2," 合成スラブはデッキ重量を含む","")</f>
        <v/>
      </c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6"/>
      <c r="AV44" s="14">
        <v>4.5</v>
      </c>
      <c r="AX44" s="14">
        <v>2.8</v>
      </c>
      <c r="AY44" s="14">
        <f>5-2.8</f>
        <v>2.2000000000000002</v>
      </c>
      <c r="AZ44" s="14">
        <v>3</v>
      </c>
      <c r="BB44" s="368">
        <f>AV44*AX44*(AY44+AZ44)/1000*7850</f>
        <v>514.33199999999999</v>
      </c>
    </row>
    <row r="45" spans="3:57" ht="13.5" customHeight="1">
      <c r="C45" s="26"/>
      <c r="D45" s="27"/>
      <c r="E45" s="42"/>
      <c r="F45" s="89"/>
      <c r="G45" s="89"/>
      <c r="H45" s="89"/>
      <c r="I45" s="89"/>
      <c r="J45" s="278"/>
      <c r="K45" s="89"/>
      <c r="L45" s="89"/>
      <c r="M45" s="89"/>
      <c r="N45" s="89"/>
      <c r="O45" s="89"/>
      <c r="P45" s="89"/>
      <c r="Q45" s="28"/>
      <c r="R45" s="543"/>
      <c r="S45" s="543"/>
      <c r="T45" s="543"/>
      <c r="U45" s="588"/>
      <c r="V45" s="588"/>
      <c r="W45" s="588"/>
      <c r="X45" s="102">
        <f t="shared" si="4"/>
        <v>0</v>
      </c>
      <c r="Y45" s="508"/>
      <c r="Z45" s="478"/>
      <c r="AA45" s="509"/>
      <c r="AB45" s="432"/>
      <c r="AC45" s="433"/>
      <c r="AD45" s="88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0"/>
      <c r="BB45" s="368">
        <f>SUM(BB41:BB44)</f>
        <v>1752.12</v>
      </c>
      <c r="BC45" s="14">
        <f>AX41*AZ41</f>
        <v>14</v>
      </c>
      <c r="BD45" s="368">
        <f>BB45/BC45</f>
        <v>125.15142857142857</v>
      </c>
      <c r="BE45" s="368"/>
    </row>
    <row r="46" spans="3:57" ht="13.5" customHeight="1">
      <c r="C46" s="625" t="str">
        <f>LEFT(C39,2)&amp;RIGHT("0"&amp;(RIGHT(C39,2)+1),2)</f>
        <v>TL04</v>
      </c>
      <c r="D46" s="626"/>
      <c r="E46" s="371" t="s">
        <v>263</v>
      </c>
      <c r="F46" s="372"/>
      <c r="G46" s="372"/>
      <c r="H46" s="372"/>
      <c r="I46" s="373"/>
      <c r="J46" s="374" t="s">
        <v>265</v>
      </c>
      <c r="K46" s="375"/>
      <c r="L46" s="375"/>
      <c r="M46" s="375"/>
      <c r="N46" s="375"/>
      <c r="O46" s="375"/>
      <c r="P46" s="375"/>
      <c r="Q46" s="376"/>
      <c r="R46" s="640"/>
      <c r="S46" s="641"/>
      <c r="T46" s="642"/>
      <c r="U46" s="639"/>
      <c r="V46" s="639"/>
      <c r="W46" s="639"/>
      <c r="X46" s="377"/>
      <c r="Y46" s="614">
        <v>230</v>
      </c>
      <c r="Z46" s="615"/>
      <c r="AA46" s="616"/>
      <c r="AB46" s="578" t="s">
        <v>139</v>
      </c>
      <c r="AC46" s="579"/>
      <c r="AD46" s="580">
        <v>230</v>
      </c>
      <c r="AE46" s="581"/>
      <c r="AF46" s="581"/>
      <c r="AG46" s="571"/>
      <c r="AH46" s="571"/>
      <c r="AI46" s="571"/>
      <c r="AJ46" s="581"/>
      <c r="AK46" s="581"/>
      <c r="AL46" s="581"/>
      <c r="AM46" s="581"/>
      <c r="AN46" s="581"/>
      <c r="AO46" s="599"/>
    </row>
    <row r="47" spans="3:57" ht="13.5" customHeight="1">
      <c r="C47" s="378"/>
      <c r="D47" s="379"/>
      <c r="E47" s="380" t="s">
        <v>264</v>
      </c>
      <c r="F47" s="381"/>
      <c r="G47" s="381"/>
      <c r="H47" s="381"/>
      <c r="I47" s="381"/>
      <c r="J47" s="382" t="s">
        <v>267</v>
      </c>
      <c r="K47" s="383"/>
      <c r="L47" s="383"/>
      <c r="M47" s="383"/>
      <c r="N47" s="383"/>
      <c r="O47" s="383"/>
      <c r="P47" s="383"/>
      <c r="Q47" s="384"/>
      <c r="R47" s="611"/>
      <c r="S47" s="612"/>
      <c r="T47" s="613"/>
      <c r="U47" s="568"/>
      <c r="V47" s="569"/>
      <c r="W47" s="570"/>
      <c r="X47" s="385"/>
      <c r="Y47" s="561">
        <v>150</v>
      </c>
      <c r="Z47" s="562"/>
      <c r="AA47" s="563"/>
      <c r="AB47" s="582" t="s">
        <v>142</v>
      </c>
      <c r="AC47" s="583"/>
      <c r="AD47" s="558">
        <v>2670</v>
      </c>
      <c r="AE47" s="549"/>
      <c r="AF47" s="549"/>
      <c r="AG47" s="548"/>
      <c r="AH47" s="548"/>
      <c r="AI47" s="548"/>
      <c r="AJ47" s="549"/>
      <c r="AK47" s="549"/>
      <c r="AL47" s="549"/>
      <c r="AM47" s="549"/>
      <c r="AN47" s="549"/>
      <c r="AO47" s="550"/>
    </row>
    <row r="48" spans="3:57" ht="13.5" customHeight="1">
      <c r="C48" s="378"/>
      <c r="D48" s="379"/>
      <c r="E48" s="380"/>
      <c r="F48" s="381"/>
      <c r="G48" s="381"/>
      <c r="H48" s="381"/>
      <c r="I48" s="381"/>
      <c r="J48" s="382" t="s">
        <v>266</v>
      </c>
      <c r="K48" s="383"/>
      <c r="L48" s="383"/>
      <c r="M48" s="383"/>
      <c r="N48" s="383"/>
      <c r="O48" s="383"/>
      <c r="P48" s="383"/>
      <c r="Q48" s="384"/>
      <c r="R48" s="611">
        <v>105</v>
      </c>
      <c r="S48" s="612"/>
      <c r="T48" s="613"/>
      <c r="U48" s="568">
        <v>24</v>
      </c>
      <c r="V48" s="569"/>
      <c r="W48" s="570"/>
      <c r="X48" s="385"/>
      <c r="Y48" s="561">
        <v>2520</v>
      </c>
      <c r="Z48" s="562"/>
      <c r="AA48" s="563"/>
      <c r="AB48" s="590" t="s">
        <v>141</v>
      </c>
      <c r="AC48" s="591"/>
      <c r="AD48" s="678">
        <f>AD46+AD47</f>
        <v>2900</v>
      </c>
      <c r="AE48" s="679"/>
      <c r="AF48" s="679"/>
      <c r="AG48" s="547" t="str">
        <f>IF(AG46=0,"",SUM(AD46:AI47))</f>
        <v/>
      </c>
      <c r="AH48" s="547"/>
      <c r="AI48" s="547"/>
      <c r="AJ48" s="547" t="str">
        <f>IF(AJ46=0,"",SUM(AD46:AL47))</f>
        <v/>
      </c>
      <c r="AK48" s="547"/>
      <c r="AL48" s="547"/>
      <c r="AM48" s="547" t="str">
        <f>IF(AM46=0,"",SUM(AD46:AO47))</f>
        <v/>
      </c>
      <c r="AN48" s="547"/>
      <c r="AO48" s="557"/>
    </row>
    <row r="49" spans="2:43" ht="13.5" customHeight="1">
      <c r="C49" s="378"/>
      <c r="D49" s="379"/>
      <c r="E49" s="386"/>
      <c r="F49" s="381"/>
      <c r="G49" s="381"/>
      <c r="H49" s="381"/>
      <c r="I49" s="381"/>
      <c r="J49" s="387"/>
      <c r="K49" s="381"/>
      <c r="L49" s="381"/>
      <c r="M49" s="381"/>
      <c r="N49" s="381"/>
      <c r="O49" s="381"/>
      <c r="P49" s="381"/>
      <c r="Q49" s="388"/>
      <c r="R49" s="611"/>
      <c r="S49" s="612"/>
      <c r="T49" s="613"/>
      <c r="U49" s="568"/>
      <c r="V49" s="569"/>
      <c r="W49" s="570"/>
      <c r="X49" s="389"/>
      <c r="Y49" s="561"/>
      <c r="Z49" s="562"/>
      <c r="AA49" s="563"/>
      <c r="AB49" s="582" t="s">
        <v>212</v>
      </c>
      <c r="AC49" s="583"/>
      <c r="AD49" s="566">
        <f>VLOOKUP(AB49,$C$6:$Z$20,12,0)</f>
        <v>3000</v>
      </c>
      <c r="AE49" s="555"/>
      <c r="AF49" s="555"/>
      <c r="AG49" s="555">
        <f>VLOOKUP(AB49,$C$6:$Z$20,15,0)</f>
        <v>2600</v>
      </c>
      <c r="AH49" s="555"/>
      <c r="AI49" s="555"/>
      <c r="AJ49" s="555">
        <f>VLOOKUP(AB49,$C$6:$Z$20,18,0)</f>
        <v>2200</v>
      </c>
      <c r="AK49" s="555"/>
      <c r="AL49" s="555"/>
      <c r="AM49" s="555">
        <f>VLOOKUP(AB49,$C$6:$Z$20,21,0)</f>
        <v>1200</v>
      </c>
      <c r="AN49" s="555"/>
      <c r="AO49" s="556"/>
    </row>
    <row r="50" spans="2:43" ht="13.5" customHeight="1">
      <c r="C50" s="378"/>
      <c r="D50" s="379"/>
      <c r="E50" s="386"/>
      <c r="F50" s="381"/>
      <c r="G50" s="381"/>
      <c r="H50" s="381"/>
      <c r="I50" s="381"/>
      <c r="J50" s="387"/>
      <c r="K50" s="381"/>
      <c r="L50" s="381"/>
      <c r="M50" s="381"/>
      <c r="N50" s="381"/>
      <c r="O50" s="381"/>
      <c r="P50" s="381"/>
      <c r="Q50" s="388"/>
      <c r="R50" s="551"/>
      <c r="S50" s="551"/>
      <c r="T50" s="551"/>
      <c r="U50" s="592"/>
      <c r="V50" s="592"/>
      <c r="W50" s="592"/>
      <c r="X50" s="389"/>
      <c r="Y50" s="561"/>
      <c r="Z50" s="562"/>
      <c r="AA50" s="563"/>
      <c r="AB50" s="575" t="s">
        <v>140</v>
      </c>
      <c r="AC50" s="576"/>
      <c r="AD50" s="577">
        <f>AD48+ABS(AD49)</f>
        <v>5900</v>
      </c>
      <c r="AE50" s="564"/>
      <c r="AF50" s="564"/>
      <c r="AG50" s="564">
        <f>IF(AG48="",AD48,AG48)+ABS(AG49)</f>
        <v>5500</v>
      </c>
      <c r="AH50" s="564"/>
      <c r="AI50" s="564"/>
      <c r="AJ50" s="564">
        <f>IF(AJ48="",AD48,AJ48)+ABS(AJ49)</f>
        <v>5100</v>
      </c>
      <c r="AK50" s="564"/>
      <c r="AL50" s="564"/>
      <c r="AM50" s="564">
        <f>IF(AM48="",AD48,AM48)+ABS(AM49)</f>
        <v>4100</v>
      </c>
      <c r="AN50" s="564"/>
      <c r="AO50" s="565"/>
    </row>
    <row r="51" spans="2:43" ht="13.5" customHeight="1">
      <c r="C51" s="390"/>
      <c r="D51" s="391"/>
      <c r="E51" s="392"/>
      <c r="F51" s="393"/>
      <c r="G51" s="393"/>
      <c r="H51" s="393"/>
      <c r="I51" s="393"/>
      <c r="J51" s="387"/>
      <c r="K51" s="381"/>
      <c r="L51" s="381"/>
      <c r="M51" s="381"/>
      <c r="N51" s="381"/>
      <c r="O51" s="381"/>
      <c r="P51" s="381"/>
      <c r="Q51" s="388"/>
      <c r="R51" s="551"/>
      <c r="S51" s="551"/>
      <c r="T51" s="551"/>
      <c r="U51" s="592"/>
      <c r="V51" s="592"/>
      <c r="W51" s="592"/>
      <c r="X51" s="394"/>
      <c r="Y51" s="552"/>
      <c r="Z51" s="553"/>
      <c r="AA51" s="554"/>
      <c r="AB51" s="595"/>
      <c r="AC51" s="596"/>
      <c r="AD51" s="395"/>
      <c r="AE51" s="396"/>
      <c r="AF51" s="396"/>
      <c r="AG51" s="396"/>
      <c r="AH51" s="396"/>
      <c r="AI51" s="396"/>
      <c r="AJ51" s="396"/>
      <c r="AK51" s="396"/>
      <c r="AL51" s="396"/>
      <c r="AM51" s="396"/>
      <c r="AN51" s="396"/>
      <c r="AO51" s="397"/>
    </row>
    <row r="52" spans="2:43" ht="13.5" customHeight="1">
      <c r="C52" s="398"/>
      <c r="D52" s="399"/>
      <c r="E52" s="400"/>
      <c r="F52" s="401"/>
      <c r="G52" s="401"/>
      <c r="H52" s="401"/>
      <c r="I52" s="401"/>
      <c r="J52" s="402"/>
      <c r="K52" s="401"/>
      <c r="L52" s="401"/>
      <c r="M52" s="401"/>
      <c r="N52" s="401"/>
      <c r="O52" s="401"/>
      <c r="P52" s="401"/>
      <c r="Q52" s="403"/>
      <c r="R52" s="643"/>
      <c r="S52" s="643"/>
      <c r="T52" s="643"/>
      <c r="U52" s="634"/>
      <c r="V52" s="634"/>
      <c r="W52" s="634"/>
      <c r="X52" s="404"/>
      <c r="Y52" s="644"/>
      <c r="Z52" s="645"/>
      <c r="AA52" s="646"/>
      <c r="AB52" s="597"/>
      <c r="AC52" s="598"/>
      <c r="AD52" s="405"/>
      <c r="AE52" s="401"/>
      <c r="AF52" s="401"/>
      <c r="AG52" s="401"/>
      <c r="AH52" s="401"/>
      <c r="AI52" s="401"/>
      <c r="AJ52" s="401"/>
      <c r="AK52" s="401"/>
      <c r="AL52" s="401"/>
      <c r="AM52" s="401"/>
      <c r="AN52" s="401"/>
      <c r="AO52" s="406"/>
    </row>
    <row r="53" spans="2:43" ht="13.5" customHeight="1">
      <c r="C53" s="625" t="str">
        <f>LEFT(C46,2)&amp;RIGHT("0"&amp;(RIGHT(C46,2)+1),2)</f>
        <v>TL05</v>
      </c>
      <c r="D53" s="626"/>
      <c r="E53" s="371" t="s">
        <v>269</v>
      </c>
      <c r="F53" s="372"/>
      <c r="G53" s="372"/>
      <c r="H53" s="372"/>
      <c r="I53" s="373"/>
      <c r="J53" s="374" t="s">
        <v>271</v>
      </c>
      <c r="K53" s="375"/>
      <c r="L53" s="375"/>
      <c r="M53" s="375"/>
      <c r="N53" s="375"/>
      <c r="O53" s="375"/>
      <c r="P53" s="375"/>
      <c r="Q53" s="407"/>
      <c r="R53" s="640"/>
      <c r="S53" s="641"/>
      <c r="T53" s="642"/>
      <c r="U53" s="655"/>
      <c r="V53" s="656"/>
      <c r="W53" s="657"/>
      <c r="X53" s="377"/>
      <c r="Y53" s="658">
        <v>200</v>
      </c>
      <c r="Z53" s="659"/>
      <c r="AA53" s="660"/>
      <c r="AB53" s="578" t="s">
        <v>139</v>
      </c>
      <c r="AC53" s="579"/>
      <c r="AD53" s="580">
        <v>500</v>
      </c>
      <c r="AE53" s="581"/>
      <c r="AF53" s="581"/>
      <c r="AG53" s="571"/>
      <c r="AH53" s="571"/>
      <c r="AI53" s="571"/>
      <c r="AJ53" s="581"/>
      <c r="AK53" s="581"/>
      <c r="AL53" s="581"/>
      <c r="AM53" s="581"/>
      <c r="AN53" s="581"/>
      <c r="AO53" s="599"/>
    </row>
    <row r="54" spans="2:43" ht="13.5" customHeight="1">
      <c r="C54" s="378"/>
      <c r="D54" s="379"/>
      <c r="E54" s="380" t="s">
        <v>270</v>
      </c>
      <c r="F54" s="381"/>
      <c r="G54" s="381"/>
      <c r="H54" s="381"/>
      <c r="I54" s="381"/>
      <c r="J54" s="387" t="s">
        <v>272</v>
      </c>
      <c r="K54" s="381"/>
      <c r="L54" s="381"/>
      <c r="M54" s="381"/>
      <c r="N54" s="381"/>
      <c r="O54" s="381"/>
      <c r="P54" s="381"/>
      <c r="Q54" s="388"/>
      <c r="R54" s="611"/>
      <c r="S54" s="612"/>
      <c r="T54" s="613"/>
      <c r="U54" s="568"/>
      <c r="V54" s="569"/>
      <c r="W54" s="570"/>
      <c r="X54" s="385"/>
      <c r="Y54" s="561">
        <v>300</v>
      </c>
      <c r="Z54" s="562"/>
      <c r="AA54" s="563"/>
      <c r="AB54" s="582" t="s">
        <v>142</v>
      </c>
      <c r="AC54" s="583"/>
      <c r="AD54" s="558">
        <v>0</v>
      </c>
      <c r="AE54" s="549"/>
      <c r="AF54" s="549"/>
      <c r="AG54" s="548"/>
      <c r="AH54" s="548"/>
      <c r="AI54" s="548"/>
      <c r="AJ54" s="549"/>
      <c r="AK54" s="549"/>
      <c r="AL54" s="549"/>
      <c r="AM54" s="549"/>
      <c r="AN54" s="549"/>
      <c r="AO54" s="550"/>
    </row>
    <row r="55" spans="2:43" ht="13.5" customHeight="1">
      <c r="C55" s="378"/>
      <c r="D55" s="379"/>
      <c r="E55" s="380"/>
      <c r="F55" s="381"/>
      <c r="G55" s="381"/>
      <c r="H55" s="381"/>
      <c r="I55" s="381"/>
      <c r="J55" s="387"/>
      <c r="K55" s="381"/>
      <c r="L55" s="381"/>
      <c r="M55" s="381"/>
      <c r="N55" s="381"/>
      <c r="O55" s="381"/>
      <c r="P55" s="381"/>
      <c r="Q55" s="388"/>
      <c r="R55" s="611"/>
      <c r="S55" s="612"/>
      <c r="T55" s="613"/>
      <c r="U55" s="568"/>
      <c r="V55" s="569"/>
      <c r="W55" s="570"/>
      <c r="X55" s="385"/>
      <c r="Y55" s="561"/>
      <c r="Z55" s="562"/>
      <c r="AA55" s="563"/>
      <c r="AB55" s="590" t="s">
        <v>141</v>
      </c>
      <c r="AC55" s="591"/>
      <c r="AD55" s="678">
        <f>AD53+AD54</f>
        <v>500</v>
      </c>
      <c r="AE55" s="679"/>
      <c r="AF55" s="679"/>
      <c r="AG55" s="547" t="str">
        <f>IF(AG53=0,"",SUM(AD53:AI54))</f>
        <v/>
      </c>
      <c r="AH55" s="547"/>
      <c r="AI55" s="547"/>
      <c r="AJ55" s="547" t="str">
        <f>IF(AJ53=0,"",SUM(AD53:AL54))</f>
        <v/>
      </c>
      <c r="AK55" s="547"/>
      <c r="AL55" s="547"/>
      <c r="AM55" s="547" t="str">
        <f>IF(AM53=0,"",SUM(AD53:AO54))</f>
        <v/>
      </c>
      <c r="AN55" s="547"/>
      <c r="AO55" s="557"/>
    </row>
    <row r="56" spans="2:43" ht="13.5" customHeight="1">
      <c r="C56" s="378"/>
      <c r="D56" s="379"/>
      <c r="E56" s="386"/>
      <c r="F56" s="381"/>
      <c r="G56" s="381"/>
      <c r="H56" s="381"/>
      <c r="I56" s="381"/>
      <c r="J56" s="387"/>
      <c r="K56" s="381"/>
      <c r="L56" s="381"/>
      <c r="M56" s="381"/>
      <c r="N56" s="381"/>
      <c r="O56" s="381"/>
      <c r="P56" s="381"/>
      <c r="Q56" s="388"/>
      <c r="R56" s="551"/>
      <c r="S56" s="551"/>
      <c r="T56" s="551"/>
      <c r="U56" s="592"/>
      <c r="V56" s="592"/>
      <c r="W56" s="592"/>
      <c r="X56" s="389"/>
      <c r="Y56" s="561"/>
      <c r="Z56" s="562"/>
      <c r="AA56" s="563"/>
      <c r="AB56" s="582" t="s">
        <v>273</v>
      </c>
      <c r="AC56" s="583"/>
      <c r="AD56" s="566">
        <v>100</v>
      </c>
      <c r="AE56" s="555"/>
      <c r="AF56" s="555"/>
      <c r="AG56" s="555">
        <v>100</v>
      </c>
      <c r="AH56" s="555"/>
      <c r="AI56" s="555"/>
      <c r="AJ56" s="555">
        <v>100</v>
      </c>
      <c r="AK56" s="555"/>
      <c r="AL56" s="555"/>
      <c r="AM56" s="555">
        <v>100</v>
      </c>
      <c r="AN56" s="555"/>
      <c r="AO56" s="556"/>
    </row>
    <row r="57" spans="2:43" ht="13.5" customHeight="1">
      <c r="C57" s="378"/>
      <c r="D57" s="379"/>
      <c r="E57" s="386"/>
      <c r="F57" s="381"/>
      <c r="G57" s="381"/>
      <c r="H57" s="381"/>
      <c r="I57" s="381"/>
      <c r="J57" s="408"/>
      <c r="K57" s="381"/>
      <c r="L57" s="381"/>
      <c r="M57" s="381"/>
      <c r="N57" s="381"/>
      <c r="O57" s="381"/>
      <c r="P57" s="381"/>
      <c r="Q57" s="388"/>
      <c r="R57" s="551"/>
      <c r="S57" s="551"/>
      <c r="T57" s="551"/>
      <c r="U57" s="592"/>
      <c r="V57" s="592"/>
      <c r="W57" s="592"/>
      <c r="X57" s="389"/>
      <c r="Y57" s="552"/>
      <c r="Z57" s="553"/>
      <c r="AA57" s="554"/>
      <c r="AB57" s="575" t="s">
        <v>140</v>
      </c>
      <c r="AC57" s="576"/>
      <c r="AD57" s="577">
        <f>AD55+ABS(AD56)</f>
        <v>600</v>
      </c>
      <c r="AE57" s="564"/>
      <c r="AF57" s="564"/>
      <c r="AG57" s="564">
        <f>IF(AG55="",AD55,AG55)+ABS(AG56)</f>
        <v>600</v>
      </c>
      <c r="AH57" s="564"/>
      <c r="AI57" s="564"/>
      <c r="AJ57" s="564">
        <f>IF(AJ55="",AD55,AJ55)+ABS(AJ56)</f>
        <v>600</v>
      </c>
      <c r="AK57" s="564"/>
      <c r="AL57" s="564"/>
      <c r="AM57" s="564">
        <f>IF(AM55="",AD55,AM55)+ABS(AM56)</f>
        <v>600</v>
      </c>
      <c r="AN57" s="564"/>
      <c r="AO57" s="565"/>
    </row>
    <row r="58" spans="2:43" ht="13.5" customHeight="1">
      <c r="C58" s="390"/>
      <c r="D58" s="391"/>
      <c r="E58" s="392"/>
      <c r="F58" s="393"/>
      <c r="G58" s="393"/>
      <c r="H58" s="393"/>
      <c r="I58" s="393"/>
      <c r="J58" s="387"/>
      <c r="K58" s="381"/>
      <c r="L58" s="381"/>
      <c r="M58" s="381"/>
      <c r="N58" s="381"/>
      <c r="O58" s="381"/>
      <c r="P58" s="381"/>
      <c r="Q58" s="388"/>
      <c r="R58" s="551"/>
      <c r="S58" s="551"/>
      <c r="T58" s="551"/>
      <c r="U58" s="592"/>
      <c r="V58" s="592"/>
      <c r="W58" s="592"/>
      <c r="X58" s="394"/>
      <c r="Y58" s="552"/>
      <c r="Z58" s="553"/>
      <c r="AA58" s="554"/>
      <c r="AB58" s="595"/>
      <c r="AC58" s="596"/>
      <c r="AD58" s="395"/>
      <c r="AE58" s="396"/>
      <c r="AF58" s="396"/>
      <c r="AG58" s="396"/>
      <c r="AH58" s="396"/>
      <c r="AI58" s="396"/>
      <c r="AJ58" s="396"/>
      <c r="AK58" s="396"/>
      <c r="AL58" s="396"/>
      <c r="AM58" s="396"/>
      <c r="AN58" s="396"/>
      <c r="AO58" s="397"/>
    </row>
    <row r="59" spans="2:43" ht="13.5" customHeight="1">
      <c r="C59" s="398"/>
      <c r="D59" s="399"/>
      <c r="E59" s="400"/>
      <c r="F59" s="401"/>
      <c r="G59" s="401"/>
      <c r="H59" s="401"/>
      <c r="I59" s="401"/>
      <c r="J59" s="402"/>
      <c r="K59" s="401"/>
      <c r="L59" s="401"/>
      <c r="M59" s="401"/>
      <c r="N59" s="401"/>
      <c r="O59" s="401"/>
      <c r="P59" s="401"/>
      <c r="Q59" s="403"/>
      <c r="R59" s="643"/>
      <c r="S59" s="643"/>
      <c r="T59" s="643"/>
      <c r="U59" s="634"/>
      <c r="V59" s="634"/>
      <c r="W59" s="634"/>
      <c r="X59" s="404"/>
      <c r="Y59" s="644"/>
      <c r="Z59" s="645"/>
      <c r="AA59" s="646"/>
      <c r="AB59" s="597"/>
      <c r="AC59" s="598"/>
      <c r="AD59" s="405"/>
      <c r="AE59" s="401"/>
      <c r="AF59" s="401"/>
      <c r="AG59" s="401"/>
      <c r="AH59" s="401"/>
      <c r="AI59" s="401"/>
      <c r="AJ59" s="401"/>
      <c r="AK59" s="401"/>
      <c r="AL59" s="401"/>
      <c r="AM59" s="401"/>
      <c r="AN59" s="401"/>
      <c r="AO59" s="406"/>
    </row>
    <row r="60" spans="2:43" ht="13.5" customHeight="1">
      <c r="C60" s="202"/>
      <c r="D60" s="202"/>
      <c r="E60" s="205"/>
      <c r="F60" s="2"/>
      <c r="G60" s="2"/>
      <c r="H60" s="2"/>
      <c r="I60" s="2"/>
      <c r="J60" s="206"/>
      <c r="K60" s="2"/>
      <c r="L60" s="2"/>
      <c r="M60" s="2"/>
      <c r="N60" s="2"/>
      <c r="O60" s="2"/>
      <c r="P60" s="2"/>
      <c r="Q60" s="20"/>
      <c r="R60" s="203"/>
      <c r="S60" s="203"/>
      <c r="T60" s="203"/>
      <c r="U60" s="31"/>
      <c r="V60" s="31"/>
      <c r="W60" s="31"/>
      <c r="X60" s="207"/>
      <c r="Y60" s="39"/>
      <c r="Z60" s="39"/>
      <c r="AA60" s="39"/>
      <c r="AB60" s="204"/>
      <c r="AC60" s="204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3" ht="13.5" customHeight="1">
      <c r="C61" s="202"/>
      <c r="D61" s="202"/>
      <c r="E61" s="205"/>
      <c r="F61" s="2"/>
      <c r="G61" s="2"/>
      <c r="H61" s="2"/>
      <c r="I61" s="2"/>
      <c r="J61" s="206"/>
      <c r="K61" s="2"/>
      <c r="L61" s="2"/>
      <c r="M61" s="2"/>
      <c r="N61" s="2"/>
      <c r="O61" s="2"/>
      <c r="P61" s="2"/>
      <c r="Q61" s="20"/>
      <c r="R61" s="203"/>
      <c r="S61" s="203"/>
      <c r="T61" s="203"/>
      <c r="U61" s="31"/>
      <c r="V61" s="31"/>
      <c r="W61" s="31"/>
      <c r="X61" s="207"/>
      <c r="Y61" s="39"/>
      <c r="Z61" s="39"/>
      <c r="AA61" s="39"/>
      <c r="AB61" s="204"/>
      <c r="AC61" s="20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3" ht="13.5" customHeight="1">
      <c r="B62" s="19" t="s">
        <v>180</v>
      </c>
      <c r="S62" s="2"/>
      <c r="T62" s="2"/>
      <c r="U62" s="2"/>
      <c r="V62" s="2"/>
      <c r="W62" s="2"/>
      <c r="X62" s="10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0"/>
      <c r="AP62" s="2"/>
      <c r="AQ62" s="2"/>
    </row>
    <row r="63" spans="2:43" ht="13.5" customHeight="1">
      <c r="B63" s="19"/>
      <c r="C63" s="14" t="s">
        <v>105</v>
      </c>
      <c r="T63" s="2"/>
      <c r="U63" s="2"/>
      <c r="V63" s="2"/>
      <c r="W63" s="2"/>
      <c r="X63" s="10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0" t="s">
        <v>274</v>
      </c>
      <c r="AP63" s="2"/>
      <c r="AQ63" s="2"/>
    </row>
    <row r="64" spans="2:43" ht="13.5" customHeight="1">
      <c r="B64" s="19"/>
      <c r="C64" s="462" t="s">
        <v>135</v>
      </c>
      <c r="D64" s="463"/>
      <c r="E64" s="462" t="s">
        <v>71</v>
      </c>
      <c r="F64" s="463"/>
      <c r="G64" s="463"/>
      <c r="H64" s="463"/>
      <c r="I64" s="463"/>
      <c r="J64" s="462" t="s">
        <v>85</v>
      </c>
      <c r="K64" s="462"/>
      <c r="L64" s="462"/>
      <c r="M64" s="462"/>
      <c r="N64" s="462"/>
      <c r="O64" s="462"/>
      <c r="P64" s="462"/>
      <c r="Q64" s="462"/>
      <c r="R64" s="462"/>
      <c r="S64" s="462"/>
      <c r="T64" s="462"/>
      <c r="U64" s="462"/>
      <c r="V64" s="462"/>
      <c r="W64" s="462"/>
      <c r="X64" s="462"/>
      <c r="Y64" s="462"/>
      <c r="Z64" s="462"/>
      <c r="AA64" s="462"/>
      <c r="AB64" s="462"/>
      <c r="AC64" s="462"/>
      <c r="AD64" s="462"/>
      <c r="AE64" s="456" t="s">
        <v>84</v>
      </c>
      <c r="AF64" s="527"/>
      <c r="AG64" s="527"/>
      <c r="AH64" s="527"/>
      <c r="AI64" s="527"/>
      <c r="AJ64" s="527"/>
      <c r="AK64" s="527"/>
      <c r="AL64" s="527"/>
      <c r="AM64" s="527"/>
      <c r="AN64" s="527"/>
      <c r="AO64" s="457"/>
      <c r="AP64" s="2"/>
      <c r="AQ64" s="2"/>
    </row>
    <row r="65" spans="2:86" ht="13.5" customHeight="1">
      <c r="B65" s="19"/>
      <c r="C65" s="463"/>
      <c r="D65" s="463"/>
      <c r="E65" s="463"/>
      <c r="F65" s="463"/>
      <c r="G65" s="463"/>
      <c r="H65" s="463"/>
      <c r="I65" s="463"/>
      <c r="J65" s="462" t="s">
        <v>69</v>
      </c>
      <c r="K65" s="462"/>
      <c r="L65" s="462"/>
      <c r="M65" s="462"/>
      <c r="N65" s="462"/>
      <c r="O65" s="462"/>
      <c r="P65" s="462"/>
      <c r="Q65" s="462"/>
      <c r="R65" s="462" t="s">
        <v>124</v>
      </c>
      <c r="S65" s="462"/>
      <c r="T65" s="462"/>
      <c r="U65" s="462" t="s">
        <v>122</v>
      </c>
      <c r="V65" s="462"/>
      <c r="W65" s="462"/>
      <c r="X65" s="462" t="s">
        <v>132</v>
      </c>
      <c r="Y65" s="462"/>
      <c r="Z65" s="462"/>
      <c r="AA65" s="462"/>
      <c r="AB65" s="462" t="s">
        <v>134</v>
      </c>
      <c r="AC65" s="462"/>
      <c r="AD65" s="462"/>
      <c r="AE65" s="602"/>
      <c r="AF65" s="603"/>
      <c r="AG65" s="603"/>
      <c r="AH65" s="603"/>
      <c r="AI65" s="603"/>
      <c r="AJ65" s="603"/>
      <c r="AK65" s="603"/>
      <c r="AL65" s="603"/>
      <c r="AM65" s="603"/>
      <c r="AN65" s="603"/>
      <c r="AO65" s="604"/>
    </row>
    <row r="66" spans="2:86" ht="13.5" customHeight="1">
      <c r="B66" s="19"/>
      <c r="C66" s="456" t="s">
        <v>129</v>
      </c>
      <c r="D66" s="457"/>
      <c r="E66" s="492" t="s">
        <v>181</v>
      </c>
      <c r="F66" s="493"/>
      <c r="G66" s="493"/>
      <c r="H66" s="493"/>
      <c r="I66" s="494"/>
      <c r="J66" s="74" t="s">
        <v>214</v>
      </c>
      <c r="K66" s="177"/>
      <c r="L66" s="177"/>
      <c r="M66" s="177"/>
      <c r="N66" s="177"/>
      <c r="O66" s="177"/>
      <c r="P66" s="177"/>
      <c r="Q66" s="177"/>
      <c r="R66" s="523"/>
      <c r="S66" s="523"/>
      <c r="T66" s="523"/>
      <c r="U66" s="524"/>
      <c r="V66" s="524"/>
      <c r="W66" s="524"/>
      <c r="X66" s="445">
        <v>200</v>
      </c>
      <c r="Y66" s="445"/>
      <c r="Z66" s="445"/>
      <c r="AA66" s="445"/>
      <c r="AB66" s="445"/>
      <c r="AC66" s="445"/>
      <c r="AD66" s="445"/>
      <c r="AE66" s="91"/>
      <c r="AF66" s="92"/>
      <c r="AG66" s="92"/>
      <c r="AH66" s="92"/>
      <c r="AI66" s="92"/>
      <c r="AJ66" s="92"/>
      <c r="AK66" s="92"/>
      <c r="AL66" s="92"/>
      <c r="AM66" s="92"/>
      <c r="AN66" s="92"/>
      <c r="AO66" s="93"/>
    </row>
    <row r="67" spans="2:86" ht="13.5" customHeight="1">
      <c r="C67" s="94"/>
      <c r="D67" s="95"/>
      <c r="E67" s="94"/>
      <c r="F67" s="95"/>
      <c r="G67" s="95"/>
      <c r="H67" s="95"/>
      <c r="I67" s="95"/>
      <c r="J67" s="179"/>
      <c r="K67" s="178"/>
      <c r="L67" s="178"/>
      <c r="M67" s="178"/>
      <c r="N67" s="178"/>
      <c r="O67" s="178"/>
      <c r="P67" s="178"/>
      <c r="Q67" s="95"/>
      <c r="R67" s="429"/>
      <c r="S67" s="429"/>
      <c r="T67" s="429"/>
      <c r="U67" s="526"/>
      <c r="V67" s="526"/>
      <c r="W67" s="526"/>
      <c r="X67" s="497"/>
      <c r="Y67" s="497"/>
      <c r="Z67" s="497"/>
      <c r="AA67" s="497"/>
      <c r="AB67" s="497"/>
      <c r="AC67" s="497"/>
      <c r="AD67" s="497"/>
      <c r="AE67" s="94"/>
      <c r="AF67" s="95"/>
      <c r="AG67" s="95"/>
      <c r="AH67" s="95"/>
      <c r="AI67" s="95"/>
      <c r="AJ67" s="95"/>
      <c r="AK67" s="95"/>
      <c r="AL67" s="95"/>
      <c r="AM67" s="95"/>
      <c r="AN67" s="95"/>
      <c r="AO67" s="96"/>
    </row>
    <row r="68" spans="2:86" ht="13.5" customHeight="1">
      <c r="C68" s="88"/>
      <c r="D68" s="89"/>
      <c r="E68" s="88"/>
      <c r="F68" s="89"/>
      <c r="G68" s="89"/>
      <c r="H68" s="89"/>
      <c r="I68" s="89"/>
      <c r="J68" s="181"/>
      <c r="K68" s="180"/>
      <c r="L68" s="180"/>
      <c r="M68" s="180"/>
      <c r="N68" s="180"/>
      <c r="O68" s="180"/>
      <c r="P68" s="180"/>
      <c r="Q68" s="89"/>
      <c r="R68" s="543"/>
      <c r="S68" s="543"/>
      <c r="T68" s="543"/>
      <c r="U68" s="560"/>
      <c r="V68" s="560"/>
      <c r="W68" s="560"/>
      <c r="X68" s="559"/>
      <c r="Y68" s="559"/>
      <c r="Z68" s="559"/>
      <c r="AA68" s="559"/>
      <c r="AB68" s="559">
        <f>CEILING(SUM(X66:AA68),50)</f>
        <v>200</v>
      </c>
      <c r="AC68" s="559"/>
      <c r="AD68" s="559"/>
      <c r="AE68" s="88"/>
      <c r="AF68" s="89"/>
      <c r="AG68" s="89"/>
      <c r="AH68" s="89"/>
      <c r="AI68" s="89"/>
      <c r="AJ68" s="89"/>
      <c r="AK68" s="89"/>
      <c r="AL68" s="89"/>
      <c r="AM68" s="89"/>
      <c r="AN68" s="89"/>
      <c r="AO68" s="90"/>
    </row>
    <row r="69" spans="2:86" ht="13.5" customHeight="1">
      <c r="C69" s="456" t="str">
        <f>LEFT(C66,2)&amp;RIGHT("0"&amp;(RIGHT(C66,2)+1),2)</f>
        <v>WL02</v>
      </c>
      <c r="D69" s="457"/>
      <c r="E69" s="456" t="s">
        <v>278</v>
      </c>
      <c r="F69" s="527"/>
      <c r="G69" s="527"/>
      <c r="H69" s="527"/>
      <c r="I69" s="457"/>
      <c r="J69" s="32" t="s">
        <v>279</v>
      </c>
      <c r="K69" s="92"/>
      <c r="L69" s="92"/>
      <c r="M69" s="92"/>
      <c r="N69" s="92"/>
      <c r="O69" s="92"/>
      <c r="P69" s="92"/>
      <c r="Q69" s="92"/>
      <c r="R69" s="523"/>
      <c r="S69" s="523"/>
      <c r="T69" s="523"/>
      <c r="U69" s="524"/>
      <c r="V69" s="524"/>
      <c r="W69" s="524"/>
      <c r="X69" s="445">
        <v>500</v>
      </c>
      <c r="Y69" s="445"/>
      <c r="Z69" s="445"/>
      <c r="AA69" s="445"/>
      <c r="AB69" s="445"/>
      <c r="AC69" s="445"/>
      <c r="AD69" s="445"/>
      <c r="AE69" s="91"/>
      <c r="AF69" s="92"/>
      <c r="AG69" s="92"/>
      <c r="AH69" s="92"/>
      <c r="AI69" s="92"/>
      <c r="AJ69" s="92"/>
      <c r="AK69" s="92"/>
      <c r="AL69" s="92"/>
      <c r="AM69" s="92"/>
      <c r="AN69" s="92"/>
      <c r="AO69" s="93"/>
    </row>
    <row r="70" spans="2:86" ht="13.5" customHeight="1">
      <c r="C70" s="34"/>
      <c r="D70" s="44"/>
      <c r="E70" s="94"/>
      <c r="F70" s="95"/>
      <c r="G70" s="95"/>
      <c r="H70" s="95"/>
      <c r="I70" s="95"/>
      <c r="J70" s="29" t="s">
        <v>280</v>
      </c>
      <c r="K70" s="95"/>
      <c r="L70" s="95"/>
      <c r="M70" s="95"/>
      <c r="N70" s="95"/>
      <c r="O70" s="95"/>
      <c r="P70" s="95"/>
      <c r="Q70" s="95"/>
      <c r="R70" s="429"/>
      <c r="S70" s="429"/>
      <c r="T70" s="429"/>
      <c r="U70" s="526"/>
      <c r="V70" s="526"/>
      <c r="W70" s="526"/>
      <c r="X70" s="497">
        <v>150</v>
      </c>
      <c r="Y70" s="497"/>
      <c r="Z70" s="497"/>
      <c r="AA70" s="497"/>
      <c r="AB70" s="497"/>
      <c r="AC70" s="497"/>
      <c r="AD70" s="497"/>
      <c r="AE70" s="94"/>
      <c r="AF70" s="95"/>
      <c r="AG70" s="95"/>
      <c r="AH70" s="95"/>
      <c r="AI70" s="95"/>
      <c r="AJ70" s="95"/>
      <c r="AK70" s="95"/>
      <c r="AL70" s="95"/>
      <c r="AM70" s="95"/>
      <c r="AN70" s="95"/>
      <c r="AO70" s="96"/>
    </row>
    <row r="71" spans="2:86" ht="13.5" customHeight="1">
      <c r="C71" s="88"/>
      <c r="D71" s="89"/>
      <c r="E71" s="88"/>
      <c r="F71" s="89"/>
      <c r="G71" s="89"/>
      <c r="H71" s="89"/>
      <c r="I71" s="89"/>
      <c r="J71" s="33"/>
      <c r="K71" s="89"/>
      <c r="L71" s="89"/>
      <c r="M71" s="89"/>
      <c r="N71" s="89"/>
      <c r="O71" s="89"/>
      <c r="P71" s="89"/>
      <c r="Q71" s="89"/>
      <c r="R71" s="543"/>
      <c r="S71" s="543"/>
      <c r="T71" s="543"/>
      <c r="U71" s="560"/>
      <c r="V71" s="560"/>
      <c r="W71" s="560"/>
      <c r="X71" s="559"/>
      <c r="Y71" s="559"/>
      <c r="Z71" s="559"/>
      <c r="AA71" s="559"/>
      <c r="AB71" s="559">
        <v>650</v>
      </c>
      <c r="AC71" s="559"/>
      <c r="AD71" s="559"/>
      <c r="AE71" s="88"/>
      <c r="AF71" s="89"/>
      <c r="AG71" s="89"/>
      <c r="AH71" s="89"/>
      <c r="AI71" s="89"/>
      <c r="AJ71" s="89"/>
      <c r="AK71" s="89"/>
      <c r="AL71" s="89"/>
      <c r="AM71" s="89"/>
      <c r="AN71" s="89"/>
      <c r="AO71" s="90"/>
    </row>
    <row r="72" spans="2:86" ht="13.5" customHeight="1">
      <c r="C72" s="456" t="str">
        <f>LEFT(C69,2)&amp;RIGHT("0"&amp;(RIGHT(C69,2)+1),2)</f>
        <v>WL03</v>
      </c>
      <c r="D72" s="457"/>
      <c r="E72" s="456"/>
      <c r="F72" s="527"/>
      <c r="G72" s="527"/>
      <c r="H72" s="527"/>
      <c r="I72" s="457"/>
      <c r="J72" s="32"/>
      <c r="K72" s="92"/>
      <c r="L72" s="92"/>
      <c r="M72" s="92"/>
      <c r="N72" s="92"/>
      <c r="O72" s="92"/>
      <c r="P72" s="92"/>
      <c r="Q72" s="92"/>
      <c r="R72" s="523"/>
      <c r="S72" s="523"/>
      <c r="T72" s="523"/>
      <c r="U72" s="524"/>
      <c r="V72" s="524"/>
      <c r="W72" s="524"/>
      <c r="X72" s="445"/>
      <c r="Y72" s="445"/>
      <c r="Z72" s="445"/>
      <c r="AA72" s="445"/>
      <c r="AB72" s="445"/>
      <c r="AC72" s="445"/>
      <c r="AD72" s="445"/>
      <c r="AE72" s="91"/>
      <c r="AF72" s="92"/>
      <c r="AG72" s="92"/>
      <c r="AH72" s="92"/>
      <c r="AI72" s="92"/>
      <c r="AJ72" s="92"/>
      <c r="AK72" s="92"/>
      <c r="AL72" s="92"/>
      <c r="AM72" s="92"/>
      <c r="AN72" s="92"/>
      <c r="AO72" s="93"/>
    </row>
    <row r="73" spans="2:86" ht="13.5" customHeight="1">
      <c r="C73" s="94"/>
      <c r="D73" s="95"/>
      <c r="E73" s="94"/>
      <c r="F73" s="95"/>
      <c r="G73" s="95"/>
      <c r="H73" s="95"/>
      <c r="I73" s="95"/>
      <c r="J73" s="29"/>
      <c r="K73" s="95"/>
      <c r="L73" s="95"/>
      <c r="M73" s="95"/>
      <c r="N73" s="95"/>
      <c r="O73" s="95"/>
      <c r="P73" s="95"/>
      <c r="Q73" s="95"/>
      <c r="R73" s="429"/>
      <c r="S73" s="429"/>
      <c r="T73" s="429"/>
      <c r="U73" s="526"/>
      <c r="V73" s="526"/>
      <c r="W73" s="526"/>
      <c r="X73" s="497"/>
      <c r="Y73" s="497"/>
      <c r="Z73" s="497"/>
      <c r="AA73" s="497"/>
      <c r="AB73" s="497"/>
      <c r="AC73" s="497"/>
      <c r="AD73" s="497"/>
      <c r="AE73" s="94"/>
      <c r="AF73" s="95"/>
      <c r="AG73" s="95"/>
      <c r="AH73" s="95"/>
      <c r="AI73" s="95"/>
      <c r="AJ73" s="95"/>
      <c r="AK73" s="95"/>
      <c r="AL73" s="95"/>
      <c r="AM73" s="95"/>
      <c r="AN73" s="95"/>
      <c r="AO73" s="96"/>
    </row>
    <row r="74" spans="2:86" ht="13.5" customHeight="1">
      <c r="C74" s="88"/>
      <c r="D74" s="89"/>
      <c r="E74" s="88"/>
      <c r="F74" s="89"/>
      <c r="G74" s="89"/>
      <c r="H74" s="89"/>
      <c r="I74" s="89"/>
      <c r="J74" s="33"/>
      <c r="K74" s="89"/>
      <c r="L74" s="89"/>
      <c r="M74" s="89"/>
      <c r="N74" s="89"/>
      <c r="O74" s="89"/>
      <c r="P74" s="89"/>
      <c r="Q74" s="89"/>
      <c r="R74" s="543"/>
      <c r="S74" s="543"/>
      <c r="T74" s="543"/>
      <c r="U74" s="560"/>
      <c r="V74" s="560"/>
      <c r="W74" s="560"/>
      <c r="X74" s="559"/>
      <c r="Y74" s="559"/>
      <c r="Z74" s="559"/>
      <c r="AA74" s="559"/>
      <c r="AB74" s="559"/>
      <c r="AC74" s="559"/>
      <c r="AD74" s="559"/>
      <c r="AE74" s="88"/>
      <c r="AF74" s="89"/>
      <c r="AG74" s="89"/>
      <c r="AH74" s="89"/>
      <c r="AI74" s="89"/>
      <c r="AJ74" s="89"/>
      <c r="AK74" s="89"/>
      <c r="AL74" s="89"/>
      <c r="AM74" s="89"/>
      <c r="AN74" s="89"/>
      <c r="AO74" s="90"/>
    </row>
    <row r="75" spans="2:86" ht="13.5" customHeight="1">
      <c r="C75" s="456" t="str">
        <f>LEFT(C72,2)&amp;RIGHT("0"&amp;(RIGHT(C72,2)+1),2)</f>
        <v>WL04</v>
      </c>
      <c r="D75" s="457"/>
      <c r="E75" s="492"/>
      <c r="F75" s="493"/>
      <c r="G75" s="493"/>
      <c r="H75" s="493"/>
      <c r="I75" s="494"/>
      <c r="J75" s="32"/>
      <c r="K75" s="177"/>
      <c r="L75" s="177"/>
      <c r="M75" s="177"/>
      <c r="N75" s="177"/>
      <c r="O75" s="177"/>
      <c r="P75" s="177"/>
      <c r="Q75" s="92"/>
      <c r="R75" s="523"/>
      <c r="S75" s="523"/>
      <c r="T75" s="523"/>
      <c r="U75" s="524"/>
      <c r="V75" s="524"/>
      <c r="W75" s="524"/>
      <c r="X75" s="445"/>
      <c r="Y75" s="445"/>
      <c r="Z75" s="445"/>
      <c r="AA75" s="445"/>
      <c r="AB75" s="445"/>
      <c r="AC75" s="445"/>
      <c r="AD75" s="445"/>
      <c r="AE75" s="91"/>
      <c r="AF75" s="92"/>
      <c r="AG75" s="92"/>
      <c r="AH75" s="92"/>
      <c r="AI75" s="92"/>
      <c r="AJ75" s="92"/>
      <c r="AK75" s="92"/>
      <c r="AL75" s="92"/>
      <c r="AM75" s="92"/>
      <c r="AN75" s="92"/>
      <c r="AO75" s="93"/>
      <c r="CE75" s="39"/>
      <c r="CF75" s="39"/>
      <c r="CG75" s="39"/>
      <c r="CH75" s="39"/>
    </row>
    <row r="76" spans="2:86" ht="13.5" customHeight="1">
      <c r="C76" s="94"/>
      <c r="D76" s="95"/>
      <c r="E76" s="94"/>
      <c r="F76" s="95"/>
      <c r="G76" s="95"/>
      <c r="H76" s="95"/>
      <c r="I76" s="95"/>
      <c r="J76" s="179"/>
      <c r="K76" s="178"/>
      <c r="L76" s="178"/>
      <c r="M76" s="178"/>
      <c r="N76" s="178"/>
      <c r="O76" s="178"/>
      <c r="P76" s="178"/>
      <c r="Q76" s="95"/>
      <c r="R76" s="429"/>
      <c r="S76" s="429"/>
      <c r="T76" s="429"/>
      <c r="U76" s="526"/>
      <c r="V76" s="526"/>
      <c r="W76" s="526"/>
      <c r="X76" s="497"/>
      <c r="Y76" s="497"/>
      <c r="Z76" s="497"/>
      <c r="AA76" s="497"/>
      <c r="AB76" s="497"/>
      <c r="AC76" s="497"/>
      <c r="AD76" s="497"/>
      <c r="AE76" s="94"/>
      <c r="AF76" s="95"/>
      <c r="AG76" s="95"/>
      <c r="AH76" s="95"/>
      <c r="AI76" s="95"/>
      <c r="AJ76" s="95"/>
      <c r="AK76" s="95"/>
      <c r="AL76" s="95"/>
      <c r="AM76" s="95"/>
      <c r="AN76" s="95"/>
      <c r="AO76" s="96"/>
      <c r="CE76" s="39"/>
      <c r="CF76" s="39"/>
      <c r="CG76" s="39"/>
      <c r="CH76" s="39"/>
    </row>
    <row r="77" spans="2:86" ht="13.5" customHeight="1">
      <c r="C77" s="88"/>
      <c r="D77" s="89"/>
      <c r="E77" s="88"/>
      <c r="F77" s="89"/>
      <c r="G77" s="89"/>
      <c r="H77" s="89"/>
      <c r="I77" s="89"/>
      <c r="J77" s="33"/>
      <c r="K77" s="180"/>
      <c r="L77" s="180"/>
      <c r="M77" s="180"/>
      <c r="N77" s="180"/>
      <c r="O77" s="180"/>
      <c r="P77" s="180"/>
      <c r="Q77" s="89"/>
      <c r="R77" s="543"/>
      <c r="S77" s="543"/>
      <c r="T77" s="543"/>
      <c r="U77" s="560"/>
      <c r="V77" s="560"/>
      <c r="W77" s="560"/>
      <c r="X77" s="559"/>
      <c r="Y77" s="559"/>
      <c r="Z77" s="559"/>
      <c r="AA77" s="559"/>
      <c r="AB77" s="559"/>
      <c r="AC77" s="559"/>
      <c r="AD77" s="559"/>
      <c r="AE77" s="88"/>
      <c r="AF77" s="89"/>
      <c r="AG77" s="89"/>
      <c r="AH77" s="89"/>
      <c r="AI77" s="89"/>
      <c r="AJ77" s="89"/>
      <c r="AK77" s="89"/>
      <c r="AL77" s="89"/>
      <c r="AM77" s="89"/>
      <c r="AN77" s="89"/>
      <c r="AO77" s="90"/>
      <c r="CE77" s="39"/>
      <c r="CF77" s="39"/>
      <c r="CG77" s="39"/>
      <c r="CH77" s="39"/>
    </row>
    <row r="78" spans="2:86" ht="13.5" customHeight="1">
      <c r="C78" s="456" t="str">
        <f>LEFT(C75,2)&amp;RIGHT("0"&amp;(RIGHT(C75,2)+1),2)</f>
        <v>WL05</v>
      </c>
      <c r="D78" s="457"/>
      <c r="E78" s="492"/>
      <c r="F78" s="493"/>
      <c r="G78" s="493"/>
      <c r="H78" s="493"/>
      <c r="I78" s="494"/>
      <c r="J78" s="74"/>
      <c r="K78" s="177"/>
      <c r="L78" s="177"/>
      <c r="M78" s="177"/>
      <c r="N78" s="177"/>
      <c r="O78" s="177"/>
      <c r="P78" s="177"/>
      <c r="Q78" s="92"/>
      <c r="R78" s="523"/>
      <c r="S78" s="523"/>
      <c r="T78" s="523"/>
      <c r="U78" s="524"/>
      <c r="V78" s="524"/>
      <c r="W78" s="524"/>
      <c r="X78" s="445"/>
      <c r="Y78" s="445"/>
      <c r="Z78" s="445"/>
      <c r="AA78" s="445"/>
      <c r="AB78" s="445"/>
      <c r="AC78" s="445"/>
      <c r="AD78" s="445"/>
      <c r="AE78" s="91"/>
      <c r="AF78" s="92"/>
      <c r="AG78" s="92"/>
      <c r="AH78" s="92"/>
      <c r="AI78" s="92"/>
      <c r="AJ78" s="92"/>
      <c r="AK78" s="92"/>
      <c r="AL78" s="92"/>
      <c r="AM78" s="92"/>
      <c r="AN78" s="92"/>
      <c r="AO78" s="93"/>
      <c r="CE78" s="39"/>
      <c r="CF78" s="39"/>
      <c r="CG78" s="39"/>
      <c r="CH78" s="39"/>
    </row>
    <row r="79" spans="2:86" ht="13.5" customHeight="1">
      <c r="C79" s="94"/>
      <c r="D79" s="95"/>
      <c r="E79" s="94"/>
      <c r="F79" s="95"/>
      <c r="G79" s="95"/>
      <c r="H79" s="95"/>
      <c r="I79" s="95"/>
      <c r="J79" s="179"/>
      <c r="K79" s="178"/>
      <c r="L79" s="178"/>
      <c r="M79" s="178"/>
      <c r="N79" s="178"/>
      <c r="O79" s="178"/>
      <c r="P79" s="178"/>
      <c r="Q79" s="95"/>
      <c r="R79" s="429"/>
      <c r="S79" s="429"/>
      <c r="T79" s="429"/>
      <c r="U79" s="526"/>
      <c r="V79" s="526"/>
      <c r="W79" s="526"/>
      <c r="X79" s="497"/>
      <c r="Y79" s="497"/>
      <c r="Z79" s="497"/>
      <c r="AA79" s="497"/>
      <c r="AB79" s="497"/>
      <c r="AC79" s="497"/>
      <c r="AD79" s="497"/>
      <c r="AE79" s="94"/>
      <c r="AF79" s="95"/>
      <c r="AG79" s="95"/>
      <c r="AH79" s="95"/>
      <c r="AI79" s="95"/>
      <c r="AJ79" s="95"/>
      <c r="AK79" s="95"/>
      <c r="AL79" s="95"/>
      <c r="AM79" s="95"/>
      <c r="AN79" s="95"/>
      <c r="AO79" s="96"/>
      <c r="CE79" s="39"/>
      <c r="CF79" s="39"/>
      <c r="CG79" s="39"/>
      <c r="CH79" s="39"/>
    </row>
    <row r="80" spans="2:86" ht="13.5" customHeight="1">
      <c r="C80" s="88"/>
      <c r="D80" s="89"/>
      <c r="E80" s="88"/>
      <c r="F80" s="89"/>
      <c r="G80" s="89"/>
      <c r="H80" s="89"/>
      <c r="I80" s="89"/>
      <c r="J80" s="181"/>
      <c r="K80" s="180"/>
      <c r="L80" s="180"/>
      <c r="M80" s="180"/>
      <c r="N80" s="180"/>
      <c r="O80" s="180"/>
      <c r="P80" s="180"/>
      <c r="Q80" s="89"/>
      <c r="R80" s="543"/>
      <c r="S80" s="543"/>
      <c r="T80" s="543"/>
      <c r="U80" s="560"/>
      <c r="V80" s="560"/>
      <c r="W80" s="560"/>
      <c r="X80" s="559"/>
      <c r="Y80" s="559"/>
      <c r="Z80" s="559"/>
      <c r="AA80" s="559"/>
      <c r="AB80" s="559"/>
      <c r="AC80" s="559"/>
      <c r="AD80" s="559"/>
      <c r="AE80" s="88"/>
      <c r="AF80" s="89"/>
      <c r="AG80" s="89"/>
      <c r="AH80" s="89"/>
      <c r="AI80" s="89"/>
      <c r="AJ80" s="89"/>
      <c r="AK80" s="89"/>
      <c r="AL80" s="89"/>
      <c r="AM80" s="89"/>
      <c r="AN80" s="89"/>
      <c r="AO80" s="90"/>
      <c r="CE80" s="39"/>
      <c r="CF80" s="39"/>
      <c r="CG80" s="39"/>
      <c r="CH80" s="39"/>
    </row>
    <row r="81" spans="2:86" ht="13.5" customHeight="1">
      <c r="CE81" s="39"/>
      <c r="CF81" s="39"/>
      <c r="CG81" s="39"/>
      <c r="CH81" s="39"/>
    </row>
    <row r="82" spans="2:86" ht="13.5" customHeight="1">
      <c r="C82" s="38" t="s">
        <v>133</v>
      </c>
      <c r="AO82" s="20" t="s">
        <v>274</v>
      </c>
      <c r="CE82" s="39"/>
      <c r="CF82" s="39"/>
      <c r="CG82" s="39"/>
      <c r="CH82" s="39"/>
    </row>
    <row r="83" spans="2:86" ht="13.5" customHeight="1">
      <c r="C83" s="517" t="s">
        <v>78</v>
      </c>
      <c r="D83" s="518"/>
      <c r="E83" s="521" t="s">
        <v>99</v>
      </c>
      <c r="F83" s="521"/>
      <c r="G83" s="521"/>
      <c r="H83" s="521"/>
      <c r="I83" s="521"/>
      <c r="J83" s="521"/>
      <c r="K83" s="521"/>
      <c r="L83" s="521"/>
      <c r="M83" s="521" t="s">
        <v>100</v>
      </c>
      <c r="N83" s="521"/>
      <c r="O83" s="521"/>
      <c r="P83" s="521"/>
      <c r="Q83" s="521"/>
      <c r="R83" s="521"/>
      <c r="S83" s="521"/>
      <c r="T83" s="521"/>
      <c r="U83" s="522"/>
      <c r="V83" s="522"/>
      <c r="W83" s="514" t="s">
        <v>101</v>
      </c>
      <c r="X83" s="515"/>
      <c r="Y83" s="515"/>
      <c r="Z83" s="515"/>
      <c r="AA83" s="515"/>
      <c r="AB83" s="515"/>
      <c r="AC83" s="515"/>
      <c r="AD83" s="515"/>
      <c r="AE83" s="515"/>
      <c r="AF83" s="515"/>
      <c r="AG83" s="516"/>
      <c r="AH83" s="605" t="s">
        <v>102</v>
      </c>
      <c r="AI83" s="606"/>
      <c r="AJ83" s="607"/>
      <c r="AK83" s="674" t="s">
        <v>125</v>
      </c>
      <c r="AL83" s="675"/>
      <c r="AM83" s="676"/>
      <c r="AN83" s="677"/>
      <c r="AO83" s="677"/>
    </row>
    <row r="84" spans="2:86" ht="13.5" customHeight="1">
      <c r="C84" s="519"/>
      <c r="D84" s="520"/>
      <c r="E84" s="521"/>
      <c r="F84" s="521"/>
      <c r="G84" s="521"/>
      <c r="H84" s="521"/>
      <c r="I84" s="521"/>
      <c r="J84" s="521"/>
      <c r="K84" s="521"/>
      <c r="L84" s="521"/>
      <c r="M84" s="525" t="s">
        <v>124</v>
      </c>
      <c r="N84" s="499"/>
      <c r="O84" s="499"/>
      <c r="P84" s="601" t="s">
        <v>122</v>
      </c>
      <c r="Q84" s="499"/>
      <c r="R84" s="499"/>
      <c r="S84" s="601" t="s">
        <v>132</v>
      </c>
      <c r="T84" s="499"/>
      <c r="U84" s="499"/>
      <c r="V84" s="499"/>
      <c r="W84" s="672" t="s">
        <v>103</v>
      </c>
      <c r="X84" s="673"/>
      <c r="Y84" s="515"/>
      <c r="Z84" s="515"/>
      <c r="AA84" s="515"/>
      <c r="AB84" s="516"/>
      <c r="AC84" s="672" t="s">
        <v>104</v>
      </c>
      <c r="AD84" s="515"/>
      <c r="AE84" s="515"/>
      <c r="AF84" s="515"/>
      <c r="AG84" s="516"/>
      <c r="AH84" s="608"/>
      <c r="AI84" s="609"/>
      <c r="AJ84" s="610"/>
      <c r="AK84" s="677"/>
      <c r="AL84" s="676"/>
      <c r="AM84" s="676"/>
      <c r="AN84" s="677"/>
      <c r="AO84" s="677"/>
    </row>
    <row r="85" spans="2:86" ht="13.5" customHeight="1">
      <c r="C85" s="510" t="s">
        <v>131</v>
      </c>
      <c r="D85" s="511"/>
      <c r="E85" s="235" t="s">
        <v>277</v>
      </c>
      <c r="F85" s="236"/>
      <c r="G85" s="236"/>
      <c r="H85" s="236"/>
      <c r="I85" s="236"/>
      <c r="J85" s="40"/>
      <c r="K85" s="40"/>
      <c r="L85" s="237"/>
      <c r="M85" s="512"/>
      <c r="N85" s="513"/>
      <c r="O85" s="513"/>
      <c r="P85" s="680"/>
      <c r="Q85" s="680"/>
      <c r="R85" s="680"/>
      <c r="S85" s="495">
        <v>650</v>
      </c>
      <c r="T85" s="495"/>
      <c r="U85" s="495"/>
      <c r="V85" s="495"/>
      <c r="W85" s="593" t="s">
        <v>130</v>
      </c>
      <c r="X85" s="682"/>
      <c r="Y85" s="594"/>
      <c r="Z85" s="495">
        <f ca="1">INDIRECT("ab"&amp;(RIGHT(W85,2)*3)+ROW($C$66)-1)</f>
        <v>200</v>
      </c>
      <c r="AA85" s="495"/>
      <c r="AB85" s="496"/>
      <c r="AC85" s="593"/>
      <c r="AD85" s="594"/>
      <c r="AE85" s="495"/>
      <c r="AF85" s="495"/>
      <c r="AG85" s="496"/>
      <c r="AH85" s="446">
        <f t="shared" ref="AH85" ca="1" si="5">CEILING(S85+Z85+AE85,50)</f>
        <v>850</v>
      </c>
      <c r="AI85" s="443"/>
      <c r="AJ85" s="444"/>
      <c r="AK85" s="668"/>
      <c r="AL85" s="669"/>
      <c r="AM85" s="670"/>
      <c r="AN85" s="671"/>
      <c r="AO85" s="671"/>
    </row>
    <row r="86" spans="2:86" ht="13.5" customHeight="1">
      <c r="C86" s="464" t="str">
        <f t="shared" ref="C86:C94" si="6">LEFT(C85,1)&amp;RIGHT("0"&amp;(RIGHT(C85,2)+1),2)</f>
        <v>W02</v>
      </c>
      <c r="D86" s="465"/>
      <c r="E86" s="232" t="s">
        <v>215</v>
      </c>
      <c r="F86" s="233"/>
      <c r="G86" s="233"/>
      <c r="H86" s="233"/>
      <c r="I86" s="233"/>
      <c r="J86" s="37"/>
      <c r="K86" s="37"/>
      <c r="L86" s="234"/>
      <c r="M86" s="477"/>
      <c r="N86" s="468"/>
      <c r="O86" s="468"/>
      <c r="P86" s="468"/>
      <c r="Q86" s="468"/>
      <c r="R86" s="468"/>
      <c r="S86" s="469">
        <v>650</v>
      </c>
      <c r="T86" s="469"/>
      <c r="U86" s="469"/>
      <c r="V86" s="469"/>
      <c r="W86" s="470"/>
      <c r="X86" s="471"/>
      <c r="Y86" s="473"/>
      <c r="Z86" s="418"/>
      <c r="AA86" s="419"/>
      <c r="AB86" s="420"/>
      <c r="AC86" s="470"/>
      <c r="AD86" s="473"/>
      <c r="AE86" s="418"/>
      <c r="AF86" s="419"/>
      <c r="AG86" s="420"/>
      <c r="AH86" s="440">
        <f t="shared" ref="AH86" si="7">CEILING(S86+Z86+AE86,50)</f>
        <v>650</v>
      </c>
      <c r="AI86" s="419"/>
      <c r="AJ86" s="420"/>
      <c r="AK86" s="693"/>
      <c r="AL86" s="694"/>
      <c r="AM86" s="684"/>
      <c r="AN86" s="683"/>
      <c r="AO86" s="683"/>
    </row>
    <row r="87" spans="2:86" ht="13.5" customHeight="1">
      <c r="C87" s="464" t="str">
        <f t="shared" si="6"/>
        <v>W03</v>
      </c>
      <c r="D87" s="465"/>
      <c r="E87" s="232"/>
      <c r="F87" s="233"/>
      <c r="G87" s="233"/>
      <c r="H87" s="233"/>
      <c r="I87" s="233"/>
      <c r="J87" s="37"/>
      <c r="K87" s="37"/>
      <c r="L87" s="234"/>
      <c r="M87" s="477"/>
      <c r="N87" s="468"/>
      <c r="O87" s="468"/>
      <c r="P87" s="468"/>
      <c r="Q87" s="468"/>
      <c r="R87" s="468"/>
      <c r="S87" s="469"/>
      <c r="T87" s="469"/>
      <c r="U87" s="469"/>
      <c r="V87" s="469"/>
      <c r="W87" s="470"/>
      <c r="X87" s="471"/>
      <c r="Y87" s="473"/>
      <c r="Z87" s="418"/>
      <c r="AA87" s="419"/>
      <c r="AB87" s="420"/>
      <c r="AC87" s="470"/>
      <c r="AD87" s="473"/>
      <c r="AE87" s="418"/>
      <c r="AF87" s="419"/>
      <c r="AG87" s="420"/>
      <c r="AH87" s="440"/>
      <c r="AI87" s="419"/>
      <c r="AJ87" s="420"/>
      <c r="AK87" s="693"/>
      <c r="AL87" s="694"/>
      <c r="AM87" s="684"/>
      <c r="AN87" s="683"/>
      <c r="AO87" s="683"/>
    </row>
    <row r="88" spans="2:86" ht="13.5" customHeight="1">
      <c r="C88" s="464" t="str">
        <f t="shared" si="6"/>
        <v>W04</v>
      </c>
      <c r="D88" s="465"/>
      <c r="E88" s="232"/>
      <c r="F88" s="233"/>
      <c r="G88" s="233"/>
      <c r="H88" s="233"/>
      <c r="I88" s="233"/>
      <c r="J88" s="37"/>
      <c r="K88" s="37"/>
      <c r="L88" s="234"/>
      <c r="M88" s="477"/>
      <c r="N88" s="468"/>
      <c r="O88" s="468"/>
      <c r="P88" s="468"/>
      <c r="Q88" s="468"/>
      <c r="R88" s="468"/>
      <c r="S88" s="469"/>
      <c r="T88" s="469"/>
      <c r="U88" s="469"/>
      <c r="V88" s="469"/>
      <c r="W88" s="470"/>
      <c r="X88" s="471"/>
      <c r="Y88" s="473"/>
      <c r="Z88" s="418"/>
      <c r="AA88" s="419"/>
      <c r="AB88" s="420"/>
      <c r="AC88" s="470"/>
      <c r="AD88" s="473"/>
      <c r="AE88" s="418"/>
      <c r="AF88" s="419"/>
      <c r="AG88" s="420"/>
      <c r="AH88" s="440"/>
      <c r="AI88" s="419"/>
      <c r="AJ88" s="420"/>
      <c r="AK88" s="693"/>
      <c r="AL88" s="684"/>
      <c r="AM88" s="684"/>
      <c r="AN88" s="683"/>
      <c r="AO88" s="683"/>
    </row>
    <row r="89" spans="2:86" ht="13.5" customHeight="1">
      <c r="C89" s="464" t="str">
        <f t="shared" si="6"/>
        <v>W05</v>
      </c>
      <c r="D89" s="465"/>
      <c r="E89" s="311" t="s">
        <v>255</v>
      </c>
      <c r="F89" s="312"/>
      <c r="G89" s="312"/>
      <c r="H89" s="312"/>
      <c r="I89" s="312"/>
      <c r="J89" s="313"/>
      <c r="K89" s="313"/>
      <c r="L89" s="314"/>
      <c r="M89" s="474">
        <v>150</v>
      </c>
      <c r="N89" s="475"/>
      <c r="O89" s="475"/>
      <c r="P89" s="476">
        <v>24</v>
      </c>
      <c r="Q89" s="476"/>
      <c r="R89" s="476"/>
      <c r="S89" s="688">
        <f>M89*P89</f>
        <v>3600</v>
      </c>
      <c r="T89" s="688"/>
      <c r="U89" s="688"/>
      <c r="V89" s="688"/>
      <c r="W89" s="447"/>
      <c r="X89" s="448"/>
      <c r="Y89" s="449"/>
      <c r="Z89" s="689"/>
      <c r="AA89" s="689"/>
      <c r="AB89" s="690"/>
      <c r="AC89" s="447"/>
      <c r="AD89" s="449"/>
      <c r="AE89" s="689"/>
      <c r="AF89" s="689"/>
      <c r="AG89" s="690"/>
      <c r="AH89" s="685">
        <f>CEILING(S89+Z89+AE89,50)</f>
        <v>3600</v>
      </c>
      <c r="AI89" s="686"/>
      <c r="AJ89" s="687"/>
      <c r="AK89" s="683"/>
      <c r="AL89" s="684"/>
      <c r="AM89" s="684"/>
      <c r="AN89" s="683"/>
      <c r="AO89" s="683"/>
    </row>
    <row r="90" spans="2:86" ht="13.5" customHeight="1">
      <c r="C90" s="464" t="str">
        <f t="shared" si="6"/>
        <v>W06</v>
      </c>
      <c r="D90" s="465"/>
      <c r="E90" s="248"/>
      <c r="F90" s="246"/>
      <c r="G90" s="246"/>
      <c r="H90" s="246"/>
      <c r="I90" s="246"/>
      <c r="J90" s="37"/>
      <c r="K90" s="37"/>
      <c r="L90" s="247"/>
      <c r="M90" s="466"/>
      <c r="N90" s="467"/>
      <c r="O90" s="467"/>
      <c r="P90" s="468"/>
      <c r="Q90" s="468"/>
      <c r="R90" s="468"/>
      <c r="S90" s="469"/>
      <c r="T90" s="469"/>
      <c r="U90" s="469"/>
      <c r="V90" s="469"/>
      <c r="W90" s="470"/>
      <c r="X90" s="471"/>
      <c r="Y90" s="472"/>
      <c r="Z90" s="495"/>
      <c r="AA90" s="495"/>
      <c r="AB90" s="496"/>
      <c r="AC90" s="470"/>
      <c r="AD90" s="473"/>
      <c r="AE90" s="418"/>
      <c r="AF90" s="419"/>
      <c r="AG90" s="420"/>
      <c r="AH90" s="440"/>
      <c r="AI90" s="419"/>
      <c r="AJ90" s="420"/>
      <c r="AK90" s="683"/>
      <c r="AL90" s="684"/>
      <c r="AM90" s="684"/>
      <c r="AN90" s="683"/>
      <c r="AO90" s="683"/>
    </row>
    <row r="91" spans="2:86" ht="13.5" customHeight="1">
      <c r="C91" s="464" t="str">
        <f t="shared" si="6"/>
        <v>W07</v>
      </c>
      <c r="D91" s="465"/>
      <c r="E91" s="232"/>
      <c r="F91" s="233"/>
      <c r="G91" s="233"/>
      <c r="H91" s="233"/>
      <c r="I91" s="233"/>
      <c r="J91" s="37"/>
      <c r="K91" s="37"/>
      <c r="L91" s="234"/>
      <c r="M91" s="477"/>
      <c r="N91" s="468"/>
      <c r="O91" s="468"/>
      <c r="P91" s="468"/>
      <c r="Q91" s="468"/>
      <c r="R91" s="468"/>
      <c r="S91" s="469"/>
      <c r="T91" s="469"/>
      <c r="U91" s="469"/>
      <c r="V91" s="469"/>
      <c r="W91" s="470"/>
      <c r="X91" s="471"/>
      <c r="Y91" s="473"/>
      <c r="Z91" s="418"/>
      <c r="AA91" s="419"/>
      <c r="AB91" s="420"/>
      <c r="AC91" s="470"/>
      <c r="AD91" s="473"/>
      <c r="AE91" s="418"/>
      <c r="AF91" s="419"/>
      <c r="AG91" s="420"/>
      <c r="AH91" s="420"/>
      <c r="AI91" s="420"/>
      <c r="AJ91" s="420"/>
      <c r="AK91" s="683"/>
      <c r="AL91" s="684"/>
      <c r="AM91" s="684"/>
      <c r="AN91" s="683"/>
      <c r="AO91" s="683"/>
    </row>
    <row r="92" spans="2:86" ht="13.5" customHeight="1">
      <c r="C92" s="464" t="str">
        <f t="shared" si="6"/>
        <v>W08</v>
      </c>
      <c r="D92" s="465"/>
      <c r="E92" s="232"/>
      <c r="F92" s="233"/>
      <c r="G92" s="233"/>
      <c r="H92" s="233"/>
      <c r="I92" s="233"/>
      <c r="J92" s="37"/>
      <c r="K92" s="37"/>
      <c r="L92" s="234"/>
      <c r="M92" s="477"/>
      <c r="N92" s="468"/>
      <c r="O92" s="468"/>
      <c r="P92" s="468"/>
      <c r="Q92" s="468"/>
      <c r="R92" s="468"/>
      <c r="S92" s="469"/>
      <c r="T92" s="469"/>
      <c r="U92" s="469"/>
      <c r="V92" s="469"/>
      <c r="W92" s="470"/>
      <c r="X92" s="471"/>
      <c r="Y92" s="473"/>
      <c r="Z92" s="418"/>
      <c r="AA92" s="419"/>
      <c r="AB92" s="420"/>
      <c r="AC92" s="470"/>
      <c r="AD92" s="473"/>
      <c r="AE92" s="418"/>
      <c r="AF92" s="419"/>
      <c r="AG92" s="420"/>
      <c r="AH92" s="420"/>
      <c r="AI92" s="420"/>
      <c r="AJ92" s="420"/>
      <c r="AK92" s="683"/>
      <c r="AL92" s="684"/>
      <c r="AM92" s="684"/>
      <c r="AN92" s="683"/>
      <c r="AO92" s="683"/>
    </row>
    <row r="93" spans="2:86" ht="13.5" customHeight="1">
      <c r="C93" s="464" t="str">
        <f t="shared" si="6"/>
        <v>W09</v>
      </c>
      <c r="D93" s="465"/>
      <c r="E93" s="232"/>
      <c r="F93" s="233"/>
      <c r="G93" s="233"/>
      <c r="H93" s="233"/>
      <c r="I93" s="233"/>
      <c r="J93" s="37"/>
      <c r="K93" s="37"/>
      <c r="L93" s="234"/>
      <c r="M93" s="477"/>
      <c r="N93" s="468"/>
      <c r="O93" s="468"/>
      <c r="P93" s="468"/>
      <c r="Q93" s="468"/>
      <c r="R93" s="468"/>
      <c r="S93" s="469"/>
      <c r="T93" s="469"/>
      <c r="U93" s="469"/>
      <c r="V93" s="469"/>
      <c r="W93" s="470"/>
      <c r="X93" s="471"/>
      <c r="Y93" s="473"/>
      <c r="Z93" s="418"/>
      <c r="AA93" s="419"/>
      <c r="AB93" s="420"/>
      <c r="AC93" s="470"/>
      <c r="AD93" s="473"/>
      <c r="AE93" s="418"/>
      <c r="AF93" s="419"/>
      <c r="AG93" s="420"/>
      <c r="AH93" s="420"/>
      <c r="AI93" s="420"/>
      <c r="AJ93" s="420"/>
      <c r="AK93" s="683"/>
      <c r="AL93" s="684"/>
      <c r="AM93" s="684"/>
      <c r="AN93" s="683"/>
      <c r="AO93" s="683"/>
    </row>
    <row r="94" spans="2:86" ht="13.5" customHeight="1">
      <c r="C94" s="489" t="str">
        <f t="shared" si="6"/>
        <v>W10</v>
      </c>
      <c r="D94" s="490"/>
      <c r="E94" s="18"/>
      <c r="F94" s="238"/>
      <c r="G94" s="238"/>
      <c r="H94" s="238"/>
      <c r="I94" s="238"/>
      <c r="J94" s="239"/>
      <c r="K94" s="239"/>
      <c r="L94" s="240"/>
      <c r="M94" s="681"/>
      <c r="N94" s="491"/>
      <c r="O94" s="491"/>
      <c r="P94" s="491"/>
      <c r="Q94" s="491"/>
      <c r="R94" s="491"/>
      <c r="S94" s="478"/>
      <c r="T94" s="478"/>
      <c r="U94" s="478"/>
      <c r="V94" s="478"/>
      <c r="W94" s="479"/>
      <c r="X94" s="480"/>
      <c r="Y94" s="481"/>
      <c r="Z94" s="421"/>
      <c r="AA94" s="422"/>
      <c r="AB94" s="423"/>
      <c r="AC94" s="479"/>
      <c r="AD94" s="481"/>
      <c r="AE94" s="421"/>
      <c r="AF94" s="422"/>
      <c r="AG94" s="423"/>
      <c r="AH94" s="423"/>
      <c r="AI94" s="423"/>
      <c r="AJ94" s="423"/>
      <c r="AK94" s="691"/>
      <c r="AL94" s="692"/>
      <c r="AM94" s="692"/>
      <c r="AN94" s="691"/>
      <c r="AO94" s="691"/>
    </row>
    <row r="96" spans="2:86" ht="13.5" customHeight="1">
      <c r="B96" s="19" t="s">
        <v>182</v>
      </c>
      <c r="C96" s="9"/>
      <c r="D96" s="9"/>
      <c r="E96" s="9"/>
      <c r="F96" s="9"/>
      <c r="G96" s="9"/>
      <c r="H96" s="9"/>
      <c r="I96" s="9"/>
      <c r="J96" s="9"/>
      <c r="K96" s="9"/>
      <c r="L96" s="2"/>
      <c r="M96" s="2"/>
      <c r="N96" s="2"/>
      <c r="O96" s="2"/>
      <c r="P96" s="2"/>
      <c r="Q96" s="2"/>
      <c r="X96" s="100"/>
      <c r="Y96" s="35"/>
      <c r="Z96" s="36"/>
      <c r="AA96" s="87"/>
      <c r="AB96" s="87"/>
      <c r="AC96" s="87"/>
      <c r="AD96" s="41"/>
      <c r="AE96" s="99"/>
      <c r="AF96" s="99"/>
      <c r="AG96" s="99"/>
      <c r="AH96" s="99"/>
      <c r="AI96" s="99"/>
      <c r="AJ96" s="13"/>
      <c r="AK96" s="39"/>
      <c r="AL96" s="39"/>
      <c r="AM96" s="39"/>
      <c r="AN96" s="39"/>
      <c r="AO96" s="20"/>
    </row>
    <row r="97" spans="2:41" ht="13.5" customHeight="1">
      <c r="B97" s="19"/>
      <c r="C97" s="9" t="s">
        <v>128</v>
      </c>
      <c r="D97" s="9"/>
      <c r="E97" s="9"/>
      <c r="F97" s="9"/>
      <c r="G97" s="9"/>
      <c r="H97" s="9"/>
      <c r="I97" s="9"/>
      <c r="J97" s="9"/>
      <c r="K97" s="9"/>
      <c r="L97" s="2"/>
      <c r="M97" s="2"/>
      <c r="N97" s="2"/>
      <c r="O97" s="2"/>
      <c r="P97" s="2"/>
      <c r="Q97" s="2"/>
      <c r="X97" s="100"/>
      <c r="Y97" s="35"/>
      <c r="Z97" s="36"/>
      <c r="AA97" s="87"/>
      <c r="AB97" s="87"/>
      <c r="AC97" s="87"/>
      <c r="AD97" s="41"/>
      <c r="AE97" s="99"/>
      <c r="AF97" s="99"/>
      <c r="AG97" s="99"/>
      <c r="AH97" s="99"/>
      <c r="AI97" s="99"/>
      <c r="AJ97" s="13"/>
      <c r="AK97" s="39"/>
      <c r="AL97" s="39"/>
      <c r="AM97" s="39"/>
      <c r="AN97" s="39"/>
      <c r="AO97" s="20" t="s">
        <v>127</v>
      </c>
    </row>
    <row r="98" spans="2:41" ht="13.5" customHeight="1">
      <c r="C98" s="462" t="s">
        <v>126</v>
      </c>
      <c r="D98" s="463"/>
      <c r="E98" s="462" t="s">
        <v>71</v>
      </c>
      <c r="F98" s="463"/>
      <c r="G98" s="463"/>
      <c r="H98" s="463"/>
      <c r="I98" s="463"/>
      <c r="J98" s="463"/>
      <c r="K98" s="462" t="s">
        <v>85</v>
      </c>
      <c r="L98" s="462"/>
      <c r="M98" s="462"/>
      <c r="N98" s="462"/>
      <c r="O98" s="462"/>
      <c r="P98" s="462"/>
      <c r="Q98" s="462"/>
      <c r="R98" s="462"/>
      <c r="S98" s="462"/>
      <c r="T98" s="462"/>
      <c r="U98" s="462"/>
      <c r="V98" s="462"/>
      <c r="W98" s="462"/>
      <c r="X98" s="462"/>
      <c r="Y98" s="462"/>
      <c r="Z98" s="462"/>
      <c r="AA98" s="462"/>
      <c r="AB98" s="462"/>
      <c r="AC98" s="462"/>
      <c r="AD98" s="462"/>
      <c r="AE98" s="462"/>
      <c r="AF98" s="462"/>
      <c r="AG98" s="462"/>
      <c r="AH98" s="462"/>
      <c r="AI98" s="462"/>
      <c r="AJ98" s="456" t="s">
        <v>125</v>
      </c>
      <c r="AK98" s="527"/>
      <c r="AL98" s="527"/>
      <c r="AM98" s="527"/>
      <c r="AN98" s="527"/>
      <c r="AO98" s="457"/>
    </row>
    <row r="99" spans="2:41" ht="13.5" customHeight="1">
      <c r="C99" s="463"/>
      <c r="D99" s="463"/>
      <c r="E99" s="463"/>
      <c r="F99" s="463"/>
      <c r="G99" s="463"/>
      <c r="H99" s="463"/>
      <c r="I99" s="463"/>
      <c r="J99" s="463"/>
      <c r="K99" s="462" t="s">
        <v>69</v>
      </c>
      <c r="L99" s="462"/>
      <c r="M99" s="462"/>
      <c r="N99" s="462"/>
      <c r="O99" s="462"/>
      <c r="P99" s="462"/>
      <c r="Q99" s="462"/>
      <c r="R99" s="462"/>
      <c r="S99" s="462" t="s">
        <v>124</v>
      </c>
      <c r="T99" s="462"/>
      <c r="U99" s="462"/>
      <c r="V99" s="462" t="s">
        <v>123</v>
      </c>
      <c r="W99" s="462"/>
      <c r="X99" s="462"/>
      <c r="Y99" s="462"/>
      <c r="Z99" s="600" t="s">
        <v>122</v>
      </c>
      <c r="AA99" s="521"/>
      <c r="AB99" s="521"/>
      <c r="AC99" s="521"/>
      <c r="AD99" s="462" t="s">
        <v>121</v>
      </c>
      <c r="AE99" s="462"/>
      <c r="AF99" s="462"/>
      <c r="AG99" s="462"/>
      <c r="AH99" s="462"/>
      <c r="AI99" s="462"/>
      <c r="AJ99" s="602"/>
      <c r="AK99" s="603"/>
      <c r="AL99" s="603"/>
      <c r="AM99" s="603"/>
      <c r="AN99" s="603"/>
      <c r="AO99" s="604"/>
    </row>
    <row r="100" spans="2:41" ht="13.5" customHeight="1">
      <c r="C100" s="456" t="s">
        <v>120</v>
      </c>
      <c r="D100" s="457"/>
      <c r="E100" s="91" t="s">
        <v>79</v>
      </c>
      <c r="F100" s="92"/>
      <c r="G100" s="92"/>
      <c r="H100" s="92"/>
      <c r="I100" s="92"/>
      <c r="J100" s="92"/>
      <c r="K100" s="91" t="s">
        <v>119</v>
      </c>
      <c r="L100" s="92"/>
      <c r="M100" s="92"/>
      <c r="N100" s="92"/>
      <c r="O100" s="92"/>
      <c r="P100" s="92"/>
      <c r="Q100" s="92"/>
      <c r="R100" s="92"/>
      <c r="S100" s="453">
        <v>20</v>
      </c>
      <c r="T100" s="454"/>
      <c r="U100" s="455"/>
      <c r="V100" s="453"/>
      <c r="W100" s="454"/>
      <c r="X100" s="454"/>
      <c r="Y100" s="455"/>
      <c r="Z100" s="458">
        <v>23</v>
      </c>
      <c r="AA100" s="459"/>
      <c r="AB100" s="459"/>
      <c r="AC100" s="460"/>
      <c r="AD100" s="446">
        <f>Z100*S100*IF(V100=0,1,V100/1000)</f>
        <v>460</v>
      </c>
      <c r="AE100" s="443"/>
      <c r="AF100" s="461"/>
      <c r="AG100" s="442"/>
      <c r="AH100" s="443"/>
      <c r="AI100" s="444"/>
      <c r="AJ100" s="91"/>
      <c r="AK100" s="92"/>
      <c r="AL100" s="92"/>
      <c r="AM100" s="92"/>
      <c r="AN100" s="92"/>
      <c r="AO100" s="93"/>
    </row>
    <row r="101" spans="2:41" ht="13.5" customHeight="1">
      <c r="C101" s="94"/>
      <c r="D101" s="95"/>
      <c r="E101" s="94"/>
      <c r="F101" s="95"/>
      <c r="G101" s="95"/>
      <c r="H101" s="95"/>
      <c r="I101" s="95"/>
      <c r="J101" s="95"/>
      <c r="K101" s="29"/>
      <c r="L101" s="95"/>
      <c r="M101" s="95"/>
      <c r="N101" s="95"/>
      <c r="O101" s="95"/>
      <c r="P101" s="95"/>
      <c r="Q101" s="95"/>
      <c r="R101" s="95"/>
      <c r="S101" s="434"/>
      <c r="T101" s="435"/>
      <c r="U101" s="436"/>
      <c r="V101" s="434"/>
      <c r="W101" s="435"/>
      <c r="X101" s="435"/>
      <c r="Y101" s="436"/>
      <c r="Z101" s="437"/>
      <c r="AA101" s="438"/>
      <c r="AB101" s="438"/>
      <c r="AC101" s="439"/>
      <c r="AD101" s="440"/>
      <c r="AE101" s="419"/>
      <c r="AF101" s="441"/>
      <c r="AG101" s="418"/>
      <c r="AH101" s="419"/>
      <c r="AI101" s="420"/>
      <c r="AJ101" s="94"/>
      <c r="AK101" s="95"/>
      <c r="AL101" s="95"/>
      <c r="AM101" s="95"/>
      <c r="AN101" s="95"/>
      <c r="AO101" s="96"/>
    </row>
    <row r="102" spans="2:41" ht="13.5" customHeight="1">
      <c r="C102" s="171"/>
      <c r="D102" s="172"/>
      <c r="E102" s="171"/>
      <c r="F102" s="172"/>
      <c r="G102" s="172"/>
      <c r="H102" s="172"/>
      <c r="I102" s="172"/>
      <c r="J102" s="172"/>
      <c r="K102" s="29"/>
      <c r="L102" s="95"/>
      <c r="M102" s="95"/>
      <c r="N102" s="95"/>
      <c r="O102" s="95"/>
      <c r="P102" s="95"/>
      <c r="Q102" s="95"/>
      <c r="R102" s="95"/>
      <c r="S102" s="434"/>
      <c r="T102" s="435"/>
      <c r="U102" s="436"/>
      <c r="V102" s="434"/>
      <c r="W102" s="435"/>
      <c r="X102" s="435"/>
      <c r="Y102" s="436"/>
      <c r="Z102" s="437"/>
      <c r="AA102" s="438"/>
      <c r="AB102" s="438"/>
      <c r="AC102" s="439"/>
      <c r="AD102" s="440"/>
      <c r="AE102" s="419"/>
      <c r="AF102" s="441"/>
      <c r="AG102" s="418"/>
      <c r="AH102" s="419"/>
      <c r="AI102" s="420"/>
      <c r="AJ102" s="171"/>
      <c r="AK102" s="172"/>
      <c r="AL102" s="172"/>
      <c r="AM102" s="172"/>
      <c r="AN102" s="172"/>
      <c r="AO102" s="182"/>
    </row>
    <row r="103" spans="2:41" ht="13.5" customHeight="1">
      <c r="C103" s="88"/>
      <c r="D103" s="89"/>
      <c r="E103" s="88"/>
      <c r="F103" s="89"/>
      <c r="G103" s="89"/>
      <c r="H103" s="89"/>
      <c r="I103" s="89"/>
      <c r="J103" s="89"/>
      <c r="K103" s="33"/>
      <c r="L103" s="89"/>
      <c r="M103" s="89"/>
      <c r="N103" s="89"/>
      <c r="O103" s="89"/>
      <c r="P103" s="89"/>
      <c r="Q103" s="89"/>
      <c r="R103" s="89"/>
      <c r="S103" s="426"/>
      <c r="T103" s="427"/>
      <c r="U103" s="428"/>
      <c r="V103" s="426"/>
      <c r="W103" s="427"/>
      <c r="X103" s="427"/>
      <c r="Y103" s="428"/>
      <c r="Z103" s="450"/>
      <c r="AA103" s="451"/>
      <c r="AB103" s="451"/>
      <c r="AC103" s="452"/>
      <c r="AD103" s="424"/>
      <c r="AE103" s="422"/>
      <c r="AF103" s="425"/>
      <c r="AG103" s="421">
        <f>CEILING(SUM(AD100:AF103),50)</f>
        <v>500</v>
      </c>
      <c r="AH103" s="422"/>
      <c r="AI103" s="423"/>
      <c r="AJ103" s="88"/>
      <c r="AK103" s="89"/>
      <c r="AL103" s="89"/>
      <c r="AM103" s="89"/>
      <c r="AN103" s="89"/>
      <c r="AO103" s="90"/>
    </row>
    <row r="104" spans="2:41" ht="13.5" customHeight="1">
      <c r="C104" s="456" t="str">
        <f>LEFT(C100,2)&amp;RIGHT("0"&amp;(RIGHT(C100,2)+1),2)</f>
        <v>KL02</v>
      </c>
      <c r="D104" s="457"/>
      <c r="E104" s="91" t="s">
        <v>79</v>
      </c>
      <c r="F104" s="92"/>
      <c r="G104" s="92"/>
      <c r="H104" s="92"/>
      <c r="I104" s="92"/>
      <c r="J104" s="92"/>
      <c r="K104" s="91" t="s">
        <v>168</v>
      </c>
      <c r="L104" s="92"/>
      <c r="M104" s="92"/>
      <c r="N104" s="92"/>
      <c r="O104" s="92"/>
      <c r="P104" s="92"/>
      <c r="Q104" s="92"/>
      <c r="R104" s="92"/>
      <c r="S104" s="453">
        <v>50</v>
      </c>
      <c r="T104" s="454"/>
      <c r="U104" s="455"/>
      <c r="V104" s="453"/>
      <c r="W104" s="454"/>
      <c r="X104" s="454"/>
      <c r="Y104" s="455"/>
      <c r="Z104" s="458">
        <v>23</v>
      </c>
      <c r="AA104" s="459"/>
      <c r="AB104" s="459"/>
      <c r="AC104" s="460"/>
      <c r="AD104" s="446">
        <f>Z104*S104*IF(V104=0,1,V104/1000)</f>
        <v>1150</v>
      </c>
      <c r="AE104" s="443"/>
      <c r="AF104" s="461"/>
      <c r="AG104" s="442"/>
      <c r="AH104" s="443"/>
      <c r="AI104" s="444"/>
      <c r="AJ104" s="91"/>
      <c r="AK104" s="92"/>
      <c r="AL104" s="92"/>
      <c r="AM104" s="92"/>
      <c r="AN104" s="92"/>
      <c r="AO104" s="93"/>
    </row>
    <row r="105" spans="2:41" ht="13.5" customHeight="1">
      <c r="C105" s="34"/>
      <c r="D105" s="44"/>
      <c r="E105" s="94"/>
      <c r="F105" s="95"/>
      <c r="G105" s="95"/>
      <c r="H105" s="95"/>
      <c r="I105" s="95"/>
      <c r="J105" s="95"/>
      <c r="K105" s="29"/>
      <c r="L105" s="95"/>
      <c r="M105" s="95"/>
      <c r="N105" s="95"/>
      <c r="O105" s="95"/>
      <c r="P105" s="95"/>
      <c r="Q105" s="95"/>
      <c r="R105" s="95"/>
      <c r="S105" s="434"/>
      <c r="T105" s="435"/>
      <c r="U105" s="436"/>
      <c r="V105" s="434"/>
      <c r="W105" s="435"/>
      <c r="X105" s="435"/>
      <c r="Y105" s="436"/>
      <c r="Z105" s="437"/>
      <c r="AA105" s="438"/>
      <c r="AB105" s="438"/>
      <c r="AC105" s="439"/>
      <c r="AD105" s="440"/>
      <c r="AE105" s="419"/>
      <c r="AF105" s="441"/>
      <c r="AG105" s="418"/>
      <c r="AH105" s="419"/>
      <c r="AI105" s="420"/>
      <c r="AJ105" s="94"/>
      <c r="AK105" s="95"/>
      <c r="AL105" s="95"/>
      <c r="AM105" s="95"/>
      <c r="AN105" s="95"/>
      <c r="AO105" s="96"/>
    </row>
    <row r="106" spans="2:41" ht="13.5" customHeight="1">
      <c r="C106" s="183"/>
      <c r="D106" s="184"/>
      <c r="E106" s="171"/>
      <c r="F106" s="172"/>
      <c r="G106" s="172"/>
      <c r="H106" s="172"/>
      <c r="I106" s="172"/>
      <c r="J106" s="172"/>
      <c r="K106" s="29"/>
      <c r="L106" s="95"/>
      <c r="M106" s="95"/>
      <c r="N106" s="95"/>
      <c r="O106" s="95"/>
      <c r="P106" s="95"/>
      <c r="Q106" s="95"/>
      <c r="R106" s="95"/>
      <c r="S106" s="434"/>
      <c r="T106" s="435"/>
      <c r="U106" s="436"/>
      <c r="V106" s="434"/>
      <c r="W106" s="435"/>
      <c r="X106" s="435"/>
      <c r="Y106" s="436"/>
      <c r="Z106" s="437"/>
      <c r="AA106" s="438"/>
      <c r="AB106" s="438"/>
      <c r="AC106" s="439"/>
      <c r="AD106" s="440"/>
      <c r="AE106" s="419"/>
      <c r="AF106" s="441"/>
      <c r="AG106" s="418"/>
      <c r="AH106" s="419"/>
      <c r="AI106" s="420"/>
      <c r="AJ106" s="171"/>
      <c r="AK106" s="172"/>
      <c r="AL106" s="172"/>
      <c r="AM106" s="172"/>
      <c r="AN106" s="172"/>
      <c r="AO106" s="182"/>
    </row>
    <row r="107" spans="2:41" ht="13.5" customHeight="1">
      <c r="C107" s="88"/>
      <c r="D107" s="89"/>
      <c r="E107" s="88"/>
      <c r="F107" s="89"/>
      <c r="G107" s="89"/>
      <c r="H107" s="89"/>
      <c r="I107" s="89"/>
      <c r="J107" s="89"/>
      <c r="K107" s="33"/>
      <c r="L107" s="89"/>
      <c r="M107" s="89"/>
      <c r="N107" s="89"/>
      <c r="O107" s="89"/>
      <c r="P107" s="89"/>
      <c r="Q107" s="89"/>
      <c r="R107" s="89"/>
      <c r="S107" s="426"/>
      <c r="T107" s="427"/>
      <c r="U107" s="428"/>
      <c r="V107" s="426"/>
      <c r="W107" s="427"/>
      <c r="X107" s="427"/>
      <c r="Y107" s="428"/>
      <c r="Z107" s="450"/>
      <c r="AA107" s="451"/>
      <c r="AB107" s="451"/>
      <c r="AC107" s="452"/>
      <c r="AD107" s="424"/>
      <c r="AE107" s="422"/>
      <c r="AF107" s="425"/>
      <c r="AG107" s="421">
        <f>CEILING(SUM(AD104:AF107),50)</f>
        <v>1150</v>
      </c>
      <c r="AH107" s="422"/>
      <c r="AI107" s="423"/>
      <c r="AJ107" s="88"/>
      <c r="AK107" s="89"/>
      <c r="AL107" s="89"/>
      <c r="AM107" s="89"/>
      <c r="AN107" s="89"/>
      <c r="AO107" s="90"/>
    </row>
    <row r="108" spans="2:41" ht="13.5" customHeight="1">
      <c r="C108" s="456" t="str">
        <f>LEFT(C104,2)&amp;RIGHT("0"&amp;(RIGHT(C104,2)+1),2)</f>
        <v>KL03</v>
      </c>
      <c r="D108" s="457"/>
      <c r="E108" s="91"/>
      <c r="F108" s="92"/>
      <c r="G108" s="92"/>
      <c r="H108" s="92"/>
      <c r="I108" s="92"/>
      <c r="J108" s="92"/>
      <c r="K108" s="91"/>
      <c r="L108" s="92"/>
      <c r="M108" s="92"/>
      <c r="N108" s="92"/>
      <c r="O108" s="92"/>
      <c r="P108" s="92"/>
      <c r="Q108" s="92"/>
      <c r="R108" s="92"/>
      <c r="S108" s="453"/>
      <c r="T108" s="454"/>
      <c r="U108" s="455"/>
      <c r="V108" s="453"/>
      <c r="W108" s="454"/>
      <c r="X108" s="454"/>
      <c r="Y108" s="455"/>
      <c r="Z108" s="458"/>
      <c r="AA108" s="459"/>
      <c r="AB108" s="459"/>
      <c r="AC108" s="460"/>
      <c r="AD108" s="446"/>
      <c r="AE108" s="443"/>
      <c r="AF108" s="461"/>
      <c r="AG108" s="442"/>
      <c r="AH108" s="443"/>
      <c r="AI108" s="444"/>
      <c r="AJ108" s="91"/>
      <c r="AK108" s="92"/>
      <c r="AL108" s="92"/>
      <c r="AM108" s="92"/>
      <c r="AN108" s="92"/>
      <c r="AO108" s="93"/>
    </row>
    <row r="109" spans="2:41" ht="13.5" customHeight="1">
      <c r="C109" s="94"/>
      <c r="D109" s="95"/>
      <c r="E109" s="94"/>
      <c r="F109" s="95"/>
      <c r="G109" s="95"/>
      <c r="H109" s="95"/>
      <c r="I109" s="95"/>
      <c r="J109" s="95"/>
      <c r="K109" s="29"/>
      <c r="L109" s="95"/>
      <c r="M109" s="95"/>
      <c r="N109" s="95"/>
      <c r="O109" s="95"/>
      <c r="P109" s="95"/>
      <c r="Q109" s="95"/>
      <c r="R109" s="95"/>
      <c r="S109" s="434"/>
      <c r="T109" s="435"/>
      <c r="U109" s="436"/>
      <c r="V109" s="434"/>
      <c r="W109" s="435"/>
      <c r="X109" s="435"/>
      <c r="Y109" s="436"/>
      <c r="Z109" s="437"/>
      <c r="AA109" s="438"/>
      <c r="AB109" s="438"/>
      <c r="AC109" s="439"/>
      <c r="AD109" s="440"/>
      <c r="AE109" s="419"/>
      <c r="AF109" s="441"/>
      <c r="AG109" s="418"/>
      <c r="AH109" s="419"/>
      <c r="AI109" s="420"/>
      <c r="AJ109" s="94"/>
      <c r="AK109" s="95"/>
      <c r="AL109" s="95"/>
      <c r="AM109" s="95"/>
      <c r="AN109" s="95"/>
      <c r="AO109" s="96"/>
    </row>
    <row r="110" spans="2:41" ht="13.5" customHeight="1">
      <c r="C110" s="171"/>
      <c r="D110" s="172"/>
      <c r="E110" s="171"/>
      <c r="F110" s="172"/>
      <c r="G110" s="172"/>
      <c r="H110" s="172"/>
      <c r="I110" s="172"/>
      <c r="J110" s="172"/>
      <c r="K110" s="29"/>
      <c r="L110" s="95"/>
      <c r="M110" s="95"/>
      <c r="N110" s="95"/>
      <c r="O110" s="95"/>
      <c r="P110" s="95"/>
      <c r="Q110" s="95"/>
      <c r="R110" s="95"/>
      <c r="S110" s="434"/>
      <c r="T110" s="435"/>
      <c r="U110" s="436"/>
      <c r="V110" s="434"/>
      <c r="W110" s="435"/>
      <c r="X110" s="435"/>
      <c r="Y110" s="436"/>
      <c r="Z110" s="437"/>
      <c r="AA110" s="438"/>
      <c r="AB110" s="438"/>
      <c r="AC110" s="439"/>
      <c r="AD110" s="440"/>
      <c r="AE110" s="419"/>
      <c r="AF110" s="441"/>
      <c r="AG110" s="418"/>
      <c r="AH110" s="419"/>
      <c r="AI110" s="420"/>
      <c r="AJ110" s="171"/>
      <c r="AK110" s="172"/>
      <c r="AL110" s="172"/>
      <c r="AM110" s="172"/>
      <c r="AN110" s="172"/>
      <c r="AO110" s="182"/>
    </row>
    <row r="111" spans="2:41" ht="13.5" customHeight="1">
      <c r="C111" s="88"/>
      <c r="D111" s="89"/>
      <c r="E111" s="88"/>
      <c r="F111" s="89"/>
      <c r="G111" s="89"/>
      <c r="H111" s="89"/>
      <c r="I111" s="89"/>
      <c r="J111" s="89"/>
      <c r="K111" s="33"/>
      <c r="L111" s="89"/>
      <c r="M111" s="89"/>
      <c r="N111" s="89"/>
      <c r="O111" s="89"/>
      <c r="P111" s="89"/>
      <c r="Q111" s="89"/>
      <c r="R111" s="89"/>
      <c r="S111" s="426"/>
      <c r="T111" s="427"/>
      <c r="U111" s="428"/>
      <c r="V111" s="426"/>
      <c r="W111" s="427"/>
      <c r="X111" s="427"/>
      <c r="Y111" s="428"/>
      <c r="Z111" s="450"/>
      <c r="AA111" s="451"/>
      <c r="AB111" s="451"/>
      <c r="AC111" s="452"/>
      <c r="AD111" s="424"/>
      <c r="AE111" s="422"/>
      <c r="AF111" s="425"/>
      <c r="AG111" s="421"/>
      <c r="AH111" s="422"/>
      <c r="AI111" s="423"/>
      <c r="AJ111" s="88"/>
      <c r="AK111" s="89"/>
      <c r="AL111" s="89"/>
      <c r="AM111" s="89"/>
      <c r="AN111" s="89"/>
      <c r="AO111" s="90"/>
    </row>
    <row r="112" spans="2:41" ht="13.5" customHeight="1">
      <c r="C112" s="456" t="str">
        <f>LEFT(C108,2)&amp;RIGHT("0"&amp;(RIGHT(C108,2)+1),2)</f>
        <v>KL04</v>
      </c>
      <c r="D112" s="457"/>
      <c r="E112" s="91"/>
      <c r="F112" s="92"/>
      <c r="G112" s="92"/>
      <c r="H112" s="92"/>
      <c r="I112" s="92"/>
      <c r="J112" s="92"/>
      <c r="K112" s="91"/>
      <c r="L112" s="92"/>
      <c r="M112" s="92"/>
      <c r="N112" s="92"/>
      <c r="O112" s="92"/>
      <c r="P112" s="92"/>
      <c r="Q112" s="92"/>
      <c r="R112" s="92"/>
      <c r="S112" s="453"/>
      <c r="T112" s="454"/>
      <c r="U112" s="455"/>
      <c r="V112" s="453"/>
      <c r="W112" s="454"/>
      <c r="X112" s="454"/>
      <c r="Y112" s="455"/>
      <c r="Z112" s="458"/>
      <c r="AA112" s="459"/>
      <c r="AB112" s="459"/>
      <c r="AC112" s="460"/>
      <c r="AD112" s="446"/>
      <c r="AE112" s="443"/>
      <c r="AF112" s="461"/>
      <c r="AG112" s="442"/>
      <c r="AH112" s="443"/>
      <c r="AI112" s="444"/>
      <c r="AJ112" s="91"/>
      <c r="AK112" s="92"/>
      <c r="AL112" s="92"/>
      <c r="AM112" s="92"/>
      <c r="AN112" s="92"/>
      <c r="AO112" s="93"/>
    </row>
    <row r="113" spans="3:41" ht="13.5" customHeight="1">
      <c r="C113" s="94"/>
      <c r="D113" s="95"/>
      <c r="E113" s="94"/>
      <c r="F113" s="95"/>
      <c r="G113" s="95"/>
      <c r="H113" s="95"/>
      <c r="I113" s="95"/>
      <c r="J113" s="95"/>
      <c r="K113" s="29"/>
      <c r="L113" s="95"/>
      <c r="M113" s="95"/>
      <c r="N113" s="95"/>
      <c r="O113" s="95"/>
      <c r="P113" s="95"/>
      <c r="Q113" s="95"/>
      <c r="R113" s="95"/>
      <c r="S113" s="434"/>
      <c r="T113" s="435"/>
      <c r="U113" s="436"/>
      <c r="V113" s="434"/>
      <c r="W113" s="435"/>
      <c r="X113" s="435"/>
      <c r="Y113" s="436"/>
      <c r="Z113" s="437"/>
      <c r="AA113" s="438"/>
      <c r="AB113" s="438"/>
      <c r="AC113" s="439"/>
      <c r="AD113" s="440"/>
      <c r="AE113" s="419"/>
      <c r="AF113" s="441"/>
      <c r="AG113" s="418"/>
      <c r="AH113" s="419"/>
      <c r="AI113" s="420"/>
      <c r="AJ113" s="94"/>
      <c r="AK113" s="95"/>
      <c r="AL113" s="95"/>
      <c r="AM113" s="95"/>
      <c r="AN113" s="95"/>
      <c r="AO113" s="96"/>
    </row>
    <row r="114" spans="3:41" ht="13.5" customHeight="1">
      <c r="C114" s="171"/>
      <c r="D114" s="172"/>
      <c r="E114" s="171"/>
      <c r="F114" s="172"/>
      <c r="G114" s="172"/>
      <c r="H114" s="172"/>
      <c r="I114" s="172"/>
      <c r="J114" s="172"/>
      <c r="K114" s="29"/>
      <c r="L114" s="95"/>
      <c r="M114" s="95"/>
      <c r="N114" s="95"/>
      <c r="O114" s="95"/>
      <c r="P114" s="95"/>
      <c r="Q114" s="95"/>
      <c r="R114" s="95"/>
      <c r="S114" s="434"/>
      <c r="T114" s="435"/>
      <c r="U114" s="436"/>
      <c r="V114" s="434"/>
      <c r="W114" s="435"/>
      <c r="X114" s="435"/>
      <c r="Y114" s="436"/>
      <c r="Z114" s="437"/>
      <c r="AA114" s="438"/>
      <c r="AB114" s="438"/>
      <c r="AC114" s="439"/>
      <c r="AD114" s="440"/>
      <c r="AE114" s="419"/>
      <c r="AF114" s="441"/>
      <c r="AG114" s="418"/>
      <c r="AH114" s="419"/>
      <c r="AI114" s="420"/>
      <c r="AJ114" s="171"/>
      <c r="AK114" s="172"/>
      <c r="AL114" s="172"/>
      <c r="AM114" s="172"/>
      <c r="AN114" s="172"/>
      <c r="AO114" s="182"/>
    </row>
    <row r="115" spans="3:41" ht="13.5" customHeight="1">
      <c r="C115" s="88"/>
      <c r="D115" s="89"/>
      <c r="E115" s="88"/>
      <c r="F115" s="89"/>
      <c r="G115" s="89"/>
      <c r="H115" s="89"/>
      <c r="I115" s="89"/>
      <c r="J115" s="89"/>
      <c r="K115" s="33"/>
      <c r="L115" s="89"/>
      <c r="M115" s="89"/>
      <c r="N115" s="89"/>
      <c r="O115" s="89"/>
      <c r="P115" s="89"/>
      <c r="Q115" s="89"/>
      <c r="R115" s="89"/>
      <c r="S115" s="426"/>
      <c r="T115" s="427"/>
      <c r="U115" s="428"/>
      <c r="V115" s="426"/>
      <c r="W115" s="427"/>
      <c r="X115" s="427"/>
      <c r="Y115" s="428"/>
      <c r="Z115" s="450"/>
      <c r="AA115" s="451"/>
      <c r="AB115" s="451"/>
      <c r="AC115" s="452"/>
      <c r="AD115" s="424"/>
      <c r="AE115" s="422"/>
      <c r="AF115" s="425"/>
      <c r="AG115" s="421"/>
      <c r="AH115" s="422"/>
      <c r="AI115" s="423"/>
      <c r="AJ115" s="88"/>
      <c r="AK115" s="89"/>
      <c r="AL115" s="89"/>
      <c r="AM115" s="89"/>
      <c r="AN115" s="89"/>
      <c r="AO115" s="90"/>
    </row>
    <row r="116" spans="3:41" ht="13.5" customHeight="1">
      <c r="C116" s="456" t="str">
        <f>LEFT(C112,2)&amp;RIGHT("0"&amp;(RIGHT(C112,2)+1),2)</f>
        <v>KL05</v>
      </c>
      <c r="D116" s="457"/>
      <c r="E116" s="91"/>
      <c r="F116" s="92"/>
      <c r="G116" s="92"/>
      <c r="H116" s="92"/>
      <c r="I116" s="92"/>
      <c r="J116" s="92"/>
      <c r="K116" s="91"/>
      <c r="L116" s="92"/>
      <c r="M116" s="92"/>
      <c r="N116" s="92"/>
      <c r="O116" s="92"/>
      <c r="P116" s="92"/>
      <c r="Q116" s="92"/>
      <c r="R116" s="92"/>
      <c r="S116" s="453"/>
      <c r="T116" s="454"/>
      <c r="U116" s="455"/>
      <c r="V116" s="453"/>
      <c r="W116" s="454"/>
      <c r="X116" s="454"/>
      <c r="Y116" s="455"/>
      <c r="Z116" s="458"/>
      <c r="AA116" s="459"/>
      <c r="AB116" s="459"/>
      <c r="AC116" s="460"/>
      <c r="AD116" s="446"/>
      <c r="AE116" s="443"/>
      <c r="AF116" s="461"/>
      <c r="AG116" s="442"/>
      <c r="AH116" s="443"/>
      <c r="AI116" s="444"/>
      <c r="AJ116" s="91"/>
      <c r="AK116" s="92"/>
      <c r="AL116" s="92"/>
      <c r="AM116" s="92"/>
      <c r="AN116" s="92"/>
      <c r="AO116" s="93"/>
    </row>
    <row r="117" spans="3:41" ht="13.5" customHeight="1">
      <c r="C117" s="94"/>
      <c r="D117" s="95"/>
      <c r="E117" s="94"/>
      <c r="F117" s="95"/>
      <c r="G117" s="95"/>
      <c r="H117" s="95"/>
      <c r="I117" s="95"/>
      <c r="J117" s="95"/>
      <c r="K117" s="29"/>
      <c r="L117" s="95"/>
      <c r="M117" s="95"/>
      <c r="N117" s="95"/>
      <c r="O117" s="95"/>
      <c r="P117" s="95"/>
      <c r="Q117" s="95"/>
      <c r="R117" s="95"/>
      <c r="S117" s="434"/>
      <c r="T117" s="435"/>
      <c r="U117" s="436"/>
      <c r="V117" s="434"/>
      <c r="W117" s="435"/>
      <c r="X117" s="435"/>
      <c r="Y117" s="436"/>
      <c r="Z117" s="437"/>
      <c r="AA117" s="438"/>
      <c r="AB117" s="438"/>
      <c r="AC117" s="439"/>
      <c r="AD117" s="440"/>
      <c r="AE117" s="419"/>
      <c r="AF117" s="441"/>
      <c r="AG117" s="418"/>
      <c r="AH117" s="419"/>
      <c r="AI117" s="420"/>
      <c r="AJ117" s="94"/>
      <c r="AK117" s="95"/>
      <c r="AL117" s="95"/>
      <c r="AM117" s="95"/>
      <c r="AN117" s="95"/>
      <c r="AO117" s="96"/>
    </row>
    <row r="118" spans="3:41" ht="13.5" customHeight="1">
      <c r="C118" s="171"/>
      <c r="D118" s="172"/>
      <c r="E118" s="171"/>
      <c r="F118" s="172"/>
      <c r="G118" s="172"/>
      <c r="H118" s="172"/>
      <c r="I118" s="172"/>
      <c r="J118" s="172"/>
      <c r="K118" s="29"/>
      <c r="L118" s="95"/>
      <c r="M118" s="95"/>
      <c r="N118" s="95"/>
      <c r="O118" s="95"/>
      <c r="P118" s="95"/>
      <c r="Q118" s="95"/>
      <c r="R118" s="95"/>
      <c r="S118" s="434"/>
      <c r="T118" s="435"/>
      <c r="U118" s="436"/>
      <c r="V118" s="434"/>
      <c r="W118" s="435"/>
      <c r="X118" s="435"/>
      <c r="Y118" s="436"/>
      <c r="Z118" s="437"/>
      <c r="AA118" s="438"/>
      <c r="AB118" s="438"/>
      <c r="AC118" s="439"/>
      <c r="AD118" s="440"/>
      <c r="AE118" s="419"/>
      <c r="AF118" s="441"/>
      <c r="AG118" s="418"/>
      <c r="AH118" s="419"/>
      <c r="AI118" s="420"/>
      <c r="AJ118" s="171"/>
      <c r="AK118" s="172"/>
      <c r="AL118" s="172"/>
      <c r="AM118" s="172"/>
      <c r="AN118" s="172"/>
      <c r="AO118" s="182"/>
    </row>
    <row r="119" spans="3:41" ht="13.5" customHeight="1">
      <c r="C119" s="88"/>
      <c r="D119" s="89"/>
      <c r="E119" s="88"/>
      <c r="F119" s="89"/>
      <c r="G119" s="89"/>
      <c r="H119" s="89"/>
      <c r="I119" s="89"/>
      <c r="J119" s="89"/>
      <c r="K119" s="33"/>
      <c r="L119" s="89"/>
      <c r="M119" s="89"/>
      <c r="N119" s="89"/>
      <c r="O119" s="89"/>
      <c r="P119" s="89"/>
      <c r="Q119" s="89"/>
      <c r="R119" s="89"/>
      <c r="S119" s="426"/>
      <c r="T119" s="427"/>
      <c r="U119" s="428"/>
      <c r="V119" s="426"/>
      <c r="W119" s="427"/>
      <c r="X119" s="427"/>
      <c r="Y119" s="428"/>
      <c r="Z119" s="450"/>
      <c r="AA119" s="451"/>
      <c r="AB119" s="451"/>
      <c r="AC119" s="452"/>
      <c r="AD119" s="424"/>
      <c r="AE119" s="422"/>
      <c r="AF119" s="425"/>
      <c r="AG119" s="421"/>
      <c r="AH119" s="422"/>
      <c r="AI119" s="423"/>
      <c r="AJ119" s="88"/>
      <c r="AK119" s="89"/>
      <c r="AL119" s="89"/>
      <c r="AM119" s="89"/>
      <c r="AN119" s="89"/>
      <c r="AO119" s="90"/>
    </row>
  </sheetData>
  <mergeCells count="669">
    <mergeCell ref="C112:D112"/>
    <mergeCell ref="AD104:AF104"/>
    <mergeCell ref="Z107:AC107"/>
    <mergeCell ref="AD107:AF107"/>
    <mergeCell ref="V104:Y104"/>
    <mergeCell ref="S108:U108"/>
    <mergeCell ref="AD108:AF108"/>
    <mergeCell ref="Z111:AC111"/>
    <mergeCell ref="S105:U105"/>
    <mergeCell ref="V105:Y105"/>
    <mergeCell ref="Z105:AC105"/>
    <mergeCell ref="AD105:AF105"/>
    <mergeCell ref="S112:U112"/>
    <mergeCell ref="Z112:AC112"/>
    <mergeCell ref="AD112:AF112"/>
    <mergeCell ref="V108:Y108"/>
    <mergeCell ref="V109:Y109"/>
    <mergeCell ref="Z108:AC108"/>
    <mergeCell ref="S107:U107"/>
    <mergeCell ref="V107:Y107"/>
    <mergeCell ref="AD109:AF109"/>
    <mergeCell ref="Z109:AC109"/>
    <mergeCell ref="U65:W65"/>
    <mergeCell ref="J64:AD64"/>
    <mergeCell ref="AB65:AD65"/>
    <mergeCell ref="X65:AA65"/>
    <mergeCell ref="P87:R87"/>
    <mergeCell ref="U80:W80"/>
    <mergeCell ref="M88:O88"/>
    <mergeCell ref="S88:V88"/>
    <mergeCell ref="W88:Y88"/>
    <mergeCell ref="Z88:AB88"/>
    <mergeCell ref="AC88:AD88"/>
    <mergeCell ref="R79:T79"/>
    <mergeCell ref="U79:W79"/>
    <mergeCell ref="X71:AA71"/>
    <mergeCell ref="R68:T68"/>
    <mergeCell ref="R69:T69"/>
    <mergeCell ref="R76:T76"/>
    <mergeCell ref="R77:T77"/>
    <mergeCell ref="U77:W77"/>
    <mergeCell ref="X77:AA77"/>
    <mergeCell ref="AB77:AD77"/>
    <mergeCell ref="R78:T78"/>
    <mergeCell ref="U78:W78"/>
    <mergeCell ref="X78:AA78"/>
    <mergeCell ref="E75:I75"/>
    <mergeCell ref="C46:D46"/>
    <mergeCell ref="AD48:AF48"/>
    <mergeCell ref="AM35:AO35"/>
    <mergeCell ref="AJ42:AL42"/>
    <mergeCell ref="AJ35:AL35"/>
    <mergeCell ref="AG25:AI25"/>
    <mergeCell ref="AJ25:AL25"/>
    <mergeCell ref="AG27:AI27"/>
    <mergeCell ref="AB33:AC33"/>
    <mergeCell ref="AD33:AF33"/>
    <mergeCell ref="AG33:AI33"/>
    <mergeCell ref="AG29:AI29"/>
    <mergeCell ref="AB32:AC32"/>
    <mergeCell ref="AD32:AF32"/>
    <mergeCell ref="AB26:AC26"/>
    <mergeCell ref="AD26:AF26"/>
    <mergeCell ref="AG26:AI26"/>
    <mergeCell ref="AG32:AI32"/>
    <mergeCell ref="AB37:AC38"/>
    <mergeCell ref="AD35:AF35"/>
    <mergeCell ref="AM28:AO28"/>
    <mergeCell ref="AM27:AO27"/>
    <mergeCell ref="AB30:AC31"/>
    <mergeCell ref="U42:W42"/>
    <mergeCell ref="C14:D14"/>
    <mergeCell ref="C15:D15"/>
    <mergeCell ref="C17:D17"/>
    <mergeCell ref="C18:D18"/>
    <mergeCell ref="E15:M15"/>
    <mergeCell ref="N15:P15"/>
    <mergeCell ref="E18:M18"/>
    <mergeCell ref="N18:P18"/>
    <mergeCell ref="C16:D16"/>
    <mergeCell ref="E17:M17"/>
    <mergeCell ref="C19:D19"/>
    <mergeCell ref="E19:M19"/>
    <mergeCell ref="C23:D24"/>
    <mergeCell ref="E20:M20"/>
    <mergeCell ref="J24:Q24"/>
    <mergeCell ref="E23:I24"/>
    <mergeCell ref="W17:Z17"/>
    <mergeCell ref="C25:D25"/>
    <mergeCell ref="W20:Z20"/>
    <mergeCell ref="Q18:S18"/>
    <mergeCell ref="W16:Z16"/>
    <mergeCell ref="T18:V18"/>
    <mergeCell ref="W18:Z18"/>
    <mergeCell ref="AK86:AO86"/>
    <mergeCell ref="AK87:AO87"/>
    <mergeCell ref="AK88:AO88"/>
    <mergeCell ref="AK90:AO90"/>
    <mergeCell ref="AK91:AO91"/>
    <mergeCell ref="AK92:AO92"/>
    <mergeCell ref="Z87:AB87"/>
    <mergeCell ref="AE88:AG88"/>
    <mergeCell ref="AC89:AD89"/>
    <mergeCell ref="AE89:AG89"/>
    <mergeCell ref="AC87:AD87"/>
    <mergeCell ref="AH87:AJ87"/>
    <mergeCell ref="AK93:AO93"/>
    <mergeCell ref="AK89:AO89"/>
    <mergeCell ref="AH89:AJ89"/>
    <mergeCell ref="AH88:AJ88"/>
    <mergeCell ref="S89:V89"/>
    <mergeCell ref="Z89:AB89"/>
    <mergeCell ref="Z90:AB90"/>
    <mergeCell ref="AC90:AD90"/>
    <mergeCell ref="AJ98:AO99"/>
    <mergeCell ref="AH90:AJ90"/>
    <mergeCell ref="AK94:AO94"/>
    <mergeCell ref="AH94:AJ94"/>
    <mergeCell ref="Z94:AB94"/>
    <mergeCell ref="AC94:AD94"/>
    <mergeCell ref="Y59:AA59"/>
    <mergeCell ref="S110:U110"/>
    <mergeCell ref="V110:Y110"/>
    <mergeCell ref="Z110:AC110"/>
    <mergeCell ref="AD110:AF110"/>
    <mergeCell ref="Z101:AC101"/>
    <mergeCell ref="Z103:AC103"/>
    <mergeCell ref="P84:R84"/>
    <mergeCell ref="P85:R85"/>
    <mergeCell ref="W91:Y91"/>
    <mergeCell ref="Z91:AB91"/>
    <mergeCell ref="AC91:AD91"/>
    <mergeCell ref="K99:R99"/>
    <mergeCell ref="M94:O94"/>
    <mergeCell ref="V99:Y99"/>
    <mergeCell ref="V100:Y100"/>
    <mergeCell ref="AE93:AG93"/>
    <mergeCell ref="Z104:AC104"/>
    <mergeCell ref="W85:Y85"/>
    <mergeCell ref="S99:U99"/>
    <mergeCell ref="AE90:AG90"/>
    <mergeCell ref="U76:W76"/>
    <mergeCell ref="X76:AA76"/>
    <mergeCell ref="AB76:AD76"/>
    <mergeCell ref="AB24:AC24"/>
    <mergeCell ref="AJ33:AL33"/>
    <mergeCell ref="AM33:AO33"/>
    <mergeCell ref="AG36:AI36"/>
    <mergeCell ref="AJ36:AL36"/>
    <mergeCell ref="R80:T80"/>
    <mergeCell ref="R67:T67"/>
    <mergeCell ref="AK85:AO85"/>
    <mergeCell ref="AB66:AD66"/>
    <mergeCell ref="AB78:AD78"/>
    <mergeCell ref="X79:AA79"/>
    <mergeCell ref="AB79:AD79"/>
    <mergeCell ref="X80:AA80"/>
    <mergeCell ref="AB80:AD80"/>
    <mergeCell ref="W84:AB84"/>
    <mergeCell ref="AC84:AG84"/>
    <mergeCell ref="U74:W74"/>
    <mergeCell ref="U70:W70"/>
    <mergeCell ref="U71:W71"/>
    <mergeCell ref="X70:AA70"/>
    <mergeCell ref="AK83:AO84"/>
    <mergeCell ref="AD55:AF55"/>
    <mergeCell ref="Y56:AA56"/>
    <mergeCell ref="R54:T54"/>
    <mergeCell ref="AG24:AI24"/>
    <mergeCell ref="AJ24:AL24"/>
    <mergeCell ref="AJ48:AL48"/>
    <mergeCell ref="AJ46:AL46"/>
    <mergeCell ref="AM46:AO46"/>
    <mergeCell ref="AM34:AO34"/>
    <mergeCell ref="AM32:AO32"/>
    <mergeCell ref="AM24:AO24"/>
    <mergeCell ref="AM47:AO47"/>
    <mergeCell ref="AM40:AO40"/>
    <mergeCell ref="AM41:AO41"/>
    <mergeCell ref="AJ29:AL29"/>
    <mergeCell ref="AG39:AI39"/>
    <mergeCell ref="J23:AA23"/>
    <mergeCell ref="E7:M7"/>
    <mergeCell ref="E8:M8"/>
    <mergeCell ref="AB51:AC52"/>
    <mergeCell ref="T5:V5"/>
    <mergeCell ref="W5:Z5"/>
    <mergeCell ref="U57:W57"/>
    <mergeCell ref="R57:T57"/>
    <mergeCell ref="U53:W53"/>
    <mergeCell ref="R53:T53"/>
    <mergeCell ref="Y53:AA53"/>
    <mergeCell ref="U54:W54"/>
    <mergeCell ref="AA10:AO10"/>
    <mergeCell ref="AA5:AO5"/>
    <mergeCell ref="R48:T48"/>
    <mergeCell ref="Y48:AA48"/>
    <mergeCell ref="U52:W52"/>
    <mergeCell ref="AG57:AI57"/>
    <mergeCell ref="AJ57:AL57"/>
    <mergeCell ref="AD57:AF57"/>
    <mergeCell ref="U55:W55"/>
    <mergeCell ref="AB23:AO23"/>
    <mergeCell ref="R42:T42"/>
    <mergeCell ref="AD24:AF24"/>
    <mergeCell ref="N6:P6"/>
    <mergeCell ref="T6:V6"/>
    <mergeCell ref="E10:M10"/>
    <mergeCell ref="N10:P10"/>
    <mergeCell ref="Q10:S10"/>
    <mergeCell ref="Q7:S7"/>
    <mergeCell ref="Q8:S8"/>
    <mergeCell ref="T8:V8"/>
    <mergeCell ref="E9:M9"/>
    <mergeCell ref="N7:P7"/>
    <mergeCell ref="N8:P8"/>
    <mergeCell ref="E12:M12"/>
    <mergeCell ref="N11:P11"/>
    <mergeCell ref="Q11:S11"/>
    <mergeCell ref="T11:V11"/>
    <mergeCell ref="E11:M11"/>
    <mergeCell ref="N17:P17"/>
    <mergeCell ref="Q17:S17"/>
    <mergeCell ref="T17:V17"/>
    <mergeCell ref="C5:D5"/>
    <mergeCell ref="C13:D13"/>
    <mergeCell ref="C10:D10"/>
    <mergeCell ref="C9:D9"/>
    <mergeCell ref="C12:D12"/>
    <mergeCell ref="C11:D11"/>
    <mergeCell ref="C8:D8"/>
    <mergeCell ref="C7:D7"/>
    <mergeCell ref="C6:D6"/>
    <mergeCell ref="E5:M5"/>
    <mergeCell ref="E13:M13"/>
    <mergeCell ref="Q15:S15"/>
    <mergeCell ref="N16:P16"/>
    <mergeCell ref="Q16:S16"/>
    <mergeCell ref="T16:V16"/>
    <mergeCell ref="E6:M6"/>
    <mergeCell ref="E64:I65"/>
    <mergeCell ref="J65:Q65"/>
    <mergeCell ref="N20:P20"/>
    <mergeCell ref="T15:V15"/>
    <mergeCell ref="N9:P9"/>
    <mergeCell ref="U46:W46"/>
    <mergeCell ref="R46:T46"/>
    <mergeCell ref="R52:T52"/>
    <mergeCell ref="Y52:AA52"/>
    <mergeCell ref="R50:T50"/>
    <mergeCell ref="Y50:AA50"/>
    <mergeCell ref="U44:W44"/>
    <mergeCell ref="Y44:AA44"/>
    <mergeCell ref="R51:T51"/>
    <mergeCell ref="U51:W51"/>
    <mergeCell ref="Y51:AA51"/>
    <mergeCell ref="R43:T43"/>
    <mergeCell ref="Q20:S20"/>
    <mergeCell ref="U32:W32"/>
    <mergeCell ref="U35:W35"/>
    <mergeCell ref="Y35:AA35"/>
    <mergeCell ref="U24:W24"/>
    <mergeCell ref="U29:W29"/>
    <mergeCell ref="R59:T59"/>
    <mergeCell ref="R45:T45"/>
    <mergeCell ref="Y45:AA45"/>
    <mergeCell ref="Y29:AA29"/>
    <mergeCell ref="Y24:AA24"/>
    <mergeCell ref="Y32:AA32"/>
    <mergeCell ref="U31:W31"/>
    <mergeCell ref="AD49:AF49"/>
    <mergeCell ref="AB28:AC28"/>
    <mergeCell ref="AD28:AF28"/>
    <mergeCell ref="AB49:AC49"/>
    <mergeCell ref="AB41:AC41"/>
    <mergeCell ref="AD41:AF41"/>
    <mergeCell ref="AD46:AF46"/>
    <mergeCell ref="Y42:AA42"/>
    <mergeCell ref="R30:T30"/>
    <mergeCell ref="R27:T27"/>
    <mergeCell ref="AB43:AC43"/>
    <mergeCell ref="R41:T41"/>
    <mergeCell ref="U40:W40"/>
    <mergeCell ref="R40:T40"/>
    <mergeCell ref="Y40:AA40"/>
    <mergeCell ref="Y30:AA30"/>
    <mergeCell ref="AB36:AC36"/>
    <mergeCell ref="U30:W30"/>
    <mergeCell ref="C69:D69"/>
    <mergeCell ref="N12:P12"/>
    <mergeCell ref="E14:M14"/>
    <mergeCell ref="N14:P14"/>
    <mergeCell ref="Q14:S14"/>
    <mergeCell ref="E66:I66"/>
    <mergeCell ref="C66:D66"/>
    <mergeCell ref="C53:D53"/>
    <mergeCell ref="C64:D65"/>
    <mergeCell ref="C20:D20"/>
    <mergeCell ref="E69:I69"/>
    <mergeCell ref="C32:D32"/>
    <mergeCell ref="R32:T32"/>
    <mergeCell ref="R35:T35"/>
    <mergeCell ref="R29:T29"/>
    <mergeCell ref="R24:T24"/>
    <mergeCell ref="R31:T31"/>
    <mergeCell ref="C39:D39"/>
    <mergeCell ref="T14:V14"/>
    <mergeCell ref="U66:W66"/>
    <mergeCell ref="R65:T65"/>
    <mergeCell ref="R66:T66"/>
    <mergeCell ref="E16:M16"/>
    <mergeCell ref="U59:W59"/>
    <mergeCell ref="AA20:AO20"/>
    <mergeCell ref="AM25:AO25"/>
    <mergeCell ref="R38:T38"/>
    <mergeCell ref="Y38:AA38"/>
    <mergeCell ref="U33:W33"/>
    <mergeCell ref="R33:T33"/>
    <mergeCell ref="Y33:AA33"/>
    <mergeCell ref="Y36:AA36"/>
    <mergeCell ref="U37:W37"/>
    <mergeCell ref="Y37:AA37"/>
    <mergeCell ref="R34:T34"/>
    <mergeCell ref="Y34:AA34"/>
    <mergeCell ref="U36:W36"/>
    <mergeCell ref="R36:T36"/>
    <mergeCell ref="U34:W34"/>
    <mergeCell ref="AB29:AC29"/>
    <mergeCell ref="AB27:AC27"/>
    <mergeCell ref="AB35:AC35"/>
    <mergeCell ref="T20:V20"/>
    <mergeCell ref="U25:W25"/>
    <mergeCell ref="AM36:AO36"/>
    <mergeCell ref="AM29:AO29"/>
    <mergeCell ref="AJ26:AL26"/>
    <mergeCell ref="R25:T25"/>
    <mergeCell ref="AH83:AJ84"/>
    <mergeCell ref="AJ34:AL34"/>
    <mergeCell ref="AG35:AI35"/>
    <mergeCell ref="X68:AA68"/>
    <mergeCell ref="X74:AA74"/>
    <mergeCell ref="X72:AA72"/>
    <mergeCell ref="X73:AA73"/>
    <mergeCell ref="R74:T74"/>
    <mergeCell ref="R37:T37"/>
    <mergeCell ref="R39:T39"/>
    <mergeCell ref="Y39:AA39"/>
    <mergeCell ref="AB67:AD67"/>
    <mergeCell ref="U49:W49"/>
    <mergeCell ref="R47:T47"/>
    <mergeCell ref="Y47:AA47"/>
    <mergeCell ref="R49:T49"/>
    <mergeCell ref="AJ50:AL50"/>
    <mergeCell ref="U38:W38"/>
    <mergeCell ref="U50:W50"/>
    <mergeCell ref="Y46:AA46"/>
    <mergeCell ref="Y43:AA43"/>
    <mergeCell ref="U47:W47"/>
    <mergeCell ref="AG55:AI55"/>
    <mergeCell ref="R55:T55"/>
    <mergeCell ref="S85:V85"/>
    <mergeCell ref="AB74:AD74"/>
    <mergeCell ref="AC85:AD85"/>
    <mergeCell ref="AB58:AC59"/>
    <mergeCell ref="AM53:AO53"/>
    <mergeCell ref="R56:T56"/>
    <mergeCell ref="U58:W58"/>
    <mergeCell ref="AG105:AI105"/>
    <mergeCell ref="AD100:AF100"/>
    <mergeCell ref="S104:U104"/>
    <mergeCell ref="Z99:AC99"/>
    <mergeCell ref="X66:AA66"/>
    <mergeCell ref="S84:V84"/>
    <mergeCell ref="X67:AA67"/>
    <mergeCell ref="U67:W67"/>
    <mergeCell ref="AE64:AO65"/>
    <mergeCell ref="AB68:AD68"/>
    <mergeCell ref="AB70:AD70"/>
    <mergeCell ref="AB72:AD72"/>
    <mergeCell ref="Z85:AB85"/>
    <mergeCell ref="Y58:AA58"/>
    <mergeCell ref="AB56:AC56"/>
    <mergeCell ref="AB54:AC54"/>
    <mergeCell ref="AB57:AC57"/>
    <mergeCell ref="AA16:AO16"/>
    <mergeCell ref="Q12:S12"/>
    <mergeCell ref="T12:V12"/>
    <mergeCell ref="N13:P13"/>
    <mergeCell ref="Q13:S13"/>
    <mergeCell ref="T13:V13"/>
    <mergeCell ref="W13:Z13"/>
    <mergeCell ref="AA13:AO13"/>
    <mergeCell ref="AG104:AI104"/>
    <mergeCell ref="S103:U103"/>
    <mergeCell ref="AD103:AF103"/>
    <mergeCell ref="AG103:AI103"/>
    <mergeCell ref="V103:Y103"/>
    <mergeCell ref="U45:W45"/>
    <mergeCell ref="AB39:AC39"/>
    <mergeCell ref="AD39:AF39"/>
    <mergeCell ref="AB55:AC55"/>
    <mergeCell ref="AB48:AC48"/>
    <mergeCell ref="Y54:AA54"/>
    <mergeCell ref="U56:W56"/>
    <mergeCell ref="S100:U100"/>
    <mergeCell ref="Z100:AC100"/>
    <mergeCell ref="AE87:AG87"/>
    <mergeCell ref="AE86:AG86"/>
    <mergeCell ref="AM50:AO50"/>
    <mergeCell ref="AG53:AI53"/>
    <mergeCell ref="AB42:AC42"/>
    <mergeCell ref="AB40:AC40"/>
    <mergeCell ref="AD43:AF43"/>
    <mergeCell ref="AB50:AC50"/>
    <mergeCell ref="AD50:AF50"/>
    <mergeCell ref="AB53:AC53"/>
    <mergeCell ref="AD53:AF53"/>
    <mergeCell ref="AG48:AI48"/>
    <mergeCell ref="AB46:AC46"/>
    <mergeCell ref="AG42:AI42"/>
    <mergeCell ref="AB47:AC47"/>
    <mergeCell ref="AJ53:AL53"/>
    <mergeCell ref="AM43:AO43"/>
    <mergeCell ref="AM42:AO42"/>
    <mergeCell ref="AD47:AF47"/>
    <mergeCell ref="AD42:AF42"/>
    <mergeCell ref="AD40:AF40"/>
    <mergeCell ref="Y55:AA55"/>
    <mergeCell ref="AG41:AI41"/>
    <mergeCell ref="AJ41:AL41"/>
    <mergeCell ref="AJ39:AL39"/>
    <mergeCell ref="AM57:AO57"/>
    <mergeCell ref="AD56:AF56"/>
    <mergeCell ref="AJ56:AL56"/>
    <mergeCell ref="AM49:AO49"/>
    <mergeCell ref="U43:W43"/>
    <mergeCell ref="AG49:AI49"/>
    <mergeCell ref="AJ47:AL47"/>
    <mergeCell ref="AM48:AO48"/>
    <mergeCell ref="AG56:AI56"/>
    <mergeCell ref="AJ49:AL49"/>
    <mergeCell ref="AM39:AO39"/>
    <mergeCell ref="AG50:AI50"/>
    <mergeCell ref="Y49:AA49"/>
    <mergeCell ref="U48:W48"/>
    <mergeCell ref="AG47:AI47"/>
    <mergeCell ref="AG46:AI46"/>
    <mergeCell ref="AJ40:AL40"/>
    <mergeCell ref="AG40:AI40"/>
    <mergeCell ref="AG43:AI43"/>
    <mergeCell ref="AJ43:AL43"/>
    <mergeCell ref="W8:Z8"/>
    <mergeCell ref="T7:V7"/>
    <mergeCell ref="R71:T71"/>
    <mergeCell ref="Q6:S6"/>
    <mergeCell ref="AA6:AO6"/>
    <mergeCell ref="R70:T70"/>
    <mergeCell ref="U69:W69"/>
    <mergeCell ref="AD36:AF36"/>
    <mergeCell ref="AJ32:AL32"/>
    <mergeCell ref="Q9:S9"/>
    <mergeCell ref="T9:V9"/>
    <mergeCell ref="AJ55:AL55"/>
    <mergeCell ref="AG54:AI54"/>
    <mergeCell ref="AJ54:AL54"/>
    <mergeCell ref="AM54:AO54"/>
    <mergeCell ref="R58:T58"/>
    <mergeCell ref="Y57:AA57"/>
    <mergeCell ref="AM56:AO56"/>
    <mergeCell ref="AM55:AO55"/>
    <mergeCell ref="AD54:AF54"/>
    <mergeCell ref="AB71:AD71"/>
    <mergeCell ref="AB69:AD69"/>
    <mergeCell ref="U68:W68"/>
    <mergeCell ref="AA18:AO18"/>
    <mergeCell ref="Y25:AA25"/>
    <mergeCell ref="U27:W27"/>
    <mergeCell ref="AD29:AF29"/>
    <mergeCell ref="AJ28:AL28"/>
    <mergeCell ref="AJ27:AL27"/>
    <mergeCell ref="AG28:AI28"/>
    <mergeCell ref="AM26:AO26"/>
    <mergeCell ref="AD27:AF27"/>
    <mergeCell ref="AB25:AC25"/>
    <mergeCell ref="AD25:AF25"/>
    <mergeCell ref="Y27:AA27"/>
    <mergeCell ref="AB34:AC34"/>
    <mergeCell ref="AD34:AF34"/>
    <mergeCell ref="AG34:AI34"/>
    <mergeCell ref="U26:W26"/>
    <mergeCell ref="R26:T26"/>
    <mergeCell ref="Y26:AA26"/>
    <mergeCell ref="U28:W28"/>
    <mergeCell ref="R28:T28"/>
    <mergeCell ref="Y28:AA28"/>
    <mergeCell ref="U41:W41"/>
    <mergeCell ref="Y41:AA41"/>
    <mergeCell ref="U39:W39"/>
    <mergeCell ref="Y31:AA31"/>
    <mergeCell ref="C85:D85"/>
    <mergeCell ref="M85:O85"/>
    <mergeCell ref="Z86:AB86"/>
    <mergeCell ref="AC86:AD86"/>
    <mergeCell ref="W83:AG83"/>
    <mergeCell ref="C83:D84"/>
    <mergeCell ref="E83:L84"/>
    <mergeCell ref="M83:V83"/>
    <mergeCell ref="R72:T72"/>
    <mergeCell ref="U72:W72"/>
    <mergeCell ref="C72:D72"/>
    <mergeCell ref="M84:O84"/>
    <mergeCell ref="R75:T75"/>
    <mergeCell ref="U75:W75"/>
    <mergeCell ref="X75:AA75"/>
    <mergeCell ref="AB75:AD75"/>
    <mergeCell ref="C78:D78"/>
    <mergeCell ref="U73:W73"/>
    <mergeCell ref="C75:D75"/>
    <mergeCell ref="E72:I72"/>
    <mergeCell ref="E78:I78"/>
    <mergeCell ref="AE85:AG85"/>
    <mergeCell ref="AB73:AD73"/>
    <mergeCell ref="R73:T73"/>
    <mergeCell ref="N5:P5"/>
    <mergeCell ref="Q5:S5"/>
    <mergeCell ref="AA19:AO19"/>
    <mergeCell ref="AA9:AO9"/>
    <mergeCell ref="AA8:AO8"/>
    <mergeCell ref="W12:Z12"/>
    <mergeCell ref="N19:P19"/>
    <mergeCell ref="Q19:S19"/>
    <mergeCell ref="T19:V19"/>
    <mergeCell ref="W19:Z19"/>
    <mergeCell ref="W9:Z9"/>
    <mergeCell ref="AA17:AO17"/>
    <mergeCell ref="T10:V10"/>
    <mergeCell ref="W15:Z15"/>
    <mergeCell ref="AA15:AO15"/>
    <mergeCell ref="W10:Z10"/>
    <mergeCell ref="W14:Z14"/>
    <mergeCell ref="AA14:AO14"/>
    <mergeCell ref="W11:Z11"/>
    <mergeCell ref="AA11:AO11"/>
    <mergeCell ref="AA7:AO7"/>
    <mergeCell ref="AA12:AO12"/>
    <mergeCell ref="W6:Z6"/>
    <mergeCell ref="W7:Z7"/>
    <mergeCell ref="C93:D93"/>
    <mergeCell ref="M93:O93"/>
    <mergeCell ref="C94:D94"/>
    <mergeCell ref="C91:D91"/>
    <mergeCell ref="M91:O91"/>
    <mergeCell ref="Z93:AB93"/>
    <mergeCell ref="AC93:AD93"/>
    <mergeCell ref="AE91:AG91"/>
    <mergeCell ref="AH91:AJ91"/>
    <mergeCell ref="S91:V91"/>
    <mergeCell ref="C92:D92"/>
    <mergeCell ref="M92:O92"/>
    <mergeCell ref="P92:R92"/>
    <mergeCell ref="S92:V92"/>
    <mergeCell ref="W92:Y92"/>
    <mergeCell ref="Z92:AB92"/>
    <mergeCell ref="AC92:AD92"/>
    <mergeCell ref="AH92:AJ92"/>
    <mergeCell ref="P94:R94"/>
    <mergeCell ref="AE94:AG94"/>
    <mergeCell ref="S87:V87"/>
    <mergeCell ref="AH93:AJ93"/>
    <mergeCell ref="AE92:AG92"/>
    <mergeCell ref="S109:U109"/>
    <mergeCell ref="C87:D87"/>
    <mergeCell ref="P86:R86"/>
    <mergeCell ref="W86:Y86"/>
    <mergeCell ref="C88:D88"/>
    <mergeCell ref="C89:D89"/>
    <mergeCell ref="M89:O89"/>
    <mergeCell ref="P88:R88"/>
    <mergeCell ref="P89:R89"/>
    <mergeCell ref="W87:Y87"/>
    <mergeCell ref="C86:D86"/>
    <mergeCell ref="M86:O86"/>
    <mergeCell ref="S86:V86"/>
    <mergeCell ref="M87:O87"/>
    <mergeCell ref="P91:R91"/>
    <mergeCell ref="S94:V94"/>
    <mergeCell ref="W94:Y94"/>
    <mergeCell ref="S101:U101"/>
    <mergeCell ref="AD101:AF101"/>
    <mergeCell ref="AH86:AJ86"/>
    <mergeCell ref="C100:D100"/>
    <mergeCell ref="C98:D99"/>
    <mergeCell ref="E98:J99"/>
    <mergeCell ref="C108:D108"/>
    <mergeCell ref="C104:D104"/>
    <mergeCell ref="C90:D90"/>
    <mergeCell ref="M90:O90"/>
    <mergeCell ref="P90:R90"/>
    <mergeCell ref="S90:V90"/>
    <mergeCell ref="W90:Y90"/>
    <mergeCell ref="V101:Y101"/>
    <mergeCell ref="K98:AI98"/>
    <mergeCell ref="AD99:AI99"/>
    <mergeCell ref="AG100:AI100"/>
    <mergeCell ref="P93:R93"/>
    <mergeCell ref="S93:V93"/>
    <mergeCell ref="W93:Y93"/>
    <mergeCell ref="S119:U119"/>
    <mergeCell ref="V119:Y119"/>
    <mergeCell ref="Z119:AC119"/>
    <mergeCell ref="AD119:AF119"/>
    <mergeCell ref="AG119:AI119"/>
    <mergeCell ref="S118:U118"/>
    <mergeCell ref="V118:Y118"/>
    <mergeCell ref="Z118:AC118"/>
    <mergeCell ref="AD118:AF118"/>
    <mergeCell ref="AG118:AI118"/>
    <mergeCell ref="C116:D116"/>
    <mergeCell ref="S116:U116"/>
    <mergeCell ref="V116:Y116"/>
    <mergeCell ref="Z116:AC116"/>
    <mergeCell ref="AD116:AF116"/>
    <mergeCell ref="AG116:AI116"/>
    <mergeCell ref="S117:U117"/>
    <mergeCell ref="V117:Y117"/>
    <mergeCell ref="Z117:AC117"/>
    <mergeCell ref="AD117:AF117"/>
    <mergeCell ref="AG117:AI117"/>
    <mergeCell ref="Z115:AC115"/>
    <mergeCell ref="AD115:AF115"/>
    <mergeCell ref="V112:Y112"/>
    <mergeCell ref="V113:Y113"/>
    <mergeCell ref="V115:Y115"/>
    <mergeCell ref="AG115:AI115"/>
    <mergeCell ref="AG112:AI112"/>
    <mergeCell ref="S113:U113"/>
    <mergeCell ref="Z113:AC113"/>
    <mergeCell ref="AD113:AF113"/>
    <mergeCell ref="S114:U114"/>
    <mergeCell ref="V114:Y114"/>
    <mergeCell ref="Z114:AC114"/>
    <mergeCell ref="AD114:AF114"/>
    <mergeCell ref="AG114:AI114"/>
    <mergeCell ref="S115:U115"/>
    <mergeCell ref="AG113:AI113"/>
    <mergeCell ref="AG109:AI109"/>
    <mergeCell ref="AG111:AI111"/>
    <mergeCell ref="AD111:AF111"/>
    <mergeCell ref="S111:U111"/>
    <mergeCell ref="V111:Y111"/>
    <mergeCell ref="AG110:AI110"/>
    <mergeCell ref="R44:T44"/>
    <mergeCell ref="AB44:AC45"/>
    <mergeCell ref="S106:U106"/>
    <mergeCell ref="V106:Y106"/>
    <mergeCell ref="Z106:AC106"/>
    <mergeCell ref="AD106:AF106"/>
    <mergeCell ref="AG106:AI106"/>
    <mergeCell ref="S102:U102"/>
    <mergeCell ref="V102:Y102"/>
    <mergeCell ref="Z102:AC102"/>
    <mergeCell ref="AD102:AF102"/>
    <mergeCell ref="AG102:AI102"/>
    <mergeCell ref="AG107:AI107"/>
    <mergeCell ref="AG108:AI108"/>
    <mergeCell ref="X69:AA69"/>
    <mergeCell ref="AH85:AJ85"/>
    <mergeCell ref="AG101:AI101"/>
    <mergeCell ref="W89:Y89"/>
  </mergeCells>
  <phoneticPr fontId="5"/>
  <pageMargins left="0.59055118110236227" right="0.19685039370078741" top="0.78740157480314965" bottom="0.39370078740157483" header="0.51181102362204722" footer="0.31496062992125984"/>
  <pageSetup paperSize="9" scale="97" orientation="portrait" blackAndWhite="1" r:id="rId1"/>
  <headerFooter alignWithMargins="0">
    <oddFooter>&amp;C2 - &amp;P</oddFooter>
  </headerFooter>
  <rowBreaks count="1" manualBreakCount="1">
    <brk id="60" max="4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99FF99"/>
  </sheetPr>
  <dimension ref="A2:BE57"/>
  <sheetViews>
    <sheetView showGridLines="0" tabSelected="1" view="pageBreakPreview" topLeftCell="A37" zoomScale="85" zoomScaleNormal="100" zoomScaleSheetLayoutView="85" workbookViewId="0">
      <selection activeCell="D48" sqref="D48"/>
    </sheetView>
  </sheetViews>
  <sheetFormatPr defaultColWidth="5.77734375" defaultRowHeight="13.5" customHeight="1"/>
  <cols>
    <col min="1" max="2" width="2.77734375" style="14" customWidth="1"/>
    <col min="3" max="3" width="4.77734375" style="14" customWidth="1"/>
    <col min="4" max="4" width="5.77734375" style="14"/>
    <col min="5" max="5" width="5.77734375" style="14" customWidth="1"/>
    <col min="6" max="7" width="5.77734375" style="14"/>
    <col min="8" max="8" width="5.77734375" style="14" customWidth="1"/>
    <col min="9" max="9" width="5.77734375" style="14"/>
    <col min="10" max="10" width="5.77734375" style="14" customWidth="1"/>
    <col min="11" max="11" width="5.77734375" style="14"/>
    <col min="12" max="12" width="5.77734375" style="14" customWidth="1"/>
    <col min="13" max="13" width="5.77734375" style="14"/>
    <col min="14" max="14" width="5.77734375" style="14" customWidth="1"/>
    <col min="15" max="15" width="5.77734375" style="14"/>
    <col min="16" max="16" width="5.77734375" style="14" customWidth="1"/>
    <col min="17" max="18" width="5.77734375" style="14"/>
    <col min="19" max="19" width="7" style="14" bestFit="1" customWidth="1"/>
    <col min="20" max="21" width="5.77734375" style="14"/>
    <col min="22" max="22" width="1.77734375" style="14" customWidth="1"/>
    <col min="23" max="47" width="5.77734375" style="14"/>
    <col min="48" max="54" width="9.44140625" style="14" customWidth="1"/>
    <col min="55" max="55" width="7.6640625" style="14" customWidth="1"/>
    <col min="56" max="16384" width="5.77734375" style="14"/>
  </cols>
  <sheetData>
    <row r="2" spans="1:22" ht="13.5" customHeight="1">
      <c r="B2" s="2" t="s">
        <v>183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2" ht="13.5" customHeight="1">
      <c r="A3" s="2"/>
      <c r="B3" s="2" t="s">
        <v>282</v>
      </c>
      <c r="D3" s="2"/>
      <c r="E3" s="2"/>
      <c r="F3" s="2"/>
      <c r="G3" s="2"/>
    </row>
    <row r="4" spans="1:22" ht="13.5" customHeight="1">
      <c r="A4" s="2"/>
      <c r="B4" s="2"/>
      <c r="C4" s="2" t="s">
        <v>94</v>
      </c>
      <c r="D4" s="2"/>
      <c r="E4" s="2"/>
      <c r="G4" s="2" t="s">
        <v>3</v>
      </c>
      <c r="I4" s="2"/>
      <c r="J4" s="2"/>
      <c r="K4" s="2"/>
      <c r="L4" s="2"/>
      <c r="M4" s="2"/>
      <c r="N4" s="2"/>
      <c r="O4" s="2"/>
      <c r="U4" s="19"/>
      <c r="V4" s="286"/>
    </row>
    <row r="5" spans="1:22" ht="13.5" customHeight="1">
      <c r="A5" s="2"/>
      <c r="B5" s="2"/>
      <c r="C5" s="2"/>
      <c r="D5" s="2"/>
      <c r="E5" s="2"/>
      <c r="G5" s="2"/>
      <c r="H5" s="2" t="s">
        <v>43</v>
      </c>
      <c r="I5" s="2"/>
      <c r="J5" s="2"/>
      <c r="K5" s="2"/>
      <c r="L5" s="2"/>
      <c r="M5" s="2"/>
      <c r="N5" s="2"/>
      <c r="O5" s="2"/>
      <c r="U5" s="19"/>
      <c r="V5" s="286"/>
    </row>
    <row r="6" spans="1:22" ht="13.5" customHeight="1">
      <c r="A6" s="2"/>
      <c r="B6" s="2"/>
      <c r="C6" s="2"/>
      <c r="D6" s="2"/>
      <c r="E6" s="2"/>
      <c r="I6" s="2" t="s">
        <v>28</v>
      </c>
      <c r="J6" s="2"/>
      <c r="K6" s="2"/>
      <c r="L6" s="2"/>
      <c r="M6" s="2"/>
      <c r="N6" s="2"/>
      <c r="O6" s="2"/>
      <c r="U6" s="19"/>
      <c r="V6" s="286"/>
    </row>
    <row r="7" spans="1:22" ht="13.5" customHeight="1">
      <c r="A7" s="2"/>
      <c r="B7" s="2"/>
      <c r="C7" s="2"/>
      <c r="D7" s="2"/>
      <c r="E7" s="2"/>
      <c r="H7" s="2"/>
      <c r="I7" s="2" t="s">
        <v>29</v>
      </c>
      <c r="J7" s="2"/>
      <c r="K7" s="2"/>
      <c r="L7" s="2"/>
      <c r="M7" s="2"/>
      <c r="N7" s="2"/>
      <c r="O7" s="2"/>
      <c r="U7" s="19"/>
      <c r="V7" s="286"/>
    </row>
    <row r="8" spans="1:22" ht="13.5" customHeight="1">
      <c r="A8" s="2"/>
      <c r="B8" s="2"/>
      <c r="C8" s="2"/>
      <c r="D8" s="2"/>
      <c r="E8" s="2"/>
      <c r="H8" s="2"/>
      <c r="I8" s="2"/>
      <c r="J8" s="2" t="s">
        <v>30</v>
      </c>
      <c r="K8" s="2"/>
      <c r="L8" s="2"/>
      <c r="M8" s="2" t="s">
        <v>67</v>
      </c>
      <c r="N8" s="2"/>
      <c r="O8" s="2"/>
      <c r="U8" s="19"/>
      <c r="V8" s="286"/>
    </row>
    <row r="9" spans="1:22" ht="13.5" customHeight="1">
      <c r="A9" s="2"/>
      <c r="B9" s="2"/>
      <c r="C9" s="2"/>
      <c r="D9" s="2"/>
      <c r="E9" s="2"/>
      <c r="H9" s="2"/>
      <c r="I9" s="2"/>
      <c r="J9" s="2" t="s">
        <v>31</v>
      </c>
      <c r="K9" s="2"/>
      <c r="M9" s="2" t="s">
        <v>66</v>
      </c>
      <c r="N9" s="2"/>
      <c r="O9" s="2"/>
      <c r="U9" s="19"/>
      <c r="V9" s="286"/>
    </row>
    <row r="10" spans="1:22" ht="13.5" customHeight="1">
      <c r="A10" s="2"/>
      <c r="B10" s="2"/>
      <c r="C10" s="2"/>
      <c r="D10" s="2"/>
      <c r="E10" s="2"/>
      <c r="H10" s="2" t="s">
        <v>44</v>
      </c>
      <c r="I10" s="2"/>
      <c r="J10" s="2"/>
      <c r="K10" s="2"/>
      <c r="M10" s="2"/>
      <c r="N10" s="2"/>
      <c r="O10" s="2"/>
      <c r="U10" s="19"/>
      <c r="V10" s="286"/>
    </row>
    <row r="11" spans="1:22" ht="13.5" customHeight="1">
      <c r="A11" s="2"/>
      <c r="B11" s="2"/>
      <c r="C11" s="2"/>
      <c r="D11" s="2"/>
      <c r="E11" s="2"/>
      <c r="G11" s="9"/>
      <c r="H11" s="9"/>
      <c r="I11" s="9"/>
      <c r="J11" s="9"/>
      <c r="K11" s="9"/>
      <c r="L11" s="9"/>
      <c r="M11" s="9"/>
      <c r="N11" s="2"/>
      <c r="O11" s="2"/>
      <c r="U11" s="19"/>
      <c r="V11" s="286"/>
    </row>
    <row r="12" spans="1:22" ht="13.5" customHeight="1">
      <c r="A12" s="2"/>
      <c r="B12" s="2"/>
      <c r="C12" s="2" t="s">
        <v>95</v>
      </c>
      <c r="D12" s="2"/>
      <c r="E12" s="2"/>
      <c r="G12" s="9" t="s">
        <v>45</v>
      </c>
      <c r="H12" s="9"/>
      <c r="I12" s="219" t="s">
        <v>47</v>
      </c>
      <c r="J12" s="410">
        <v>9.8699999999999992</v>
      </c>
      <c r="K12" s="9" t="s">
        <v>70</v>
      </c>
      <c r="L12" s="9"/>
      <c r="M12" s="9"/>
      <c r="N12" s="2"/>
      <c r="O12" s="2"/>
      <c r="U12" s="19"/>
      <c r="V12" s="286"/>
    </row>
    <row r="13" spans="1:22" ht="13.5" customHeight="1">
      <c r="A13" s="2"/>
      <c r="B13" s="2"/>
      <c r="C13" s="2"/>
      <c r="D13" s="2"/>
      <c r="E13" s="2"/>
      <c r="G13" s="9" t="s">
        <v>46</v>
      </c>
      <c r="H13" s="9"/>
      <c r="I13" s="219" t="s">
        <v>48</v>
      </c>
      <c r="J13" s="410">
        <v>10.220000000000001</v>
      </c>
      <c r="K13" s="9" t="s">
        <v>6</v>
      </c>
      <c r="L13" s="10">
        <f>(J12+J13)/2</f>
        <v>10.045</v>
      </c>
      <c r="M13" s="9" t="s">
        <v>70</v>
      </c>
      <c r="N13" s="287"/>
      <c r="O13" s="2"/>
      <c r="U13" s="19"/>
      <c r="V13" s="286"/>
    </row>
    <row r="14" spans="1:22" ht="13.5" customHeight="1">
      <c r="A14" s="2"/>
      <c r="B14" s="2"/>
      <c r="C14" s="2"/>
      <c r="D14" s="2"/>
      <c r="E14" s="2"/>
      <c r="G14" s="9" t="s">
        <v>1</v>
      </c>
      <c r="H14" s="9"/>
      <c r="I14" s="9"/>
      <c r="J14" s="411" t="s">
        <v>80</v>
      </c>
      <c r="K14" s="9" t="s">
        <v>7</v>
      </c>
      <c r="L14" s="46">
        <f>VLOOKUP(J14,$C$54:$F$57,2)</f>
        <v>5</v>
      </c>
      <c r="M14" s="9" t="s">
        <v>8</v>
      </c>
      <c r="N14" s="287">
        <f>VLOOKUP(J14,$C$54:$F$57,3)</f>
        <v>450</v>
      </c>
      <c r="O14" s="2" t="s">
        <v>9</v>
      </c>
      <c r="P14" s="288">
        <f>VLOOKUP(J14,$C$54:$F$57,4)</f>
        <v>0.2</v>
      </c>
      <c r="U14" s="19"/>
      <c r="V14" s="286"/>
    </row>
    <row r="15" spans="1:22" ht="13.5" customHeight="1">
      <c r="A15" s="2"/>
      <c r="B15" s="2"/>
      <c r="C15" s="2"/>
      <c r="D15" s="2"/>
      <c r="E15" s="2"/>
      <c r="G15" s="9" t="s">
        <v>2</v>
      </c>
      <c r="H15" s="9"/>
      <c r="I15" s="9" t="s">
        <v>10</v>
      </c>
      <c r="J15" s="46">
        <v>30</v>
      </c>
      <c r="K15" s="9" t="s">
        <v>11</v>
      </c>
      <c r="L15" s="9"/>
      <c r="M15" s="9"/>
      <c r="N15" s="2"/>
      <c r="O15" s="2"/>
      <c r="U15" s="19"/>
      <c r="V15" s="286"/>
    </row>
    <row r="16" spans="1:22" ht="13.5" customHeight="1">
      <c r="A16" s="2"/>
      <c r="B16" s="2"/>
      <c r="C16" s="2"/>
      <c r="D16" s="2"/>
      <c r="E16" s="2"/>
      <c r="G16" s="9" t="s">
        <v>184</v>
      </c>
      <c r="H16" s="9"/>
      <c r="I16" s="9">
        <v>1</v>
      </c>
      <c r="J16" s="46" t="str">
        <f>CHOOSE(I16,"閉鎖型","風上解放型","風下解放型")</f>
        <v>閉鎖型</v>
      </c>
      <c r="K16" s="38"/>
      <c r="L16" s="38"/>
      <c r="M16" s="9"/>
      <c r="N16" s="2"/>
      <c r="O16" s="2"/>
      <c r="U16" s="19"/>
      <c r="V16" s="286"/>
    </row>
    <row r="17" spans="1:52" ht="13.5" customHeight="1">
      <c r="A17" s="2"/>
      <c r="B17" s="2"/>
      <c r="C17" s="2"/>
      <c r="D17" s="2"/>
      <c r="E17" s="2"/>
      <c r="G17" s="38"/>
      <c r="H17" s="9"/>
      <c r="I17" s="9"/>
      <c r="J17" s="9"/>
      <c r="K17" s="38"/>
      <c r="L17" s="38"/>
      <c r="M17" s="9"/>
      <c r="N17" s="2"/>
      <c r="O17" s="2"/>
      <c r="U17" s="19"/>
      <c r="V17" s="286"/>
    </row>
    <row r="18" spans="1:52" ht="13.5" customHeight="1">
      <c r="A18" s="2"/>
      <c r="B18" s="2"/>
      <c r="C18" s="2" t="s">
        <v>96</v>
      </c>
      <c r="D18" s="2"/>
      <c r="E18" s="2"/>
      <c r="G18" s="38" t="str">
        <f>IF(L13&lt;=L14,"H&lt;Zb","H&gt;Zb")&amp;" より"</f>
        <v>H&gt;Zb より</v>
      </c>
      <c r="H18" s="9"/>
      <c r="I18" s="38"/>
      <c r="J18" s="38"/>
      <c r="K18" s="219" t="str">
        <f>IF(L13&lt;L14,M8,M9)&amp;"="</f>
        <v>Ｅr=1.7･(Ｈ/ＺG)α=</v>
      </c>
      <c r="L18" s="412">
        <f>1.7*(MAX(L14,L13)/N14)^P14</f>
        <v>0.79468754571708178</v>
      </c>
      <c r="M18" s="9"/>
      <c r="U18" s="19"/>
      <c r="V18" s="286"/>
    </row>
    <row r="19" spans="1:52" ht="13.5" customHeight="1">
      <c r="A19" s="2"/>
      <c r="B19" s="2"/>
      <c r="C19" s="2"/>
      <c r="D19" s="2"/>
      <c r="E19" s="2"/>
      <c r="G19" s="9"/>
      <c r="H19" s="9"/>
      <c r="I19" s="9"/>
      <c r="J19" s="9"/>
      <c r="K19" s="219" t="s">
        <v>49</v>
      </c>
      <c r="L19" s="413">
        <f>IF(L13&lt;10,VLOOKUP(J14,$H$54:$N$57,2,0),IF(40&lt;L13,VLOOKUP(J14,$H$54:$N$57,6,0),VLOOKUP(J14,$H$54:$N$57,2,0)-(L13-10)*(VLOOKUP(J14,$H$54:$N$57,2,0)-VLOOKUP(J14,$H$54:$N$57,6,0))/30))</f>
        <v>2.4994000000000001</v>
      </c>
      <c r="M19" s="9"/>
      <c r="U19" s="19"/>
      <c r="V19" s="286"/>
    </row>
    <row r="20" spans="1:52" ht="13.5" customHeight="1">
      <c r="A20" s="2"/>
      <c r="B20" s="2"/>
      <c r="C20" s="2"/>
      <c r="D20" s="2"/>
      <c r="E20" s="2"/>
      <c r="G20" s="9"/>
      <c r="H20" s="9"/>
      <c r="I20" s="9"/>
      <c r="J20" s="9"/>
      <c r="K20" s="219" t="s">
        <v>281</v>
      </c>
      <c r="L20" s="412">
        <f>L18^2*L19</f>
        <v>1.5784418213174067</v>
      </c>
      <c r="M20" s="9"/>
      <c r="P20" s="20" t="s">
        <v>50</v>
      </c>
      <c r="Q20" s="409">
        <f>0.6*L20*J15^2</f>
        <v>852.35858351139962</v>
      </c>
      <c r="R20" s="2" t="s">
        <v>51</v>
      </c>
      <c r="U20" s="19"/>
      <c r="V20" s="286"/>
    </row>
    <row r="21" spans="1:52" ht="13.5" customHeight="1">
      <c r="A21" s="2"/>
      <c r="B21" s="2"/>
      <c r="C21" s="2"/>
      <c r="D21" s="2"/>
      <c r="E21" s="2"/>
      <c r="F21" s="2"/>
      <c r="G21" s="9"/>
      <c r="H21" s="9"/>
      <c r="I21" s="9"/>
      <c r="J21" s="9"/>
      <c r="K21" s="9"/>
      <c r="L21" s="9"/>
      <c r="M21" s="9"/>
      <c r="N21" s="2"/>
      <c r="T21" s="19"/>
      <c r="U21" s="19"/>
      <c r="V21" s="286"/>
      <c r="W21" s="19"/>
      <c r="X21" s="19"/>
      <c r="Y21" s="287"/>
      <c r="Z21" s="2"/>
      <c r="AA21" s="2"/>
      <c r="AB21" s="288"/>
      <c r="AC21" s="206"/>
    </row>
    <row r="22" spans="1:52" ht="13.5" customHeight="1">
      <c r="B22" s="14" t="s">
        <v>283</v>
      </c>
    </row>
    <row r="23" spans="1:52" ht="13.5" customHeight="1">
      <c r="C23" s="289" t="s">
        <v>52</v>
      </c>
      <c r="D23" s="289" t="s">
        <v>63</v>
      </c>
      <c r="E23" s="289" t="s">
        <v>64</v>
      </c>
      <c r="F23" s="289" t="s">
        <v>55</v>
      </c>
      <c r="G23" s="462" t="s">
        <v>59</v>
      </c>
      <c r="H23" s="462"/>
      <c r="I23" s="462"/>
      <c r="J23" s="462" t="s">
        <v>60</v>
      </c>
      <c r="K23" s="462"/>
      <c r="L23" s="462"/>
      <c r="M23" s="462" t="s">
        <v>61</v>
      </c>
      <c r="N23" s="462"/>
      <c r="O23" s="462"/>
      <c r="P23" s="462" t="s">
        <v>62</v>
      </c>
      <c r="Q23" s="462"/>
      <c r="R23" s="462"/>
      <c r="S23" s="600" t="s">
        <v>185</v>
      </c>
      <c r="T23" s="600"/>
      <c r="U23" s="600"/>
    </row>
    <row r="24" spans="1:52" ht="13.5" customHeight="1">
      <c r="C24" s="290"/>
      <c r="D24" s="290" t="s">
        <v>53</v>
      </c>
      <c r="E24" s="290" t="s">
        <v>54</v>
      </c>
      <c r="F24" s="290"/>
      <c r="G24" s="291" t="s">
        <v>56</v>
      </c>
      <c r="H24" s="292" t="s">
        <v>57</v>
      </c>
      <c r="I24" s="290" t="s">
        <v>58</v>
      </c>
      <c r="J24" s="291" t="s">
        <v>56</v>
      </c>
      <c r="K24" s="292" t="s">
        <v>57</v>
      </c>
      <c r="L24" s="290" t="s">
        <v>58</v>
      </c>
      <c r="M24" s="291" t="s">
        <v>56</v>
      </c>
      <c r="N24" s="292" t="s">
        <v>57</v>
      </c>
      <c r="O24" s="290" t="s">
        <v>58</v>
      </c>
      <c r="P24" s="291" t="s">
        <v>56</v>
      </c>
      <c r="Q24" s="292" t="s">
        <v>57</v>
      </c>
      <c r="R24" s="290" t="s">
        <v>58</v>
      </c>
      <c r="S24" s="285" t="s">
        <v>186</v>
      </c>
      <c r="T24" s="208" t="s">
        <v>187</v>
      </c>
      <c r="U24" s="209" t="s">
        <v>188</v>
      </c>
    </row>
    <row r="25" spans="1:52" ht="13.5" customHeight="1">
      <c r="C25" s="293" t="s">
        <v>115</v>
      </c>
      <c r="D25" s="414">
        <v>0.7</v>
      </c>
      <c r="E25" s="414">
        <f>E26+D25</f>
        <v>7.1000000000000005</v>
      </c>
      <c r="F25" s="294">
        <f>IF($L$13&lt;$L$14,1,(MAX(E25,$L$14)/$L$13)^(2*$P$14))</f>
        <v>0.8704089801307705</v>
      </c>
      <c r="G25" s="295">
        <f>0.8*F25</f>
        <v>0.69632718410461647</v>
      </c>
      <c r="H25" s="296">
        <f>CHOOSE(I16,-0.2,0,-0.4)</f>
        <v>-0.2</v>
      </c>
      <c r="I25" s="294">
        <f>G25-H25</f>
        <v>0.89632718410461654</v>
      </c>
      <c r="J25" s="295">
        <v>-0.4</v>
      </c>
      <c r="K25" s="296">
        <f>CHOOSE(I16,0,0.6,0)</f>
        <v>0</v>
      </c>
      <c r="L25" s="294">
        <f>J25-K25</f>
        <v>-0.4</v>
      </c>
      <c r="M25" s="295">
        <v>-1</v>
      </c>
      <c r="N25" s="296">
        <f>CHOOSE(I16,0,0.6,-0.4)</f>
        <v>0</v>
      </c>
      <c r="O25" s="294">
        <f>M25-N25</f>
        <v>-1</v>
      </c>
      <c r="P25" s="295">
        <v>-0.5</v>
      </c>
      <c r="Q25" s="296">
        <f>CHOOSE(I16,0,0.6,0)</f>
        <v>0</v>
      </c>
      <c r="R25" s="294">
        <f>P25-Q25</f>
        <v>-0.5</v>
      </c>
      <c r="S25" s="210"/>
      <c r="T25" s="211"/>
      <c r="U25" s="212"/>
    </row>
    <row r="26" spans="1:52" ht="13.5" customHeight="1">
      <c r="C26" s="293" t="s">
        <v>254</v>
      </c>
      <c r="D26" s="414">
        <v>3.2</v>
      </c>
      <c r="E26" s="414">
        <f>E27+D26</f>
        <v>6.4</v>
      </c>
      <c r="F26" s="294">
        <f>IF($L$13&lt;$L$14,1,(MAX(E26,$L$14)/$L$13)^(2*$P$14))</f>
        <v>0.83501064712847595</v>
      </c>
      <c r="G26" s="295">
        <f>0.8*F26</f>
        <v>0.6680085177027808</v>
      </c>
      <c r="H26" s="296">
        <f>H25</f>
        <v>-0.2</v>
      </c>
      <c r="I26" s="294">
        <f>G26-H26</f>
        <v>0.86800851770278076</v>
      </c>
      <c r="J26" s="295">
        <v>-0.4</v>
      </c>
      <c r="K26" s="296">
        <f>K25</f>
        <v>0</v>
      </c>
      <c r="L26" s="294">
        <f>J26-K26</f>
        <v>-0.4</v>
      </c>
      <c r="M26" s="295"/>
      <c r="N26" s="296"/>
      <c r="O26" s="294"/>
      <c r="P26" s="295"/>
      <c r="Q26" s="296"/>
      <c r="R26" s="294"/>
      <c r="S26" s="213">
        <v>-0.7</v>
      </c>
      <c r="T26" s="214">
        <f>CHOOSE(I16,0,0.6,0)</f>
        <v>0</v>
      </c>
      <c r="U26" s="215">
        <f t="shared" ref="U26:U28" si="0">S26-T26</f>
        <v>-0.7</v>
      </c>
    </row>
    <row r="27" spans="1:52" ht="13.5" customHeight="1">
      <c r="C27" s="297" t="s">
        <v>82</v>
      </c>
      <c r="D27" s="415">
        <v>3.2</v>
      </c>
      <c r="E27" s="415">
        <f>E28+D27</f>
        <v>3.2</v>
      </c>
      <c r="F27" s="298">
        <f>IF($L$13&lt;$L$14,1,(MAX(E27,$L$14)/$L$13)^(2*$P$14))</f>
        <v>0.7564984199913396</v>
      </c>
      <c r="G27" s="299">
        <f>0.8*F27</f>
        <v>0.60519873599307172</v>
      </c>
      <c r="H27" s="300">
        <f>H26</f>
        <v>-0.2</v>
      </c>
      <c r="I27" s="298">
        <f>G27-H27</f>
        <v>0.80519873599307168</v>
      </c>
      <c r="J27" s="299">
        <v>-0.4</v>
      </c>
      <c r="K27" s="300">
        <f>K26</f>
        <v>0</v>
      </c>
      <c r="L27" s="298">
        <f>J27-K27</f>
        <v>-0.4</v>
      </c>
      <c r="M27" s="299"/>
      <c r="N27" s="300"/>
      <c r="O27" s="298"/>
      <c r="P27" s="299"/>
      <c r="Q27" s="300"/>
      <c r="R27" s="298"/>
      <c r="S27" s="213">
        <f>S26</f>
        <v>-0.7</v>
      </c>
      <c r="T27" s="213">
        <f>T26</f>
        <v>0</v>
      </c>
      <c r="U27" s="215">
        <f t="shared" si="0"/>
        <v>-0.7</v>
      </c>
    </row>
    <row r="28" spans="1:52" ht="13.5" customHeight="1">
      <c r="C28" s="301" t="s">
        <v>81</v>
      </c>
      <c r="D28" s="302">
        <v>0</v>
      </c>
      <c r="E28" s="302">
        <f>D28</f>
        <v>0</v>
      </c>
      <c r="F28" s="302">
        <f>IF($L$13&lt;$L$14,1,(MAX(E28,$L$14)/$L$13)^(2*$P$14))</f>
        <v>0.7564984199913396</v>
      </c>
      <c r="G28" s="303">
        <f>0.8*F28</f>
        <v>0.60519873599307172</v>
      </c>
      <c r="H28" s="304">
        <f t="shared" ref="H28" si="1">H27</f>
        <v>-0.2</v>
      </c>
      <c r="I28" s="302">
        <f>G28-H28</f>
        <v>0.80519873599307168</v>
      </c>
      <c r="J28" s="303">
        <v>-0.4</v>
      </c>
      <c r="K28" s="304">
        <f t="shared" ref="K28" si="2">K27</f>
        <v>0</v>
      </c>
      <c r="L28" s="302">
        <f>J28-K28</f>
        <v>-0.4</v>
      </c>
      <c r="M28" s="303"/>
      <c r="N28" s="304"/>
      <c r="O28" s="302"/>
      <c r="P28" s="303"/>
      <c r="Q28" s="304"/>
      <c r="R28" s="302"/>
      <c r="S28" s="216">
        <f t="shared" ref="S28" si="3">S27</f>
        <v>-0.7</v>
      </c>
      <c r="T28" s="217">
        <f t="shared" ref="T28" si="4">T27</f>
        <v>0</v>
      </c>
      <c r="U28" s="218">
        <f t="shared" si="0"/>
        <v>-0.7</v>
      </c>
    </row>
    <row r="30" spans="1:52" ht="13.5" customHeight="1">
      <c r="C30" s="9" t="s">
        <v>189</v>
      </c>
      <c r="D30" s="9"/>
      <c r="E30" s="9"/>
      <c r="F30" s="9" t="s">
        <v>190</v>
      </c>
      <c r="G30" s="219" t="s">
        <v>191</v>
      </c>
      <c r="H30" s="12">
        <f>0.78+6</f>
        <v>6.78</v>
      </c>
      <c r="I30" s="9" t="s">
        <v>192</v>
      </c>
      <c r="J30" s="12">
        <f>IF($L$13&lt;$L$14,1,(MAX(H30,$L$14)/$L$13)^(2*$P$14))</f>
        <v>0.85449967349617129</v>
      </c>
      <c r="K30" s="219" t="s">
        <v>193</v>
      </c>
      <c r="L30" s="10">
        <f>0.8*J30</f>
        <v>0.68359973879693703</v>
      </c>
      <c r="M30" s="219" t="s">
        <v>194</v>
      </c>
      <c r="N30" s="10">
        <v>0</v>
      </c>
      <c r="O30" s="219" t="s">
        <v>195</v>
      </c>
      <c r="P30" s="10">
        <f>L30-N30</f>
        <v>0.68359973879693703</v>
      </c>
      <c r="Q30" s="9"/>
      <c r="R30" s="9"/>
    </row>
    <row r="31" spans="1:52" ht="13.5" customHeight="1">
      <c r="C31" s="9"/>
      <c r="D31" s="9"/>
      <c r="E31" s="9"/>
      <c r="F31" s="9" t="s">
        <v>196</v>
      </c>
      <c r="G31" s="9"/>
      <c r="H31" s="9"/>
      <c r="I31" s="9"/>
      <c r="J31" s="9"/>
      <c r="K31" s="9"/>
      <c r="L31" s="10">
        <v>-1</v>
      </c>
      <c r="M31" s="9"/>
      <c r="N31" s="10">
        <v>0</v>
      </c>
      <c r="O31" s="9"/>
      <c r="P31" s="10">
        <f>L31-N31</f>
        <v>-1</v>
      </c>
      <c r="Q31" s="219" t="s">
        <v>197</v>
      </c>
      <c r="R31" s="15">
        <f>-P30+P31</f>
        <v>-1.683599738796937</v>
      </c>
      <c r="AY31" s="14">
        <v>2.8</v>
      </c>
      <c r="AZ31" s="14">
        <v>5</v>
      </c>
    </row>
    <row r="32" spans="1:52" ht="13.5" customHeight="1">
      <c r="AV32" s="14" t="s">
        <v>261</v>
      </c>
    </row>
    <row r="33" spans="2:57" ht="13.5" customHeight="1">
      <c r="B33" s="14" t="s">
        <v>284</v>
      </c>
      <c r="AV33" s="14">
        <v>12</v>
      </c>
      <c r="AW33" s="14">
        <v>300</v>
      </c>
      <c r="AX33" s="370">
        <f>2.8+(2.2^2+1.6^2)^0.5</f>
        <v>5.5202941017470888</v>
      </c>
      <c r="AY33" s="14">
        <v>4</v>
      </c>
      <c r="AZ33" s="14">
        <v>2.8</v>
      </c>
      <c r="BA33" s="14">
        <v>2</v>
      </c>
      <c r="BB33" s="368">
        <f>AV33*AW33/10^6*(AX33*AY33+AZ33*BA33)*7850</f>
        <v>782.27004526149096</v>
      </c>
    </row>
    <row r="34" spans="2:57" ht="13.5" customHeight="1">
      <c r="C34" s="14" t="s">
        <v>97</v>
      </c>
      <c r="AV34" s="14">
        <v>9</v>
      </c>
      <c r="AW34" s="14">
        <v>75</v>
      </c>
      <c r="AX34" s="369">
        <v>1.2</v>
      </c>
      <c r="AY34" s="369">
        <f>ROUNDUP(2.8/0.3,0)</f>
        <v>10</v>
      </c>
      <c r="AZ34" s="369">
        <f>ROUNDUP(1.4/0.3,0)</f>
        <v>5</v>
      </c>
      <c r="BA34" s="14">
        <v>2</v>
      </c>
      <c r="BB34" s="368">
        <f>AV34*AW34/10^6*(AX34*AY34*AZ34)*7850</f>
        <v>317.92500000000001</v>
      </c>
    </row>
    <row r="35" spans="2:57" ht="13.5" customHeight="1">
      <c r="C35" s="305"/>
      <c r="D35" s="707" t="s">
        <v>13</v>
      </c>
      <c r="E35" s="707"/>
      <c r="F35" s="707" t="s">
        <v>14</v>
      </c>
      <c r="G35" s="707"/>
      <c r="H35" s="707" t="s">
        <v>15</v>
      </c>
      <c r="I35" s="707"/>
      <c r="J35" s="705" t="s">
        <v>201</v>
      </c>
      <c r="K35" s="705"/>
      <c r="L35" s="705"/>
      <c r="M35" s="705" t="s">
        <v>16</v>
      </c>
      <c r="N35" s="705"/>
      <c r="O35" s="462" t="s">
        <v>20</v>
      </c>
      <c r="P35" s="462"/>
      <c r="Q35" s="462"/>
      <c r="R35" s="462"/>
      <c r="S35" s="462"/>
      <c r="AV35" s="14">
        <v>6</v>
      </c>
      <c r="AX35" s="14">
        <v>2.8</v>
      </c>
      <c r="AY35" s="14">
        <v>2.8</v>
      </c>
      <c r="BB35" s="368">
        <f>AV35*AX35*AY35/1000*7850</f>
        <v>369.26399999999995</v>
      </c>
    </row>
    <row r="36" spans="2:57" ht="13.5" customHeight="1">
      <c r="C36" s="306"/>
      <c r="D36" s="706" t="s">
        <v>18</v>
      </c>
      <c r="E36" s="706"/>
      <c r="F36" s="706" t="s">
        <v>19</v>
      </c>
      <c r="G36" s="706"/>
      <c r="H36" s="706" t="s">
        <v>23</v>
      </c>
      <c r="I36" s="706"/>
      <c r="J36" s="285" t="s">
        <v>198</v>
      </c>
      <c r="K36" s="208" t="s">
        <v>199</v>
      </c>
      <c r="L36" s="209" t="s">
        <v>200</v>
      </c>
      <c r="M36" s="708" t="s">
        <v>202</v>
      </c>
      <c r="N36" s="708"/>
      <c r="O36" s="662" t="s">
        <v>17</v>
      </c>
      <c r="P36" s="663"/>
      <c r="Q36" s="307"/>
      <c r="R36" s="663" t="s">
        <v>26</v>
      </c>
      <c r="S36" s="664"/>
      <c r="AV36" s="14">
        <v>4.5</v>
      </c>
      <c r="AX36" s="14">
        <v>2.8</v>
      </c>
      <c r="AY36" s="14">
        <f>5-2.8</f>
        <v>2.2000000000000002</v>
      </c>
      <c r="AZ36" s="14">
        <v>3</v>
      </c>
      <c r="BB36" s="368">
        <f>AV36*AX36*(AY36+AZ36)/1000*7850</f>
        <v>514.33199999999999</v>
      </c>
    </row>
    <row r="37" spans="2:57" ht="13.5" customHeight="1">
      <c r="C37" s="308" t="str">
        <f t="shared" ref="C37:D39" si="5">C25</f>
        <v>パラ</v>
      </c>
      <c r="D37" s="700">
        <f t="shared" si="5"/>
        <v>0.7</v>
      </c>
      <c r="E37" s="700"/>
      <c r="F37" s="700">
        <v>50.8</v>
      </c>
      <c r="G37" s="700"/>
      <c r="H37" s="699">
        <f>F37*D37</f>
        <v>35.559999999999995</v>
      </c>
      <c r="I37" s="699"/>
      <c r="J37" s="220">
        <f>$Q$20*I25/1000</f>
        <v>0.76399216900617251</v>
      </c>
      <c r="K37" s="221">
        <f>$Q$20*L25/1000</f>
        <v>-0.34094343340455985</v>
      </c>
      <c r="L37" s="222">
        <f>J37-K37</f>
        <v>1.1049356024107324</v>
      </c>
      <c r="M37" s="701">
        <f>H37*L37</f>
        <v>39.291510021725642</v>
      </c>
      <c r="N37" s="701"/>
      <c r="O37" s="702"/>
      <c r="P37" s="703"/>
      <c r="Q37" s="92"/>
      <c r="R37" s="703"/>
      <c r="S37" s="704"/>
      <c r="BB37" s="368">
        <f>SUM(BB33:BB36)</f>
        <v>1983.791045261491</v>
      </c>
      <c r="BC37" s="14">
        <f>AZ34*AZ33</f>
        <v>14</v>
      </c>
      <c r="BD37" s="368">
        <f>BB37/BC37</f>
        <v>141.69936037582079</v>
      </c>
    </row>
    <row r="38" spans="2:57" ht="13.5" customHeight="1">
      <c r="C38" s="297" t="str">
        <f t="shared" si="5"/>
        <v>2F</v>
      </c>
      <c r="D38" s="733">
        <f t="shared" si="5"/>
        <v>3.2</v>
      </c>
      <c r="E38" s="733"/>
      <c r="F38" s="733">
        <f>F37</f>
        <v>50.8</v>
      </c>
      <c r="G38" s="733"/>
      <c r="H38" s="697">
        <f>D38*F38</f>
        <v>162.56</v>
      </c>
      <c r="I38" s="698"/>
      <c r="J38" s="223">
        <f>$Q$20*I26/1000</f>
        <v>0.73985451062497176</v>
      </c>
      <c r="K38" s="224">
        <f>$Q$20*L26/1000</f>
        <v>-0.34094343340455985</v>
      </c>
      <c r="L38" s="225">
        <f t="shared" ref="L38:L39" si="6">J38-K38</f>
        <v>1.0807979440295317</v>
      </c>
      <c r="M38" s="718">
        <f t="shared" ref="M38:M39" si="7">H38*L38</f>
        <v>175.69451378144066</v>
      </c>
      <c r="N38" s="718"/>
      <c r="O38" s="724">
        <f>M37+M38</f>
        <v>214.98602380316629</v>
      </c>
      <c r="P38" s="725"/>
      <c r="Q38" s="44" t="str">
        <f>IF(O38&lt;R38,"&lt;","&gt;")</f>
        <v>&lt;</v>
      </c>
      <c r="R38" s="716">
        <v>5733</v>
      </c>
      <c r="S38" s="717"/>
    </row>
    <row r="39" spans="2:57" ht="13.5" customHeight="1">
      <c r="C39" s="301" t="str">
        <f t="shared" si="5"/>
        <v>1F</v>
      </c>
      <c r="D39" s="728">
        <f t="shared" si="5"/>
        <v>3.2</v>
      </c>
      <c r="E39" s="728"/>
      <c r="F39" s="728">
        <f>F38</f>
        <v>50.8</v>
      </c>
      <c r="G39" s="728"/>
      <c r="H39" s="731">
        <f>D39*F39</f>
        <v>162.56</v>
      </c>
      <c r="I39" s="732"/>
      <c r="J39" s="226">
        <f>$Q$20*I27/1000</f>
        <v>0.68631805405622404</v>
      </c>
      <c r="K39" s="227">
        <f>$Q$20*L27/1000</f>
        <v>-0.34094343340455985</v>
      </c>
      <c r="L39" s="228">
        <f t="shared" si="6"/>
        <v>1.0272614874607839</v>
      </c>
      <c r="M39" s="723">
        <f t="shared" si="7"/>
        <v>166.99162740162504</v>
      </c>
      <c r="N39" s="723"/>
      <c r="O39" s="719">
        <f>M38+M39</f>
        <v>342.68614118306573</v>
      </c>
      <c r="P39" s="720"/>
      <c r="Q39" s="284" t="str">
        <f>IF(O39&lt;R39,"&lt;","&gt;")</f>
        <v>&lt;</v>
      </c>
      <c r="R39" s="721">
        <v>9238</v>
      </c>
      <c r="S39" s="722"/>
    </row>
    <row r="40" spans="2:57" ht="13.5" customHeight="1">
      <c r="D40" s="38"/>
      <c r="E40" s="38"/>
      <c r="F40" s="38"/>
      <c r="G40" s="38"/>
      <c r="J40" s="9"/>
      <c r="K40" s="9"/>
      <c r="L40" s="9"/>
      <c r="M40" s="9"/>
      <c r="N40" s="9"/>
      <c r="AV40" s="14" t="s">
        <v>260</v>
      </c>
    </row>
    <row r="41" spans="2:57" ht="13.5" customHeight="1">
      <c r="C41" s="8" t="s">
        <v>98</v>
      </c>
      <c r="D41" s="38"/>
      <c r="E41" s="38"/>
      <c r="F41" s="38"/>
      <c r="G41" s="38"/>
      <c r="J41" s="9"/>
      <c r="K41" s="9"/>
      <c r="L41" s="9"/>
      <c r="M41" s="9"/>
      <c r="N41" s="9"/>
      <c r="AV41" s="14">
        <v>12</v>
      </c>
      <c r="AW41" s="14">
        <v>300</v>
      </c>
      <c r="AX41" s="14">
        <v>5</v>
      </c>
      <c r="AY41" s="14">
        <v>4</v>
      </c>
      <c r="AZ41" s="14">
        <v>2.8</v>
      </c>
      <c r="BA41" s="14">
        <v>2</v>
      </c>
      <c r="BB41" s="368">
        <f>AV41*AW41/10^6*(AX41*AY41+AZ41*BA41)*7850</f>
        <v>723.45600000000002</v>
      </c>
    </row>
    <row r="42" spans="2:57" ht="13.5" customHeight="1">
      <c r="C42" s="305"/>
      <c r="D42" s="705" t="s">
        <v>13</v>
      </c>
      <c r="E42" s="705"/>
      <c r="F42" s="705" t="s">
        <v>14</v>
      </c>
      <c r="G42" s="705"/>
      <c r="H42" s="707" t="s">
        <v>15</v>
      </c>
      <c r="I42" s="707"/>
      <c r="J42" s="705" t="s">
        <v>201</v>
      </c>
      <c r="K42" s="705"/>
      <c r="L42" s="705"/>
      <c r="M42" s="705" t="s">
        <v>16</v>
      </c>
      <c r="N42" s="705"/>
      <c r="O42" s="462" t="s">
        <v>20</v>
      </c>
      <c r="P42" s="462"/>
      <c r="Q42" s="462"/>
      <c r="R42" s="462"/>
      <c r="S42" s="462"/>
      <c r="AV42" s="14">
        <v>6</v>
      </c>
      <c r="AW42" s="14">
        <v>75</v>
      </c>
      <c r="AX42" s="369">
        <v>1.2</v>
      </c>
      <c r="AY42" s="369">
        <f>ROUNDUP(2.8/0.45,0)</f>
        <v>7</v>
      </c>
      <c r="AZ42" s="369">
        <f>ROUNDUP(1.4/0.45,0)</f>
        <v>4</v>
      </c>
      <c r="BA42" s="14">
        <v>2</v>
      </c>
      <c r="BB42" s="368">
        <f>AV42*AW42/10^6*(AX42*AY42*AZ42)*7850*2</f>
        <v>237.38399999999999</v>
      </c>
    </row>
    <row r="43" spans="2:57" ht="13.5" customHeight="1">
      <c r="C43" s="306"/>
      <c r="D43" s="708" t="s">
        <v>18</v>
      </c>
      <c r="E43" s="708"/>
      <c r="F43" s="708" t="s">
        <v>21</v>
      </c>
      <c r="G43" s="708"/>
      <c r="H43" s="706" t="s">
        <v>22</v>
      </c>
      <c r="I43" s="706"/>
      <c r="J43" s="285" t="s">
        <v>198</v>
      </c>
      <c r="K43" s="208" t="s">
        <v>199</v>
      </c>
      <c r="L43" s="209" t="s">
        <v>200</v>
      </c>
      <c r="M43" s="708" t="s">
        <v>203</v>
      </c>
      <c r="N43" s="708"/>
      <c r="O43" s="662" t="s">
        <v>24</v>
      </c>
      <c r="P43" s="663"/>
      <c r="Q43" s="307"/>
      <c r="R43" s="663" t="s">
        <v>25</v>
      </c>
      <c r="S43" s="664"/>
      <c r="AV43" s="14">
        <v>4.5</v>
      </c>
      <c r="AX43" s="14">
        <v>2.8</v>
      </c>
      <c r="AY43" s="14">
        <v>2.8</v>
      </c>
      <c r="BB43" s="368">
        <f>AV43*AX43*AY43/1000*7850</f>
        <v>276.94799999999992</v>
      </c>
    </row>
    <row r="44" spans="2:57" ht="13.5" customHeight="1">
      <c r="C44" s="308" t="str">
        <f t="shared" ref="C44:D46" si="8">C25</f>
        <v>パラ</v>
      </c>
      <c r="D44" s="700">
        <f t="shared" si="8"/>
        <v>0.7</v>
      </c>
      <c r="E44" s="700"/>
      <c r="F44" s="700">
        <v>108</v>
      </c>
      <c r="G44" s="700"/>
      <c r="H44" s="699">
        <f>F44*D44</f>
        <v>75.599999999999994</v>
      </c>
      <c r="I44" s="699"/>
      <c r="J44" s="220">
        <f>$Q$20*I25/1000</f>
        <v>0.76399216900617251</v>
      </c>
      <c r="K44" s="221">
        <f>$Q$20*L25/1000</f>
        <v>-0.34094343340455985</v>
      </c>
      <c r="L44" s="222">
        <f>J44-K44</f>
        <v>1.1049356024107324</v>
      </c>
      <c r="M44" s="701">
        <f>H44*L44</f>
        <v>83.533131542251368</v>
      </c>
      <c r="N44" s="701"/>
      <c r="O44" s="702"/>
      <c r="P44" s="703"/>
      <c r="Q44" s="92"/>
      <c r="R44" s="703"/>
      <c r="S44" s="704"/>
      <c r="AV44" s="14">
        <v>4.5</v>
      </c>
      <c r="AX44" s="14">
        <v>2.8</v>
      </c>
      <c r="AY44" s="14">
        <f>5-2.8</f>
        <v>2.2000000000000002</v>
      </c>
      <c r="AZ44" s="14">
        <v>3</v>
      </c>
      <c r="BB44" s="368">
        <f>AV44*AX44*(AY44+AZ44)/1000*7850</f>
        <v>514.33199999999999</v>
      </c>
    </row>
    <row r="45" spans="2:57" ht="13.5" customHeight="1">
      <c r="C45" s="297" t="str">
        <f t="shared" si="8"/>
        <v>2F</v>
      </c>
      <c r="D45" s="733">
        <f t="shared" si="8"/>
        <v>3.2</v>
      </c>
      <c r="E45" s="733"/>
      <c r="F45" s="734">
        <f>F44</f>
        <v>108</v>
      </c>
      <c r="G45" s="735"/>
      <c r="H45" s="697">
        <f>D45*F45</f>
        <v>345.6</v>
      </c>
      <c r="I45" s="698"/>
      <c r="J45" s="223">
        <f>$Q$20*I26/1000</f>
        <v>0.73985451062497176</v>
      </c>
      <c r="K45" s="224">
        <f>$Q$20*L26/1000</f>
        <v>-0.34094343340455985</v>
      </c>
      <c r="L45" s="225">
        <f t="shared" ref="L45:L46" si="9">J45-K45</f>
        <v>1.0807979440295317</v>
      </c>
      <c r="M45" s="718">
        <f t="shared" ref="M45:M46" si="10">H45*L45</f>
        <v>373.52376945660615</v>
      </c>
      <c r="N45" s="718"/>
      <c r="O45" s="724">
        <f>M44+M45</f>
        <v>457.05690099885749</v>
      </c>
      <c r="P45" s="725"/>
      <c r="Q45" s="44" t="str">
        <f>IF(O45&lt;R45,"&lt;","&gt;")</f>
        <v>&lt;</v>
      </c>
      <c r="R45" s="716">
        <f>R38</f>
        <v>5733</v>
      </c>
      <c r="S45" s="717"/>
      <c r="BB45" s="368">
        <f>SUM(BB41:BB44)</f>
        <v>1752.12</v>
      </c>
      <c r="BC45" s="14">
        <f>AX41*AZ41</f>
        <v>14</v>
      </c>
      <c r="BD45" s="368">
        <f>BB45/BC45</f>
        <v>125.15142857142857</v>
      </c>
      <c r="BE45" s="368"/>
    </row>
    <row r="46" spans="2:57" ht="13.5" customHeight="1">
      <c r="C46" s="301" t="str">
        <f t="shared" si="8"/>
        <v>1F</v>
      </c>
      <c r="D46" s="728">
        <f t="shared" si="8"/>
        <v>3.2</v>
      </c>
      <c r="E46" s="728"/>
      <c r="F46" s="729">
        <f>F45</f>
        <v>108</v>
      </c>
      <c r="G46" s="730"/>
      <c r="H46" s="731">
        <f>D46*F46</f>
        <v>345.6</v>
      </c>
      <c r="I46" s="732"/>
      <c r="J46" s="226">
        <f>$Q$20*I27/1000</f>
        <v>0.68631805405622404</v>
      </c>
      <c r="K46" s="227">
        <f>$Q$20*L27/1000</f>
        <v>-0.34094343340455985</v>
      </c>
      <c r="L46" s="228">
        <f t="shared" si="9"/>
        <v>1.0272614874607839</v>
      </c>
      <c r="M46" s="723">
        <f t="shared" si="10"/>
        <v>355.02157006644694</v>
      </c>
      <c r="N46" s="723"/>
      <c r="O46" s="719">
        <f>M45+M46</f>
        <v>728.54533952305314</v>
      </c>
      <c r="P46" s="720"/>
      <c r="Q46" s="284" t="str">
        <f>IF(O46&lt;R46,"&lt;","&gt;")</f>
        <v>&lt;</v>
      </c>
      <c r="R46" s="721">
        <f>R39</f>
        <v>9238</v>
      </c>
      <c r="S46" s="722"/>
    </row>
    <row r="48" spans="2:57" ht="13.5" customHeight="1">
      <c r="D48" s="14" t="s">
        <v>27</v>
      </c>
    </row>
    <row r="50" spans="2:20" ht="13.5" customHeight="1">
      <c r="B50" s="14" t="s">
        <v>285</v>
      </c>
      <c r="I50" s="2"/>
      <c r="K50" s="2"/>
      <c r="L50" s="2"/>
      <c r="M50" s="2"/>
      <c r="N50" s="2"/>
      <c r="O50" s="2"/>
    </row>
    <row r="51" spans="2:20" ht="13.5" customHeight="1">
      <c r="C51" s="2" t="s">
        <v>92</v>
      </c>
      <c r="H51" s="2" t="s">
        <v>39</v>
      </c>
      <c r="I51" s="2"/>
      <c r="N51" s="2"/>
      <c r="O51" s="2"/>
      <c r="P51" s="14" t="s">
        <v>65</v>
      </c>
    </row>
    <row r="52" spans="2:20" ht="13.5" customHeight="1">
      <c r="C52" s="2" t="s">
        <v>93</v>
      </c>
      <c r="I52" s="2"/>
      <c r="L52" s="2"/>
      <c r="N52" s="2"/>
      <c r="O52" s="2"/>
    </row>
    <row r="53" spans="2:20" ht="13.5" customHeight="1">
      <c r="C53" s="283" t="s">
        <v>32</v>
      </c>
      <c r="D53" s="283" t="s">
        <v>33</v>
      </c>
      <c r="E53" s="283" t="s">
        <v>34</v>
      </c>
      <c r="F53" s="283" t="s">
        <v>35</v>
      </c>
      <c r="H53" s="283"/>
      <c r="I53" s="462" t="s">
        <v>40</v>
      </c>
      <c r="J53" s="462"/>
      <c r="K53" s="462" t="s">
        <v>41</v>
      </c>
      <c r="L53" s="462"/>
      <c r="M53" s="462" t="s">
        <v>42</v>
      </c>
      <c r="N53" s="462"/>
      <c r="P53" s="309"/>
      <c r="Q53" s="307"/>
      <c r="R53" s="307"/>
      <c r="S53" s="462" t="s">
        <v>68</v>
      </c>
      <c r="T53" s="462"/>
    </row>
    <row r="54" spans="2:20" ht="13.5" customHeight="1">
      <c r="C54" s="283" t="s">
        <v>36</v>
      </c>
      <c r="D54" s="283">
        <v>5</v>
      </c>
      <c r="E54" s="283">
        <v>250</v>
      </c>
      <c r="F54" s="310">
        <v>0.1</v>
      </c>
      <c r="H54" s="283" t="s">
        <v>36</v>
      </c>
      <c r="I54" s="709">
        <v>2</v>
      </c>
      <c r="J54" s="709"/>
      <c r="K54" s="710" t="s">
        <v>83</v>
      </c>
      <c r="L54" s="711"/>
      <c r="M54" s="709">
        <v>1.8</v>
      </c>
      <c r="N54" s="709"/>
      <c r="P54" s="462" t="s">
        <v>30</v>
      </c>
      <c r="Q54" s="462"/>
      <c r="R54" s="462"/>
      <c r="S54" s="727">
        <v>1</v>
      </c>
      <c r="T54" s="727"/>
    </row>
    <row r="55" spans="2:20" ht="13.5" customHeight="1">
      <c r="C55" s="283" t="s">
        <v>4</v>
      </c>
      <c r="D55" s="283">
        <v>5</v>
      </c>
      <c r="E55" s="283">
        <v>350</v>
      </c>
      <c r="F55" s="310">
        <v>0.15</v>
      </c>
      <c r="H55" s="283" t="s">
        <v>4</v>
      </c>
      <c r="I55" s="709">
        <v>2.2000000000000002</v>
      </c>
      <c r="J55" s="709"/>
      <c r="K55" s="712"/>
      <c r="L55" s="713"/>
      <c r="M55" s="709">
        <v>2</v>
      </c>
      <c r="N55" s="709"/>
      <c r="P55" s="726" t="s">
        <v>89</v>
      </c>
      <c r="Q55" s="711"/>
      <c r="R55" s="283" t="s">
        <v>87</v>
      </c>
      <c r="S55" s="462" t="s">
        <v>90</v>
      </c>
      <c r="T55" s="462"/>
    </row>
    <row r="56" spans="2:20" ht="13.5" customHeight="1">
      <c r="C56" s="283" t="s">
        <v>37</v>
      </c>
      <c r="D56" s="283">
        <v>5</v>
      </c>
      <c r="E56" s="283">
        <v>450</v>
      </c>
      <c r="F56" s="310">
        <v>0.2</v>
      </c>
      <c r="H56" s="283" t="s">
        <v>37</v>
      </c>
      <c r="I56" s="709">
        <v>2.5</v>
      </c>
      <c r="J56" s="709"/>
      <c r="K56" s="712"/>
      <c r="L56" s="713"/>
      <c r="M56" s="709">
        <v>2.1</v>
      </c>
      <c r="N56" s="709"/>
      <c r="P56" s="714"/>
      <c r="Q56" s="715"/>
      <c r="R56" s="283" t="s">
        <v>88</v>
      </c>
      <c r="S56" s="462" t="s">
        <v>91</v>
      </c>
      <c r="T56" s="462"/>
    </row>
    <row r="57" spans="2:20" ht="13.5" customHeight="1">
      <c r="C57" s="283" t="s">
        <v>38</v>
      </c>
      <c r="D57" s="283">
        <v>10</v>
      </c>
      <c r="E57" s="283">
        <v>550</v>
      </c>
      <c r="F57" s="310">
        <v>0.27</v>
      </c>
      <c r="H57" s="283" t="s">
        <v>38</v>
      </c>
      <c r="I57" s="709">
        <v>3.1</v>
      </c>
      <c r="J57" s="709"/>
      <c r="K57" s="714"/>
      <c r="L57" s="715"/>
      <c r="M57" s="709">
        <v>2.2999999999999998</v>
      </c>
      <c r="N57" s="709"/>
      <c r="O57" s="2"/>
    </row>
  </sheetData>
  <mergeCells count="83">
    <mergeCell ref="D35:E35"/>
    <mergeCell ref="D37:E37"/>
    <mergeCell ref="D36:E36"/>
    <mergeCell ref="F35:G35"/>
    <mergeCell ref="D39:E39"/>
    <mergeCell ref="F39:G39"/>
    <mergeCell ref="F36:G36"/>
    <mergeCell ref="D38:E38"/>
    <mergeCell ref="F38:G38"/>
    <mergeCell ref="D44:E44"/>
    <mergeCell ref="H39:I39"/>
    <mergeCell ref="D43:E43"/>
    <mergeCell ref="F43:G43"/>
    <mergeCell ref="H43:I43"/>
    <mergeCell ref="D42:E42"/>
    <mergeCell ref="F42:G42"/>
    <mergeCell ref="H42:I42"/>
    <mergeCell ref="D45:E45"/>
    <mergeCell ref="F45:G45"/>
    <mergeCell ref="H45:I45"/>
    <mergeCell ref="M45:N45"/>
    <mergeCell ref="O45:P45"/>
    <mergeCell ref="D46:E46"/>
    <mergeCell ref="F46:G46"/>
    <mergeCell ref="H46:I46"/>
    <mergeCell ref="M46:N46"/>
    <mergeCell ref="O46:P46"/>
    <mergeCell ref="R46:S46"/>
    <mergeCell ref="S53:T53"/>
    <mergeCell ref="P54:R54"/>
    <mergeCell ref="P55:Q56"/>
    <mergeCell ref="S56:T56"/>
    <mergeCell ref="S55:T55"/>
    <mergeCell ref="S54:T54"/>
    <mergeCell ref="R45:S45"/>
    <mergeCell ref="R36:S36"/>
    <mergeCell ref="R44:S44"/>
    <mergeCell ref="M38:N38"/>
    <mergeCell ref="O37:P37"/>
    <mergeCell ref="M37:N37"/>
    <mergeCell ref="O39:P39"/>
    <mergeCell ref="R39:S39"/>
    <mergeCell ref="M39:N39"/>
    <mergeCell ref="M43:N43"/>
    <mergeCell ref="O38:P38"/>
    <mergeCell ref="R38:S38"/>
    <mergeCell ref="J42:L42"/>
    <mergeCell ref="I56:J56"/>
    <mergeCell ref="I55:J55"/>
    <mergeCell ref="I54:J54"/>
    <mergeCell ref="M55:N55"/>
    <mergeCell ref="M54:N54"/>
    <mergeCell ref="K54:L57"/>
    <mergeCell ref="M57:N57"/>
    <mergeCell ref="M56:N56"/>
    <mergeCell ref="M42:N42"/>
    <mergeCell ref="M53:N53"/>
    <mergeCell ref="K53:L53"/>
    <mergeCell ref="I53:J53"/>
    <mergeCell ref="I57:J57"/>
    <mergeCell ref="P23:R23"/>
    <mergeCell ref="M23:O23"/>
    <mergeCell ref="J23:L23"/>
    <mergeCell ref="H36:I36"/>
    <mergeCell ref="H35:I35"/>
    <mergeCell ref="M36:N36"/>
    <mergeCell ref="O35:S35"/>
    <mergeCell ref="H38:I38"/>
    <mergeCell ref="S23:U23"/>
    <mergeCell ref="G23:I23"/>
    <mergeCell ref="H37:I37"/>
    <mergeCell ref="H44:I44"/>
    <mergeCell ref="F44:G44"/>
    <mergeCell ref="M44:N44"/>
    <mergeCell ref="O44:P44"/>
    <mergeCell ref="R37:S37"/>
    <mergeCell ref="O42:S42"/>
    <mergeCell ref="J35:L35"/>
    <mergeCell ref="O43:P43"/>
    <mergeCell ref="R43:S43"/>
    <mergeCell ref="O36:P36"/>
    <mergeCell ref="F37:G37"/>
    <mergeCell ref="M35:N35"/>
  </mergeCells>
  <phoneticPr fontId="2"/>
  <pageMargins left="0.59055118110236227" right="0.19685039370078741" top="0.78740157480314965" bottom="0.39370078740157483" header="0.51181102362204722" footer="0.31496062992125984"/>
  <pageSetup paperSize="9" scale="96" orientation="portrait" blackAndWhite="1" r:id="rId1"/>
  <headerFooter alignWithMargins="0">
    <oddFooter>&amp;C2 -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99FF99"/>
  </sheetPr>
  <dimension ref="A2:BE97"/>
  <sheetViews>
    <sheetView showGridLines="0" view="pageBreakPreview" topLeftCell="A46" zoomScaleNormal="100" zoomScaleSheetLayoutView="100" workbookViewId="0">
      <selection activeCell="S7" sqref="S7"/>
    </sheetView>
  </sheetViews>
  <sheetFormatPr defaultColWidth="5.77734375" defaultRowHeight="13.5" customHeight="1"/>
  <cols>
    <col min="1" max="1" width="2.77734375" style="16" customWidth="1"/>
    <col min="2" max="2" width="5.77734375" style="16" customWidth="1"/>
    <col min="3" max="3" width="4.77734375" style="16" customWidth="1"/>
    <col min="4" max="4" width="6" style="16" customWidth="1"/>
    <col min="5" max="20" width="5.77734375" style="16" customWidth="1"/>
    <col min="21" max="21" width="1.77734375" style="16" customWidth="1"/>
    <col min="22" max="22" width="3.77734375" style="16" customWidth="1"/>
    <col min="23" max="42" width="5.77734375" style="16" customWidth="1"/>
    <col min="43" max="43" width="1.6640625" style="16" customWidth="1"/>
    <col min="44" max="47" width="5.77734375" style="16"/>
    <col min="48" max="54" width="9.44140625" style="16" customWidth="1"/>
    <col min="55" max="55" width="7.6640625" style="16" customWidth="1"/>
    <col min="56" max="16384" width="5.77734375" style="16"/>
  </cols>
  <sheetData>
    <row r="2" spans="1:30" ht="13.5" customHeight="1">
      <c r="A2" s="10"/>
      <c r="B2" s="45" t="s">
        <v>165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3"/>
      <c r="R2" s="46"/>
      <c r="S2" s="13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3.5" customHeight="1">
      <c r="A3" s="10"/>
      <c r="B3" s="13" t="s">
        <v>169</v>
      </c>
      <c r="C3" s="10"/>
      <c r="D3" s="10"/>
      <c r="E3" s="10"/>
      <c r="F3" s="10" t="s">
        <v>250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30" ht="13.5" customHeight="1">
      <c r="A4" s="10"/>
      <c r="B4" s="738" t="s">
        <v>163</v>
      </c>
      <c r="C4" s="738" t="s">
        <v>162</v>
      </c>
      <c r="D4" s="740" t="s">
        <v>155</v>
      </c>
      <c r="E4" s="764"/>
      <c r="F4" s="741"/>
      <c r="G4" s="740" t="s">
        <v>154</v>
      </c>
      <c r="H4" s="741"/>
      <c r="I4" s="738" t="s">
        <v>161</v>
      </c>
      <c r="J4" s="763" t="s">
        <v>160</v>
      </c>
      <c r="K4" s="763"/>
      <c r="L4" s="763"/>
      <c r="M4" s="750" t="s">
        <v>118</v>
      </c>
      <c r="N4" s="750"/>
      <c r="O4" s="751" t="s">
        <v>159</v>
      </c>
      <c r="P4" s="751"/>
      <c r="Q4" s="752" t="s">
        <v>107</v>
      </c>
      <c r="R4" s="753"/>
      <c r="S4" s="753"/>
      <c r="T4" s="754"/>
      <c r="U4" s="10"/>
      <c r="V4" s="10"/>
      <c r="W4" s="10"/>
      <c r="X4" s="10"/>
      <c r="Y4" s="10"/>
      <c r="Z4" s="10"/>
      <c r="AA4" s="15"/>
    </row>
    <row r="5" spans="1:30" ht="13.5" customHeight="1">
      <c r="A5" s="10"/>
      <c r="B5" s="739"/>
      <c r="C5" s="739"/>
      <c r="D5" s="742"/>
      <c r="E5" s="765"/>
      <c r="F5" s="743"/>
      <c r="G5" s="742"/>
      <c r="H5" s="743"/>
      <c r="I5" s="739"/>
      <c r="J5" s="62" t="s">
        <v>78</v>
      </c>
      <c r="K5" s="63" t="s">
        <v>117</v>
      </c>
      <c r="L5" s="64" t="s">
        <v>116</v>
      </c>
      <c r="M5" s="65" t="s">
        <v>158</v>
      </c>
      <c r="N5" s="66" t="s">
        <v>157</v>
      </c>
      <c r="O5" s="97" t="s">
        <v>117</v>
      </c>
      <c r="P5" s="98" t="s">
        <v>116</v>
      </c>
      <c r="Q5" s="755"/>
      <c r="R5" s="756"/>
      <c r="S5" s="756"/>
      <c r="T5" s="757"/>
      <c r="U5" s="10"/>
      <c r="V5" s="10"/>
      <c r="W5" s="10"/>
      <c r="X5" s="10"/>
      <c r="Y5" s="10"/>
      <c r="Z5" s="10"/>
      <c r="AA5" s="15"/>
    </row>
    <row r="6" spans="1:30" ht="13.5" customHeight="1">
      <c r="A6" s="10"/>
      <c r="B6" s="67" t="s">
        <v>174</v>
      </c>
      <c r="C6" s="6" t="s">
        <v>257</v>
      </c>
      <c r="D6" s="281"/>
      <c r="E6" s="137"/>
      <c r="F6" s="162"/>
      <c r="G6" s="772" t="s">
        <v>275</v>
      </c>
      <c r="H6" s="773"/>
      <c r="I6" s="776" t="s">
        <v>276</v>
      </c>
      <c r="J6" s="70"/>
      <c r="K6" s="57"/>
      <c r="L6" s="135"/>
      <c r="M6" s="49"/>
      <c r="N6" s="50"/>
      <c r="O6" s="196">
        <v>25</v>
      </c>
      <c r="P6" s="197">
        <v>12.5</v>
      </c>
      <c r="Q6" s="416" t="s">
        <v>286</v>
      </c>
      <c r="R6" s="133"/>
      <c r="S6" s="133"/>
      <c r="T6" s="131"/>
      <c r="U6" s="10"/>
      <c r="V6" s="10"/>
      <c r="W6" s="10"/>
      <c r="X6" s="10"/>
      <c r="Y6" s="10"/>
      <c r="Z6" s="10"/>
      <c r="AA6" s="15"/>
    </row>
    <row r="7" spans="1:30" ht="13.5" customHeight="1">
      <c r="A7" s="10"/>
      <c r="B7" s="7"/>
      <c r="C7" s="7" t="s">
        <v>258</v>
      </c>
      <c r="D7" s="153"/>
      <c r="E7" s="161"/>
      <c r="F7" s="128"/>
      <c r="G7" s="774"/>
      <c r="H7" s="775"/>
      <c r="I7" s="777"/>
      <c r="J7" s="70"/>
      <c r="K7" s="57"/>
      <c r="L7" s="135"/>
      <c r="M7" s="49"/>
      <c r="N7" s="50"/>
      <c r="O7" s="196">
        <v>25</v>
      </c>
      <c r="P7" s="197">
        <v>12.5</v>
      </c>
      <c r="Q7" s="417" t="s">
        <v>287</v>
      </c>
      <c r="R7" s="126"/>
      <c r="S7" s="150"/>
      <c r="T7" s="124"/>
      <c r="U7" s="10"/>
      <c r="V7" s="10"/>
      <c r="W7" s="10"/>
      <c r="X7" s="10"/>
      <c r="Y7" s="10"/>
      <c r="Z7" s="10"/>
      <c r="AA7" s="15"/>
    </row>
    <row r="8" spans="1:30" ht="13.5" customHeight="1">
      <c r="A8" s="10"/>
      <c r="B8" s="75"/>
      <c r="C8" s="75"/>
      <c r="D8" s="153"/>
      <c r="E8" s="129"/>
      <c r="F8" s="128"/>
      <c r="G8" s="746"/>
      <c r="H8" s="747"/>
      <c r="I8" s="69"/>
      <c r="J8" s="71"/>
      <c r="K8" s="58"/>
      <c r="L8" s="127"/>
      <c r="M8" s="51"/>
      <c r="N8" s="52"/>
      <c r="O8" s="198"/>
      <c r="P8" s="199"/>
      <c r="Q8" s="117"/>
      <c r="R8" s="123"/>
      <c r="S8" s="122"/>
      <c r="T8" s="115"/>
      <c r="U8" s="10"/>
      <c r="V8" s="10"/>
      <c r="W8" s="10"/>
      <c r="X8" s="10"/>
      <c r="Y8" s="10"/>
      <c r="Z8" s="10"/>
      <c r="AA8" s="15"/>
    </row>
    <row r="9" spans="1:30" ht="13.5" customHeight="1">
      <c r="A9" s="10"/>
      <c r="B9" s="166"/>
      <c r="C9" s="5"/>
      <c r="D9" s="143"/>
      <c r="E9" s="142"/>
      <c r="F9" s="141"/>
      <c r="G9" s="736"/>
      <c r="H9" s="737"/>
      <c r="I9" s="80"/>
      <c r="J9" s="56"/>
      <c r="K9" s="140"/>
      <c r="L9" s="113"/>
      <c r="M9" s="280"/>
      <c r="N9" s="48"/>
      <c r="O9" s="200"/>
      <c r="P9" s="201"/>
      <c r="Q9" s="112"/>
      <c r="R9" s="111"/>
      <c r="S9" s="111"/>
      <c r="T9" s="139"/>
      <c r="U9" s="10"/>
      <c r="V9" s="10"/>
      <c r="W9" s="10"/>
      <c r="X9" s="10"/>
      <c r="Y9" s="10"/>
      <c r="Z9" s="10"/>
      <c r="AA9" s="15"/>
    </row>
    <row r="10" spans="1:30" ht="13.5" customHeight="1">
      <c r="A10" s="10"/>
      <c r="B10" s="67" t="str">
        <f>"W"&amp;RIGHT("00"&amp;(RIGHT(B6,3)+1),3)</f>
        <v>W002</v>
      </c>
      <c r="C10" s="315" t="s">
        <v>256</v>
      </c>
      <c r="D10" s="316"/>
      <c r="E10" s="317"/>
      <c r="F10" s="318"/>
      <c r="G10" s="766" t="s">
        <v>171</v>
      </c>
      <c r="H10" s="767"/>
      <c r="I10" s="319" t="s">
        <v>164</v>
      </c>
      <c r="J10" s="320" t="s">
        <v>259</v>
      </c>
      <c r="K10" s="321">
        <f ca="1">IF(LEFT(J10,2)="TL",INDIRECT("設計荷重!aj"&amp;(ROW(設計荷重!$C$24)+MATCH(J10,設計荷重!$C$25:$C$61,0)+4)),IF(LEFT(J10,2)="KL",INDIRECT("設計荷重!ag"&amp;(ROW(設計荷重!$C$99)+MATCH(J10,設計荷重!$C$100:$C$115,0)+4)),VLOOKUP(J10,設計荷重!$C$85:$AJ$94,32,0)))/1000</f>
        <v>3.6</v>
      </c>
      <c r="L10" s="322" t="str">
        <f ca="1">IF(LEFT(J10,2)="TL",INDIRECT("設計荷重!am"&amp;(ROW(設計荷重!$C$24)+MATCH(J10,設計荷重!$C$25:$C$61,0)+4))/1000,"")</f>
        <v/>
      </c>
      <c r="M10" s="323">
        <v>0.5</v>
      </c>
      <c r="N10" s="324"/>
      <c r="O10" s="325">
        <f ca="1">K10*IF(M10=0,1,M10)*IF(N10=0,1,N10)</f>
        <v>1.8</v>
      </c>
      <c r="P10" s="326">
        <f ca="1">IF(L10="",O10,L10*IF(M10=0,1,M10)*IF(N10=0,1,N10))</f>
        <v>1.8</v>
      </c>
      <c r="Q10" s="327" t="s">
        <v>117</v>
      </c>
      <c r="R10" s="328" t="s">
        <v>73</v>
      </c>
      <c r="S10" s="328">
        <f ca="1">SUM(O10:O13)</f>
        <v>1.8</v>
      </c>
      <c r="T10" s="329" t="s">
        <v>106</v>
      </c>
      <c r="U10" s="10"/>
      <c r="V10" s="10"/>
      <c r="W10" s="10"/>
      <c r="X10" s="10"/>
      <c r="Y10" s="10"/>
      <c r="Z10" s="10"/>
      <c r="AA10" s="15"/>
    </row>
    <row r="11" spans="1:30" ht="13.5" customHeight="1">
      <c r="A11" s="10"/>
      <c r="B11" s="7"/>
      <c r="C11" s="330"/>
      <c r="D11" s="331"/>
      <c r="E11" s="332"/>
      <c r="F11" s="333"/>
      <c r="G11" s="770" t="s">
        <v>215</v>
      </c>
      <c r="H11" s="771"/>
      <c r="I11" s="334"/>
      <c r="J11" s="320"/>
      <c r="K11" s="321"/>
      <c r="L11" s="322"/>
      <c r="M11" s="323"/>
      <c r="N11" s="324"/>
      <c r="O11" s="325"/>
      <c r="P11" s="326"/>
      <c r="Q11" s="335" t="s">
        <v>116</v>
      </c>
      <c r="R11" s="336"/>
      <c r="S11" s="337">
        <f ca="1">SUM(P10:P13)</f>
        <v>1.8</v>
      </c>
      <c r="T11" s="338"/>
      <c r="U11" s="10"/>
      <c r="V11" s="10"/>
      <c r="W11" s="10"/>
      <c r="X11" s="10"/>
      <c r="Y11" s="10"/>
      <c r="Z11" s="10"/>
      <c r="AA11" s="15"/>
    </row>
    <row r="12" spans="1:30" ht="13.5" customHeight="1">
      <c r="A12" s="10"/>
      <c r="B12" s="75"/>
      <c r="C12" s="339"/>
      <c r="D12" s="331"/>
      <c r="E12" s="340"/>
      <c r="F12" s="341"/>
      <c r="G12" s="770"/>
      <c r="H12" s="771"/>
      <c r="I12" s="334"/>
      <c r="J12" s="342"/>
      <c r="K12" s="343"/>
      <c r="L12" s="344"/>
      <c r="M12" s="345"/>
      <c r="N12" s="346"/>
      <c r="O12" s="347"/>
      <c r="P12" s="348"/>
      <c r="Q12" s="349"/>
      <c r="R12" s="350" t="s">
        <v>156</v>
      </c>
      <c r="S12" s="351">
        <f ca="1">ROUNDUP(S11/S10,2)</f>
        <v>1</v>
      </c>
      <c r="T12" s="352"/>
      <c r="U12" s="10"/>
      <c r="V12" s="10"/>
      <c r="W12" s="10"/>
      <c r="X12" s="10"/>
      <c r="Y12" s="10"/>
      <c r="Z12" s="10"/>
      <c r="AA12" s="15"/>
    </row>
    <row r="13" spans="1:30" ht="13.5" customHeight="1">
      <c r="A13" s="10"/>
      <c r="B13" s="5"/>
      <c r="C13" s="353"/>
      <c r="D13" s="354"/>
      <c r="E13" s="355"/>
      <c r="F13" s="356"/>
      <c r="G13" s="768"/>
      <c r="H13" s="769"/>
      <c r="I13" s="357"/>
      <c r="J13" s="358"/>
      <c r="K13" s="359"/>
      <c r="L13" s="360"/>
      <c r="M13" s="361"/>
      <c r="N13" s="362"/>
      <c r="O13" s="363"/>
      <c r="P13" s="364"/>
      <c r="Q13" s="365"/>
      <c r="R13" s="366"/>
      <c r="S13" s="366"/>
      <c r="T13" s="367"/>
      <c r="U13" s="10"/>
      <c r="V13" s="10"/>
      <c r="W13" s="10"/>
      <c r="X13" s="10"/>
      <c r="Y13" s="10"/>
      <c r="Z13" s="10"/>
      <c r="AA13" s="15"/>
    </row>
    <row r="14" spans="1:30" ht="13.5" customHeight="1">
      <c r="A14" s="10"/>
      <c r="B14" s="67" t="str">
        <f>"W"&amp;RIGHT("00"&amp;(RIGHT(B10,3)+1),3)</f>
        <v>W003</v>
      </c>
      <c r="C14" s="6"/>
      <c r="D14" s="138"/>
      <c r="E14" s="137"/>
      <c r="F14" s="162"/>
      <c r="G14" s="744"/>
      <c r="H14" s="745"/>
      <c r="I14" s="67"/>
      <c r="J14" s="70"/>
      <c r="K14" s="57"/>
      <c r="L14" s="135"/>
      <c r="M14" s="49"/>
      <c r="N14" s="50"/>
      <c r="O14" s="196"/>
      <c r="P14" s="197"/>
      <c r="Q14" s="134"/>
      <c r="R14" s="133"/>
      <c r="S14" s="133"/>
      <c r="T14" s="131"/>
      <c r="U14" s="10"/>
      <c r="V14" s="10"/>
      <c r="W14" s="10"/>
      <c r="X14" s="10"/>
      <c r="Y14" s="10"/>
      <c r="Z14" s="10"/>
      <c r="AA14" s="15"/>
    </row>
    <row r="15" spans="1:30" ht="13.5" customHeight="1">
      <c r="A15" s="10"/>
      <c r="B15" s="7"/>
      <c r="C15" s="7"/>
      <c r="D15" s="153"/>
      <c r="E15" s="161"/>
      <c r="F15" s="128"/>
      <c r="G15" s="746"/>
      <c r="H15" s="747"/>
      <c r="I15" s="69"/>
      <c r="J15" s="70"/>
      <c r="K15" s="57"/>
      <c r="L15" s="135"/>
      <c r="M15" s="49"/>
      <c r="N15" s="50"/>
      <c r="O15" s="196"/>
      <c r="P15" s="197"/>
      <c r="Q15" s="157"/>
      <c r="R15" s="126"/>
      <c r="S15" s="150"/>
      <c r="T15" s="124"/>
      <c r="U15" s="10"/>
      <c r="V15" s="10"/>
      <c r="W15" s="15"/>
      <c r="X15" s="10"/>
      <c r="Y15" s="10"/>
      <c r="Z15" s="10"/>
      <c r="AA15" s="15"/>
    </row>
    <row r="16" spans="1:30" ht="13.5" customHeight="1">
      <c r="A16" s="10"/>
      <c r="B16" s="75"/>
      <c r="C16" s="75"/>
      <c r="D16" s="153"/>
      <c r="E16" s="129"/>
      <c r="F16" s="128"/>
      <c r="G16" s="746"/>
      <c r="H16" s="747"/>
      <c r="I16" s="69"/>
      <c r="J16" s="71"/>
      <c r="K16" s="58"/>
      <c r="L16" s="127"/>
      <c r="M16" s="51"/>
      <c r="N16" s="52"/>
      <c r="O16" s="198"/>
      <c r="P16" s="199"/>
      <c r="Q16" s="117"/>
      <c r="R16" s="123"/>
      <c r="S16" s="122"/>
      <c r="T16" s="115"/>
      <c r="U16" s="10"/>
      <c r="V16" s="10"/>
      <c r="W16" s="10"/>
      <c r="X16" s="10"/>
      <c r="Y16" s="10"/>
      <c r="Z16" s="10"/>
      <c r="AA16" s="15"/>
    </row>
    <row r="17" spans="1:52" ht="13.5" customHeight="1">
      <c r="A17" s="10"/>
      <c r="B17" s="158"/>
      <c r="C17" s="68"/>
      <c r="D17" s="143"/>
      <c r="E17" s="142"/>
      <c r="F17" s="141"/>
      <c r="G17" s="736"/>
      <c r="H17" s="737"/>
      <c r="I17" s="80"/>
      <c r="J17" s="56"/>
      <c r="K17" s="140"/>
      <c r="L17" s="113"/>
      <c r="M17" s="156"/>
      <c r="N17" s="48"/>
      <c r="O17" s="200"/>
      <c r="P17" s="201"/>
      <c r="Q17" s="112"/>
      <c r="R17" s="111"/>
      <c r="S17" s="111"/>
      <c r="T17" s="139"/>
      <c r="U17" s="10"/>
      <c r="V17" s="10"/>
      <c r="W17" s="10"/>
      <c r="X17" s="10"/>
      <c r="Y17" s="10"/>
      <c r="Z17" s="10"/>
      <c r="AA17" s="15"/>
    </row>
    <row r="18" spans="1:52" ht="13.5" customHeight="1">
      <c r="A18" s="10"/>
      <c r="B18" s="67" t="str">
        <f>"W"&amp;RIGHT("00"&amp;(RIGHT(B14,3)+1),3)</f>
        <v>W004</v>
      </c>
      <c r="C18" s="6"/>
      <c r="D18" s="138"/>
      <c r="E18" s="137"/>
      <c r="F18" s="136"/>
      <c r="G18" s="744"/>
      <c r="H18" s="745"/>
      <c r="I18" s="67"/>
      <c r="J18" s="70"/>
      <c r="K18" s="57"/>
      <c r="L18" s="135"/>
      <c r="M18" s="49"/>
      <c r="N18" s="50"/>
      <c r="O18" s="196"/>
      <c r="P18" s="197"/>
      <c r="Q18" s="134"/>
      <c r="R18" s="133"/>
      <c r="S18" s="133"/>
      <c r="T18" s="131"/>
      <c r="U18" s="10"/>
      <c r="V18" s="10"/>
      <c r="W18" s="10"/>
      <c r="X18" s="10"/>
      <c r="Y18" s="10"/>
      <c r="Z18" s="10"/>
      <c r="AA18" s="15"/>
    </row>
    <row r="19" spans="1:52" ht="13.5" customHeight="1">
      <c r="A19" s="10"/>
      <c r="B19" s="7"/>
      <c r="C19" s="7"/>
      <c r="D19" s="153"/>
      <c r="E19" s="129"/>
      <c r="F19" s="128"/>
      <c r="G19" s="244"/>
      <c r="H19" s="245"/>
      <c r="I19" s="69"/>
      <c r="J19" s="76"/>
      <c r="K19" s="58"/>
      <c r="L19" s="127"/>
      <c r="M19" s="51"/>
      <c r="N19" s="52"/>
      <c r="O19" s="198"/>
      <c r="P19" s="199"/>
      <c r="Q19" s="242"/>
      <c r="R19" s="126"/>
      <c r="S19" s="150"/>
      <c r="T19" s="124"/>
      <c r="U19" s="10"/>
      <c r="V19" s="10"/>
      <c r="W19" s="10"/>
      <c r="X19" s="10"/>
      <c r="Y19" s="10"/>
      <c r="Z19" s="10"/>
      <c r="AA19" s="15"/>
    </row>
    <row r="20" spans="1:52" ht="13.5" customHeight="1">
      <c r="A20" s="10"/>
      <c r="B20" s="75"/>
      <c r="C20" s="75"/>
      <c r="D20" s="153"/>
      <c r="E20" s="147"/>
      <c r="F20" s="120"/>
      <c r="G20" s="746"/>
      <c r="H20" s="747"/>
      <c r="I20" s="69"/>
      <c r="J20" s="71"/>
      <c r="K20" s="58"/>
      <c r="L20" s="127"/>
      <c r="M20" s="51"/>
      <c r="N20" s="52"/>
      <c r="O20" s="198"/>
      <c r="P20" s="199"/>
      <c r="Q20" s="117"/>
      <c r="R20" s="123"/>
      <c r="S20" s="122"/>
      <c r="T20" s="115"/>
      <c r="U20" s="10"/>
      <c r="V20" s="10"/>
      <c r="W20" s="10"/>
      <c r="X20" s="10"/>
      <c r="Y20" s="10"/>
      <c r="Z20" s="10"/>
      <c r="AA20" s="15"/>
    </row>
    <row r="21" spans="1:52" ht="13.5" customHeight="1">
      <c r="A21" s="10"/>
      <c r="B21" s="243"/>
      <c r="C21" s="243"/>
      <c r="D21" s="146"/>
      <c r="E21" s="145"/>
      <c r="F21" s="114"/>
      <c r="G21" s="736"/>
      <c r="H21" s="737"/>
      <c r="I21" s="152"/>
      <c r="J21" s="56"/>
      <c r="K21" s="59"/>
      <c r="L21" s="151"/>
      <c r="M21" s="53"/>
      <c r="N21" s="55"/>
      <c r="O21" s="200"/>
      <c r="P21" s="201"/>
      <c r="Q21" s="112"/>
      <c r="R21" s="111"/>
      <c r="S21" s="111"/>
      <c r="T21" s="110"/>
      <c r="U21" s="10"/>
      <c r="V21" s="10"/>
      <c r="W21" s="10"/>
      <c r="X21" s="10"/>
      <c r="Y21" s="10"/>
      <c r="Z21" s="10"/>
      <c r="AA21" s="15"/>
    </row>
    <row r="22" spans="1:52" ht="13.5" customHeight="1">
      <c r="A22" s="10"/>
      <c r="B22" s="67" t="str">
        <f>"W"&amp;RIGHT("00"&amp;(RIGHT(B18,3)+1),3)</f>
        <v>W005</v>
      </c>
      <c r="C22" s="6"/>
      <c r="D22" s="138"/>
      <c r="E22" s="137"/>
      <c r="F22" s="162"/>
      <c r="G22" s="744"/>
      <c r="H22" s="745"/>
      <c r="I22" s="67"/>
      <c r="J22" s="70"/>
      <c r="K22" s="57"/>
      <c r="L22" s="135"/>
      <c r="M22" s="49"/>
      <c r="N22" s="50"/>
      <c r="O22" s="196"/>
      <c r="P22" s="197"/>
      <c r="Q22" s="134"/>
      <c r="R22" s="133"/>
      <c r="S22" s="133"/>
      <c r="T22" s="131"/>
      <c r="U22" s="10"/>
      <c r="V22" s="10"/>
      <c r="W22" s="10"/>
      <c r="X22" s="10"/>
      <c r="Y22" s="10"/>
      <c r="Z22" s="10"/>
      <c r="AA22" s="15"/>
    </row>
    <row r="23" spans="1:52" ht="13.5" customHeight="1">
      <c r="A23" s="10"/>
      <c r="B23" s="7"/>
      <c r="C23" s="7"/>
      <c r="D23" s="153"/>
      <c r="E23" s="161"/>
      <c r="F23" s="128"/>
      <c r="G23" s="746"/>
      <c r="H23" s="747"/>
      <c r="I23" s="69"/>
      <c r="J23" s="70"/>
      <c r="K23" s="57"/>
      <c r="L23" s="135"/>
      <c r="M23" s="49"/>
      <c r="N23" s="50"/>
      <c r="O23" s="196"/>
      <c r="P23" s="197"/>
      <c r="Q23" s="242"/>
      <c r="R23" s="126"/>
      <c r="S23" s="150"/>
      <c r="T23" s="124"/>
      <c r="U23" s="10"/>
      <c r="V23" s="10"/>
      <c r="W23" s="15"/>
      <c r="X23" s="10"/>
      <c r="Y23" s="10"/>
      <c r="Z23" s="10"/>
      <c r="AA23" s="15"/>
    </row>
    <row r="24" spans="1:52" ht="13.5" customHeight="1">
      <c r="A24" s="10"/>
      <c r="B24" s="75"/>
      <c r="C24" s="75"/>
      <c r="D24" s="153"/>
      <c r="E24" s="129"/>
      <c r="F24" s="128"/>
      <c r="G24" s="746"/>
      <c r="H24" s="747"/>
      <c r="I24" s="69"/>
      <c r="J24" s="71"/>
      <c r="K24" s="58"/>
      <c r="L24" s="127"/>
      <c r="M24" s="51"/>
      <c r="N24" s="52"/>
      <c r="O24" s="198"/>
      <c r="P24" s="199"/>
      <c r="Q24" s="117"/>
      <c r="R24" s="123"/>
      <c r="S24" s="122"/>
      <c r="T24" s="115"/>
      <c r="U24" s="10"/>
      <c r="V24" s="10"/>
      <c r="W24" s="10"/>
      <c r="X24" s="10"/>
      <c r="Y24" s="10"/>
      <c r="Z24" s="10"/>
      <c r="AA24" s="15"/>
    </row>
    <row r="25" spans="1:52" ht="13.5" customHeight="1">
      <c r="A25" s="10"/>
      <c r="B25" s="243"/>
      <c r="C25" s="68"/>
      <c r="D25" s="143"/>
      <c r="E25" s="142"/>
      <c r="F25" s="141"/>
      <c r="G25" s="736"/>
      <c r="H25" s="737"/>
      <c r="I25" s="80"/>
      <c r="J25" s="56"/>
      <c r="K25" s="140"/>
      <c r="L25" s="113"/>
      <c r="M25" s="241"/>
      <c r="N25" s="48"/>
      <c r="O25" s="200"/>
      <c r="P25" s="201"/>
      <c r="Q25" s="112"/>
      <c r="R25" s="111"/>
      <c r="S25" s="111"/>
      <c r="T25" s="139"/>
      <c r="U25" s="10"/>
      <c r="V25" s="10"/>
      <c r="W25" s="10"/>
      <c r="X25" s="10"/>
      <c r="Y25" s="10"/>
      <c r="Z25" s="10"/>
      <c r="AA25" s="15"/>
    </row>
    <row r="26" spans="1:52" ht="13.5" customHeight="1">
      <c r="A26" s="10"/>
      <c r="B26" s="30"/>
      <c r="C26" s="159"/>
      <c r="D26" s="149"/>
      <c r="E26" s="149"/>
      <c r="F26" s="47"/>
      <c r="G26" s="30"/>
      <c r="H26" s="30"/>
      <c r="I26" s="148"/>
      <c r="J26" s="30"/>
      <c r="K26" s="17"/>
      <c r="L26" s="17"/>
      <c r="M26" s="160"/>
      <c r="N26" s="1"/>
      <c r="O26" s="1"/>
      <c r="P26" s="13"/>
      <c r="Q26" s="1"/>
      <c r="R26" s="1"/>
      <c r="S26" s="1"/>
      <c r="U26" s="10"/>
      <c r="V26" s="10"/>
      <c r="W26" s="10"/>
      <c r="X26" s="10"/>
      <c r="Y26" s="10"/>
      <c r="Z26" s="10"/>
      <c r="AA26" s="15"/>
    </row>
    <row r="27" spans="1:52" ht="13.5" customHeight="1">
      <c r="A27" s="10"/>
      <c r="B27" s="13" t="s">
        <v>252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5"/>
    </row>
    <row r="28" spans="1:52" ht="13.5" customHeight="1">
      <c r="A28" s="10"/>
      <c r="B28" s="738" t="s">
        <v>163</v>
      </c>
      <c r="C28" s="738" t="s">
        <v>162</v>
      </c>
      <c r="D28" s="740" t="s">
        <v>155</v>
      </c>
      <c r="E28" s="764"/>
      <c r="F28" s="741"/>
      <c r="G28" s="740" t="s">
        <v>154</v>
      </c>
      <c r="H28" s="741"/>
      <c r="I28" s="738" t="s">
        <v>161</v>
      </c>
      <c r="J28" s="763" t="s">
        <v>160</v>
      </c>
      <c r="K28" s="763"/>
      <c r="L28" s="763"/>
      <c r="M28" s="750" t="s">
        <v>118</v>
      </c>
      <c r="N28" s="750"/>
      <c r="O28" s="751" t="s">
        <v>159</v>
      </c>
      <c r="P28" s="751"/>
      <c r="Q28" s="752" t="s">
        <v>107</v>
      </c>
      <c r="R28" s="753"/>
      <c r="S28" s="753"/>
      <c r="T28" s="754"/>
      <c r="U28" s="10"/>
      <c r="V28" s="10"/>
      <c r="W28" s="10"/>
      <c r="X28" s="10"/>
      <c r="Y28" s="10"/>
      <c r="Z28" s="10"/>
      <c r="AA28" s="15"/>
    </row>
    <row r="29" spans="1:52" ht="13.5" customHeight="1">
      <c r="A29" s="10"/>
      <c r="B29" s="739"/>
      <c r="C29" s="739"/>
      <c r="D29" s="742"/>
      <c r="E29" s="765"/>
      <c r="F29" s="743"/>
      <c r="G29" s="742"/>
      <c r="H29" s="743"/>
      <c r="I29" s="739"/>
      <c r="J29" s="62" t="s">
        <v>78</v>
      </c>
      <c r="K29" s="63" t="s">
        <v>117</v>
      </c>
      <c r="L29" s="64" t="s">
        <v>116</v>
      </c>
      <c r="M29" s="65" t="s">
        <v>158</v>
      </c>
      <c r="N29" s="66" t="s">
        <v>157</v>
      </c>
      <c r="O29" s="97" t="s">
        <v>117</v>
      </c>
      <c r="P29" s="98" t="s">
        <v>116</v>
      </c>
      <c r="Q29" s="755"/>
      <c r="R29" s="756"/>
      <c r="S29" s="756"/>
      <c r="T29" s="757"/>
      <c r="U29" s="10"/>
      <c r="V29" s="10"/>
      <c r="W29" s="10"/>
      <c r="X29" s="10"/>
      <c r="Y29" s="10"/>
      <c r="Z29" s="10"/>
      <c r="AA29" s="15"/>
    </row>
    <row r="30" spans="1:52" ht="13.5" customHeight="1">
      <c r="A30" s="10"/>
      <c r="B30" s="67">
        <v>1</v>
      </c>
      <c r="C30" s="6" t="s">
        <v>166</v>
      </c>
      <c r="D30" s="138"/>
      <c r="E30" s="137"/>
      <c r="F30" s="136"/>
      <c r="G30" s="748" t="s">
        <v>247</v>
      </c>
      <c r="H30" s="749"/>
      <c r="I30" s="67" t="s">
        <v>248</v>
      </c>
      <c r="J30" s="70" t="s">
        <v>246</v>
      </c>
      <c r="K30" s="57">
        <f ca="1">IF(LEFT(J30,2)="TL",INDIRECT("設計荷重!aj"&amp;(ROW(設計荷重!$C$24)+MATCH(J30,設計荷重!$C$25:$C$61,0)+4)),IF(LEFT(J30,2)="KL",INDIRECT("設計荷重!ag"&amp;(ROW(設計荷重!$C$99)+MATCH(J30,設計荷重!$C$100:$C$115,0)+4)),VLOOKUP(J30,設計荷重!$C$85:$AJ$94,32,0)))/1000</f>
        <v>0.6</v>
      </c>
      <c r="L30" s="135">
        <f ca="1">IF(LEFT(J30,2)="TL",INDIRECT("設計荷重!am"&amp;(ROW(設計荷重!$C$24)+MATCH(J30,設計荷重!$C$25:$C$61,0)+4))/1000,"")</f>
        <v>0.6</v>
      </c>
      <c r="M30" s="49">
        <f>3.5/2</f>
        <v>1.75</v>
      </c>
      <c r="N30" s="50">
        <f>(2.5+(3^2+1.6^2)^0.5)/2</f>
        <v>2.95</v>
      </c>
      <c r="O30" s="196">
        <f ca="1">K30*IF(M30=0,1,M30)*IF(N30=0,1,N30)</f>
        <v>3.0975000000000001</v>
      </c>
      <c r="P30" s="197">
        <f ca="1">IF(L30="",O30,L30*IF(M30=0,1,M30)*IF(N30=0,1,N30))</f>
        <v>3.0975000000000001</v>
      </c>
      <c r="Q30" s="134" t="s">
        <v>172</v>
      </c>
      <c r="R30" s="133" t="s">
        <v>73</v>
      </c>
      <c r="S30" s="132">
        <f ca="1">SUM(O30:O32)</f>
        <v>3.0975000000000001</v>
      </c>
      <c r="T30" s="274" t="s">
        <v>249</v>
      </c>
      <c r="U30" s="10"/>
      <c r="V30" s="10"/>
      <c r="W30" s="10"/>
      <c r="X30" s="10"/>
      <c r="Y30" s="10"/>
      <c r="Z30" s="10"/>
      <c r="AA30" s="15"/>
    </row>
    <row r="31" spans="1:52" ht="13.5" customHeight="1">
      <c r="A31" s="10"/>
      <c r="B31" s="75"/>
      <c r="C31" s="75"/>
      <c r="D31" s="121"/>
      <c r="E31" s="147"/>
      <c r="F31" s="120"/>
      <c r="G31" s="746"/>
      <c r="H31" s="747"/>
      <c r="I31" s="119"/>
      <c r="J31" s="76"/>
      <c r="K31" s="77"/>
      <c r="L31" s="118"/>
      <c r="M31" s="78"/>
      <c r="N31" s="79"/>
      <c r="O31" s="192"/>
      <c r="P31" s="193"/>
      <c r="Q31" s="251" t="s">
        <v>116</v>
      </c>
      <c r="R31" s="126" t="s">
        <v>230</v>
      </c>
      <c r="S31" s="125">
        <f ca="1">SUM(P30:P34)</f>
        <v>3.0975000000000001</v>
      </c>
      <c r="T31" s="124" t="s">
        <v>5</v>
      </c>
      <c r="U31" s="10"/>
      <c r="V31" s="10"/>
      <c r="W31" s="10"/>
      <c r="X31" s="10"/>
      <c r="Y31" s="10"/>
      <c r="Z31" s="10"/>
      <c r="AA31" s="15"/>
      <c r="AY31" s="16">
        <v>2.8</v>
      </c>
      <c r="AZ31" s="16">
        <v>5</v>
      </c>
    </row>
    <row r="32" spans="1:52" ht="13.5" customHeight="1">
      <c r="A32" s="10"/>
      <c r="B32" s="5"/>
      <c r="C32" s="5"/>
      <c r="D32" s="146"/>
      <c r="E32" s="145"/>
      <c r="F32" s="114"/>
      <c r="G32" s="736"/>
      <c r="H32" s="737"/>
      <c r="I32" s="80"/>
      <c r="J32" s="56"/>
      <c r="K32" s="59"/>
      <c r="L32" s="113"/>
      <c r="M32" s="83"/>
      <c r="N32" s="48"/>
      <c r="O32" s="194"/>
      <c r="P32" s="195"/>
      <c r="Q32" s="112"/>
      <c r="R32" s="111"/>
      <c r="S32" s="111"/>
      <c r="T32" s="110"/>
      <c r="U32" s="10"/>
      <c r="V32" s="10"/>
      <c r="W32" s="10"/>
      <c r="X32" s="10"/>
      <c r="Y32" s="10"/>
      <c r="Z32" s="10"/>
      <c r="AA32" s="15"/>
      <c r="AV32" s="16" t="s">
        <v>261</v>
      </c>
    </row>
    <row r="33" spans="1:57" ht="13.5" customHeight="1">
      <c r="A33" s="10"/>
      <c r="B33" s="67">
        <f>1+B30</f>
        <v>2</v>
      </c>
      <c r="C33" s="6"/>
      <c r="D33" s="138"/>
      <c r="E33" s="137"/>
      <c r="F33" s="162"/>
      <c r="G33" s="748"/>
      <c r="H33" s="749"/>
      <c r="I33" s="67"/>
      <c r="J33" s="70"/>
      <c r="K33" s="57"/>
      <c r="L33" s="135"/>
      <c r="M33" s="54"/>
      <c r="N33" s="61"/>
      <c r="O33" s="190"/>
      <c r="P33" s="191"/>
      <c r="Q33" s="134"/>
      <c r="R33" s="133"/>
      <c r="S33" s="132"/>
      <c r="T33" s="131"/>
      <c r="U33" s="10"/>
      <c r="V33" s="10"/>
      <c r="W33" s="10"/>
      <c r="X33" s="10"/>
      <c r="Y33" s="10"/>
      <c r="Z33" s="10"/>
      <c r="AA33" s="15"/>
      <c r="AV33" s="16">
        <v>12</v>
      </c>
      <c r="AW33" s="16">
        <v>300</v>
      </c>
      <c r="AX33" s="17">
        <f>2.8+(2.2^2+1.6^2)^0.5</f>
        <v>5.5202941017470888</v>
      </c>
      <c r="AY33" s="16">
        <v>4</v>
      </c>
      <c r="AZ33" s="16">
        <v>2.8</v>
      </c>
      <c r="BA33" s="16">
        <v>2</v>
      </c>
      <c r="BB33" s="187">
        <f>AV33*AW33/10^6*(AX33*AY33+AZ33*BA33)*7850</f>
        <v>782.27004526149096</v>
      </c>
    </row>
    <row r="34" spans="1:57" ht="13.5" customHeight="1">
      <c r="A34" s="10"/>
      <c r="B34" s="7"/>
      <c r="C34" s="7"/>
      <c r="D34" s="130"/>
      <c r="E34" s="129"/>
      <c r="F34" s="120"/>
      <c r="G34" s="746"/>
      <c r="H34" s="747"/>
      <c r="I34" s="69"/>
      <c r="J34" s="71"/>
      <c r="K34" s="58"/>
      <c r="L34" s="127"/>
      <c r="M34" s="163"/>
      <c r="N34" s="60"/>
      <c r="O34" s="192"/>
      <c r="P34" s="193"/>
      <c r="Q34" s="157"/>
      <c r="R34" s="126"/>
      <c r="S34" s="125"/>
      <c r="T34" s="124"/>
      <c r="U34" s="10"/>
      <c r="V34" s="10"/>
      <c r="W34" s="10"/>
      <c r="X34" s="10"/>
      <c r="Y34" s="10"/>
      <c r="Z34" s="10"/>
      <c r="AA34" s="15"/>
      <c r="AV34" s="16">
        <v>9</v>
      </c>
      <c r="AW34" s="16">
        <v>75</v>
      </c>
      <c r="AX34" s="167">
        <v>1.2</v>
      </c>
      <c r="AY34" s="167">
        <f>ROUNDUP(2.8/0.3,0)</f>
        <v>10</v>
      </c>
      <c r="AZ34" s="167">
        <f>ROUNDUP(1.4/0.3,0)</f>
        <v>5</v>
      </c>
      <c r="BA34" s="16">
        <v>2</v>
      </c>
      <c r="BB34" s="187">
        <f>AV34*AW34/10^6*(AX34*AY34*AZ34)*7850</f>
        <v>317.92500000000001</v>
      </c>
    </row>
    <row r="35" spans="1:57" ht="13.5" customHeight="1">
      <c r="A35" s="10"/>
      <c r="B35" s="5"/>
      <c r="C35" s="158"/>
      <c r="D35" s="146"/>
      <c r="E35" s="145"/>
      <c r="F35" s="114"/>
      <c r="G35" s="736"/>
      <c r="H35" s="737"/>
      <c r="I35" s="80"/>
      <c r="J35" s="56"/>
      <c r="K35" s="59"/>
      <c r="L35" s="113"/>
      <c r="M35" s="156"/>
      <c r="N35" s="48"/>
      <c r="O35" s="194"/>
      <c r="P35" s="195"/>
      <c r="Q35" s="112"/>
      <c r="R35" s="111"/>
      <c r="S35" s="111"/>
      <c r="T35" s="139"/>
      <c r="U35" s="10"/>
      <c r="V35" s="10"/>
      <c r="W35" s="10"/>
      <c r="X35" s="10"/>
      <c r="Y35" s="10"/>
      <c r="Z35" s="10"/>
      <c r="AA35" s="15"/>
      <c r="AV35" s="16">
        <v>6</v>
      </c>
      <c r="AX35" s="16">
        <v>2.8</v>
      </c>
      <c r="AY35" s="16">
        <v>2.8</v>
      </c>
      <c r="BB35" s="187">
        <f>AV35*AX35*AY35/1000*7850</f>
        <v>369.26399999999995</v>
      </c>
    </row>
    <row r="36" spans="1:57" ht="13.5" customHeight="1">
      <c r="A36" s="10"/>
      <c r="B36" s="67">
        <f>1+B33</f>
        <v>3</v>
      </c>
      <c r="C36" s="6"/>
      <c r="D36" s="138"/>
      <c r="E36" s="137"/>
      <c r="F36" s="162"/>
      <c r="G36" s="748"/>
      <c r="H36" s="749"/>
      <c r="I36" s="67"/>
      <c r="J36" s="70"/>
      <c r="K36" s="57"/>
      <c r="L36" s="135"/>
      <c r="M36" s="54"/>
      <c r="N36" s="61"/>
      <c r="O36" s="190"/>
      <c r="P36" s="191"/>
      <c r="Q36" s="134"/>
      <c r="R36" s="133"/>
      <c r="S36" s="132"/>
      <c r="T36" s="131"/>
      <c r="U36" s="10"/>
      <c r="V36" s="10"/>
      <c r="W36" s="10"/>
      <c r="X36" s="10"/>
      <c r="Y36" s="10"/>
      <c r="Z36" s="10"/>
      <c r="AA36" s="15"/>
      <c r="AV36" s="16">
        <v>4.5</v>
      </c>
      <c r="AX36" s="16">
        <v>2.8</v>
      </c>
      <c r="AY36" s="16">
        <f>5-2.8</f>
        <v>2.2000000000000002</v>
      </c>
      <c r="AZ36" s="16">
        <v>3</v>
      </c>
      <c r="BB36" s="187">
        <f>AV36*AX36*(AY36+AZ36)/1000*7850</f>
        <v>514.33199999999999</v>
      </c>
    </row>
    <row r="37" spans="1:57" ht="13.5" customHeight="1">
      <c r="A37" s="10"/>
      <c r="B37" s="7"/>
      <c r="C37" s="7"/>
      <c r="D37" s="130"/>
      <c r="E37" s="129"/>
      <c r="F37" s="120"/>
      <c r="G37" s="746"/>
      <c r="H37" s="747"/>
      <c r="I37" s="69"/>
      <c r="J37" s="71"/>
      <c r="K37" s="58"/>
      <c r="L37" s="127"/>
      <c r="M37" s="163"/>
      <c r="N37" s="60"/>
      <c r="O37" s="192"/>
      <c r="P37" s="193"/>
      <c r="Q37" s="157"/>
      <c r="R37" s="126"/>
      <c r="S37" s="125"/>
      <c r="T37" s="124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BB37" s="187">
        <f>SUM(BB33:BB36)</f>
        <v>1983.791045261491</v>
      </c>
      <c r="BC37" s="16">
        <f>AZ34*AZ33</f>
        <v>14</v>
      </c>
      <c r="BD37" s="187">
        <f>BB37/BC37</f>
        <v>141.69936037582079</v>
      </c>
    </row>
    <row r="38" spans="1:57" ht="13.5" customHeight="1">
      <c r="A38" s="10"/>
      <c r="B38" s="158"/>
      <c r="C38" s="158"/>
      <c r="D38" s="146"/>
      <c r="E38" s="145"/>
      <c r="F38" s="114"/>
      <c r="G38" s="736"/>
      <c r="H38" s="737"/>
      <c r="I38" s="80"/>
      <c r="J38" s="56"/>
      <c r="K38" s="59"/>
      <c r="L38" s="113"/>
      <c r="M38" s="156"/>
      <c r="N38" s="48"/>
      <c r="O38" s="194"/>
      <c r="P38" s="195"/>
      <c r="Q38" s="112"/>
      <c r="R38" s="111"/>
      <c r="S38" s="111"/>
      <c r="T38" s="139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57" ht="13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282"/>
      <c r="AD39" s="10"/>
    </row>
    <row r="40" spans="1:57" ht="13.5" customHeight="1">
      <c r="A40" s="10"/>
      <c r="B40" s="13" t="s">
        <v>170</v>
      </c>
      <c r="C40" s="10"/>
      <c r="D40" s="10"/>
      <c r="E40" s="10"/>
      <c r="F40" s="10"/>
      <c r="G40" s="10" t="s">
        <v>251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V40" s="16" t="s">
        <v>260</v>
      </c>
    </row>
    <row r="41" spans="1:57" ht="13.5" customHeight="1">
      <c r="A41" s="10"/>
      <c r="B41" s="738" t="s">
        <v>12</v>
      </c>
      <c r="C41" s="738" t="s">
        <v>114</v>
      </c>
      <c r="D41" s="740" t="s">
        <v>155</v>
      </c>
      <c r="E41" s="764"/>
      <c r="F41" s="741"/>
      <c r="G41" s="740" t="s">
        <v>154</v>
      </c>
      <c r="H41" s="741"/>
      <c r="I41" s="738" t="s">
        <v>153</v>
      </c>
      <c r="J41" s="763" t="s">
        <v>152</v>
      </c>
      <c r="K41" s="763"/>
      <c r="L41" s="763"/>
      <c r="M41" s="750" t="s">
        <v>118</v>
      </c>
      <c r="N41" s="750"/>
      <c r="O41" s="751" t="s">
        <v>151</v>
      </c>
      <c r="P41" s="751"/>
      <c r="Q41" s="752" t="s">
        <v>107</v>
      </c>
      <c r="R41" s="753"/>
      <c r="S41" s="753"/>
      <c r="T41" s="754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V41" s="16">
        <v>12</v>
      </c>
      <c r="AW41" s="16">
        <v>300</v>
      </c>
      <c r="AX41" s="16">
        <v>5</v>
      </c>
      <c r="AY41" s="16">
        <v>4</v>
      </c>
      <c r="AZ41" s="16">
        <v>2.8</v>
      </c>
      <c r="BA41" s="16">
        <v>2</v>
      </c>
      <c r="BB41" s="187">
        <f>AV41*AW41/10^6*(AX41*AY41+AZ41*BA41)*7850</f>
        <v>723.45600000000002</v>
      </c>
    </row>
    <row r="42" spans="1:57" ht="13.5" customHeight="1">
      <c r="A42" s="10"/>
      <c r="B42" s="739"/>
      <c r="C42" s="739"/>
      <c r="D42" s="742"/>
      <c r="E42" s="765"/>
      <c r="F42" s="743"/>
      <c r="G42" s="742"/>
      <c r="H42" s="743"/>
      <c r="I42" s="739"/>
      <c r="J42" s="62" t="s">
        <v>78</v>
      </c>
      <c r="K42" s="63" t="s">
        <v>117</v>
      </c>
      <c r="L42" s="64" t="s">
        <v>116</v>
      </c>
      <c r="M42" s="65" t="s">
        <v>150</v>
      </c>
      <c r="N42" s="66" t="s">
        <v>149</v>
      </c>
      <c r="O42" s="97" t="s">
        <v>117</v>
      </c>
      <c r="P42" s="98" t="s">
        <v>116</v>
      </c>
      <c r="Q42" s="755"/>
      <c r="R42" s="756"/>
      <c r="S42" s="756"/>
      <c r="T42" s="75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V42" s="16">
        <v>6</v>
      </c>
      <c r="AW42" s="16">
        <v>75</v>
      </c>
      <c r="AX42" s="167">
        <v>1.2</v>
      </c>
      <c r="AY42" s="167">
        <f>ROUNDUP(2.8/0.45,0)</f>
        <v>7</v>
      </c>
      <c r="AZ42" s="167">
        <f>ROUNDUP(1.4/0.45,0)</f>
        <v>4</v>
      </c>
      <c r="BA42" s="16">
        <v>2</v>
      </c>
      <c r="BB42" s="187">
        <f>AV42*AW42/10^6*(AX42*AY42*AZ42)*7850*2</f>
        <v>237.38399999999999</v>
      </c>
    </row>
    <row r="43" spans="1:57" ht="13.5" customHeight="1">
      <c r="A43" s="10"/>
      <c r="B43" s="67">
        <v>1</v>
      </c>
      <c r="C43" s="6" t="s">
        <v>245</v>
      </c>
      <c r="D43" s="138"/>
      <c r="E43" s="137"/>
      <c r="F43" s="136"/>
      <c r="G43" s="748" t="s">
        <v>247</v>
      </c>
      <c r="H43" s="749"/>
      <c r="I43" s="67" t="s">
        <v>248</v>
      </c>
      <c r="J43" s="70" t="s">
        <v>246</v>
      </c>
      <c r="K43" s="57">
        <f ca="1">IF(LEFT(J43,2)="TL",INDIRECT("設計荷重!aj"&amp;(ROW(設計荷重!$C$24)+MATCH(J43,設計荷重!$C$25:$C$61,0)+4)),IF(LEFT(J43,2)="KL",INDIRECT("設計荷重!ag"&amp;(ROW(設計荷重!$C$99)+MATCH(J43,設計荷重!$C$100:$C$115,0)+4)),VLOOKUP(J43,設計荷重!$C$85:$AJ$94,32,0)))/1000</f>
        <v>0.6</v>
      </c>
      <c r="L43" s="135">
        <f ca="1">IF(LEFT(J43,2)="TL",INDIRECT("設計荷重!am"&amp;(ROW(設計荷重!$C$24)+MATCH(J43,設計荷重!$C$25:$C$61,0)+4))/1000,"")</f>
        <v>0.6</v>
      </c>
      <c r="M43" s="49">
        <f>4/2</f>
        <v>2</v>
      </c>
      <c r="N43" s="50">
        <f>(3+(3^2+1.6^2)^0.5)/2</f>
        <v>3.2</v>
      </c>
      <c r="O43" s="196">
        <f ca="1">K43*IF(M43=0,1,M43)*IF(N43=0,1,N43)</f>
        <v>3.84</v>
      </c>
      <c r="P43" s="197"/>
      <c r="Q43" s="252" t="s">
        <v>173</v>
      </c>
      <c r="R43" s="270" t="s">
        <v>73</v>
      </c>
      <c r="S43" s="271">
        <f ca="1">SUM(O43:O45)</f>
        <v>3.84</v>
      </c>
      <c r="T43" s="274" t="s">
        <v>249</v>
      </c>
      <c r="U43" s="10"/>
      <c r="V43" s="10"/>
      <c r="W43" s="10"/>
      <c r="X43" s="10"/>
      <c r="Y43" s="10"/>
      <c r="Z43" s="10"/>
      <c r="AA43" s="10"/>
      <c r="AB43" s="10"/>
      <c r="AC43" s="10"/>
      <c r="AD43" s="10"/>
      <c r="AV43" s="16">
        <v>4.5</v>
      </c>
      <c r="AX43" s="16">
        <v>2.8</v>
      </c>
      <c r="AY43" s="16">
        <v>2.8</v>
      </c>
      <c r="BB43" s="187">
        <f>AV43*AX43*AY43/1000*7850</f>
        <v>276.94799999999992</v>
      </c>
    </row>
    <row r="44" spans="1:57" ht="13.5" customHeight="1">
      <c r="A44" s="10"/>
      <c r="B44" s="7"/>
      <c r="C44" s="7"/>
      <c r="D44" s="130"/>
      <c r="E44" s="147"/>
      <c r="F44" s="128"/>
      <c r="G44" s="758"/>
      <c r="H44" s="759"/>
      <c r="I44" s="69"/>
      <c r="J44" s="71"/>
      <c r="K44" s="58"/>
      <c r="L44" s="127"/>
      <c r="M44" s="163"/>
      <c r="N44" s="60"/>
      <c r="O44" s="164"/>
      <c r="P44" s="165"/>
      <c r="Q44" s="251"/>
      <c r="R44" s="126"/>
      <c r="S44" s="125"/>
      <c r="T44" s="124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V44" s="16">
        <v>4.5</v>
      </c>
      <c r="AX44" s="16">
        <v>2.8</v>
      </c>
      <c r="AY44" s="16">
        <f>5-2.8</f>
        <v>2.2000000000000002</v>
      </c>
      <c r="AZ44" s="16">
        <v>3</v>
      </c>
      <c r="BB44" s="187">
        <f>AV44*AX44*(AY44+AZ44)/1000*7850</f>
        <v>514.33199999999999</v>
      </c>
    </row>
    <row r="45" spans="1:57" ht="13.5" customHeight="1">
      <c r="A45" s="10"/>
      <c r="B45" s="158"/>
      <c r="C45" s="158"/>
      <c r="D45" s="146"/>
      <c r="E45" s="145"/>
      <c r="F45" s="114"/>
      <c r="G45" s="736"/>
      <c r="H45" s="737"/>
      <c r="I45" s="80"/>
      <c r="J45" s="56"/>
      <c r="K45" s="59"/>
      <c r="L45" s="113"/>
      <c r="M45" s="156"/>
      <c r="N45" s="48"/>
      <c r="O45" s="188"/>
      <c r="P45" s="189"/>
      <c r="Q45" s="112"/>
      <c r="R45" s="272"/>
      <c r="S45" s="273"/>
      <c r="T45" s="1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BB45" s="187">
        <f>SUM(BB41:BB44)</f>
        <v>1752.12</v>
      </c>
      <c r="BC45" s="16">
        <f>AX41*AZ41</f>
        <v>14</v>
      </c>
      <c r="BD45" s="187">
        <f>BB45/BC45</f>
        <v>125.15142857142857</v>
      </c>
      <c r="BE45" s="187"/>
    </row>
    <row r="46" spans="1:57" ht="13.5" customHeight="1">
      <c r="A46" s="10"/>
      <c r="B46" s="67">
        <f>1+B43</f>
        <v>2</v>
      </c>
      <c r="C46" s="6"/>
      <c r="D46" s="138"/>
      <c r="E46" s="137"/>
      <c r="F46" s="136"/>
      <c r="G46" s="748"/>
      <c r="H46" s="749"/>
      <c r="I46" s="67"/>
      <c r="J46" s="70"/>
      <c r="K46" s="57"/>
      <c r="L46" s="135"/>
      <c r="M46" s="54"/>
      <c r="N46" s="61"/>
      <c r="O46" s="72"/>
      <c r="P46" s="73"/>
      <c r="Q46" s="134"/>
      <c r="R46" s="133"/>
      <c r="S46" s="132"/>
      <c r="T46" s="131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57" ht="13.5" customHeight="1">
      <c r="A47" s="10"/>
      <c r="B47" s="7"/>
      <c r="C47" s="7"/>
      <c r="D47" s="130"/>
      <c r="E47" s="147"/>
      <c r="F47" s="128"/>
      <c r="G47" s="758"/>
      <c r="H47" s="759"/>
      <c r="I47" s="69"/>
      <c r="J47" s="71"/>
      <c r="K47" s="58"/>
      <c r="L47" s="127"/>
      <c r="M47" s="163"/>
      <c r="N47" s="60"/>
      <c r="O47" s="164"/>
      <c r="P47" s="165"/>
      <c r="Q47" s="157"/>
      <c r="R47" s="126"/>
      <c r="S47" s="125"/>
      <c r="T47" s="124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57" ht="13.5" customHeight="1">
      <c r="A48" s="10"/>
      <c r="B48" s="158"/>
      <c r="C48" s="158"/>
      <c r="D48" s="146"/>
      <c r="E48" s="145"/>
      <c r="F48" s="114"/>
      <c r="G48" s="736"/>
      <c r="H48" s="737"/>
      <c r="I48" s="80"/>
      <c r="J48" s="56"/>
      <c r="K48" s="59"/>
      <c r="L48" s="113"/>
      <c r="M48" s="156"/>
      <c r="N48" s="48"/>
      <c r="O48" s="188"/>
      <c r="P48" s="189"/>
      <c r="Q48" s="112"/>
      <c r="R48" s="111"/>
      <c r="S48" s="111"/>
      <c r="T48" s="1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3.5" customHeight="1">
      <c r="A49" s="10"/>
      <c r="B49" s="67">
        <f>1+B46</f>
        <v>3</v>
      </c>
      <c r="C49" s="6"/>
      <c r="D49" s="138"/>
      <c r="E49" s="137"/>
      <c r="F49" s="162"/>
      <c r="G49" s="748"/>
      <c r="H49" s="749"/>
      <c r="I49" s="67"/>
      <c r="J49" s="70"/>
      <c r="K49" s="57"/>
      <c r="L49" s="135"/>
      <c r="M49" s="54"/>
      <c r="N49" s="61"/>
      <c r="O49" s="72"/>
      <c r="P49" s="73"/>
      <c r="Q49" s="134"/>
      <c r="R49" s="133"/>
      <c r="S49" s="132"/>
      <c r="T49" s="131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3.5" customHeight="1">
      <c r="A50" s="10"/>
      <c r="B50" s="75"/>
      <c r="C50" s="7"/>
      <c r="D50" s="130"/>
      <c r="E50" s="129"/>
      <c r="F50" s="120"/>
      <c r="G50" s="758"/>
      <c r="H50" s="759"/>
      <c r="I50" s="69"/>
      <c r="J50" s="71"/>
      <c r="K50" s="58"/>
      <c r="L50" s="127"/>
      <c r="M50" s="163"/>
      <c r="N50" s="60"/>
      <c r="O50" s="164"/>
      <c r="P50" s="165"/>
      <c r="Q50" s="117"/>
      <c r="R50" s="116"/>
      <c r="S50" s="116"/>
      <c r="T50" s="144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3.5" customHeight="1">
      <c r="A51" s="10"/>
      <c r="B51" s="158"/>
      <c r="C51" s="68"/>
      <c r="D51" s="143"/>
      <c r="E51" s="142"/>
      <c r="F51" s="141"/>
      <c r="G51" s="736"/>
      <c r="H51" s="737"/>
      <c r="I51" s="80"/>
      <c r="J51" s="56"/>
      <c r="K51" s="140"/>
      <c r="L51" s="113"/>
      <c r="M51" s="156"/>
      <c r="N51" s="48"/>
      <c r="O51" s="188"/>
      <c r="P51" s="189"/>
      <c r="Q51" s="112"/>
      <c r="R51" s="111"/>
      <c r="S51" s="111"/>
      <c r="T51" s="139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3.5" customHeight="1">
      <c r="A52" s="10"/>
      <c r="B52" s="67">
        <f>1+B49</f>
        <v>4</v>
      </c>
      <c r="C52" s="6"/>
      <c r="D52" s="138"/>
      <c r="E52" s="137"/>
      <c r="F52" s="162"/>
      <c r="G52" s="748"/>
      <c r="H52" s="749"/>
      <c r="I52" s="67"/>
      <c r="J52" s="70"/>
      <c r="K52" s="57"/>
      <c r="L52" s="135"/>
      <c r="M52" s="54"/>
      <c r="N52" s="61"/>
      <c r="O52" s="72"/>
      <c r="P52" s="73"/>
      <c r="Q52" s="134"/>
      <c r="R52" s="133"/>
      <c r="S52" s="132"/>
      <c r="T52" s="131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3.5" customHeight="1">
      <c r="A53" s="10"/>
      <c r="B53" s="75"/>
      <c r="C53" s="7"/>
      <c r="D53" s="130"/>
      <c r="E53" s="129"/>
      <c r="F53" s="120"/>
      <c r="G53" s="758"/>
      <c r="H53" s="759"/>
      <c r="I53" s="69"/>
      <c r="J53" s="71"/>
      <c r="K53" s="58"/>
      <c r="L53" s="127"/>
      <c r="M53" s="163"/>
      <c r="N53" s="60"/>
      <c r="O53" s="164"/>
      <c r="P53" s="165"/>
      <c r="Q53" s="117"/>
      <c r="R53" s="116"/>
      <c r="S53" s="116"/>
      <c r="T53" s="144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3.5" customHeight="1">
      <c r="A54" s="10"/>
      <c r="B54" s="186"/>
      <c r="C54" s="68"/>
      <c r="D54" s="143"/>
      <c r="E54" s="142"/>
      <c r="F54" s="141"/>
      <c r="G54" s="736"/>
      <c r="H54" s="737"/>
      <c r="I54" s="80"/>
      <c r="J54" s="56"/>
      <c r="K54" s="140"/>
      <c r="L54" s="113"/>
      <c r="M54" s="185"/>
      <c r="N54" s="48"/>
      <c r="O54" s="188"/>
      <c r="P54" s="189"/>
      <c r="Q54" s="112"/>
      <c r="R54" s="111"/>
      <c r="S54" s="111"/>
      <c r="T54" s="139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3.5" customHeight="1">
      <c r="A57" s="13" t="s">
        <v>218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3.5" customHeight="1">
      <c r="B58" s="13" t="s">
        <v>223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3.5" customHeight="1">
      <c r="A59" s="13"/>
      <c r="B59" s="738" t="s">
        <v>224</v>
      </c>
      <c r="C59" s="738" t="s">
        <v>225</v>
      </c>
      <c r="D59" s="740" t="s">
        <v>155</v>
      </c>
      <c r="E59" s="764"/>
      <c r="F59" s="741"/>
      <c r="G59" s="740" t="s">
        <v>154</v>
      </c>
      <c r="H59" s="741"/>
      <c r="I59" s="738" t="s">
        <v>226</v>
      </c>
      <c r="J59" s="763" t="s">
        <v>227</v>
      </c>
      <c r="K59" s="763"/>
      <c r="L59" s="763"/>
      <c r="M59" s="750" t="s">
        <v>118</v>
      </c>
      <c r="N59" s="750"/>
      <c r="O59" s="751" t="s">
        <v>228</v>
      </c>
      <c r="P59" s="751"/>
      <c r="Q59" s="752" t="s">
        <v>107</v>
      </c>
      <c r="R59" s="753"/>
      <c r="S59" s="753"/>
      <c r="T59" s="754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3.5" customHeight="1">
      <c r="A60" s="13"/>
      <c r="B60" s="739"/>
      <c r="C60" s="739"/>
      <c r="D60" s="742"/>
      <c r="E60" s="765"/>
      <c r="F60" s="743"/>
      <c r="G60" s="742"/>
      <c r="H60" s="743"/>
      <c r="I60" s="739"/>
      <c r="J60" s="62" t="s">
        <v>78</v>
      </c>
      <c r="K60" s="63" t="s">
        <v>117</v>
      </c>
      <c r="L60" s="64" t="s">
        <v>116</v>
      </c>
      <c r="M60" s="65" t="s">
        <v>219</v>
      </c>
      <c r="N60" s="66" t="s">
        <v>220</v>
      </c>
      <c r="O60" s="97" t="s">
        <v>117</v>
      </c>
      <c r="P60" s="98" t="s">
        <v>116</v>
      </c>
      <c r="Q60" s="755"/>
      <c r="R60" s="756"/>
      <c r="S60" s="756"/>
      <c r="T60" s="757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.5" customHeight="1">
      <c r="A61" s="13"/>
      <c r="B61" s="67">
        <v>1</v>
      </c>
      <c r="C61" s="6" t="s">
        <v>86</v>
      </c>
      <c r="D61" s="138" t="s">
        <v>241</v>
      </c>
      <c r="E61" s="137" t="s">
        <v>243</v>
      </c>
      <c r="F61" s="136"/>
      <c r="G61" s="748" t="s">
        <v>221</v>
      </c>
      <c r="H61" s="749"/>
      <c r="I61" s="67"/>
      <c r="J61" s="70" t="s">
        <v>239</v>
      </c>
      <c r="K61" s="57">
        <f ca="1">IF(LEFT(J61,2)="TL",INDIRECT("設計荷重!aj"&amp;(ROW(設計荷重!$C$24)+MATCH(J61,設計荷重!$C$25:$C$61,0)+4)),IF(LEFT(J61,2)="KL",INDIRECT("設計荷重!ag"&amp;(ROW(設計荷重!$C$99)+MATCH(J61,設計荷重!$C$100:$C$115,0)+4)),VLOOKUP(J61,設計荷重!$C$85:$AJ$94,32,0)))/1000</f>
        <v>5.35</v>
      </c>
      <c r="L61" s="135">
        <f ca="1">IF(LEFT(J61,2)="TL",INDIRECT("設計荷重!am"&amp;(ROW(設計荷重!$C$24)+MATCH(J61,設計荷重!$C$25:$C$61,0)+4))/1000,"")</f>
        <v>4.3499999999999996</v>
      </c>
      <c r="M61" s="49">
        <f>8/2</f>
        <v>4</v>
      </c>
      <c r="N61" s="269">
        <f>7.9*(1+(1/6)^2)^0.5/2</f>
        <v>4.0044853324463272</v>
      </c>
      <c r="O61" s="196">
        <f ca="1">K61*IF(M61=0,1,M61)*IF(N61=0,1,N61)</f>
        <v>85.695986114351399</v>
      </c>
      <c r="P61" s="197">
        <f ca="1">IF(L61="",O61,L61*IF(M61=0,1,M61)*IF(N61=0,1,N61))</f>
        <v>69.678044784566083</v>
      </c>
      <c r="Q61" s="134" t="s">
        <v>117</v>
      </c>
      <c r="R61" s="133" t="s">
        <v>234</v>
      </c>
      <c r="S61" s="132">
        <f ca="1">SUM(O61:O65)</f>
        <v>101.7139274441367</v>
      </c>
      <c r="T61" s="131" t="s">
        <v>222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.5" customHeight="1">
      <c r="A62" s="13"/>
      <c r="B62" s="7"/>
      <c r="C62" s="7" t="s">
        <v>240</v>
      </c>
      <c r="D62" s="130" t="s">
        <v>242</v>
      </c>
      <c r="E62" s="147" t="s">
        <v>244</v>
      </c>
      <c r="F62" s="128"/>
      <c r="G62" s="758" t="s">
        <v>215</v>
      </c>
      <c r="H62" s="759"/>
      <c r="I62" s="69"/>
      <c r="J62" s="71"/>
      <c r="K62" s="58">
        <v>3</v>
      </c>
      <c r="L62" s="135" t="str">
        <f ca="1">IF(LEFT(J62,2)="TL",INDIRECT("設計荷重!am"&amp;(ROW(設計荷重!$C$24)+MATCH(J62,設計荷重!$C$25:$C$61,0)+4))/1000,"")</f>
        <v/>
      </c>
      <c r="M62" s="51">
        <v>1</v>
      </c>
      <c r="N62" s="60">
        <f>N61</f>
        <v>4.0044853324463272</v>
      </c>
      <c r="O62" s="164">
        <f>K62*IF(M62=0,1,M62)*IF(N62=0,1,N62)</f>
        <v>12.013455997338982</v>
      </c>
      <c r="P62" s="165">
        <f ca="1">IF(L62="",O62,L62*IF(M62=0,1,M62)*IF(N62=0,1,N62))</f>
        <v>12.013455997338982</v>
      </c>
      <c r="Q62" s="249" t="s">
        <v>116</v>
      </c>
      <c r="R62" s="126" t="s">
        <v>230</v>
      </c>
      <c r="S62" s="125">
        <f ca="1">SUM(P61:P65)</f>
        <v>85.695986114351385</v>
      </c>
      <c r="T62" s="124" t="s">
        <v>229</v>
      </c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.5" customHeight="1">
      <c r="A63" s="13"/>
      <c r="B63" s="75"/>
      <c r="C63" s="75"/>
      <c r="D63" s="130"/>
      <c r="E63" s="129"/>
      <c r="F63" s="120"/>
      <c r="G63" s="758" t="s">
        <v>231</v>
      </c>
      <c r="H63" s="759"/>
      <c r="I63" s="119"/>
      <c r="J63" s="76"/>
      <c r="K63" s="77">
        <v>1</v>
      </c>
      <c r="L63" s="135" t="str">
        <f ca="1">IF(LEFT(J63,2)="TL",INDIRECT("設計荷重!am"&amp;(ROW(設計荷重!$C$24)+MATCH(J63,設計荷重!$C$25:$C$61,0)+4))/1000,"")</f>
        <v/>
      </c>
      <c r="M63" s="78">
        <f t="shared" ref="M63" si="0">M62</f>
        <v>1</v>
      </c>
      <c r="N63" s="259">
        <f>N62</f>
        <v>4.0044853324463272</v>
      </c>
      <c r="O63" s="255">
        <f t="shared" ref="O63" si="1">K63*IF(M63=0,1,M63)*IF(N63=0,1,N63)</f>
        <v>4.0044853324463272</v>
      </c>
      <c r="P63" s="256">
        <f t="shared" ref="P63" ca="1" si="2">IF(L63="",O63,L63*IF(M63=0,1,M63)*IF(N63=0,1,N63))</f>
        <v>4.0044853324463272</v>
      </c>
      <c r="Q63" s="117"/>
      <c r="R63" s="123"/>
      <c r="S63" s="122"/>
      <c r="T63" s="115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3.5" customHeight="1">
      <c r="A64" s="13"/>
      <c r="B64" s="75"/>
      <c r="C64" s="75"/>
      <c r="D64" s="130"/>
      <c r="E64" s="147"/>
      <c r="F64" s="120"/>
      <c r="G64" s="746"/>
      <c r="H64" s="747"/>
      <c r="I64" s="119"/>
      <c r="J64" s="76"/>
      <c r="K64" s="77"/>
      <c r="L64" s="118"/>
      <c r="M64" s="78"/>
      <c r="N64" s="259"/>
      <c r="O64" s="255"/>
      <c r="P64" s="256"/>
      <c r="Q64" s="117"/>
      <c r="R64" s="116"/>
      <c r="S64" s="116"/>
      <c r="T64" s="115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3.5" customHeight="1">
      <c r="A65" s="13"/>
      <c r="B65" s="250"/>
      <c r="C65" s="250"/>
      <c r="D65" s="260"/>
      <c r="E65" s="261"/>
      <c r="F65" s="114"/>
      <c r="G65" s="736"/>
      <c r="H65" s="737"/>
      <c r="I65" s="80"/>
      <c r="J65" s="56"/>
      <c r="K65" s="59"/>
      <c r="L65" s="113"/>
      <c r="M65" s="53"/>
      <c r="N65" s="113"/>
      <c r="O65" s="262"/>
      <c r="P65" s="263"/>
      <c r="Q65" s="112"/>
      <c r="R65" s="111"/>
      <c r="S65" s="111"/>
      <c r="T65" s="1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3.5" customHeight="1">
      <c r="A66" s="10"/>
      <c r="B66" s="67">
        <v>2</v>
      </c>
      <c r="C66" s="6"/>
      <c r="D66" s="138"/>
      <c r="E66" s="137"/>
      <c r="F66" s="136"/>
      <c r="G66" s="748"/>
      <c r="H66" s="749"/>
      <c r="I66" s="67"/>
      <c r="J66" s="70"/>
      <c r="K66" s="57"/>
      <c r="L66" s="135"/>
      <c r="M66" s="54"/>
      <c r="N66" s="61"/>
      <c r="O66" s="257"/>
      <c r="P66" s="258"/>
      <c r="Q66" s="134"/>
      <c r="R66" s="133"/>
      <c r="S66" s="132"/>
      <c r="T66" s="131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3.5" customHeight="1">
      <c r="A67" s="10"/>
      <c r="B67" s="7"/>
      <c r="C67" s="7"/>
      <c r="D67" s="130"/>
      <c r="E67" s="129"/>
      <c r="F67" s="128"/>
      <c r="G67" s="758"/>
      <c r="H67" s="759"/>
      <c r="I67" s="69"/>
      <c r="J67" s="71"/>
      <c r="K67" s="58"/>
      <c r="L67" s="127"/>
      <c r="M67" s="51"/>
      <c r="N67" s="60"/>
      <c r="O67" s="253"/>
      <c r="P67" s="254"/>
      <c r="Q67" s="249"/>
      <c r="R67" s="126"/>
      <c r="S67" s="125"/>
      <c r="T67" s="124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3.5" customHeight="1">
      <c r="A68" s="10"/>
      <c r="B68" s="75"/>
      <c r="C68" s="75"/>
      <c r="D68" s="121"/>
      <c r="E68" s="264"/>
      <c r="F68" s="120"/>
      <c r="G68" s="758"/>
      <c r="H68" s="759"/>
      <c r="I68" s="119"/>
      <c r="J68" s="76"/>
      <c r="K68" s="77"/>
      <c r="L68" s="118"/>
      <c r="M68" s="78"/>
      <c r="N68" s="259"/>
      <c r="O68" s="255"/>
      <c r="P68" s="256"/>
      <c r="Q68" s="117"/>
      <c r="R68" s="123"/>
      <c r="S68" s="122"/>
      <c r="T68" s="115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3.5" customHeight="1">
      <c r="A69" s="10"/>
      <c r="B69" s="75"/>
      <c r="C69" s="75"/>
      <c r="D69" s="121"/>
      <c r="E69" s="264"/>
      <c r="F69" s="120"/>
      <c r="G69" s="746"/>
      <c r="H69" s="747"/>
      <c r="I69" s="119"/>
      <c r="J69" s="76"/>
      <c r="K69" s="77"/>
      <c r="L69" s="118"/>
      <c r="M69" s="78"/>
      <c r="N69" s="259"/>
      <c r="O69" s="255"/>
      <c r="P69" s="256"/>
      <c r="Q69" s="117"/>
      <c r="R69" s="116"/>
      <c r="S69" s="116"/>
      <c r="T69" s="115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3.5" customHeight="1">
      <c r="A70" s="10"/>
      <c r="B70" s="250"/>
      <c r="C70" s="250"/>
      <c r="D70" s="260"/>
      <c r="E70" s="261"/>
      <c r="F70" s="114"/>
      <c r="G70" s="736"/>
      <c r="H70" s="737"/>
      <c r="I70" s="80"/>
      <c r="J70" s="56"/>
      <c r="K70" s="59"/>
      <c r="L70" s="113"/>
      <c r="M70" s="53"/>
      <c r="N70" s="113"/>
      <c r="O70" s="262"/>
      <c r="P70" s="263"/>
      <c r="Q70" s="112"/>
      <c r="R70" s="111"/>
      <c r="S70" s="111"/>
      <c r="T70" s="1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3.5" customHeight="1">
      <c r="A71" s="10"/>
      <c r="B71" s="30"/>
      <c r="C71" s="30"/>
      <c r="D71" s="266"/>
      <c r="E71" s="266"/>
      <c r="F71" s="267"/>
      <c r="G71" s="30"/>
      <c r="H71" s="30"/>
      <c r="I71" s="148"/>
      <c r="J71" s="30"/>
      <c r="K71" s="10"/>
      <c r="L71" s="17"/>
      <c r="M71" s="17"/>
      <c r="N71" s="17"/>
      <c r="O71" s="13"/>
      <c r="P71" s="4"/>
      <c r="Q71" s="1"/>
      <c r="R71" s="1"/>
      <c r="S71" s="1"/>
      <c r="T71" s="1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3.5" customHeight="1">
      <c r="A72" s="10"/>
      <c r="B72" s="30"/>
      <c r="C72" s="30"/>
      <c r="D72" s="266"/>
      <c r="E72" s="266"/>
      <c r="F72" s="267"/>
      <c r="G72" s="30"/>
      <c r="H72" s="30"/>
      <c r="I72" s="148"/>
      <c r="J72" s="30"/>
      <c r="K72" s="10"/>
      <c r="L72" s="17"/>
      <c r="M72" s="17"/>
      <c r="N72" s="17"/>
      <c r="O72" s="13"/>
      <c r="P72" s="4"/>
      <c r="Q72" s="1"/>
      <c r="R72" s="1"/>
      <c r="S72" s="1"/>
      <c r="T72" s="1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3.5" customHeight="1">
      <c r="A73" s="10"/>
      <c r="B73" s="154"/>
      <c r="D73" s="760" t="s">
        <v>238</v>
      </c>
      <c r="E73" s="154"/>
      <c r="F73" s="154" t="s">
        <v>233</v>
      </c>
      <c r="G73" s="154"/>
      <c r="H73" s="154" t="s">
        <v>233</v>
      </c>
      <c r="I73" s="154"/>
      <c r="J73" s="154"/>
      <c r="K73" s="154"/>
      <c r="L73" s="154"/>
      <c r="M73" s="154"/>
      <c r="N73" s="154"/>
      <c r="O73" s="154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30" ht="13.5" customHeight="1">
      <c r="A74" s="10"/>
      <c r="B74" s="154"/>
      <c r="D74" s="761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30" ht="13.5" customHeight="1">
      <c r="A75" s="10"/>
      <c r="B75" s="154"/>
      <c r="D75" s="268"/>
      <c r="E75" s="11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30" ht="13.5" customHeight="1">
      <c r="A76" s="10"/>
      <c r="B76" s="154"/>
      <c r="D76" s="265"/>
      <c r="E76" s="11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30" ht="13.5" customHeight="1">
      <c r="A77" s="10"/>
      <c r="B77" s="154"/>
      <c r="D77" s="760" t="s">
        <v>237</v>
      </c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30" ht="13.5" customHeight="1">
      <c r="A78" s="10"/>
      <c r="B78" s="154"/>
      <c r="D78" s="761"/>
      <c r="E78" s="154"/>
      <c r="F78" s="154" t="s">
        <v>232</v>
      </c>
      <c r="G78" s="154"/>
      <c r="H78" s="154" t="s">
        <v>233</v>
      </c>
      <c r="I78" s="154"/>
      <c r="J78" s="154"/>
      <c r="K78" s="154"/>
      <c r="L78" s="154"/>
      <c r="M78" s="154"/>
      <c r="N78" s="154"/>
      <c r="O78" s="154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30" ht="13.5" customHeight="1">
      <c r="A79" s="10"/>
      <c r="B79" s="154"/>
      <c r="D79" s="265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30" ht="13.5" customHeight="1">
      <c r="A80" s="10"/>
      <c r="B80" s="154"/>
      <c r="D80" s="265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30" ht="13.5" customHeight="1">
      <c r="A81" s="10"/>
      <c r="B81" s="154"/>
      <c r="C81" s="154"/>
      <c r="D81" s="154"/>
      <c r="E81" s="762" t="s">
        <v>235</v>
      </c>
      <c r="F81" s="762"/>
      <c r="G81" s="762" t="s">
        <v>236</v>
      </c>
      <c r="H81" s="762"/>
      <c r="I81" s="154"/>
      <c r="J81" s="154"/>
      <c r="K81" s="154"/>
      <c r="L81" s="154"/>
      <c r="M81" s="154"/>
      <c r="N81" s="154"/>
      <c r="O81" s="154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30" ht="13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3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3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3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3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3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3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3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3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3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3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3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3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3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</sheetData>
  <mergeCells count="90">
    <mergeCell ref="B4:B5"/>
    <mergeCell ref="C4:C5"/>
    <mergeCell ref="D4:F5"/>
    <mergeCell ref="G4:H5"/>
    <mergeCell ref="B41:B42"/>
    <mergeCell ref="C41:C42"/>
    <mergeCell ref="D41:F42"/>
    <mergeCell ref="G41:H42"/>
    <mergeCell ref="G36:H36"/>
    <mergeCell ref="G37:H37"/>
    <mergeCell ref="G38:H38"/>
    <mergeCell ref="B28:B29"/>
    <mergeCell ref="C28:C29"/>
    <mergeCell ref="G34:H34"/>
    <mergeCell ref="G31:H31"/>
    <mergeCell ref="G32:H32"/>
    <mergeCell ref="D28:F29"/>
    <mergeCell ref="G30:H30"/>
    <mergeCell ref="G14:H14"/>
    <mergeCell ref="G15:H15"/>
    <mergeCell ref="G16:H16"/>
    <mergeCell ref="G24:H24"/>
    <mergeCell ref="G25:H25"/>
    <mergeCell ref="Q4:T5"/>
    <mergeCell ref="J41:L41"/>
    <mergeCell ref="M41:N41"/>
    <mergeCell ref="O41:P41"/>
    <mergeCell ref="Q41:T42"/>
    <mergeCell ref="J28:L28"/>
    <mergeCell ref="M28:N28"/>
    <mergeCell ref="Q28:T29"/>
    <mergeCell ref="O4:P4"/>
    <mergeCell ref="M4:N4"/>
    <mergeCell ref="J4:L4"/>
    <mergeCell ref="O28:P28"/>
    <mergeCell ref="G43:H43"/>
    <mergeCell ref="G49:H49"/>
    <mergeCell ref="G45:H45"/>
    <mergeCell ref="G46:H46"/>
    <mergeCell ref="G47:H47"/>
    <mergeCell ref="G48:H48"/>
    <mergeCell ref="I4:I5"/>
    <mergeCell ref="G10:H10"/>
    <mergeCell ref="G13:H13"/>
    <mergeCell ref="G12:H12"/>
    <mergeCell ref="G9:H9"/>
    <mergeCell ref="G8:H8"/>
    <mergeCell ref="G11:H11"/>
    <mergeCell ref="G6:H7"/>
    <mergeCell ref="I6:I7"/>
    <mergeCell ref="B59:B60"/>
    <mergeCell ref="C59:C60"/>
    <mergeCell ref="D59:F60"/>
    <mergeCell ref="G59:H60"/>
    <mergeCell ref="I59:I60"/>
    <mergeCell ref="D73:D74"/>
    <mergeCell ref="D77:D78"/>
    <mergeCell ref="E81:F81"/>
    <mergeCell ref="G81:H81"/>
    <mergeCell ref="J59:L59"/>
    <mergeCell ref="G67:H67"/>
    <mergeCell ref="G68:H68"/>
    <mergeCell ref="G69:H69"/>
    <mergeCell ref="G70:H70"/>
    <mergeCell ref="G62:H62"/>
    <mergeCell ref="G63:H63"/>
    <mergeCell ref="G64:H64"/>
    <mergeCell ref="G65:H65"/>
    <mergeCell ref="G66:H66"/>
    <mergeCell ref="M59:N59"/>
    <mergeCell ref="O59:P59"/>
    <mergeCell ref="Q59:T60"/>
    <mergeCell ref="G61:H61"/>
    <mergeCell ref="G44:H44"/>
    <mergeCell ref="G53:H53"/>
    <mergeCell ref="G54:H54"/>
    <mergeCell ref="G52:H52"/>
    <mergeCell ref="G51:H51"/>
    <mergeCell ref="G50:H50"/>
    <mergeCell ref="G35:H35"/>
    <mergeCell ref="I41:I42"/>
    <mergeCell ref="I28:I29"/>
    <mergeCell ref="G28:H29"/>
    <mergeCell ref="G17:H17"/>
    <mergeCell ref="G18:H18"/>
    <mergeCell ref="G20:H20"/>
    <mergeCell ref="G21:H21"/>
    <mergeCell ref="G22:H22"/>
    <mergeCell ref="G23:H23"/>
    <mergeCell ref="G33:H33"/>
  </mergeCells>
  <phoneticPr fontId="5"/>
  <pageMargins left="0.59055118110236227" right="0.19685039370078741" top="0.78740157480314965" bottom="0.39370078740157483" header="0.51181102362204722" footer="0.31496062992125984"/>
  <pageSetup paperSize="9" orientation="portrait" blackAndWhite="1" r:id="rId1"/>
  <headerFooter alignWithMargins="0">
    <oddFooter>&amp;C2 -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設計荷重</vt:lpstr>
      <vt:lpstr>1-1棟風荷重</vt:lpstr>
      <vt:lpstr>追加荷重</vt:lpstr>
      <vt:lpstr>'1-1棟風荷重'!Print_Area</vt:lpstr>
      <vt:lpstr>設計荷重!Print_Area</vt:lpstr>
      <vt:lpstr>追加荷重!Print_Area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kanou</dc:creator>
  <cp:lastModifiedBy>keita araki</cp:lastModifiedBy>
  <cp:lastPrinted>2018-07-18T13:58:28Z</cp:lastPrinted>
  <dcterms:created xsi:type="dcterms:W3CDTF">2000-02-18T05:29:31Z</dcterms:created>
  <dcterms:modified xsi:type="dcterms:W3CDTF">2018-07-23T05:21:06Z</dcterms:modified>
</cp:coreProperties>
</file>