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517CB80-65A5-4E7E-8AFC-EACB777F735D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G58B" sheetId="5" r:id="rId1"/>
    <sheet name="G58B (3)" sheetId="14" r:id="rId2"/>
    <sheet name="G58B (2)" sheetId="13" r:id="rId3"/>
    <sheet name="G59B" sheetId="7" r:id="rId4"/>
    <sheet name="B49G49B" sheetId="8" r:id="rId5"/>
    <sheet name="G39B,B39" sheetId="10" r:id="rId6"/>
    <sheet name="B29" sheetId="4" r:id="rId7"/>
    <sheet name="B34G34B" sheetId="11" r:id="rId8"/>
    <sheet name="B17" sheetId="12" r:id="rId9"/>
  </sheets>
  <definedNames>
    <definedName name="_xlnm.Print_Area" localSheetId="8">'B17'!$B$4:$K$20</definedName>
    <definedName name="_xlnm.Print_Area" localSheetId="6">'B29'!$B$4:$K$53</definedName>
    <definedName name="_xlnm.Print_Area" localSheetId="7">B34G34B!$B$4:$K$53</definedName>
    <definedName name="_xlnm.Print_Area" localSheetId="4">B49G49B!$B$4:$K$53</definedName>
    <definedName name="_xlnm.Print_Area" localSheetId="5">'G39B,B39'!$B$4:$K$20</definedName>
    <definedName name="_xlnm.Print_Area" localSheetId="0">G58B!$B$4:$K$20</definedName>
    <definedName name="_xlnm.Print_Area" localSheetId="2">'G58B (2)'!$B$4:$K$20</definedName>
    <definedName name="_xlnm.Print_Area" localSheetId="1">'G58B (3)'!$B$4:$K$20</definedName>
    <definedName name="_xlnm.Print_Area" localSheetId="3">G59B!$B$4:$K$20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4" l="1"/>
  <c r="F42" i="14"/>
  <c r="F43" i="14" s="1"/>
  <c r="G51" i="14"/>
  <c r="F45" i="14"/>
  <c r="G38" i="14"/>
  <c r="G36" i="14"/>
  <c r="G31" i="14"/>
  <c r="G30" i="14"/>
  <c r="G49" i="14" s="1"/>
  <c r="G26" i="14"/>
  <c r="G32" i="14" s="1"/>
  <c r="G25" i="14"/>
  <c r="G50" i="14" s="1"/>
  <c r="G24" i="14"/>
  <c r="G48" i="14" s="1"/>
  <c r="F18" i="14"/>
  <c r="F19" i="14" s="1"/>
  <c r="J19" i="14" s="1"/>
  <c r="M13" i="14"/>
  <c r="M11" i="14"/>
  <c r="M12" i="14" s="1"/>
  <c r="M14" i="14" s="1"/>
  <c r="J45" i="14" l="1"/>
  <c r="G37" i="14"/>
  <c r="G39" i="14" s="1"/>
  <c r="J39" i="14" s="1"/>
  <c r="J43" i="14"/>
  <c r="F17" i="14"/>
  <c r="J17" i="14" s="1"/>
  <c r="F16" i="13"/>
  <c r="G51" i="13" l="1"/>
  <c r="F45" i="13"/>
  <c r="F42" i="13"/>
  <c r="F43" i="13" s="1"/>
  <c r="G38" i="13"/>
  <c r="G31" i="13"/>
  <c r="G25" i="13"/>
  <c r="G30" i="13" s="1"/>
  <c r="G49" i="13" s="1"/>
  <c r="G24" i="13"/>
  <c r="F18" i="13"/>
  <c r="F19" i="13" s="1"/>
  <c r="J19" i="13" s="1"/>
  <c r="F17" i="13"/>
  <c r="J17" i="13" s="1"/>
  <c r="M13" i="13"/>
  <c r="M12" i="13"/>
  <c r="M11" i="13"/>
  <c r="M14" i="13" l="1"/>
  <c r="J43" i="13"/>
  <c r="G26" i="13"/>
  <c r="G32" i="13" s="1"/>
  <c r="G36" i="13"/>
  <c r="G51" i="12"/>
  <c r="F45" i="12"/>
  <c r="F42" i="12"/>
  <c r="F43" i="12" s="1"/>
  <c r="G38" i="12"/>
  <c r="G31" i="12"/>
  <c r="G25" i="12"/>
  <c r="G30" i="12" s="1"/>
  <c r="G49" i="12" s="1"/>
  <c r="G24" i="12"/>
  <c r="G26" i="12" s="1"/>
  <c r="G32" i="12" s="1"/>
  <c r="F18" i="12"/>
  <c r="F19" i="12" s="1"/>
  <c r="J19" i="12" s="1"/>
  <c r="F17" i="12"/>
  <c r="J17" i="12" s="1"/>
  <c r="M13" i="12"/>
  <c r="M11" i="12"/>
  <c r="M12" i="12" s="1"/>
  <c r="G24" i="11"/>
  <c r="G51" i="11"/>
  <c r="F45" i="11"/>
  <c r="F42" i="11"/>
  <c r="F43" i="11" s="1"/>
  <c r="G38" i="11"/>
  <c r="G31" i="11"/>
  <c r="G25" i="11"/>
  <c r="G30" i="11" s="1"/>
  <c r="G49" i="11" s="1"/>
  <c r="G26" i="11"/>
  <c r="G32" i="11" s="1"/>
  <c r="F18" i="11"/>
  <c r="F19" i="11" s="1"/>
  <c r="J19" i="11" s="1"/>
  <c r="F17" i="11"/>
  <c r="J17" i="11" s="1"/>
  <c r="M13" i="11"/>
  <c r="M11" i="11"/>
  <c r="M12" i="11" s="1"/>
  <c r="M14" i="11" s="1"/>
  <c r="G51" i="10"/>
  <c r="F45" i="10"/>
  <c r="F43" i="10"/>
  <c r="F42" i="10"/>
  <c r="G38" i="10"/>
  <c r="G36" i="10"/>
  <c r="G31" i="10"/>
  <c r="J43" i="10" s="1"/>
  <c r="G25" i="10"/>
  <c r="G30" i="10" s="1"/>
  <c r="G49" i="10" s="1"/>
  <c r="G24" i="10"/>
  <c r="G26" i="10" s="1"/>
  <c r="G32" i="10" s="1"/>
  <c r="F18" i="10"/>
  <c r="F19" i="10" s="1"/>
  <c r="J19" i="10" s="1"/>
  <c r="F17" i="10"/>
  <c r="J17" i="10" s="1"/>
  <c r="M13" i="10"/>
  <c r="M11" i="10"/>
  <c r="M12" i="10" s="1"/>
  <c r="G24" i="8"/>
  <c r="G26" i="8" s="1"/>
  <c r="G32" i="8" s="1"/>
  <c r="G51" i="8"/>
  <c r="F45" i="8"/>
  <c r="F42" i="8"/>
  <c r="F43" i="8" s="1"/>
  <c r="G38" i="8"/>
  <c r="G36" i="8"/>
  <c r="G31" i="8"/>
  <c r="G30" i="8"/>
  <c r="G49" i="8" s="1"/>
  <c r="G25" i="8"/>
  <c r="F18" i="8"/>
  <c r="F19" i="8" s="1"/>
  <c r="J19" i="8" s="1"/>
  <c r="J17" i="8"/>
  <c r="F17" i="8"/>
  <c r="M13" i="8"/>
  <c r="M11" i="8"/>
  <c r="M12" i="8" s="1"/>
  <c r="M14" i="8" s="1"/>
  <c r="G51" i="7"/>
  <c r="F45" i="7"/>
  <c r="F42" i="7"/>
  <c r="F43" i="7" s="1"/>
  <c r="G38" i="7"/>
  <c r="G36" i="7"/>
  <c r="G31" i="7"/>
  <c r="G25" i="7"/>
  <c r="G30" i="7" s="1"/>
  <c r="G49" i="7" s="1"/>
  <c r="G24" i="7"/>
  <c r="G26" i="7" s="1"/>
  <c r="G32" i="7" s="1"/>
  <c r="F18" i="7"/>
  <c r="F19" i="7" s="1"/>
  <c r="J19" i="7" s="1"/>
  <c r="F17" i="7"/>
  <c r="J17" i="7" s="1"/>
  <c r="M13" i="7"/>
  <c r="M11" i="7"/>
  <c r="M12" i="7" s="1"/>
  <c r="M14" i="7" s="1"/>
  <c r="M11" i="5"/>
  <c r="G51" i="5"/>
  <c r="F45" i="5"/>
  <c r="F42" i="5"/>
  <c r="F43" i="5" s="1"/>
  <c r="G38" i="5"/>
  <c r="G31" i="5"/>
  <c r="G25" i="5"/>
  <c r="G30" i="5" s="1"/>
  <c r="G49" i="5" s="1"/>
  <c r="G24" i="5"/>
  <c r="F18" i="5"/>
  <c r="F19" i="5" s="1"/>
  <c r="J19" i="5" s="1"/>
  <c r="F17" i="5"/>
  <c r="J17" i="5" s="1"/>
  <c r="M13" i="5"/>
  <c r="M12" i="5"/>
  <c r="M14" i="5" s="1"/>
  <c r="G51" i="4"/>
  <c r="G38" i="4"/>
  <c r="G24" i="4"/>
  <c r="F18" i="4"/>
  <c r="F19" i="4" s="1"/>
  <c r="J19" i="4" s="1"/>
  <c r="F45" i="4"/>
  <c r="M13" i="4"/>
  <c r="M11" i="4"/>
  <c r="M12" i="4" s="1"/>
  <c r="M14" i="4" s="1"/>
  <c r="F42" i="4"/>
  <c r="F43" i="4" s="1"/>
  <c r="G25" i="4"/>
  <c r="G36" i="4" s="1"/>
  <c r="F17" i="4"/>
  <c r="J45" i="13" l="1"/>
  <c r="G37" i="13"/>
  <c r="G39" i="13" s="1"/>
  <c r="J39" i="13" s="1"/>
  <c r="G48" i="13"/>
  <c r="G50" i="13" s="1"/>
  <c r="J43" i="8"/>
  <c r="G36" i="11"/>
  <c r="J43" i="12"/>
  <c r="G36" i="12"/>
  <c r="M14" i="12"/>
  <c r="J45" i="12"/>
  <c r="G37" i="12"/>
  <c r="G48" i="12"/>
  <c r="G50" i="12" s="1"/>
  <c r="J43" i="11"/>
  <c r="J45" i="11"/>
  <c r="G37" i="11"/>
  <c r="G39" i="11" s="1"/>
  <c r="J39" i="11" s="1"/>
  <c r="G48" i="11"/>
  <c r="G50" i="11" s="1"/>
  <c r="M14" i="10"/>
  <c r="J45" i="10"/>
  <c r="G37" i="10"/>
  <c r="G39" i="10" s="1"/>
  <c r="J39" i="10" s="1"/>
  <c r="G48" i="10"/>
  <c r="G50" i="10" s="1"/>
  <c r="J45" i="8"/>
  <c r="G37" i="8"/>
  <c r="G39" i="8" s="1"/>
  <c r="J39" i="8" s="1"/>
  <c r="G48" i="8"/>
  <c r="G50" i="8" s="1"/>
  <c r="J43" i="7"/>
  <c r="J45" i="7"/>
  <c r="G37" i="7"/>
  <c r="G39" i="7" s="1"/>
  <c r="J39" i="7" s="1"/>
  <c r="G48" i="7"/>
  <c r="G50" i="7" s="1"/>
  <c r="J43" i="5"/>
  <c r="G26" i="5"/>
  <c r="G32" i="5" s="1"/>
  <c r="G36" i="5"/>
  <c r="G30" i="4"/>
  <c r="G49" i="4" s="1"/>
  <c r="G31" i="4"/>
  <c r="J43" i="4" s="1"/>
  <c r="J17" i="4"/>
  <c r="G26" i="4"/>
  <c r="G39" i="12" l="1"/>
  <c r="J39" i="12" s="1"/>
  <c r="J45" i="5"/>
  <c r="G37" i="5"/>
  <c r="G39" i="5" s="1"/>
  <c r="J39" i="5" s="1"/>
  <c r="G48" i="5"/>
  <c r="G50" i="5" s="1"/>
  <c r="G48" i="4"/>
  <c r="G50" i="4" s="1"/>
  <c r="G32" i="4"/>
  <c r="J45" i="4" l="1"/>
  <c r="G37" i="4"/>
  <c r="G39" i="4" s="1"/>
  <c r="J39" i="4" s="1"/>
</calcChain>
</file>

<file path=xl/sharedStrings.xml><?xml version="1.0" encoding="utf-8"?>
<sst xmlns="http://schemas.openxmlformats.org/spreadsheetml/2006/main" count="1055" uniqueCount="93">
  <si>
    <t>ガセットプレートおよび横補剛の検討</t>
    <rPh sb="11" eb="12">
      <t>ヨコ</t>
    </rPh>
    <rPh sb="12" eb="14">
      <t>ホゴウ</t>
    </rPh>
    <rPh sb="15" eb="17">
      <t>ケントウ</t>
    </rPh>
    <phoneticPr fontId="1"/>
  </si>
  <si>
    <t>長期荷重</t>
    <rPh sb="0" eb="2">
      <t>チョウキ</t>
    </rPh>
    <rPh sb="2" eb="4">
      <t>カジュウ</t>
    </rPh>
    <phoneticPr fontId="1"/>
  </si>
  <si>
    <t>Ql=</t>
    <phoneticPr fontId="1"/>
  </si>
  <si>
    <t>部材長</t>
    <rPh sb="0" eb="2">
      <t>ブザイ</t>
    </rPh>
    <rPh sb="2" eb="3">
      <t>チョウ</t>
    </rPh>
    <phoneticPr fontId="1"/>
  </si>
  <si>
    <t>mm</t>
    <phoneticPr fontId="1"/>
  </si>
  <si>
    <t>kN</t>
    <phoneticPr fontId="1"/>
  </si>
  <si>
    <t>【GPL】</t>
    <phoneticPr fontId="1"/>
  </si>
  <si>
    <t>F8TM20</t>
    <phoneticPr fontId="1"/>
  </si>
  <si>
    <t>Rl=</t>
    <phoneticPr fontId="1"/>
  </si>
  <si>
    <t>Rs=</t>
    <phoneticPr fontId="1"/>
  </si>
  <si>
    <t>GPL部のせん断の検討</t>
    <rPh sb="3" eb="4">
      <t>ブ</t>
    </rPh>
    <rPh sb="7" eb="8">
      <t>ダン</t>
    </rPh>
    <rPh sb="9" eb="11">
      <t>ケントウ</t>
    </rPh>
    <phoneticPr fontId="1"/>
  </si>
  <si>
    <t>SS400</t>
    <phoneticPr fontId="1"/>
  </si>
  <si>
    <t>gAe=</t>
    <phoneticPr fontId="1"/>
  </si>
  <si>
    <t>mm^2</t>
    <phoneticPr fontId="1"/>
  </si>
  <si>
    <t>LQa=</t>
    <phoneticPr fontId="1"/>
  </si>
  <si>
    <t>Ql/LQa=</t>
    <phoneticPr fontId="1"/>
  </si>
  <si>
    <t>OK</t>
    <phoneticPr fontId="1"/>
  </si>
  <si>
    <t>gIe=</t>
    <phoneticPr fontId="1"/>
  </si>
  <si>
    <t>PL-</t>
    <phoneticPr fontId="1"/>
  </si>
  <si>
    <t>x</t>
    <phoneticPr fontId="1"/>
  </si>
  <si>
    <t>gZe=</t>
    <phoneticPr fontId="1"/>
  </si>
  <si>
    <t>σ/f=</t>
    <phoneticPr fontId="1"/>
  </si>
  <si>
    <t>ボルト接合部の検討</t>
    <rPh sb="3" eb="5">
      <t>セツゴウ</t>
    </rPh>
    <rPh sb="5" eb="6">
      <t>ブ</t>
    </rPh>
    <rPh sb="7" eb="9">
      <t>ケントウ</t>
    </rPh>
    <phoneticPr fontId="1"/>
  </si>
  <si>
    <t>Rq=</t>
    <phoneticPr fontId="1"/>
  </si>
  <si>
    <t>R=</t>
    <phoneticPr fontId="1"/>
  </si>
  <si>
    <t>R/Rl=</t>
    <phoneticPr fontId="1"/>
  </si>
  <si>
    <t>②横補剛の検討</t>
    <rPh sb="1" eb="2">
      <t>ヨコ</t>
    </rPh>
    <rPh sb="2" eb="4">
      <t>ホゴウ</t>
    </rPh>
    <rPh sb="5" eb="7">
      <t>ケントウ</t>
    </rPh>
    <phoneticPr fontId="1"/>
  </si>
  <si>
    <t>① ガセットプレートの長期荷重の検討</t>
    <rPh sb="11" eb="13">
      <t>チョウキ</t>
    </rPh>
    <rPh sb="13" eb="15">
      <t>カジュウ</t>
    </rPh>
    <rPh sb="16" eb="18">
      <t>ケントウ</t>
    </rPh>
    <phoneticPr fontId="1"/>
  </si>
  <si>
    <t>断面積</t>
    <rPh sb="0" eb="3">
      <t>ダンメンセキ</t>
    </rPh>
    <phoneticPr fontId="1"/>
  </si>
  <si>
    <t>A=</t>
    <phoneticPr fontId="1"/>
  </si>
  <si>
    <t>Le=</t>
    <phoneticPr fontId="1"/>
  </si>
  <si>
    <t>F=</t>
    <phoneticPr fontId="1"/>
  </si>
  <si>
    <t>ボルト接合部分の検討</t>
    <rPh sb="3" eb="5">
      <t>セツゴウ</t>
    </rPh>
    <rPh sb="5" eb="7">
      <t>ブブン</t>
    </rPh>
    <rPh sb="8" eb="10">
      <t>ケントウ</t>
    </rPh>
    <phoneticPr fontId="1"/>
  </si>
  <si>
    <t>水平反力</t>
    <rPh sb="0" eb="2">
      <t>スイヘイ</t>
    </rPh>
    <rPh sb="2" eb="4">
      <t>ハンリョク</t>
    </rPh>
    <phoneticPr fontId="1"/>
  </si>
  <si>
    <t>r1=</t>
    <phoneticPr fontId="1"/>
  </si>
  <si>
    <t>鉛直反力</t>
    <rPh sb="0" eb="2">
      <t>エンチョク</t>
    </rPh>
    <rPh sb="2" eb="4">
      <t>ハンリョク</t>
    </rPh>
    <phoneticPr fontId="1"/>
  </si>
  <si>
    <t>r2=</t>
    <phoneticPr fontId="1"/>
  </si>
  <si>
    <t>r3=</t>
    <phoneticPr fontId="1"/>
  </si>
  <si>
    <t>ボルト反力</t>
    <rPh sb="3" eb="5">
      <t>ハンリョク</t>
    </rPh>
    <phoneticPr fontId="1"/>
  </si>
  <si>
    <t>r=</t>
    <phoneticPr fontId="1"/>
  </si>
  <si>
    <t>r/rs=</t>
    <phoneticPr fontId="1"/>
  </si>
  <si>
    <t>母材の検討</t>
    <rPh sb="0" eb="2">
      <t>ボザイ</t>
    </rPh>
    <rPh sb="3" eb="5">
      <t>ケントウ</t>
    </rPh>
    <phoneticPr fontId="1"/>
  </si>
  <si>
    <t>ガセット部の検討に使用する応力</t>
    <rPh sb="4" eb="5">
      <t>ブ</t>
    </rPh>
    <rPh sb="6" eb="8">
      <t>ケントウ</t>
    </rPh>
    <rPh sb="9" eb="11">
      <t>シヨウ</t>
    </rPh>
    <rPh sb="13" eb="15">
      <t>オウリョク</t>
    </rPh>
    <phoneticPr fontId="1"/>
  </si>
  <si>
    <t>水平軸力</t>
    <rPh sb="0" eb="2">
      <t>スイヘイ</t>
    </rPh>
    <rPh sb="2" eb="4">
      <t>ジクリョク</t>
    </rPh>
    <phoneticPr fontId="1"/>
  </si>
  <si>
    <t>N=</t>
    <phoneticPr fontId="1"/>
  </si>
  <si>
    <t>せん断力</t>
    <rPh sb="2" eb="4">
      <t>ダンリョク</t>
    </rPh>
    <phoneticPr fontId="1"/>
  </si>
  <si>
    <t>Q=Ql=</t>
    <phoneticPr fontId="1"/>
  </si>
  <si>
    <t>曲げ</t>
    <rPh sb="0" eb="1">
      <t>マ</t>
    </rPh>
    <phoneticPr fontId="1"/>
  </si>
  <si>
    <t>kNm</t>
    <phoneticPr fontId="1"/>
  </si>
  <si>
    <t>Q/LQa=</t>
    <phoneticPr fontId="1"/>
  </si>
  <si>
    <t>剛性の検討</t>
    <rPh sb="0" eb="2">
      <t>ゴウセイ</t>
    </rPh>
    <rPh sb="3" eb="5">
      <t>ケントウ</t>
    </rPh>
    <phoneticPr fontId="1"/>
  </si>
  <si>
    <t>小梁の曲げ変形</t>
    <rPh sb="0" eb="2">
      <t>コハリ</t>
    </rPh>
    <rPh sb="3" eb="4">
      <t>マ</t>
    </rPh>
    <rPh sb="5" eb="7">
      <t>ヘンケイ</t>
    </rPh>
    <phoneticPr fontId="1"/>
  </si>
  <si>
    <t>Ib=</t>
    <phoneticPr fontId="1"/>
  </si>
  <si>
    <t>δm=le*M/EI*(lb/2)=</t>
    <phoneticPr fontId="1"/>
  </si>
  <si>
    <t>小梁の軸変形</t>
    <rPh sb="0" eb="2">
      <t>コハリ</t>
    </rPh>
    <rPh sb="3" eb="4">
      <t>ジク</t>
    </rPh>
    <rPh sb="4" eb="6">
      <t>ヘンケイ</t>
    </rPh>
    <phoneticPr fontId="1"/>
  </si>
  <si>
    <t>Ab=</t>
    <phoneticPr fontId="1"/>
  </si>
  <si>
    <t>δa=N/Eab*lb=</t>
    <phoneticPr fontId="1"/>
  </si>
  <si>
    <t>剛性</t>
    <rPh sb="0" eb="2">
      <t>ゴウセイ</t>
    </rPh>
    <phoneticPr fontId="1"/>
  </si>
  <si>
    <t>Kb=F/(δm+δa)=</t>
    <phoneticPr fontId="1"/>
  </si>
  <si>
    <t>必要補剛剛性</t>
    <rPh sb="0" eb="2">
      <t>ヒツヨウ</t>
    </rPh>
    <rPh sb="2" eb="4">
      <t>ホゴウ</t>
    </rPh>
    <rPh sb="4" eb="6">
      <t>ゴウセイ</t>
    </rPh>
    <phoneticPr fontId="1"/>
  </si>
  <si>
    <t>K=</t>
    <phoneticPr fontId="1"/>
  </si>
  <si>
    <t>lg=</t>
    <phoneticPr fontId="1"/>
  </si>
  <si>
    <t>kN/mm</t>
    <phoneticPr fontId="1"/>
  </si>
  <si>
    <t>cm^4</t>
    <phoneticPr fontId="1"/>
  </si>
  <si>
    <t>ボルトの距離</t>
    <rPh sb="4" eb="6">
      <t>キョリ</t>
    </rPh>
    <phoneticPr fontId="1"/>
  </si>
  <si>
    <t>【大梁】G49:H-496x199x9x14</t>
    <rPh sb="1" eb="2">
      <t>オオ</t>
    </rPh>
    <rPh sb="2" eb="3">
      <t>ハリ</t>
    </rPh>
    <phoneticPr fontId="1"/>
  </si>
  <si>
    <t>断面二次モーメント</t>
    <rPh sb="0" eb="4">
      <t>ダンメンニジ</t>
    </rPh>
    <phoneticPr fontId="1"/>
  </si>
  <si>
    <t>QlによるM</t>
    <phoneticPr fontId="1"/>
  </si>
  <si>
    <t>軸力</t>
    <rPh sb="0" eb="2">
      <t>ジクリョク</t>
    </rPh>
    <phoneticPr fontId="1"/>
  </si>
  <si>
    <t>本</t>
    <rPh sb="0" eb="1">
      <t>ホン</t>
    </rPh>
    <phoneticPr fontId="1"/>
  </si>
  <si>
    <t>せん断</t>
    <rPh sb="2" eb="3">
      <t>ダン</t>
    </rPh>
    <phoneticPr fontId="1"/>
  </si>
  <si>
    <t>反力</t>
    <rPh sb="0" eb="2">
      <t>ハンリョク</t>
    </rPh>
    <phoneticPr fontId="1"/>
  </si>
  <si>
    <t>Lb=</t>
    <phoneticPr fontId="1"/>
  </si>
  <si>
    <t>F・Le=</t>
    <phoneticPr fontId="1"/>
  </si>
  <si>
    <t>M=F・Le=</t>
    <phoneticPr fontId="1"/>
  </si>
  <si>
    <t>cm^3</t>
    <phoneticPr fontId="1"/>
  </si>
  <si>
    <t>大梁長さ</t>
    <rPh sb="0" eb="2">
      <t>オオバリ</t>
    </rPh>
    <rPh sb="1" eb="2">
      <t>ハリ</t>
    </rPh>
    <rPh sb="2" eb="3">
      <t>ナガ</t>
    </rPh>
    <phoneticPr fontId="1"/>
  </si>
  <si>
    <t>補剛状態</t>
    <rPh sb="0" eb="2">
      <t>ホゴウ</t>
    </rPh>
    <rPh sb="2" eb="4">
      <t>ジョウタイ</t>
    </rPh>
    <phoneticPr fontId="1"/>
  </si>
  <si>
    <t>片側1 両側2</t>
    <rPh sb="0" eb="2">
      <t>カタガワ</t>
    </rPh>
    <rPh sb="4" eb="6">
      <t>リョウガワ</t>
    </rPh>
    <phoneticPr fontId="1"/>
  </si>
  <si>
    <t>片側の場合</t>
    <rPh sb="0" eb="2">
      <t>カタガワ</t>
    </rPh>
    <rPh sb="3" eb="5">
      <t>バアイ</t>
    </rPh>
    <phoneticPr fontId="1"/>
  </si>
  <si>
    <t>両側補剛の場合</t>
    <rPh sb="0" eb="2">
      <t>リョウガワ</t>
    </rPh>
    <rPh sb="2" eb="4">
      <t>ホゴウ</t>
    </rPh>
    <rPh sb="5" eb="7">
      <t>バアイ</t>
    </rPh>
    <phoneticPr fontId="1"/>
  </si>
  <si>
    <t>F8TM22</t>
    <phoneticPr fontId="1"/>
  </si>
  <si>
    <t>【大梁】G44:H-446x199x8x12</t>
    <rPh sb="1" eb="2">
      <t>オオ</t>
    </rPh>
    <rPh sb="2" eb="3">
      <t>ハリ</t>
    </rPh>
    <phoneticPr fontId="1"/>
  </si>
  <si>
    <t>F8TM16</t>
    <phoneticPr fontId="1"/>
  </si>
  <si>
    <t>【J2, G59B, Ql=120kN, 横補剛なし】</t>
    <rPh sb="21" eb="22">
      <t>ヨコ</t>
    </rPh>
    <rPh sb="22" eb="24">
      <t>ホゴウ</t>
    </rPh>
    <phoneticPr fontId="1"/>
  </si>
  <si>
    <t>【J3, B49, G49B, Ql=80, 横補剛】</t>
    <rPh sb="23" eb="24">
      <t>ヨコ</t>
    </rPh>
    <rPh sb="24" eb="26">
      <t>ホゴウ</t>
    </rPh>
    <phoneticPr fontId="1"/>
  </si>
  <si>
    <t>【J4, G39B, B39, Ql=50, 横補剛なし】</t>
    <rPh sb="23" eb="24">
      <t>ヨコ</t>
    </rPh>
    <rPh sb="24" eb="26">
      <t>ホゴウ</t>
    </rPh>
    <phoneticPr fontId="1"/>
  </si>
  <si>
    <t>【J5, B29/G29B, Ql=50, 横補剛あり】</t>
    <rPh sb="22" eb="23">
      <t>ヨコ</t>
    </rPh>
    <rPh sb="23" eb="25">
      <t>ホゴウ</t>
    </rPh>
    <phoneticPr fontId="1"/>
  </si>
  <si>
    <t>【J6, B34/G34B, Ql=55, 横補剛あり】</t>
    <rPh sb="22" eb="23">
      <t>ヨコ</t>
    </rPh>
    <rPh sb="23" eb="25">
      <t>ホゴウ</t>
    </rPh>
    <phoneticPr fontId="1"/>
  </si>
  <si>
    <t>【J7, B17, Ql=10, 横補剛なし】</t>
    <rPh sb="17" eb="18">
      <t>ヨコ</t>
    </rPh>
    <rPh sb="18" eb="20">
      <t>ホゴウ</t>
    </rPh>
    <phoneticPr fontId="1"/>
  </si>
  <si>
    <t>【J1, G58B, Ql=190kN, 横補剛なし】</t>
    <rPh sb="21" eb="22">
      <t>ヨコ</t>
    </rPh>
    <rPh sb="22" eb="24">
      <t>ホゴウ</t>
    </rPh>
    <phoneticPr fontId="1"/>
  </si>
  <si>
    <t>【J1, G58B-2(G58BとWCSとの接合部), Ql=190kN, 横補剛なし】</t>
    <rPh sb="22" eb="25">
      <t>セツゴウブ</t>
    </rPh>
    <rPh sb="38" eb="39">
      <t>ヨコ</t>
    </rPh>
    <rPh sb="39" eb="41">
      <t>ホゴウ</t>
    </rPh>
    <phoneticPr fontId="1"/>
  </si>
  <si>
    <t>G58B　諸元</t>
    <rPh sb="5" eb="7">
      <t>ショゲン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</si>
</sst>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1" xfId="0" applyNumberFormat="1" applyBorder="1"/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/>
    <xf numFmtId="176" fontId="0" fillId="2" borderId="0" xfId="0" applyNumberFormat="1" applyFill="1"/>
    <xf numFmtId="176" fontId="0" fillId="2" borderId="0" xfId="0" applyNumberFormat="1" applyFill="1" applyAlignment="1">
      <alignment horizontal="center"/>
    </xf>
    <xf numFmtId="0" fontId="0" fillId="3" borderId="0" xfId="0" applyFill="1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2F875EE-907A-45A7-A86B-0F8DE1EAF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472163D-16E7-4E0E-937A-1EB7978A5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73" y="7579590"/>
          <a:ext cx="2524989" cy="1692167"/>
        </a:xfrm>
        <a:prstGeom prst="rect">
          <a:avLst/>
        </a:prstGeom>
      </xdr:spPr>
    </xdr:pic>
    <xdr:clientData/>
  </xdr:twoCellAnchor>
  <xdr:twoCellAnchor editAs="oneCell">
    <xdr:from>
      <xdr:col>1</xdr:col>
      <xdr:colOff>623455</xdr:colOff>
      <xdr:row>5</xdr:row>
      <xdr:rowOff>37353</xdr:rowOff>
    </xdr:from>
    <xdr:to>
      <xdr:col>3</xdr:col>
      <xdr:colOff>890272</xdr:colOff>
      <xdr:row>13</xdr:row>
      <xdr:rowOff>138547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C7C55EB-4322-47C0-BFAA-FA793A32A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396" y="963706"/>
          <a:ext cx="1880464" cy="195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A78FB56-2003-41C6-80E2-857285553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6F35FA6-AC05-48CE-A9CF-D0AE771DD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73" y="7808190"/>
          <a:ext cx="2524989" cy="1692168"/>
        </a:xfrm>
        <a:prstGeom prst="rect">
          <a:avLst/>
        </a:prstGeom>
      </xdr:spPr>
    </xdr:pic>
    <xdr:clientData/>
  </xdr:twoCellAnchor>
  <xdr:twoCellAnchor editAs="oneCell">
    <xdr:from>
      <xdr:col>1</xdr:col>
      <xdr:colOff>526144</xdr:colOff>
      <xdr:row>5</xdr:row>
      <xdr:rowOff>36285</xdr:rowOff>
    </xdr:from>
    <xdr:to>
      <xdr:col>3</xdr:col>
      <xdr:colOff>662215</xdr:colOff>
      <xdr:row>12</xdr:row>
      <xdr:rowOff>151542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2896E3F-0B85-4D5D-95ED-8D762945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4" y="1179285"/>
          <a:ext cx="1748971" cy="17154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9887A2-FD6B-49B1-A7C2-3ED1719BC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DC8772-D0EB-4C70-8F34-D9805CAAE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73" y="7808190"/>
          <a:ext cx="2524989" cy="1692168"/>
        </a:xfrm>
        <a:prstGeom prst="rect">
          <a:avLst/>
        </a:prstGeom>
      </xdr:spPr>
    </xdr:pic>
    <xdr:clientData/>
  </xdr:twoCellAnchor>
  <xdr:twoCellAnchor editAs="oneCell">
    <xdr:from>
      <xdr:col>1</xdr:col>
      <xdr:colOff>526144</xdr:colOff>
      <xdr:row>5</xdr:row>
      <xdr:rowOff>36285</xdr:rowOff>
    </xdr:from>
    <xdr:to>
      <xdr:col>3</xdr:col>
      <xdr:colOff>662215</xdr:colOff>
      <xdr:row>12</xdr:row>
      <xdr:rowOff>151542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BFF8E11-640D-44AD-893F-812D52A95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215" y="1170214"/>
          <a:ext cx="1750786" cy="17027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33F9DF-6972-4E4C-AD12-78A6879B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755BD30-DD94-4BC1-93DF-2AE0990A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73" y="7579590"/>
          <a:ext cx="2524989" cy="1692167"/>
        </a:xfrm>
        <a:prstGeom prst="rect">
          <a:avLst/>
        </a:prstGeom>
      </xdr:spPr>
    </xdr:pic>
    <xdr:clientData/>
  </xdr:twoCellAnchor>
  <xdr:twoCellAnchor editAs="oneCell">
    <xdr:from>
      <xdr:col>1</xdr:col>
      <xdr:colOff>369455</xdr:colOff>
      <xdr:row>5</xdr:row>
      <xdr:rowOff>22411</xdr:rowOff>
    </xdr:from>
    <xdr:to>
      <xdr:col>3</xdr:col>
      <xdr:colOff>701582</xdr:colOff>
      <xdr:row>13</xdr:row>
      <xdr:rowOff>161636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EA540AF-3541-47C6-8902-F12F71799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396" y="948764"/>
          <a:ext cx="1945774" cy="19919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FC2689-54D9-4760-81F1-75DBFD32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565B622-3300-4FF9-8CED-50A4B6EB0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73" y="7579590"/>
          <a:ext cx="2524989" cy="1692167"/>
        </a:xfrm>
        <a:prstGeom prst="rect">
          <a:avLst/>
        </a:prstGeom>
      </xdr:spPr>
    </xdr:pic>
    <xdr:clientData/>
  </xdr:twoCellAnchor>
  <xdr:twoCellAnchor editAs="oneCell">
    <xdr:from>
      <xdr:col>1</xdr:col>
      <xdr:colOff>496455</xdr:colOff>
      <xdr:row>5</xdr:row>
      <xdr:rowOff>27214</xdr:rowOff>
    </xdr:from>
    <xdr:to>
      <xdr:col>3</xdr:col>
      <xdr:colOff>1002016</xdr:colOff>
      <xdr:row>13</xdr:row>
      <xdr:rowOff>3319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5035953-81CC-489A-80CE-0E291D80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526" y="934357"/>
          <a:ext cx="2120276" cy="1790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80B98B-0838-40B1-BCF4-B081C571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02A294-FA77-4541-A163-90666119E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73" y="7579590"/>
          <a:ext cx="2524989" cy="1692167"/>
        </a:xfrm>
        <a:prstGeom prst="rect">
          <a:avLst/>
        </a:prstGeom>
      </xdr:spPr>
    </xdr:pic>
    <xdr:clientData/>
  </xdr:twoCellAnchor>
  <xdr:twoCellAnchor editAs="oneCell">
    <xdr:from>
      <xdr:col>1</xdr:col>
      <xdr:colOff>461819</xdr:colOff>
      <xdr:row>5</xdr:row>
      <xdr:rowOff>33613</xdr:rowOff>
    </xdr:from>
    <xdr:to>
      <xdr:col>4</xdr:col>
      <xdr:colOff>173182</xdr:colOff>
      <xdr:row>12</xdr:row>
      <xdr:rowOff>192051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A99D16A-BA33-49D2-A448-E25E80087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64" y="957249"/>
          <a:ext cx="2574636" cy="17748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80FEA0-7FFD-4E9D-BEA6-A4B108BA4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288638</xdr:colOff>
      <xdr:row>5</xdr:row>
      <xdr:rowOff>140963</xdr:rowOff>
    </xdr:from>
    <xdr:to>
      <xdr:col>4</xdr:col>
      <xdr:colOff>34637</xdr:colOff>
      <xdr:row>12</xdr:row>
      <xdr:rowOff>95508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35BE37C-0702-425B-85EF-4790CD3A3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183" y="1064599"/>
          <a:ext cx="2609272" cy="1570909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B31259E-206E-4BA9-97AB-D7B3BB2AE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818" y="7654635"/>
          <a:ext cx="2528453" cy="17083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AA496C9-778B-46FB-B0FA-24094111A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77DDA62-53C1-4AA7-8135-D2A57864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73" y="7579590"/>
          <a:ext cx="2524989" cy="169216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381001</xdr:colOff>
      <xdr:row>5</xdr:row>
      <xdr:rowOff>103909</xdr:rowOff>
    </xdr:from>
    <xdr:to>
      <xdr:col>3</xdr:col>
      <xdr:colOff>1093989</xdr:colOff>
      <xdr:row>12</xdr:row>
      <xdr:rowOff>218189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31B80C8-37E8-44E4-A306-0985CCA58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546" y="1027545"/>
          <a:ext cx="2329352" cy="17306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3</xdr:col>
      <xdr:colOff>979528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2133BDD-5316-4E07-AFDE-49458305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34</xdr:row>
      <xdr:rowOff>23090</xdr:rowOff>
    </xdr:from>
    <xdr:to>
      <xdr:col>3</xdr:col>
      <xdr:colOff>981362</xdr:colOff>
      <xdr:row>41</xdr:row>
      <xdr:rowOff>115058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50B0C52-ABB2-409C-AC7B-17952045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73" y="7579590"/>
          <a:ext cx="2524989" cy="1692167"/>
        </a:xfrm>
        <a:prstGeom prst="rect">
          <a:avLst/>
        </a:prstGeom>
      </xdr:spPr>
    </xdr:pic>
    <xdr:clientData/>
  </xdr:twoCellAnchor>
  <xdr:twoCellAnchor editAs="oneCell">
    <xdr:from>
      <xdr:col>1</xdr:col>
      <xdr:colOff>207819</xdr:colOff>
      <xdr:row>6</xdr:row>
      <xdr:rowOff>103910</xdr:rowOff>
    </xdr:from>
    <xdr:to>
      <xdr:col>4</xdr:col>
      <xdr:colOff>215768</xdr:colOff>
      <xdr:row>11</xdr:row>
      <xdr:rowOff>133515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3452574-BFF2-4189-986A-E313E5C32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364" y="1258455"/>
          <a:ext cx="2871222" cy="118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46E0-72A0-4B4B-8CDC-A044B17A3599}">
  <dimension ref="A2:N51"/>
  <sheetViews>
    <sheetView showGridLines="0" view="pageBreakPreview" topLeftCell="A4" zoomScale="70" zoomScaleNormal="70" zoomScaleSheetLayoutView="70" workbookViewId="0">
      <selection activeCell="O8" sqref="O8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90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4">
      <c r="F6" s="1" t="s">
        <v>3</v>
      </c>
      <c r="G6" s="2" t="s">
        <v>72</v>
      </c>
      <c r="H6" s="7">
        <v>8900</v>
      </c>
      <c r="I6" s="1" t="s">
        <v>4</v>
      </c>
    </row>
    <row r="7" spans="1:14">
      <c r="F7" s="1" t="s">
        <v>1</v>
      </c>
      <c r="G7" s="2" t="s">
        <v>2</v>
      </c>
      <c r="H7" s="7">
        <v>190</v>
      </c>
      <c r="I7" s="1" t="s">
        <v>5</v>
      </c>
    </row>
    <row r="8" spans="1:14">
      <c r="F8" s="6" t="s">
        <v>66</v>
      </c>
      <c r="G8" s="2" t="s">
        <v>52</v>
      </c>
      <c r="H8" s="7">
        <v>98900</v>
      </c>
      <c r="I8" s="1" t="s">
        <v>63</v>
      </c>
    </row>
    <row r="9" spans="1:14">
      <c r="G9" s="2" t="s">
        <v>55</v>
      </c>
      <c r="H9" s="7">
        <v>16920</v>
      </c>
      <c r="I9" s="1" t="s">
        <v>13</v>
      </c>
      <c r="M9">
        <v>235</v>
      </c>
    </row>
    <row r="10" spans="1:14">
      <c r="L10" t="s">
        <v>64</v>
      </c>
      <c r="M10">
        <v>558</v>
      </c>
    </row>
    <row r="11" spans="1:14">
      <c r="L11" t="s">
        <v>67</v>
      </c>
      <c r="M11">
        <f>H7*0.06</f>
        <v>11.4</v>
      </c>
      <c r="N11" t="s">
        <v>48</v>
      </c>
    </row>
    <row r="12" spans="1:14">
      <c r="F12" s="1" t="s">
        <v>6</v>
      </c>
      <c r="G12" s="2" t="s">
        <v>18</v>
      </c>
      <c r="H12" s="8">
        <v>12</v>
      </c>
      <c r="I12" s="5" t="s">
        <v>19</v>
      </c>
      <c r="J12" s="8">
        <v>440</v>
      </c>
      <c r="K12" s="1" t="s">
        <v>11</v>
      </c>
      <c r="L12" s="5" t="s">
        <v>68</v>
      </c>
      <c r="M12">
        <f>M11/M10*1000</f>
        <v>20.43010752688172</v>
      </c>
      <c r="N12" s="5" t="s">
        <v>48</v>
      </c>
    </row>
    <row r="13" spans="1:14">
      <c r="F13" s="1" t="s">
        <v>81</v>
      </c>
      <c r="G13" s="2" t="s">
        <v>8</v>
      </c>
      <c r="H13" s="7">
        <v>44</v>
      </c>
      <c r="I13" s="1" t="s">
        <v>5</v>
      </c>
      <c r="J13" s="7">
        <v>7</v>
      </c>
      <c r="K13" s="1" t="s">
        <v>69</v>
      </c>
      <c r="L13" s="1" t="s">
        <v>70</v>
      </c>
      <c r="M13">
        <f>H7/J13</f>
        <v>27.142857142857142</v>
      </c>
      <c r="N13" s="1" t="s">
        <v>48</v>
      </c>
    </row>
    <row r="14" spans="1:14">
      <c r="G14" s="2" t="s">
        <v>9</v>
      </c>
      <c r="H14" s="7">
        <v>66</v>
      </c>
      <c r="I14" s="1" t="s">
        <v>5</v>
      </c>
      <c r="J14" s="1" t="s">
        <v>11</v>
      </c>
      <c r="L14" t="s">
        <v>71</v>
      </c>
      <c r="M14">
        <f>SQRT((M12)*(M12)+M13*M13)</f>
        <v>33.972400377917076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v>3264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295.23383365280705</v>
      </c>
      <c r="G17" s="3" t="s">
        <v>5</v>
      </c>
      <c r="H17" s="3"/>
      <c r="I17" s="3" t="s">
        <v>15</v>
      </c>
      <c r="J17" s="3">
        <f>H7/F17</f>
        <v>0.64355767646684658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27.142857142857142</v>
      </c>
      <c r="G18" s="1" t="s">
        <v>5</v>
      </c>
    </row>
    <row r="19" spans="2:11">
      <c r="C19" s="3"/>
      <c r="D19" s="3"/>
      <c r="E19" s="3" t="s">
        <v>24</v>
      </c>
      <c r="F19" s="3">
        <f>F18</f>
        <v>27.142857142857142</v>
      </c>
      <c r="G19" s="3" t="s">
        <v>5</v>
      </c>
      <c r="H19" s="3"/>
      <c r="I19" s="3" t="s">
        <v>25</v>
      </c>
      <c r="J19" s="3">
        <f>F19/H13</f>
        <v>0.61688311688311692</v>
      </c>
      <c r="K19" s="4" t="s">
        <v>16</v>
      </c>
    </row>
    <row r="21" spans="2:11">
      <c r="B21" s="1" t="s">
        <v>26</v>
      </c>
    </row>
    <row r="22" spans="2:11">
      <c r="E22" s="1" t="s">
        <v>65</v>
      </c>
      <c r="H22" s="1" t="s">
        <v>11</v>
      </c>
    </row>
    <row r="23" spans="2:11">
      <c r="E23" s="1" t="s">
        <v>28</v>
      </c>
      <c r="F23" s="1" t="s">
        <v>29</v>
      </c>
      <c r="G23" s="7">
        <v>9929</v>
      </c>
      <c r="H23" s="1" t="s">
        <v>13</v>
      </c>
    </row>
    <row r="24" spans="2:11">
      <c r="F24" s="1" t="s">
        <v>30</v>
      </c>
      <c r="G24" s="7">
        <f>496-298/2</f>
        <v>347</v>
      </c>
      <c r="H24" s="1" t="s">
        <v>4</v>
      </c>
    </row>
    <row r="25" spans="2:11">
      <c r="F25" s="1" t="s">
        <v>31</v>
      </c>
      <c r="G25" s="1">
        <f>0.02*G23*235/2000</f>
        <v>23.33315</v>
      </c>
      <c r="H25" s="1" t="s">
        <v>5</v>
      </c>
    </row>
    <row r="26" spans="2:11">
      <c r="F26" s="1" t="s">
        <v>73</v>
      </c>
      <c r="G26" s="1">
        <f>G25*G24/1000</f>
        <v>8.0966030500000006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23.33315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190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8.0966030500000006</v>
      </c>
      <c r="H32" s="1" t="s">
        <v>48</v>
      </c>
    </row>
    <row r="33" spans="3:11">
      <c r="E33" s="1" t="s">
        <v>77</v>
      </c>
      <c r="G33" s="7">
        <v>1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3.333307142857143</v>
      </c>
      <c r="H36" s="1" t="s">
        <v>5</v>
      </c>
    </row>
    <row r="37" spans="3:11">
      <c r="F37" s="1" t="s">
        <v>36</v>
      </c>
      <c r="G37" s="1">
        <f>G32/M10*1000/G33</f>
        <v>14.510041308243729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27.142857142857142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32.482607312605843</v>
      </c>
      <c r="H39" s="3" t="s">
        <v>5</v>
      </c>
      <c r="I39" s="3" t="s">
        <v>40</v>
      </c>
      <c r="J39" s="3">
        <f>G39/H14</f>
        <v>0.49216071685766427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3264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442.8507504792106</v>
      </c>
      <c r="G43" s="3" t="s">
        <v>5</v>
      </c>
      <c r="H43" s="3"/>
      <c r="I43" s="3" t="s">
        <v>49</v>
      </c>
      <c r="J43" s="3">
        <f>G31/F43</f>
        <v>0.42903845097789767</v>
      </c>
      <c r="K43" s="4" t="s">
        <v>16</v>
      </c>
    </row>
    <row r="44" spans="3:11">
      <c r="E44" s="1" t="s">
        <v>17</v>
      </c>
      <c r="F44" s="7">
        <v>666</v>
      </c>
      <c r="G44" s="1" t="s">
        <v>63</v>
      </c>
    </row>
    <row r="45" spans="3:11">
      <c r="E45" s="3" t="s">
        <v>20</v>
      </c>
      <c r="F45" s="3">
        <f>F44/(J12/20)</f>
        <v>30.272727272727273</v>
      </c>
      <c r="G45" s="3" t="s">
        <v>75</v>
      </c>
      <c r="H45" s="3"/>
      <c r="I45" s="3" t="s">
        <v>21</v>
      </c>
      <c r="J45" s="3">
        <f>G32*1000000/F45/1000/(235)</f>
        <v>1.138107897897898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0.12333097831914475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5.9869986449864507E-2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127.36368517174476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1.9444291666666667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8498-526B-4774-B6FD-8A1DE0FDBB13}">
  <dimension ref="A2:N51"/>
  <sheetViews>
    <sheetView showGridLines="0" tabSelected="1" view="pageBreakPreview" zoomScale="70" zoomScaleNormal="70" zoomScaleSheetLayoutView="70" workbookViewId="0">
      <selection activeCell="F16" sqref="F16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91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11"/>
      <c r="B5" s="11"/>
      <c r="C5" s="11"/>
      <c r="D5" s="11"/>
      <c r="E5" s="11"/>
      <c r="F5" s="11" t="s">
        <v>92</v>
      </c>
      <c r="G5" s="11"/>
      <c r="H5" s="11"/>
      <c r="I5" s="11"/>
      <c r="J5" s="11"/>
      <c r="K5" s="11"/>
    </row>
    <row r="6" spans="1:14">
      <c r="F6" s="1" t="s">
        <v>3</v>
      </c>
      <c r="G6" s="2" t="s">
        <v>72</v>
      </c>
      <c r="H6" s="7">
        <v>8900</v>
      </c>
      <c r="I6" s="1" t="s">
        <v>4</v>
      </c>
    </row>
    <row r="7" spans="1:14">
      <c r="F7" s="1" t="s">
        <v>1</v>
      </c>
      <c r="G7" s="2" t="s">
        <v>2</v>
      </c>
      <c r="H7" s="7">
        <v>190</v>
      </c>
      <c r="I7" s="1" t="s">
        <v>5</v>
      </c>
    </row>
    <row r="8" spans="1:14">
      <c r="F8" s="6" t="s">
        <v>66</v>
      </c>
      <c r="G8" s="2" t="s">
        <v>52</v>
      </c>
      <c r="H8" s="7">
        <v>98900</v>
      </c>
      <c r="I8" s="1" t="s">
        <v>63</v>
      </c>
    </row>
    <row r="9" spans="1:14">
      <c r="G9" s="2" t="s">
        <v>55</v>
      </c>
      <c r="H9" s="7">
        <v>16920</v>
      </c>
      <c r="I9" s="1" t="s">
        <v>13</v>
      </c>
      <c r="M9">
        <v>235</v>
      </c>
    </row>
    <row r="10" spans="1:14">
      <c r="L10" t="s">
        <v>64</v>
      </c>
      <c r="M10">
        <v>558</v>
      </c>
    </row>
    <row r="11" spans="1:14">
      <c r="L11" t="s">
        <v>67</v>
      </c>
      <c r="M11">
        <f>H7*0.06</f>
        <v>11.4</v>
      </c>
      <c r="N11" t="s">
        <v>48</v>
      </c>
    </row>
    <row r="12" spans="1:14">
      <c r="F12" s="1" t="s">
        <v>6</v>
      </c>
      <c r="G12" s="2" t="s">
        <v>18</v>
      </c>
      <c r="H12" s="8">
        <v>16</v>
      </c>
      <c r="I12" s="11" t="s">
        <v>19</v>
      </c>
      <c r="J12" s="8">
        <v>320</v>
      </c>
      <c r="K12" s="1" t="s">
        <v>11</v>
      </c>
      <c r="L12" s="11" t="s">
        <v>68</v>
      </c>
      <c r="M12">
        <f>M11/M10*1000</f>
        <v>20.43010752688172</v>
      </c>
      <c r="N12" s="11" t="s">
        <v>48</v>
      </c>
    </row>
    <row r="13" spans="1:14">
      <c r="F13" s="1" t="s">
        <v>81</v>
      </c>
      <c r="G13" s="2" t="s">
        <v>8</v>
      </c>
      <c r="H13" s="7">
        <v>44</v>
      </c>
      <c r="I13" s="1" t="s">
        <v>5</v>
      </c>
      <c r="J13" s="7">
        <v>10</v>
      </c>
      <c r="K13" s="1" t="s">
        <v>69</v>
      </c>
      <c r="L13" s="1" t="s">
        <v>70</v>
      </c>
      <c r="M13">
        <f>H7/J13</f>
        <v>19</v>
      </c>
      <c r="N13" s="1" t="s">
        <v>48</v>
      </c>
    </row>
    <row r="14" spans="1:14">
      <c r="G14" s="2" t="s">
        <v>9</v>
      </c>
      <c r="H14" s="7">
        <v>66</v>
      </c>
      <c r="I14" s="1" t="s">
        <v>5</v>
      </c>
      <c r="J14" s="1" t="s">
        <v>11</v>
      </c>
      <c r="L14" t="s">
        <v>71</v>
      </c>
      <c r="M14">
        <f>SQRT((M12)*(M12)+M13*M13)</f>
        <v>27.899628914377143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f>(320-24*5)*16</f>
        <v>3200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289.4449349537324</v>
      </c>
      <c r="G17" s="3" t="s">
        <v>5</v>
      </c>
      <c r="H17" s="3"/>
      <c r="I17" s="3" t="s">
        <v>15</v>
      </c>
      <c r="J17" s="3">
        <f>H7/F17</f>
        <v>0.65642882999618346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19</v>
      </c>
      <c r="G18" s="1" t="s">
        <v>5</v>
      </c>
    </row>
    <row r="19" spans="2:11">
      <c r="C19" s="3"/>
      <c r="D19" s="3"/>
      <c r="E19" s="3" t="s">
        <v>24</v>
      </c>
      <c r="F19" s="3">
        <f>F18</f>
        <v>19</v>
      </c>
      <c r="G19" s="3" t="s">
        <v>5</v>
      </c>
      <c r="H19" s="3"/>
      <c r="I19" s="3" t="s">
        <v>25</v>
      </c>
      <c r="J19" s="3">
        <f>F19/H13</f>
        <v>0.43181818181818182</v>
      </c>
      <c r="K19" s="4" t="s">
        <v>16</v>
      </c>
    </row>
    <row r="21" spans="2:11">
      <c r="B21" s="1" t="s">
        <v>26</v>
      </c>
    </row>
    <row r="22" spans="2:11">
      <c r="E22" s="1" t="s">
        <v>65</v>
      </c>
      <c r="H22" s="1" t="s">
        <v>11</v>
      </c>
    </row>
    <row r="23" spans="2:11">
      <c r="E23" s="1" t="s">
        <v>28</v>
      </c>
      <c r="F23" s="1" t="s">
        <v>29</v>
      </c>
      <c r="G23" s="7">
        <v>9929</v>
      </c>
      <c r="H23" s="1" t="s">
        <v>13</v>
      </c>
    </row>
    <row r="24" spans="2:11">
      <c r="F24" s="1" t="s">
        <v>30</v>
      </c>
      <c r="G24" s="7">
        <f>496-298/2</f>
        <v>347</v>
      </c>
      <c r="H24" s="1" t="s">
        <v>4</v>
      </c>
    </row>
    <row r="25" spans="2:11">
      <c r="F25" s="1" t="s">
        <v>31</v>
      </c>
      <c r="G25" s="1">
        <f>0.02*G23*235/2000</f>
        <v>23.33315</v>
      </c>
      <c r="H25" s="1" t="s">
        <v>5</v>
      </c>
    </row>
    <row r="26" spans="2:11">
      <c r="F26" s="1" t="s">
        <v>73</v>
      </c>
      <c r="G26" s="1">
        <f>G25*G24/1000</f>
        <v>8.0966030500000006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23.33315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190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8.0966030500000006</v>
      </c>
      <c r="H32" s="1" t="s">
        <v>48</v>
      </c>
    </row>
    <row r="33" spans="3:11">
      <c r="E33" s="1" t="s">
        <v>77</v>
      </c>
      <c r="G33" s="7">
        <v>1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2.3333149999999998</v>
      </c>
      <c r="H36" s="1" t="s">
        <v>5</v>
      </c>
    </row>
    <row r="37" spans="3:11">
      <c r="F37" s="1" t="s">
        <v>36</v>
      </c>
      <c r="G37" s="1">
        <f>G32/M10*1000/G33</f>
        <v>14.510041308243729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19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25.390916716937454</v>
      </c>
      <c r="H39" s="3" t="s">
        <v>5</v>
      </c>
      <c r="I39" s="3" t="s">
        <v>40</v>
      </c>
      <c r="J39" s="3">
        <f>G39/H14</f>
        <v>0.38471085934753718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3200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434.16740243059854</v>
      </c>
      <c r="G43" s="3" t="s">
        <v>5</v>
      </c>
      <c r="H43" s="3"/>
      <c r="I43" s="3" t="s">
        <v>49</v>
      </c>
      <c r="J43" s="3">
        <f>G31/F43</f>
        <v>0.43761921999745573</v>
      </c>
      <c r="K43" s="4" t="s">
        <v>16</v>
      </c>
    </row>
    <row r="44" spans="3:11">
      <c r="E44" s="1" t="s">
        <v>17</v>
      </c>
      <c r="F44" s="7">
        <v>666</v>
      </c>
      <c r="G44" s="1" t="s">
        <v>63</v>
      </c>
    </row>
    <row r="45" spans="3:11">
      <c r="E45" s="3" t="s">
        <v>20</v>
      </c>
      <c r="F45" s="3">
        <f>F44/(J12/20)</f>
        <v>41.625</v>
      </c>
      <c r="G45" s="3" t="s">
        <v>75</v>
      </c>
      <c r="H45" s="3"/>
      <c r="I45" s="3" t="s">
        <v>21</v>
      </c>
      <c r="J45" s="3">
        <f>G32*1000000/F45/1000/(235)</f>
        <v>0.82771483483483488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0.12333097831914475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5.9869986449864507E-2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127.36368517174476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1.9444291666666667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A70F-E601-450A-A2AE-E667D31DCDBA}">
  <dimension ref="A2:N51"/>
  <sheetViews>
    <sheetView showGridLines="0" view="pageBreakPreview" zoomScale="70" zoomScaleNormal="70" zoomScaleSheetLayoutView="70" workbookViewId="0">
      <selection activeCell="F17" sqref="F17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91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10"/>
      <c r="B5" s="10"/>
      <c r="C5" s="10"/>
      <c r="D5" s="10"/>
      <c r="E5" s="10"/>
      <c r="F5" s="10" t="s">
        <v>92</v>
      </c>
      <c r="G5" s="10"/>
      <c r="H5" s="10"/>
      <c r="I5" s="10"/>
      <c r="J5" s="10"/>
      <c r="K5" s="10"/>
    </row>
    <row r="6" spans="1:14">
      <c r="F6" s="1" t="s">
        <v>3</v>
      </c>
      <c r="G6" s="2" t="s">
        <v>72</v>
      </c>
      <c r="H6" s="7">
        <v>8900</v>
      </c>
      <c r="I6" s="1" t="s">
        <v>4</v>
      </c>
    </row>
    <row r="7" spans="1:14">
      <c r="F7" s="1" t="s">
        <v>1</v>
      </c>
      <c r="G7" s="2" t="s">
        <v>2</v>
      </c>
      <c r="H7" s="7">
        <v>190</v>
      </c>
      <c r="I7" s="1" t="s">
        <v>5</v>
      </c>
    </row>
    <row r="8" spans="1:14">
      <c r="F8" s="6" t="s">
        <v>66</v>
      </c>
      <c r="G8" s="2" t="s">
        <v>52</v>
      </c>
      <c r="H8" s="7">
        <v>98900</v>
      </c>
      <c r="I8" s="1" t="s">
        <v>63</v>
      </c>
    </row>
    <row r="9" spans="1:14">
      <c r="G9" s="2" t="s">
        <v>55</v>
      </c>
      <c r="H9" s="7">
        <v>16920</v>
      </c>
      <c r="I9" s="1" t="s">
        <v>13</v>
      </c>
      <c r="M9">
        <v>235</v>
      </c>
    </row>
    <row r="10" spans="1:14">
      <c r="L10" t="s">
        <v>64</v>
      </c>
      <c r="M10">
        <v>558</v>
      </c>
    </row>
    <row r="11" spans="1:14">
      <c r="L11" t="s">
        <v>67</v>
      </c>
      <c r="M11">
        <f>H7*0.06</f>
        <v>11.4</v>
      </c>
      <c r="N11" t="s">
        <v>48</v>
      </c>
    </row>
    <row r="12" spans="1:14">
      <c r="F12" s="1" t="s">
        <v>6</v>
      </c>
      <c r="G12" s="2" t="s">
        <v>18</v>
      </c>
      <c r="H12" s="8">
        <v>16</v>
      </c>
      <c r="I12" s="10" t="s">
        <v>19</v>
      </c>
      <c r="J12" s="8">
        <v>320</v>
      </c>
      <c r="K12" s="1" t="s">
        <v>11</v>
      </c>
      <c r="L12" s="10" t="s">
        <v>68</v>
      </c>
      <c r="M12">
        <f>M11/M10*1000</f>
        <v>20.43010752688172</v>
      </c>
      <c r="N12" s="10" t="s">
        <v>48</v>
      </c>
    </row>
    <row r="13" spans="1:14">
      <c r="F13" s="1" t="s">
        <v>81</v>
      </c>
      <c r="G13" s="2" t="s">
        <v>8</v>
      </c>
      <c r="H13" s="7">
        <v>44</v>
      </c>
      <c r="I13" s="1" t="s">
        <v>5</v>
      </c>
      <c r="J13" s="7">
        <v>8</v>
      </c>
      <c r="K13" s="1" t="s">
        <v>69</v>
      </c>
      <c r="L13" s="1" t="s">
        <v>70</v>
      </c>
      <c r="M13">
        <f>H7/J13</f>
        <v>23.75</v>
      </c>
      <c r="N13" s="1" t="s">
        <v>48</v>
      </c>
    </row>
    <row r="14" spans="1:14">
      <c r="G14" s="2" t="s">
        <v>9</v>
      </c>
      <c r="H14" s="7">
        <v>66</v>
      </c>
      <c r="I14" s="1" t="s">
        <v>5</v>
      </c>
      <c r="J14" s="1" t="s">
        <v>11</v>
      </c>
      <c r="L14" t="s">
        <v>71</v>
      </c>
      <c r="M14">
        <f>SQRT((M12)*(M12)+M13*M13)</f>
        <v>31.328131025644495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f>(320-24*4)*16</f>
        <v>3584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324.1783271481803</v>
      </c>
      <c r="G17" s="3" t="s">
        <v>5</v>
      </c>
      <c r="H17" s="3"/>
      <c r="I17" s="3" t="s">
        <v>15</v>
      </c>
      <c r="J17" s="3">
        <f>H7/F17</f>
        <v>0.58609716963944958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23.75</v>
      </c>
      <c r="G18" s="1" t="s">
        <v>5</v>
      </c>
    </row>
    <row r="19" spans="2:11">
      <c r="C19" s="3"/>
      <c r="D19" s="3"/>
      <c r="E19" s="3" t="s">
        <v>24</v>
      </c>
      <c r="F19" s="3">
        <f>F18</f>
        <v>23.75</v>
      </c>
      <c r="G19" s="3" t="s">
        <v>5</v>
      </c>
      <c r="H19" s="3"/>
      <c r="I19" s="3" t="s">
        <v>25</v>
      </c>
      <c r="J19" s="3">
        <f>F19/H13</f>
        <v>0.53977272727272729</v>
      </c>
      <c r="K19" s="4" t="s">
        <v>16</v>
      </c>
    </row>
    <row r="21" spans="2:11">
      <c r="B21" s="1" t="s">
        <v>26</v>
      </c>
    </row>
    <row r="22" spans="2:11">
      <c r="E22" s="1" t="s">
        <v>65</v>
      </c>
      <c r="H22" s="1" t="s">
        <v>11</v>
      </c>
    </row>
    <row r="23" spans="2:11">
      <c r="E23" s="1" t="s">
        <v>28</v>
      </c>
      <c r="F23" s="1" t="s">
        <v>29</v>
      </c>
      <c r="G23" s="7">
        <v>9929</v>
      </c>
      <c r="H23" s="1" t="s">
        <v>13</v>
      </c>
    </row>
    <row r="24" spans="2:11">
      <c r="F24" s="1" t="s">
        <v>30</v>
      </c>
      <c r="G24" s="7">
        <f>496-298/2</f>
        <v>347</v>
      </c>
      <c r="H24" s="1" t="s">
        <v>4</v>
      </c>
    </row>
    <row r="25" spans="2:11">
      <c r="F25" s="1" t="s">
        <v>31</v>
      </c>
      <c r="G25" s="1">
        <f>0.02*G23*235/2000</f>
        <v>23.33315</v>
      </c>
      <c r="H25" s="1" t="s">
        <v>5</v>
      </c>
    </row>
    <row r="26" spans="2:11">
      <c r="F26" s="1" t="s">
        <v>73</v>
      </c>
      <c r="G26" s="1">
        <f>G25*G24/1000</f>
        <v>8.0966030500000006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23.33315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190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8.0966030500000006</v>
      </c>
      <c r="H32" s="1" t="s">
        <v>48</v>
      </c>
    </row>
    <row r="33" spans="3:11">
      <c r="E33" s="1" t="s">
        <v>77</v>
      </c>
      <c r="G33" s="7">
        <v>1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2.91664375</v>
      </c>
      <c r="H36" s="1" t="s">
        <v>5</v>
      </c>
    </row>
    <row r="37" spans="3:11">
      <c r="F37" s="1" t="s">
        <v>36</v>
      </c>
      <c r="G37" s="1">
        <f>G32/M10*1000/G33</f>
        <v>14.510041308243729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23.75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29.457628080332864</v>
      </c>
      <c r="H39" s="3" t="s">
        <v>5</v>
      </c>
      <c r="I39" s="3" t="s">
        <v>40</v>
      </c>
      <c r="J39" s="3">
        <f>G39/H14</f>
        <v>0.44632769818686158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3584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486.2674907222704</v>
      </c>
      <c r="G43" s="3" t="s">
        <v>5</v>
      </c>
      <c r="H43" s="3"/>
      <c r="I43" s="3" t="s">
        <v>49</v>
      </c>
      <c r="J43" s="3">
        <f>G31/F43</f>
        <v>0.39073144642629976</v>
      </c>
      <c r="K43" s="4" t="s">
        <v>16</v>
      </c>
    </row>
    <row r="44" spans="3:11">
      <c r="E44" s="1" t="s">
        <v>17</v>
      </c>
      <c r="F44" s="7">
        <v>666</v>
      </c>
      <c r="G44" s="1" t="s">
        <v>63</v>
      </c>
    </row>
    <row r="45" spans="3:11">
      <c r="E45" s="3" t="s">
        <v>20</v>
      </c>
      <c r="F45" s="3">
        <f>F44/(J12/20)</f>
        <v>41.625</v>
      </c>
      <c r="G45" s="3" t="s">
        <v>75</v>
      </c>
      <c r="H45" s="3"/>
      <c r="I45" s="3" t="s">
        <v>21</v>
      </c>
      <c r="J45" s="3">
        <f>G32*1000000/F45/1000/(235)</f>
        <v>0.82771483483483488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0.12333097831914475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5.9869986449864507E-2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127.36368517174476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1.9444291666666667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7F71-D535-42C7-A4EF-29DEBF75CCDE}">
  <dimension ref="A2:N51"/>
  <sheetViews>
    <sheetView showGridLines="0" view="pageBreakPreview" zoomScale="55" zoomScaleNormal="70" zoomScaleSheetLayoutView="55" workbookViewId="0">
      <selection activeCell="F14" sqref="F14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84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4">
      <c r="F6" s="1" t="s">
        <v>3</v>
      </c>
      <c r="G6" s="2" t="s">
        <v>72</v>
      </c>
      <c r="H6" s="7">
        <v>7300</v>
      </c>
      <c r="I6" s="1" t="s">
        <v>4</v>
      </c>
    </row>
    <row r="7" spans="1:14">
      <c r="F7" s="1" t="s">
        <v>1</v>
      </c>
      <c r="G7" s="2" t="s">
        <v>2</v>
      </c>
      <c r="H7" s="7">
        <v>120</v>
      </c>
      <c r="I7" s="1" t="s">
        <v>5</v>
      </c>
    </row>
    <row r="8" spans="1:14">
      <c r="F8" s="6" t="s">
        <v>66</v>
      </c>
      <c r="G8" s="2" t="s">
        <v>52</v>
      </c>
      <c r="H8" s="7">
        <v>66600</v>
      </c>
      <c r="I8" s="1" t="s">
        <v>63</v>
      </c>
    </row>
    <row r="9" spans="1:14">
      <c r="G9" s="2" t="s">
        <v>55</v>
      </c>
      <c r="H9" s="7">
        <v>11780</v>
      </c>
      <c r="I9" s="1" t="s">
        <v>13</v>
      </c>
      <c r="M9">
        <v>235</v>
      </c>
    </row>
    <row r="10" spans="1:14">
      <c r="L10" t="s">
        <v>64</v>
      </c>
      <c r="M10">
        <v>558</v>
      </c>
    </row>
    <row r="11" spans="1:14">
      <c r="L11" t="s">
        <v>67</v>
      </c>
      <c r="M11">
        <f>H7*0.06</f>
        <v>7.1999999999999993</v>
      </c>
      <c r="N11" t="s">
        <v>48</v>
      </c>
    </row>
    <row r="12" spans="1:14">
      <c r="F12" s="1" t="s">
        <v>6</v>
      </c>
      <c r="G12" s="2" t="s">
        <v>18</v>
      </c>
      <c r="H12" s="8">
        <v>12</v>
      </c>
      <c r="I12" s="5" t="s">
        <v>19</v>
      </c>
      <c r="J12" s="8">
        <v>455</v>
      </c>
      <c r="K12" s="1" t="s">
        <v>11</v>
      </c>
      <c r="L12" s="5" t="s">
        <v>68</v>
      </c>
      <c r="M12">
        <f>M11/M10*1000</f>
        <v>12.90322580645161</v>
      </c>
      <c r="N12" s="5" t="s">
        <v>48</v>
      </c>
    </row>
    <row r="13" spans="1:14">
      <c r="F13" s="1" t="s">
        <v>7</v>
      </c>
      <c r="G13" s="2" t="s">
        <v>8</v>
      </c>
      <c r="H13" s="7">
        <v>35</v>
      </c>
      <c r="I13" s="1" t="s">
        <v>5</v>
      </c>
      <c r="J13" s="7">
        <v>6</v>
      </c>
      <c r="K13" s="1" t="s">
        <v>69</v>
      </c>
      <c r="L13" s="1" t="s">
        <v>70</v>
      </c>
      <c r="M13">
        <f>H7/J13</f>
        <v>20</v>
      </c>
      <c r="N13" s="1" t="s">
        <v>48</v>
      </c>
    </row>
    <row r="14" spans="1:14">
      <c r="G14" s="2" t="s">
        <v>9</v>
      </c>
      <c r="H14" s="7">
        <v>53</v>
      </c>
      <c r="I14" s="1" t="s">
        <v>5</v>
      </c>
      <c r="J14" s="1" t="s">
        <v>11</v>
      </c>
      <c r="L14" t="s">
        <v>71</v>
      </c>
      <c r="M14">
        <f>SQRT((M12)*(M12)+M13*M13)</f>
        <v>23.80111838154415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v>3876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350.59017746270837</v>
      </c>
      <c r="G17" s="3" t="s">
        <v>5</v>
      </c>
      <c r="H17" s="3"/>
      <c r="I17" s="3" t="s">
        <v>15</v>
      </c>
      <c r="J17" s="3">
        <f>H7/F17</f>
        <v>0.34227998305161922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20</v>
      </c>
      <c r="G18" s="1" t="s">
        <v>5</v>
      </c>
    </row>
    <row r="19" spans="2:11">
      <c r="C19" s="3"/>
      <c r="D19" s="3"/>
      <c r="E19" s="3" t="s">
        <v>24</v>
      </c>
      <c r="F19" s="3">
        <f>F18</f>
        <v>20</v>
      </c>
      <c r="G19" s="3" t="s">
        <v>5</v>
      </c>
      <c r="H19" s="3"/>
      <c r="I19" s="3" t="s">
        <v>25</v>
      </c>
      <c r="J19" s="3">
        <f>F19/H13</f>
        <v>0.5714285714285714</v>
      </c>
      <c r="K19" s="4" t="s">
        <v>16</v>
      </c>
    </row>
    <row r="21" spans="2:11">
      <c r="B21" s="1" t="s">
        <v>26</v>
      </c>
    </row>
    <row r="22" spans="2:11">
      <c r="E22" s="1" t="s">
        <v>65</v>
      </c>
      <c r="H22" s="1" t="s">
        <v>11</v>
      </c>
    </row>
    <row r="23" spans="2:11">
      <c r="E23" s="1" t="s">
        <v>28</v>
      </c>
      <c r="F23" s="1" t="s">
        <v>29</v>
      </c>
      <c r="G23" s="7">
        <v>9929</v>
      </c>
      <c r="H23" s="1" t="s">
        <v>13</v>
      </c>
    </row>
    <row r="24" spans="2:11">
      <c r="F24" s="1" t="s">
        <v>30</v>
      </c>
      <c r="G24" s="7">
        <f>496-298/2</f>
        <v>347</v>
      </c>
      <c r="H24" s="1" t="s">
        <v>4</v>
      </c>
    </row>
    <row r="25" spans="2:11">
      <c r="F25" s="1" t="s">
        <v>31</v>
      </c>
      <c r="G25" s="1">
        <f>0.02*G23*235/2000</f>
        <v>23.33315</v>
      </c>
      <c r="H25" s="1" t="s">
        <v>5</v>
      </c>
    </row>
    <row r="26" spans="2:11">
      <c r="F26" s="1" t="s">
        <v>73</v>
      </c>
      <c r="G26" s="1">
        <f>G25*G24/1000</f>
        <v>8.0966030500000006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23.33315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120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8.0966030500000006</v>
      </c>
      <c r="H32" s="1" t="s">
        <v>48</v>
      </c>
    </row>
    <row r="33" spans="3:11">
      <c r="E33" s="1" t="s">
        <v>77</v>
      </c>
      <c r="G33" s="7">
        <v>1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3.8888583333333333</v>
      </c>
      <c r="H36" s="1" t="s">
        <v>5</v>
      </c>
    </row>
    <row r="37" spans="3:11">
      <c r="F37" s="1" t="s">
        <v>36</v>
      </c>
      <c r="G37" s="1">
        <f>G32/M10*1000/G33</f>
        <v>14.510041308243729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20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27.175715409549468</v>
      </c>
      <c r="H39" s="3" t="s">
        <v>5</v>
      </c>
      <c r="I39" s="3" t="s">
        <v>40</v>
      </c>
      <c r="J39" s="3">
        <f>G39/H14</f>
        <v>0.51274934734999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3876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525.88526619406252</v>
      </c>
      <c r="G43" s="3" t="s">
        <v>5</v>
      </c>
      <c r="H43" s="3"/>
      <c r="I43" s="3" t="s">
        <v>49</v>
      </c>
      <c r="J43" s="3">
        <f>G31/F43</f>
        <v>0.22818665536774616</v>
      </c>
      <c r="K43" s="4" t="s">
        <v>16</v>
      </c>
    </row>
    <row r="44" spans="3:11">
      <c r="E44" s="1" t="s">
        <v>17</v>
      </c>
      <c r="F44" s="7">
        <v>666</v>
      </c>
      <c r="G44" s="1" t="s">
        <v>63</v>
      </c>
    </row>
    <row r="45" spans="3:11">
      <c r="E45" s="3" t="s">
        <v>20</v>
      </c>
      <c r="F45" s="3">
        <f>F44/(J12/20)</f>
        <v>29.274725274725274</v>
      </c>
      <c r="G45" s="3" t="s">
        <v>75</v>
      </c>
      <c r="H45" s="3"/>
      <c r="I45" s="3" t="s">
        <v>21</v>
      </c>
      <c r="J45" s="3">
        <f>G32*1000000/F45/1000/(235)</f>
        <v>1.1769070307807807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0.15021976991104521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7.0533767443786491E-2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105.69774002078657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1.9444291666666667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79FF-7A1D-478C-B655-D42B96E10FEF}">
  <dimension ref="A2:N51"/>
  <sheetViews>
    <sheetView showGridLines="0" view="pageBreakPreview" zoomScale="55" zoomScaleNormal="70" zoomScaleSheetLayoutView="55" workbookViewId="0">
      <selection activeCell="K52" sqref="B4:K52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85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4">
      <c r="F6" s="1" t="s">
        <v>3</v>
      </c>
      <c r="G6" s="2" t="s">
        <v>72</v>
      </c>
      <c r="H6" s="7">
        <v>11500</v>
      </c>
      <c r="I6" s="1" t="s">
        <v>4</v>
      </c>
    </row>
    <row r="7" spans="1:14">
      <c r="F7" s="1" t="s">
        <v>1</v>
      </c>
      <c r="G7" s="2" t="s">
        <v>2</v>
      </c>
      <c r="H7" s="7">
        <v>80</v>
      </c>
      <c r="I7" s="1" t="s">
        <v>5</v>
      </c>
    </row>
    <row r="8" spans="1:14">
      <c r="F8" s="6" t="s">
        <v>66</v>
      </c>
      <c r="G8" s="2" t="s">
        <v>52</v>
      </c>
      <c r="H8" s="7">
        <v>40800</v>
      </c>
      <c r="I8" s="1" t="s">
        <v>63</v>
      </c>
    </row>
    <row r="9" spans="1:14">
      <c r="G9" s="2" t="s">
        <v>55</v>
      </c>
      <c r="H9" s="7">
        <v>9929</v>
      </c>
      <c r="I9" s="1" t="s">
        <v>13</v>
      </c>
      <c r="M9">
        <v>235</v>
      </c>
    </row>
    <row r="10" spans="1:14">
      <c r="L10" t="s">
        <v>64</v>
      </c>
      <c r="M10">
        <v>300</v>
      </c>
    </row>
    <row r="11" spans="1:14">
      <c r="L11" t="s">
        <v>67</v>
      </c>
      <c r="M11">
        <f>H7*0.2</f>
        <v>16</v>
      </c>
      <c r="N11" t="s">
        <v>48</v>
      </c>
    </row>
    <row r="12" spans="1:14">
      <c r="F12" s="1" t="s">
        <v>6</v>
      </c>
      <c r="G12" s="2" t="s">
        <v>18</v>
      </c>
      <c r="H12" s="8">
        <v>9</v>
      </c>
      <c r="I12" s="5" t="s">
        <v>19</v>
      </c>
      <c r="J12" s="8">
        <v>230</v>
      </c>
      <c r="K12" s="1" t="s">
        <v>11</v>
      </c>
      <c r="L12" s="5" t="s">
        <v>68</v>
      </c>
      <c r="M12">
        <f>M11/M10*1000</f>
        <v>53.333333333333336</v>
      </c>
      <c r="N12" s="5" t="s">
        <v>48</v>
      </c>
    </row>
    <row r="13" spans="1:14">
      <c r="F13" s="1" t="s">
        <v>7</v>
      </c>
      <c r="G13" s="2" t="s">
        <v>8</v>
      </c>
      <c r="H13" s="7">
        <v>35</v>
      </c>
      <c r="I13" s="1" t="s">
        <v>5</v>
      </c>
      <c r="J13" s="7">
        <v>5</v>
      </c>
      <c r="K13" s="1" t="s">
        <v>69</v>
      </c>
      <c r="L13" s="1" t="s">
        <v>70</v>
      </c>
      <c r="M13">
        <f>H7/J13</f>
        <v>16</v>
      </c>
      <c r="N13" s="1" t="s">
        <v>48</v>
      </c>
    </row>
    <row r="14" spans="1:14">
      <c r="G14" s="2" t="s">
        <v>9</v>
      </c>
      <c r="H14" s="7">
        <v>53</v>
      </c>
      <c r="I14" s="1" t="s">
        <v>5</v>
      </c>
      <c r="J14" s="1" t="s">
        <v>11</v>
      </c>
      <c r="L14" t="s">
        <v>71</v>
      </c>
      <c r="M14">
        <f>SQRT((M12)*(M12)+M11*M11)</f>
        <v>55.681634714189606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v>1422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128.62209297006484</v>
      </c>
      <c r="G17" s="3" t="s">
        <v>5</v>
      </c>
      <c r="H17" s="3"/>
      <c r="I17" s="3" t="s">
        <v>15</v>
      </c>
      <c r="J17" s="3">
        <f>H7/F17</f>
        <v>0.62197712813318151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16</v>
      </c>
      <c r="G18" s="1" t="s">
        <v>5</v>
      </c>
    </row>
    <row r="19" spans="2:11">
      <c r="C19" s="3"/>
      <c r="D19" s="3"/>
      <c r="E19" s="3" t="s">
        <v>24</v>
      </c>
      <c r="F19" s="3">
        <f>F18</f>
        <v>16</v>
      </c>
      <c r="G19" s="3" t="s">
        <v>5</v>
      </c>
      <c r="H19" s="3"/>
      <c r="I19" s="3" t="s">
        <v>25</v>
      </c>
      <c r="J19" s="3">
        <f>F19/H13</f>
        <v>0.45714285714285713</v>
      </c>
      <c r="K19" s="4" t="s">
        <v>16</v>
      </c>
    </row>
    <row r="21" spans="2:11">
      <c r="B21" s="1" t="s">
        <v>26</v>
      </c>
    </row>
    <row r="22" spans="2:11">
      <c r="E22" s="1" t="s">
        <v>65</v>
      </c>
      <c r="H22" s="1" t="s">
        <v>11</v>
      </c>
    </row>
    <row r="23" spans="2:11">
      <c r="E23" s="1" t="s">
        <v>28</v>
      </c>
      <c r="F23" s="1" t="s">
        <v>29</v>
      </c>
      <c r="G23" s="7">
        <v>9929</v>
      </c>
      <c r="H23" s="1" t="s">
        <v>13</v>
      </c>
    </row>
    <row r="24" spans="2:11">
      <c r="F24" s="1" t="s">
        <v>30</v>
      </c>
      <c r="G24" s="7">
        <f>496-496/2</f>
        <v>248</v>
      </c>
      <c r="H24" s="1" t="s">
        <v>4</v>
      </c>
    </row>
    <row r="25" spans="2:11">
      <c r="F25" s="1" t="s">
        <v>31</v>
      </c>
      <c r="G25" s="1">
        <f>0.02*G23*235/2000</f>
        <v>23.33315</v>
      </c>
      <c r="H25" s="1" t="s">
        <v>5</v>
      </c>
    </row>
    <row r="26" spans="2:11">
      <c r="F26" s="1" t="s">
        <v>73</v>
      </c>
      <c r="G26" s="1">
        <f>G25*G24/1000</f>
        <v>5.7866211999999999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23.33315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80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5.7866211999999999</v>
      </c>
      <c r="H32" s="1" t="s">
        <v>48</v>
      </c>
    </row>
    <row r="33" spans="3:11">
      <c r="E33" s="1" t="s">
        <v>77</v>
      </c>
      <c r="G33" s="7">
        <v>1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4.6666299999999996</v>
      </c>
      <c r="H36" s="1" t="s">
        <v>5</v>
      </c>
    </row>
    <row r="37" spans="3:11">
      <c r="F37" s="1" t="s">
        <v>36</v>
      </c>
      <c r="G37" s="1">
        <f>G32/M10*1000/G33</f>
        <v>19.288737333333334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16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28.807284219011933</v>
      </c>
      <c r="H39" s="3" t="s">
        <v>5</v>
      </c>
      <c r="I39" s="3" t="s">
        <v>40</v>
      </c>
      <c r="J39" s="3">
        <f>G39/H14</f>
        <v>0.54353366450965912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1422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192.93313945509723</v>
      </c>
      <c r="G43" s="3" t="s">
        <v>5</v>
      </c>
      <c r="H43" s="3"/>
      <c r="I43" s="3" t="s">
        <v>49</v>
      </c>
      <c r="J43" s="3">
        <f>G31/F43</f>
        <v>0.41465141875545436</v>
      </c>
      <c r="K43" s="4" t="s">
        <v>16</v>
      </c>
    </row>
    <row r="44" spans="3:11">
      <c r="E44" s="1" t="s">
        <v>17</v>
      </c>
      <c r="F44" s="7">
        <v>4531</v>
      </c>
      <c r="G44" s="1" t="s">
        <v>63</v>
      </c>
    </row>
    <row r="45" spans="3:11">
      <c r="E45" s="3" t="s">
        <v>20</v>
      </c>
      <c r="F45" s="3">
        <f>F44/(J12/20)</f>
        <v>394</v>
      </c>
      <c r="G45" s="3" t="s">
        <v>75</v>
      </c>
      <c r="H45" s="3"/>
      <c r="I45" s="3" t="s">
        <v>21</v>
      </c>
      <c r="J45" s="3">
        <f>G32*1000000/F45/1000/(235)</f>
        <v>6.2497258883248738E-2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0.19731520399808702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0.13182926829268293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70.890298833234638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1.9444291666666667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E902-0EF2-44F5-ACCD-90D5B1E5858B}">
  <dimension ref="A2:N51"/>
  <sheetViews>
    <sheetView showGridLines="0" view="pageBreakPreview" zoomScale="55" zoomScaleNormal="70" zoomScaleSheetLayoutView="55" workbookViewId="0">
      <selection activeCell="K20" sqref="B4:K20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86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4">
      <c r="F6" s="1" t="s">
        <v>3</v>
      </c>
      <c r="G6" s="2" t="s">
        <v>72</v>
      </c>
      <c r="H6" s="7">
        <v>8100</v>
      </c>
      <c r="I6" s="1" t="s">
        <v>4</v>
      </c>
    </row>
    <row r="7" spans="1:14">
      <c r="F7" s="1" t="s">
        <v>1</v>
      </c>
      <c r="G7" s="2" t="s">
        <v>2</v>
      </c>
      <c r="H7" s="7">
        <v>50</v>
      </c>
      <c r="I7" s="1" t="s">
        <v>5</v>
      </c>
    </row>
    <row r="8" spans="1:14">
      <c r="F8" s="6" t="s">
        <v>66</v>
      </c>
      <c r="G8" s="2" t="s">
        <v>52</v>
      </c>
      <c r="H8" s="7">
        <v>19800</v>
      </c>
      <c r="I8" s="1" t="s">
        <v>63</v>
      </c>
    </row>
    <row r="9" spans="1:14">
      <c r="G9" s="2" t="s">
        <v>55</v>
      </c>
      <c r="H9" s="7">
        <v>7141</v>
      </c>
      <c r="I9" s="1" t="s">
        <v>13</v>
      </c>
      <c r="M9">
        <v>235</v>
      </c>
    </row>
    <row r="10" spans="1:14">
      <c r="L10" t="s">
        <v>64</v>
      </c>
      <c r="M10">
        <v>558</v>
      </c>
    </row>
    <row r="11" spans="1:14">
      <c r="L11" t="s">
        <v>67</v>
      </c>
      <c r="M11">
        <f>H7*0.06</f>
        <v>3</v>
      </c>
      <c r="N11" t="s">
        <v>48</v>
      </c>
    </row>
    <row r="12" spans="1:14">
      <c r="F12" s="1" t="s">
        <v>6</v>
      </c>
      <c r="G12" s="2" t="s">
        <v>18</v>
      </c>
      <c r="H12" s="8">
        <v>12</v>
      </c>
      <c r="I12" s="5" t="s">
        <v>19</v>
      </c>
      <c r="J12" s="8">
        <v>305</v>
      </c>
      <c r="K12" s="1" t="s">
        <v>11</v>
      </c>
      <c r="L12" s="5" t="s">
        <v>68</v>
      </c>
      <c r="M12">
        <f>M11/M10*1000</f>
        <v>5.3763440860215059</v>
      </c>
      <c r="N12" s="5" t="s">
        <v>48</v>
      </c>
    </row>
    <row r="13" spans="1:14">
      <c r="F13" s="1" t="s">
        <v>7</v>
      </c>
      <c r="G13" s="2" t="s">
        <v>8</v>
      </c>
      <c r="H13" s="7">
        <v>35</v>
      </c>
      <c r="I13" s="1" t="s">
        <v>5</v>
      </c>
      <c r="J13" s="7">
        <v>4</v>
      </c>
      <c r="K13" s="1" t="s">
        <v>69</v>
      </c>
      <c r="L13" s="1" t="s">
        <v>70</v>
      </c>
      <c r="M13">
        <f>H7/J13</f>
        <v>12.5</v>
      </c>
      <c r="N13" s="1" t="s">
        <v>48</v>
      </c>
    </row>
    <row r="14" spans="1:14">
      <c r="G14" s="2" t="s">
        <v>9</v>
      </c>
      <c r="H14" s="7">
        <v>53</v>
      </c>
      <c r="I14" s="1" t="s">
        <v>5</v>
      </c>
      <c r="J14" s="1" t="s">
        <v>11</v>
      </c>
      <c r="L14" t="s">
        <v>71</v>
      </c>
      <c r="M14">
        <f>SQRT((M12)*(M12)+M13*M13)</f>
        <v>13.607170011846637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v>2604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235.53581581859976</v>
      </c>
      <c r="G17" s="3" t="s">
        <v>5</v>
      </c>
      <c r="H17" s="3"/>
      <c r="I17" s="3" t="s">
        <v>15</v>
      </c>
      <c r="J17" s="3">
        <f>H7/F17</f>
        <v>0.2122819403334735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12.5</v>
      </c>
      <c r="G18" s="1" t="s">
        <v>5</v>
      </c>
    </row>
    <row r="19" spans="2:11">
      <c r="C19" s="3"/>
      <c r="D19" s="3"/>
      <c r="E19" s="3" t="s">
        <v>24</v>
      </c>
      <c r="F19" s="3">
        <f>F18</f>
        <v>12.5</v>
      </c>
      <c r="G19" s="3" t="s">
        <v>5</v>
      </c>
      <c r="H19" s="3"/>
      <c r="I19" s="3" t="s">
        <v>25</v>
      </c>
      <c r="J19" s="3">
        <f>F19/H13</f>
        <v>0.35714285714285715</v>
      </c>
      <c r="K19" s="4" t="s">
        <v>16</v>
      </c>
    </row>
    <row r="21" spans="2:11">
      <c r="B21" s="1" t="s">
        <v>26</v>
      </c>
    </row>
    <row r="22" spans="2:11">
      <c r="E22" s="1" t="s">
        <v>65</v>
      </c>
      <c r="H22" s="1" t="s">
        <v>11</v>
      </c>
    </row>
    <row r="23" spans="2:11">
      <c r="E23" s="1" t="s">
        <v>28</v>
      </c>
      <c r="F23" s="1" t="s">
        <v>29</v>
      </c>
      <c r="G23" s="7">
        <v>9929</v>
      </c>
      <c r="H23" s="1" t="s">
        <v>13</v>
      </c>
    </row>
    <row r="24" spans="2:11">
      <c r="F24" s="1" t="s">
        <v>30</v>
      </c>
      <c r="G24" s="7">
        <f>496-298/2</f>
        <v>347</v>
      </c>
      <c r="H24" s="1" t="s">
        <v>4</v>
      </c>
    </row>
    <row r="25" spans="2:11">
      <c r="F25" s="1" t="s">
        <v>31</v>
      </c>
      <c r="G25" s="1">
        <f>0.02*G23*235/2000</f>
        <v>23.33315</v>
      </c>
      <c r="H25" s="1" t="s">
        <v>5</v>
      </c>
    </row>
    <row r="26" spans="2:11">
      <c r="F26" s="1" t="s">
        <v>73</v>
      </c>
      <c r="G26" s="1">
        <f>G25*G24/1000</f>
        <v>8.0966030500000006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23.33315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50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8.0966030500000006</v>
      </c>
      <c r="H32" s="1" t="s">
        <v>48</v>
      </c>
    </row>
    <row r="33" spans="3:11">
      <c r="E33" s="1" t="s">
        <v>77</v>
      </c>
      <c r="G33" s="7">
        <v>1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5.8332875</v>
      </c>
      <c r="H36" s="1" t="s">
        <v>5</v>
      </c>
    </row>
    <row r="37" spans="3:11">
      <c r="F37" s="1" t="s">
        <v>36</v>
      </c>
      <c r="G37" s="1">
        <f>G32/M10*1000/G33</f>
        <v>14.510041308243729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12.5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23.876788456580989</v>
      </c>
      <c r="H39" s="3" t="s">
        <v>5</v>
      </c>
      <c r="I39" s="3" t="s">
        <v>40</v>
      </c>
      <c r="J39" s="3">
        <f>G39/H14</f>
        <v>0.45050544257699981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2604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353.30372372789958</v>
      </c>
      <c r="G43" s="3" t="s">
        <v>5</v>
      </c>
      <c r="H43" s="3"/>
      <c r="I43" s="3" t="s">
        <v>49</v>
      </c>
      <c r="J43" s="3">
        <f>G31/F43</f>
        <v>0.14152129355564902</v>
      </c>
      <c r="K43" s="4" t="s">
        <v>16</v>
      </c>
    </row>
    <row r="44" spans="3:11">
      <c r="E44" s="1" t="s">
        <v>17</v>
      </c>
      <c r="F44" s="7">
        <v>666</v>
      </c>
      <c r="G44" s="1" t="s">
        <v>63</v>
      </c>
    </row>
    <row r="45" spans="3:11">
      <c r="E45" s="3" t="s">
        <v>20</v>
      </c>
      <c r="F45" s="3">
        <f>F44/(J12/20)</f>
        <v>43.672131147540981</v>
      </c>
      <c r="G45" s="3" t="s">
        <v>75</v>
      </c>
      <c r="H45" s="3"/>
      <c r="I45" s="3" t="s">
        <v>21</v>
      </c>
      <c r="J45" s="3">
        <f>G32*1000000/F45/1000/(235)</f>
        <v>0.78891570195195204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0.56065834423835925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0.129105724073625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33.82772613409935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1.9444291666666667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6582-93F9-496E-AB40-E95650A52D4C}">
  <dimension ref="A2:N51"/>
  <sheetViews>
    <sheetView showGridLines="0" view="pageBreakPreview" topLeftCell="A34" zoomScale="55" zoomScaleNormal="70" zoomScaleSheetLayoutView="55" workbookViewId="0">
      <selection activeCell="K53" sqref="B4:K53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87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4">
      <c r="F6" s="1" t="s">
        <v>3</v>
      </c>
      <c r="G6" s="2" t="s">
        <v>72</v>
      </c>
      <c r="H6" s="7">
        <v>6500</v>
      </c>
      <c r="I6" s="1" t="s">
        <v>4</v>
      </c>
    </row>
    <row r="7" spans="1:14">
      <c r="F7" s="1" t="s">
        <v>1</v>
      </c>
      <c r="G7" s="2" t="s">
        <v>2</v>
      </c>
      <c r="H7" s="7">
        <v>50</v>
      </c>
      <c r="I7" s="1" t="s">
        <v>5</v>
      </c>
    </row>
    <row r="8" spans="1:14">
      <c r="F8" s="6" t="s">
        <v>66</v>
      </c>
      <c r="G8" s="2" t="s">
        <v>52</v>
      </c>
      <c r="H8" s="7">
        <v>6320</v>
      </c>
      <c r="I8" s="1" t="s">
        <v>63</v>
      </c>
    </row>
    <row r="9" spans="1:14">
      <c r="G9" s="2" t="s">
        <v>55</v>
      </c>
      <c r="H9" s="7">
        <v>4080</v>
      </c>
      <c r="I9" s="1" t="s">
        <v>13</v>
      </c>
      <c r="M9">
        <v>235</v>
      </c>
    </row>
    <row r="10" spans="1:14">
      <c r="L10" t="s">
        <v>64</v>
      </c>
      <c r="M10">
        <v>150</v>
      </c>
    </row>
    <row r="11" spans="1:14">
      <c r="L11" t="s">
        <v>67</v>
      </c>
      <c r="M11">
        <f>H7*0.2</f>
        <v>10</v>
      </c>
      <c r="N11" t="s">
        <v>48</v>
      </c>
    </row>
    <row r="12" spans="1:14">
      <c r="F12" s="1" t="s">
        <v>6</v>
      </c>
      <c r="G12" s="2" t="s">
        <v>18</v>
      </c>
      <c r="H12" s="8">
        <v>9</v>
      </c>
      <c r="I12" s="5" t="s">
        <v>19</v>
      </c>
      <c r="J12" s="8">
        <v>230</v>
      </c>
      <c r="K12" s="1" t="s">
        <v>11</v>
      </c>
      <c r="L12" s="5" t="s">
        <v>68</v>
      </c>
      <c r="M12">
        <f>M11/M10*1000</f>
        <v>66.666666666666671</v>
      </c>
      <c r="N12" s="5" t="s">
        <v>48</v>
      </c>
    </row>
    <row r="13" spans="1:14">
      <c r="F13" s="1" t="s">
        <v>81</v>
      </c>
      <c r="G13" s="2" t="s">
        <v>8</v>
      </c>
      <c r="H13" s="7">
        <v>44</v>
      </c>
      <c r="I13" s="1" t="s">
        <v>5</v>
      </c>
      <c r="J13" s="7">
        <v>3</v>
      </c>
      <c r="K13" s="1" t="s">
        <v>69</v>
      </c>
      <c r="L13" s="1" t="s">
        <v>70</v>
      </c>
      <c r="M13">
        <f>H7/J13</f>
        <v>16.666666666666668</v>
      </c>
      <c r="N13" s="1" t="s">
        <v>48</v>
      </c>
    </row>
    <row r="14" spans="1:14">
      <c r="G14" s="2" t="s">
        <v>9</v>
      </c>
      <c r="H14" s="7">
        <v>66</v>
      </c>
      <c r="I14" s="1" t="s">
        <v>5</v>
      </c>
      <c r="J14" s="1" t="s">
        <v>11</v>
      </c>
      <c r="L14" t="s">
        <v>71</v>
      </c>
      <c r="M14">
        <f>SQRT((M12)*(M12)+M11*M11)</f>
        <v>67.41249472052229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v>1422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128.62209297006484</v>
      </c>
      <c r="G17" s="3" t="s">
        <v>5</v>
      </c>
      <c r="H17" s="3"/>
      <c r="I17" s="3" t="s">
        <v>15</v>
      </c>
      <c r="J17" s="3">
        <f>H7/F17</f>
        <v>0.3887357050832384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16.666666666666668</v>
      </c>
      <c r="G18" s="1" t="s">
        <v>5</v>
      </c>
    </row>
    <row r="19" spans="2:11">
      <c r="C19" s="3"/>
      <c r="D19" s="3"/>
      <c r="E19" s="3" t="s">
        <v>24</v>
      </c>
      <c r="F19" s="3">
        <f>F18</f>
        <v>16.666666666666668</v>
      </c>
      <c r="G19" s="3" t="s">
        <v>5</v>
      </c>
      <c r="H19" s="3"/>
      <c r="I19" s="3" t="s">
        <v>25</v>
      </c>
      <c r="J19" s="3">
        <f>F19/H13</f>
        <v>0.37878787878787884</v>
      </c>
      <c r="K19" s="4" t="s">
        <v>16</v>
      </c>
    </row>
    <row r="21" spans="2:11">
      <c r="B21" s="1" t="s">
        <v>26</v>
      </c>
    </row>
    <row r="22" spans="2:11">
      <c r="E22" s="1" t="s">
        <v>65</v>
      </c>
      <c r="H22" s="1" t="s">
        <v>11</v>
      </c>
    </row>
    <row r="23" spans="2:11">
      <c r="E23" s="1" t="s">
        <v>28</v>
      </c>
      <c r="F23" s="1" t="s">
        <v>29</v>
      </c>
      <c r="G23" s="7">
        <v>9929</v>
      </c>
      <c r="H23" s="1" t="s">
        <v>13</v>
      </c>
    </row>
    <row r="24" spans="2:11">
      <c r="F24" s="1" t="s">
        <v>30</v>
      </c>
      <c r="G24" s="7">
        <f>496-298/2</f>
        <v>347</v>
      </c>
      <c r="H24" s="1" t="s">
        <v>4</v>
      </c>
    </row>
    <row r="25" spans="2:11">
      <c r="F25" s="1" t="s">
        <v>31</v>
      </c>
      <c r="G25" s="1">
        <f>0.02*G23*235/2000</f>
        <v>23.33315</v>
      </c>
      <c r="H25" s="1" t="s">
        <v>5</v>
      </c>
    </row>
    <row r="26" spans="2:11">
      <c r="F26" s="1" t="s">
        <v>73</v>
      </c>
      <c r="G26" s="1">
        <f>G25*G24/1000</f>
        <v>8.0966030500000006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23.33315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50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8.0966030500000006</v>
      </c>
      <c r="H32" s="1" t="s">
        <v>48</v>
      </c>
    </row>
    <row r="33" spans="3:11">
      <c r="E33" s="1" t="s">
        <v>77</v>
      </c>
      <c r="G33" s="7">
        <v>1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7.7777166666666666</v>
      </c>
      <c r="H36" s="1" t="s">
        <v>5</v>
      </c>
    </row>
    <row r="37" spans="3:11">
      <c r="F37" s="1" t="s">
        <v>36</v>
      </c>
      <c r="G37" s="1">
        <f>G32/M10*1000/G33</f>
        <v>53.977353666666673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16.666666666666668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63.964572144685881</v>
      </c>
      <c r="H39" s="3" t="s">
        <v>5</v>
      </c>
      <c r="I39" s="3" t="s">
        <v>40</v>
      </c>
      <c r="J39" s="3">
        <f>G39/H14</f>
        <v>0.96916018401039217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1422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192.93313945509723</v>
      </c>
      <c r="G43" s="3" t="s">
        <v>5</v>
      </c>
      <c r="H43" s="3"/>
      <c r="I43" s="3" t="s">
        <v>49</v>
      </c>
      <c r="J43" s="3">
        <f>G31/F43</f>
        <v>0.25915713672215901</v>
      </c>
      <c r="K43" s="4" t="s">
        <v>16</v>
      </c>
    </row>
    <row r="44" spans="3:11">
      <c r="E44" s="1" t="s">
        <v>17</v>
      </c>
      <c r="F44" s="7">
        <v>666</v>
      </c>
      <c r="G44" s="1" t="s">
        <v>63</v>
      </c>
    </row>
    <row r="45" spans="3:11">
      <c r="E45" s="3" t="s">
        <v>20</v>
      </c>
      <c r="F45" s="3">
        <f>F44/(J12/20)</f>
        <v>57.913043478260867</v>
      </c>
      <c r="G45" s="3" t="s">
        <v>75</v>
      </c>
      <c r="H45" s="3"/>
      <c r="I45" s="3" t="s">
        <v>21</v>
      </c>
      <c r="J45" s="3">
        <f>G32*1000000/F45/1000/(235)</f>
        <v>0.59492003753753764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1.4095313506695741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0.18133127092300336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14.666979840560776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1.9444291666666667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6FFF-7DC7-4590-8748-CAD01E1B3D38}">
  <dimension ref="A2:N51"/>
  <sheetViews>
    <sheetView showGridLines="0" view="pageBreakPreview" topLeftCell="A31" zoomScale="55" zoomScaleNormal="70" zoomScaleSheetLayoutView="55" workbookViewId="0">
      <selection activeCell="K52" sqref="B4:K52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88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4">
      <c r="F6" s="1" t="s">
        <v>3</v>
      </c>
      <c r="G6" s="2" t="s">
        <v>72</v>
      </c>
      <c r="H6" s="7">
        <v>7500</v>
      </c>
      <c r="I6" s="1" t="s">
        <v>4</v>
      </c>
    </row>
    <row r="7" spans="1:14">
      <c r="F7" s="1" t="s">
        <v>1</v>
      </c>
      <c r="G7" s="2" t="s">
        <v>2</v>
      </c>
      <c r="H7" s="7">
        <v>55</v>
      </c>
      <c r="I7" s="1" t="s">
        <v>5</v>
      </c>
    </row>
    <row r="8" spans="1:14">
      <c r="F8" s="6" t="s">
        <v>66</v>
      </c>
      <c r="G8" s="2" t="s">
        <v>52</v>
      </c>
      <c r="H8" s="7">
        <v>11000</v>
      </c>
      <c r="I8" s="1" t="s">
        <v>63</v>
      </c>
    </row>
    <row r="9" spans="1:14">
      <c r="G9" s="2" t="s">
        <v>55</v>
      </c>
      <c r="H9" s="7">
        <v>5245</v>
      </c>
      <c r="I9" s="1" t="s">
        <v>13</v>
      </c>
      <c r="M9">
        <v>235</v>
      </c>
    </row>
    <row r="10" spans="1:14">
      <c r="L10" t="s">
        <v>64</v>
      </c>
      <c r="M10" s="9">
        <v>150</v>
      </c>
    </row>
    <row r="11" spans="1:14">
      <c r="L11" t="s">
        <v>67</v>
      </c>
      <c r="M11">
        <f>H7*0.2</f>
        <v>11</v>
      </c>
      <c r="N11" t="s">
        <v>48</v>
      </c>
    </row>
    <row r="12" spans="1:14">
      <c r="F12" s="1" t="s">
        <v>6</v>
      </c>
      <c r="G12" s="2" t="s">
        <v>18</v>
      </c>
      <c r="H12" s="8">
        <v>9</v>
      </c>
      <c r="I12" s="5" t="s">
        <v>19</v>
      </c>
      <c r="J12" s="8">
        <v>230</v>
      </c>
      <c r="K12" s="1" t="s">
        <v>11</v>
      </c>
      <c r="L12" s="5" t="s">
        <v>68</v>
      </c>
      <c r="M12">
        <f>M11/M10*1000</f>
        <v>73.333333333333329</v>
      </c>
      <c r="N12" s="5" t="s">
        <v>48</v>
      </c>
    </row>
    <row r="13" spans="1:14">
      <c r="F13" s="1" t="s">
        <v>7</v>
      </c>
      <c r="G13" s="2" t="s">
        <v>8</v>
      </c>
      <c r="H13" s="7">
        <v>35</v>
      </c>
      <c r="I13" s="1" t="s">
        <v>5</v>
      </c>
      <c r="J13" s="7">
        <v>3</v>
      </c>
      <c r="K13" s="1" t="s">
        <v>69</v>
      </c>
      <c r="L13" s="1" t="s">
        <v>70</v>
      </c>
      <c r="M13">
        <f>H7/J13</f>
        <v>18.333333333333332</v>
      </c>
      <c r="N13" s="1" t="s">
        <v>48</v>
      </c>
    </row>
    <row r="14" spans="1:14">
      <c r="G14" s="2" t="s">
        <v>9</v>
      </c>
      <c r="H14" s="7">
        <v>53</v>
      </c>
      <c r="I14" s="1" t="s">
        <v>5</v>
      </c>
      <c r="J14" s="1" t="s">
        <v>11</v>
      </c>
      <c r="L14" t="s">
        <v>71</v>
      </c>
      <c r="M14">
        <f>SQRT((M12)*(M12)+M11*M11)</f>
        <v>74.153744192574507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v>1476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133.50647624740907</v>
      </c>
      <c r="G17" s="3" t="s">
        <v>5</v>
      </c>
      <c r="H17" s="3"/>
      <c r="I17" s="3" t="s">
        <v>15</v>
      </c>
      <c r="J17" s="3">
        <f>H7/F17</f>
        <v>0.41196503380162708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18.333333333333332</v>
      </c>
      <c r="G18" s="1" t="s">
        <v>5</v>
      </c>
    </row>
    <row r="19" spans="2:11">
      <c r="C19" s="3"/>
      <c r="D19" s="3"/>
      <c r="E19" s="3" t="s">
        <v>24</v>
      </c>
      <c r="F19" s="3">
        <f>F18</f>
        <v>18.333333333333332</v>
      </c>
      <c r="G19" s="3" t="s">
        <v>5</v>
      </c>
      <c r="H19" s="3"/>
      <c r="I19" s="3" t="s">
        <v>25</v>
      </c>
      <c r="J19" s="3">
        <f>F19/H13</f>
        <v>0.52380952380952372</v>
      </c>
      <c r="K19" s="4" t="s">
        <v>16</v>
      </c>
    </row>
    <row r="21" spans="2:11">
      <c r="B21" s="1" t="s">
        <v>26</v>
      </c>
    </row>
    <row r="22" spans="2:11">
      <c r="E22" s="1" t="s">
        <v>82</v>
      </c>
      <c r="H22" s="1" t="s">
        <v>11</v>
      </c>
    </row>
    <row r="23" spans="2:11">
      <c r="E23" s="1" t="s">
        <v>28</v>
      </c>
      <c r="F23" s="1" t="s">
        <v>29</v>
      </c>
      <c r="G23" s="7">
        <v>8297</v>
      </c>
      <c r="H23" s="1" t="s">
        <v>13</v>
      </c>
    </row>
    <row r="24" spans="2:11">
      <c r="F24" s="1" t="s">
        <v>30</v>
      </c>
      <c r="G24" s="7">
        <f>446-346/2</f>
        <v>273</v>
      </c>
      <c r="H24" s="1" t="s">
        <v>4</v>
      </c>
    </row>
    <row r="25" spans="2:11">
      <c r="F25" s="1" t="s">
        <v>31</v>
      </c>
      <c r="G25" s="1">
        <f>0.02*G23*235/2000</f>
        <v>19.497949999999999</v>
      </c>
      <c r="H25" s="1" t="s">
        <v>5</v>
      </c>
    </row>
    <row r="26" spans="2:11">
      <c r="F26" s="1" t="s">
        <v>73</v>
      </c>
      <c r="G26" s="1">
        <f>G25*G24/1000</f>
        <v>5.3229403499999997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19.497949999999999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55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5.3229403499999997</v>
      </c>
      <c r="H32" s="1" t="s">
        <v>48</v>
      </c>
    </row>
    <row r="33" spans="3:11">
      <c r="E33" s="1" t="s">
        <v>77</v>
      </c>
      <c r="G33" s="7">
        <v>2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6.4993166666666662</v>
      </c>
      <c r="H36" s="1" t="s">
        <v>5</v>
      </c>
    </row>
    <row r="37" spans="3:11">
      <c r="F37" s="1" t="s">
        <v>36</v>
      </c>
      <c r="G37" s="1">
        <f>G32/M10*1000/G33</f>
        <v>17.7431345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18.333333333333332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30.394202566925969</v>
      </c>
      <c r="H39" s="3" t="s">
        <v>5</v>
      </c>
      <c r="I39" s="3" t="s">
        <v>40</v>
      </c>
      <c r="J39" s="3">
        <f>G39/H14</f>
        <v>0.57347552013067871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1476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200.2597143711136</v>
      </c>
      <c r="G43" s="3" t="s">
        <v>5</v>
      </c>
      <c r="H43" s="3"/>
      <c r="I43" s="3" t="s">
        <v>49</v>
      </c>
      <c r="J43" s="3">
        <f>G31/F43</f>
        <v>0.2746433558677514</v>
      </c>
      <c r="K43" s="4" t="s">
        <v>16</v>
      </c>
    </row>
    <row r="44" spans="3:11">
      <c r="E44" s="1" t="s">
        <v>17</v>
      </c>
      <c r="F44" s="7">
        <v>687</v>
      </c>
      <c r="G44" s="1" t="s">
        <v>63</v>
      </c>
    </row>
    <row r="45" spans="3:11">
      <c r="E45" s="3" t="s">
        <v>20</v>
      </c>
      <c r="F45" s="3">
        <f>F44/(J12/20)</f>
        <v>59.739130434782609</v>
      </c>
      <c r="G45" s="3" t="s">
        <v>75</v>
      </c>
      <c r="H45" s="3"/>
      <c r="I45" s="3" t="s">
        <v>21</v>
      </c>
      <c r="J45" s="3">
        <f>G32*1000000/F45/1000/(235)</f>
        <v>0.37916203056768555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0.48331354175720614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0.13600374340254368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31.482974021903168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1.6248291666666665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B039-07A9-4F47-B64A-B6A5A6E5C7F0}">
  <dimension ref="A2:N51"/>
  <sheetViews>
    <sheetView showGridLines="0" view="pageBreakPreview" zoomScale="40" zoomScaleNormal="70" zoomScaleSheetLayoutView="40" workbookViewId="0">
      <selection activeCell="K20" sqref="B4:K20"/>
    </sheetView>
  </sheetViews>
  <sheetFormatPr defaultRowHeight="18"/>
  <cols>
    <col min="1" max="1" width="5.1640625" style="1" customWidth="1"/>
    <col min="2" max="3" width="10.58203125" style="1" customWidth="1"/>
    <col min="4" max="4" width="16.4140625" style="1" customWidth="1"/>
    <col min="5" max="5" width="10.58203125" style="1" customWidth="1"/>
    <col min="6" max="6" width="12.25" style="1" customWidth="1"/>
    <col min="7" max="8" width="10.58203125" style="1" customWidth="1"/>
    <col min="9" max="9" width="7.75" style="1" customWidth="1"/>
    <col min="10" max="11" width="10.58203125" style="1" customWidth="1"/>
    <col min="12" max="12" width="13.58203125" customWidth="1"/>
  </cols>
  <sheetData>
    <row r="2" spans="1:14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4">
      <c r="B4" s="12" t="s">
        <v>89</v>
      </c>
      <c r="C4" s="12"/>
      <c r="D4" s="12"/>
      <c r="E4" s="12"/>
      <c r="F4" s="12"/>
      <c r="G4" s="12"/>
      <c r="H4" s="12"/>
      <c r="I4" s="12"/>
      <c r="J4" s="12"/>
      <c r="K4" s="12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4">
      <c r="F6" s="1" t="s">
        <v>3</v>
      </c>
      <c r="G6" s="2" t="s">
        <v>72</v>
      </c>
      <c r="H6" s="7">
        <v>6500</v>
      </c>
      <c r="I6" s="1" t="s">
        <v>4</v>
      </c>
    </row>
    <row r="7" spans="1:14">
      <c r="F7" s="1" t="s">
        <v>1</v>
      </c>
      <c r="G7" s="2" t="s">
        <v>2</v>
      </c>
      <c r="H7" s="7">
        <v>10</v>
      </c>
      <c r="I7" s="1" t="s">
        <v>5</v>
      </c>
    </row>
    <row r="8" spans="1:14">
      <c r="F8" s="6" t="s">
        <v>66</v>
      </c>
      <c r="G8" s="2" t="s">
        <v>52</v>
      </c>
      <c r="H8" s="7">
        <v>1210</v>
      </c>
      <c r="I8" s="1" t="s">
        <v>63</v>
      </c>
    </row>
    <row r="9" spans="1:14">
      <c r="G9" s="2" t="s">
        <v>55</v>
      </c>
      <c r="H9" s="7">
        <v>2290</v>
      </c>
      <c r="I9" s="1" t="s">
        <v>13</v>
      </c>
      <c r="M9">
        <v>235</v>
      </c>
    </row>
    <row r="10" spans="1:14">
      <c r="L10" t="s">
        <v>64</v>
      </c>
      <c r="M10">
        <v>558</v>
      </c>
    </row>
    <row r="11" spans="1:14">
      <c r="L11" t="s">
        <v>67</v>
      </c>
      <c r="M11">
        <f>H7*0.06</f>
        <v>0.6</v>
      </c>
      <c r="N11" t="s">
        <v>48</v>
      </c>
    </row>
    <row r="12" spans="1:14">
      <c r="F12" s="1" t="s">
        <v>6</v>
      </c>
      <c r="G12" s="2" t="s">
        <v>18</v>
      </c>
      <c r="H12" s="8">
        <v>6</v>
      </c>
      <c r="I12" s="5" t="s">
        <v>19</v>
      </c>
      <c r="J12" s="8">
        <v>140</v>
      </c>
      <c r="K12" s="1" t="s">
        <v>11</v>
      </c>
      <c r="L12" s="5" t="s">
        <v>68</v>
      </c>
      <c r="M12">
        <f>M11/M10*1000</f>
        <v>1.075268817204301</v>
      </c>
      <c r="N12" s="5" t="s">
        <v>48</v>
      </c>
    </row>
    <row r="13" spans="1:14">
      <c r="F13" s="1" t="s">
        <v>83</v>
      </c>
      <c r="G13" s="2" t="s">
        <v>8</v>
      </c>
      <c r="H13" s="7">
        <v>22</v>
      </c>
      <c r="I13" s="1" t="s">
        <v>5</v>
      </c>
      <c r="J13" s="7">
        <v>2</v>
      </c>
      <c r="K13" s="1" t="s">
        <v>69</v>
      </c>
      <c r="L13" s="1" t="s">
        <v>70</v>
      </c>
      <c r="M13">
        <f>H7/J13</f>
        <v>5</v>
      </c>
      <c r="N13" s="1" t="s">
        <v>48</v>
      </c>
    </row>
    <row r="14" spans="1:14">
      <c r="G14" s="2" t="s">
        <v>9</v>
      </c>
      <c r="H14" s="7">
        <v>34</v>
      </c>
      <c r="I14" s="1" t="s">
        <v>5</v>
      </c>
      <c r="J14" s="1" t="s">
        <v>11</v>
      </c>
      <c r="L14" t="s">
        <v>71</v>
      </c>
      <c r="M14">
        <f>SQRT((M12)*(M12)+M13*M13)</f>
        <v>5.1143135442845056</v>
      </c>
    </row>
    <row r="15" spans="1:14">
      <c r="B15" s="1" t="s">
        <v>27</v>
      </c>
    </row>
    <row r="16" spans="1:14">
      <c r="C16" s="1" t="s">
        <v>10</v>
      </c>
      <c r="E16" s="1" t="s">
        <v>12</v>
      </c>
      <c r="F16" s="7">
        <v>624</v>
      </c>
      <c r="G16" s="1" t="s">
        <v>13</v>
      </c>
    </row>
    <row r="17" spans="2:11">
      <c r="C17" s="3"/>
      <c r="D17" s="3"/>
      <c r="E17" s="3" t="s">
        <v>14</v>
      </c>
      <c r="F17" s="3">
        <f>2/3*235/SQRT(3)*F16/1000</f>
        <v>56.441762315977819</v>
      </c>
      <c r="G17" s="3" t="s">
        <v>5</v>
      </c>
      <c r="H17" s="3"/>
      <c r="I17" s="3" t="s">
        <v>15</v>
      </c>
      <c r="J17" s="3">
        <f>H7/F17</f>
        <v>0.17717377327832212</v>
      </c>
      <c r="K17" s="4" t="s">
        <v>16</v>
      </c>
    </row>
    <row r="18" spans="2:11">
      <c r="C18" s="1" t="s">
        <v>22</v>
      </c>
      <c r="E18" s="1" t="s">
        <v>23</v>
      </c>
      <c r="F18" s="1">
        <f>H7/J13</f>
        <v>5</v>
      </c>
      <c r="G18" s="1" t="s">
        <v>5</v>
      </c>
    </row>
    <row r="19" spans="2:11">
      <c r="C19" s="3"/>
      <c r="D19" s="3"/>
      <c r="E19" s="3" t="s">
        <v>24</v>
      </c>
      <c r="F19" s="3">
        <f>F18</f>
        <v>5</v>
      </c>
      <c r="G19" s="3" t="s">
        <v>5</v>
      </c>
      <c r="H19" s="3"/>
      <c r="I19" s="3" t="s">
        <v>25</v>
      </c>
      <c r="J19" s="3">
        <f>F19/H13</f>
        <v>0.22727272727272727</v>
      </c>
      <c r="K19" s="4" t="s">
        <v>16</v>
      </c>
    </row>
    <row r="21" spans="2:11">
      <c r="B21" s="1" t="s">
        <v>26</v>
      </c>
    </row>
    <row r="22" spans="2:11">
      <c r="E22" s="1" t="s">
        <v>65</v>
      </c>
      <c r="H22" s="1" t="s">
        <v>11</v>
      </c>
    </row>
    <row r="23" spans="2:11">
      <c r="E23" s="1" t="s">
        <v>28</v>
      </c>
      <c r="F23" s="1" t="s">
        <v>29</v>
      </c>
      <c r="G23" s="7">
        <v>9929</v>
      </c>
      <c r="H23" s="1" t="s">
        <v>13</v>
      </c>
    </row>
    <row r="24" spans="2:11">
      <c r="F24" s="1" t="s">
        <v>30</v>
      </c>
      <c r="G24" s="7">
        <f>496-298/2</f>
        <v>347</v>
      </c>
      <c r="H24" s="1" t="s">
        <v>4</v>
      </c>
    </row>
    <row r="25" spans="2:11">
      <c r="F25" s="1" t="s">
        <v>31</v>
      </c>
      <c r="G25" s="1">
        <f>0.02*G23*235/2000</f>
        <v>23.33315</v>
      </c>
      <c r="H25" s="1" t="s">
        <v>5</v>
      </c>
    </row>
    <row r="26" spans="2:11">
      <c r="F26" s="1" t="s">
        <v>73</v>
      </c>
      <c r="G26" s="1">
        <f>G25*G24/1000</f>
        <v>8.0966030500000006</v>
      </c>
      <c r="H26" s="1" t="s">
        <v>48</v>
      </c>
    </row>
    <row r="27" spans="2:11">
      <c r="E27" s="1" t="s">
        <v>76</v>
      </c>
      <c r="F27" s="1" t="s">
        <v>61</v>
      </c>
      <c r="G27" s="7">
        <v>3000</v>
      </c>
      <c r="H27" s="1" t="s">
        <v>4</v>
      </c>
    </row>
    <row r="29" spans="2:11">
      <c r="E29" s="1" t="s">
        <v>42</v>
      </c>
    </row>
    <row r="30" spans="2:11">
      <c r="E30" s="1" t="s">
        <v>43</v>
      </c>
      <c r="F30" s="1" t="s">
        <v>44</v>
      </c>
      <c r="G30" s="1">
        <f>G25</f>
        <v>23.33315</v>
      </c>
      <c r="H30" s="1" t="s">
        <v>5</v>
      </c>
    </row>
    <row r="31" spans="2:11" ht="19" customHeight="1">
      <c r="C31" s="1" t="s">
        <v>79</v>
      </c>
      <c r="E31" s="1" t="s">
        <v>45</v>
      </c>
      <c r="F31" s="1" t="s">
        <v>46</v>
      </c>
      <c r="G31" s="1">
        <f>H7</f>
        <v>10</v>
      </c>
      <c r="H31" s="1" t="s">
        <v>5</v>
      </c>
    </row>
    <row r="32" spans="2:11">
      <c r="E32" s="1" t="s">
        <v>47</v>
      </c>
      <c r="F32" s="1" t="s">
        <v>74</v>
      </c>
      <c r="G32" s="1">
        <f>G26</f>
        <v>8.0966030500000006</v>
      </c>
      <c r="H32" s="1" t="s">
        <v>48</v>
      </c>
    </row>
    <row r="33" spans="3:11">
      <c r="E33" s="1" t="s">
        <v>77</v>
      </c>
      <c r="G33" s="7">
        <v>1</v>
      </c>
      <c r="H33" s="1" t="s">
        <v>78</v>
      </c>
    </row>
    <row r="35" spans="3:11">
      <c r="E35" s="1" t="s">
        <v>32</v>
      </c>
    </row>
    <row r="36" spans="3:11">
      <c r="E36" s="1" t="s">
        <v>33</v>
      </c>
      <c r="F36" s="1" t="s">
        <v>34</v>
      </c>
      <c r="G36" s="1">
        <f>G25/J13</f>
        <v>11.666575</v>
      </c>
      <c r="H36" s="1" t="s">
        <v>5</v>
      </c>
    </row>
    <row r="37" spans="3:11">
      <c r="F37" s="1" t="s">
        <v>36</v>
      </c>
      <c r="G37" s="1">
        <f>G32/M10*1000/G33</f>
        <v>14.510041308243729</v>
      </c>
      <c r="H37" s="1" t="s">
        <v>5</v>
      </c>
    </row>
    <row r="38" spans="3:11">
      <c r="E38" s="1" t="s">
        <v>35</v>
      </c>
      <c r="F38" s="1" t="s">
        <v>37</v>
      </c>
      <c r="G38" s="1">
        <f>H7/J13</f>
        <v>5</v>
      </c>
      <c r="H38" s="1" t="s">
        <v>5</v>
      </c>
    </row>
    <row r="39" spans="3:11">
      <c r="E39" s="3" t="s">
        <v>38</v>
      </c>
      <c r="F39" s="3" t="s">
        <v>39</v>
      </c>
      <c r="G39" s="3">
        <f>SQRT((G36+G37)*(G36+G37)+G38*G38)</f>
        <v>26.649863814830493</v>
      </c>
      <c r="H39" s="3" t="s">
        <v>5</v>
      </c>
      <c r="I39" s="3" t="s">
        <v>40</v>
      </c>
      <c r="J39" s="3">
        <f>G39/H14</f>
        <v>0.78381952396560273</v>
      </c>
      <c r="K39" s="4" t="s">
        <v>16</v>
      </c>
    </row>
    <row r="41" spans="3:11">
      <c r="E41" s="1" t="s">
        <v>41</v>
      </c>
    </row>
    <row r="42" spans="3:11">
      <c r="E42" s="1" t="s">
        <v>12</v>
      </c>
      <c r="F42" s="1">
        <f>F16</f>
        <v>624</v>
      </c>
      <c r="G42" s="1" t="s">
        <v>13</v>
      </c>
    </row>
    <row r="43" spans="3:11">
      <c r="C43" s="1" t="s">
        <v>80</v>
      </c>
      <c r="E43" s="3" t="s">
        <v>14</v>
      </c>
      <c r="F43" s="3">
        <f>235/SQRT(3)*F42/1000</f>
        <v>84.66264347396671</v>
      </c>
      <c r="G43" s="3" t="s">
        <v>5</v>
      </c>
      <c r="H43" s="3"/>
      <c r="I43" s="3" t="s">
        <v>49</v>
      </c>
      <c r="J43" s="3">
        <f>G31/F43</f>
        <v>0.11811584885221478</v>
      </c>
      <c r="K43" s="4" t="s">
        <v>16</v>
      </c>
    </row>
    <row r="44" spans="3:11">
      <c r="E44" s="1" t="s">
        <v>17</v>
      </c>
      <c r="F44" s="7">
        <v>666</v>
      </c>
      <c r="G44" s="1" t="s">
        <v>63</v>
      </c>
    </row>
    <row r="45" spans="3:11">
      <c r="E45" s="3" t="s">
        <v>20</v>
      </c>
      <c r="F45" s="3">
        <f>F44/(J12/20)</f>
        <v>95.142857142857139</v>
      </c>
      <c r="G45" s="3" t="s">
        <v>75</v>
      </c>
      <c r="H45" s="3"/>
      <c r="I45" s="3" t="s">
        <v>21</v>
      </c>
      <c r="J45" s="3">
        <f>G32*1000000/F45/1000/(235)</f>
        <v>0.36212524024024029</v>
      </c>
      <c r="K45" s="4" t="s">
        <v>16</v>
      </c>
    </row>
    <row r="47" spans="3:11">
      <c r="C47" s="1" t="s">
        <v>50</v>
      </c>
    </row>
    <row r="48" spans="3:11">
      <c r="D48" s="1" t="s">
        <v>51</v>
      </c>
      <c r="E48" s="1" t="s">
        <v>53</v>
      </c>
      <c r="G48" s="1">
        <f>G24*G26*1000000/205000/(H8*10000)*(H6)</f>
        <v>7.362180277877445</v>
      </c>
      <c r="H48" s="1" t="s">
        <v>4</v>
      </c>
    </row>
    <row r="49" spans="4:11">
      <c r="D49" s="1" t="s">
        <v>54</v>
      </c>
      <c r="E49" s="1" t="s">
        <v>56</v>
      </c>
      <c r="G49" s="1">
        <f>G30*1000/205000/H9*H6</f>
        <v>0.32307056129513262</v>
      </c>
      <c r="H49" s="1" t="s">
        <v>4</v>
      </c>
    </row>
    <row r="50" spans="4:11">
      <c r="D50" s="1" t="s">
        <v>57</v>
      </c>
      <c r="E50" s="1" t="s">
        <v>58</v>
      </c>
      <c r="G50" s="1">
        <f>G25/(G48+G49)</f>
        <v>3.036094785750953</v>
      </c>
      <c r="H50" s="1" t="s">
        <v>62</v>
      </c>
    </row>
    <row r="51" spans="4:11">
      <c r="D51" s="3" t="s">
        <v>59</v>
      </c>
      <c r="E51" s="3" t="s">
        <v>60</v>
      </c>
      <c r="F51" s="3"/>
      <c r="G51" s="3">
        <f>5*235*G23/2/G27/1000</f>
        <v>1.9444291666666667</v>
      </c>
      <c r="H51" s="3" t="s">
        <v>62</v>
      </c>
      <c r="I51" s="3"/>
      <c r="J51" s="3"/>
      <c r="K51" s="4" t="s">
        <v>16</v>
      </c>
    </row>
  </sheetData>
  <mergeCells count="2">
    <mergeCell ref="A2:K2"/>
    <mergeCell ref="B4:K4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G58B</vt:lpstr>
      <vt:lpstr>G58B (3)</vt:lpstr>
      <vt:lpstr>G58B (2)</vt:lpstr>
      <vt:lpstr>G59B</vt:lpstr>
      <vt:lpstr>B49G49B</vt:lpstr>
      <vt:lpstr>G39B,B39</vt:lpstr>
      <vt:lpstr>B29</vt:lpstr>
      <vt:lpstr>B34G34B</vt:lpstr>
      <vt:lpstr>B17</vt:lpstr>
      <vt:lpstr>'B17'!Print_Area</vt:lpstr>
      <vt:lpstr>'B29'!Print_Area</vt:lpstr>
      <vt:lpstr>B34G34B!Print_Area</vt:lpstr>
      <vt:lpstr>B49G49B!Print_Area</vt:lpstr>
      <vt:lpstr>'G39B,B39'!Print_Area</vt:lpstr>
      <vt:lpstr>G58B!Print_Area</vt:lpstr>
      <vt:lpstr>'G58B (2)'!Print_Area</vt:lpstr>
      <vt:lpstr>'G58B (3)'!Print_Area</vt:lpstr>
      <vt:lpstr>G59B!Print_Area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2018-12-04T07:52:37Z</dcterms:modified>
</cp:coreProperties>
</file>