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ropbox (SSLUoT)\00_yuken\00_寄居計画\05_計算書\6章\"/>
    </mc:Choice>
  </mc:AlternateContent>
  <xr:revisionPtr revIDLastSave="0" documentId="10_ncr:8100000_{F8D094C8-2876-43C8-912C-53E3D6AD2DA1}" xr6:coauthVersionLast="34" xr6:coauthVersionMax="34" xr10:uidLastSave="{00000000-0000-0000-0000-000000000000}"/>
  <bookViews>
    <workbookView xWindow="9180" yWindow="50" windowWidth="12060" windowHeight="12050" tabRatio="837" activeTab="1" autoFilterDateGrouping="0" xr2:uid="{00000000-000D-0000-FFFF-FFFF00000000}"/>
  </bookViews>
  <sheets>
    <sheet name="転落防止柵" sheetId="4" r:id="rId1"/>
    <sheet name="階段 " sheetId="21" r:id="rId2"/>
    <sheet name="マスター" sheetId="6" r:id="rId3"/>
    <sheet name="Sheet2" sheetId="18" r:id="rId4"/>
    <sheet name="折板" sheetId="7" r:id="rId5"/>
    <sheet name="Joint" sheetId="19" r:id="rId6"/>
    <sheet name="Sheet1" sheetId="20" r:id="rId7"/>
  </sheets>
  <definedNames>
    <definedName name="_xlnm.Print_Area" localSheetId="1">'階段 '!$B$2:$T$100</definedName>
    <definedName name="_xlnm.Print_Area" localSheetId="0">転落防止柵!$A$1:$U$122</definedName>
  </definedNames>
  <calcPr calcId="162913"/>
</workbook>
</file>

<file path=xl/calcChain.xml><?xml version="1.0" encoding="utf-8"?>
<calcChain xmlns="http://schemas.openxmlformats.org/spreadsheetml/2006/main">
  <c r="O84" i="21" l="1"/>
  <c r="G77" i="21"/>
  <c r="M68" i="21"/>
  <c r="J69" i="21" s="1"/>
  <c r="K69" i="21" s="1"/>
  <c r="I91" i="21" l="1"/>
  <c r="L91" i="21" s="1"/>
  <c r="O92" i="21" s="1"/>
  <c r="N15" i="21" l="1"/>
  <c r="L81" i="4" l="1"/>
  <c r="L82" i="4" s="1"/>
  <c r="E139" i="4" l="1"/>
  <c r="P20" i="4"/>
  <c r="K137" i="4" s="1"/>
  <c r="L20" i="4" l="1"/>
  <c r="H20" i="4"/>
  <c r="P67" i="4" l="1"/>
  <c r="E71" i="4"/>
  <c r="P66" i="4" s="1"/>
  <c r="O82" i="4"/>
  <c r="L76" i="4"/>
  <c r="L75" i="4"/>
  <c r="L79" i="4"/>
  <c r="Q77" i="4"/>
  <c r="O77" i="4"/>
  <c r="N75" i="4"/>
  <c r="O78" i="4" l="1"/>
  <c r="M79" i="4" s="1"/>
  <c r="N79" i="4" s="1"/>
  <c r="O83" i="4"/>
  <c r="P79" i="4" l="1"/>
  <c r="L116" i="4" l="1"/>
  <c r="L113" i="4"/>
  <c r="J144" i="21" l="1"/>
  <c r="J145" i="21" s="1"/>
  <c r="P145" i="21" s="1"/>
  <c r="S143" i="21"/>
  <c r="J134" i="21"/>
  <c r="J135" i="21" s="1"/>
  <c r="M135" i="21" s="1"/>
  <c r="E130" i="21"/>
  <c r="K128" i="21"/>
  <c r="J128" i="21"/>
  <c r="I128" i="21"/>
  <c r="I131" i="21" s="1"/>
  <c r="O51" i="21"/>
  <c r="I50" i="21"/>
  <c r="L50" i="21" s="1"/>
  <c r="J46" i="21"/>
  <c r="M46" i="21" s="1"/>
  <c r="J36" i="21"/>
  <c r="M36" i="21" s="1"/>
  <c r="E35" i="21"/>
  <c r="J27" i="21"/>
  <c r="M27" i="21" s="1"/>
  <c r="E26" i="21"/>
  <c r="K21" i="21"/>
  <c r="J21" i="21"/>
  <c r="I21" i="21"/>
  <c r="G16" i="21"/>
  <c r="O16" i="21" s="1"/>
  <c r="Q15" i="21"/>
  <c r="O15" i="21"/>
  <c r="J6" i="21"/>
  <c r="P143" i="21" s="1"/>
  <c r="J5" i="21"/>
  <c r="J4" i="21"/>
  <c r="O66" i="21" l="1"/>
  <c r="O83" i="21"/>
  <c r="J85" i="21" s="1"/>
  <c r="K85" i="21" s="1"/>
  <c r="L53" i="21"/>
  <c r="I53" i="21"/>
  <c r="I39" i="21"/>
  <c r="O134" i="21"/>
  <c r="O91" i="21"/>
  <c r="J93" i="21" s="1"/>
  <c r="K93" i="21" s="1"/>
  <c r="O56" i="21"/>
  <c r="L39" i="21"/>
  <c r="O39" i="21" s="1"/>
  <c r="L42" i="21"/>
  <c r="O35" i="21"/>
  <c r="I32" i="21"/>
  <c r="O26" i="21"/>
  <c r="O45" i="21"/>
  <c r="O50" i="21" s="1"/>
  <c r="N141" i="21"/>
  <c r="R145" i="21"/>
  <c r="I141" i="21"/>
  <c r="L32" i="21"/>
  <c r="L131" i="21"/>
  <c r="I23" i="21"/>
  <c r="I42" i="21"/>
  <c r="L23" i="21"/>
  <c r="O42" i="21" l="1"/>
  <c r="O43" i="21"/>
  <c r="O53" i="21"/>
  <c r="J58" i="21" s="1"/>
  <c r="K58" i="21" s="1"/>
  <c r="O58" i="21"/>
  <c r="R58" i="21" s="1"/>
  <c r="O54" i="21"/>
  <c r="O48" i="21"/>
  <c r="R48" i="21" s="1"/>
  <c r="J48" i="21"/>
  <c r="K48" i="21" s="1"/>
  <c r="J147" i="21"/>
  <c r="K147" i="21" s="1"/>
  <c r="O40" i="21"/>
  <c r="R51" i="21" s="1"/>
  <c r="S51" i="21" s="1"/>
  <c r="O33" i="21"/>
  <c r="O37" i="21"/>
  <c r="R37" i="21" s="1"/>
  <c r="O32" i="21"/>
  <c r="J37" i="21" s="1"/>
  <c r="K37" i="21" s="1"/>
  <c r="O132" i="21"/>
  <c r="J138" i="21"/>
  <c r="M138" i="21" s="1"/>
  <c r="O131" i="21"/>
  <c r="J137" i="21" s="1"/>
  <c r="K137" i="21" s="1"/>
  <c r="O29" i="21"/>
  <c r="R29" i="21" s="1"/>
  <c r="O23" i="21"/>
  <c r="J29" i="21" s="1"/>
  <c r="K29" i="21" s="1"/>
  <c r="O24" i="21"/>
  <c r="R50" i="21" l="1"/>
  <c r="S50" i="21" s="1"/>
  <c r="L99" i="4"/>
  <c r="L119" i="4"/>
  <c r="O119" i="4"/>
  <c r="O114" i="4"/>
  <c r="Q114" i="4"/>
  <c r="P104" i="4"/>
  <c r="P103" i="4" l="1"/>
  <c r="N112" i="4"/>
  <c r="L110" i="4"/>
  <c r="R106" i="4"/>
  <c r="H106" i="4"/>
  <c r="O115" i="4" l="1"/>
  <c r="M116" i="4" s="1"/>
  <c r="O120" i="4"/>
  <c r="P116" i="4" l="1"/>
  <c r="N116" i="4"/>
  <c r="L97" i="4" l="1"/>
  <c r="L100" i="4"/>
  <c r="N96" i="4"/>
  <c r="L94" i="4"/>
  <c r="R90" i="4"/>
  <c r="H90" i="4"/>
  <c r="Q97" i="4" l="1"/>
  <c r="T97" i="4" s="1"/>
  <c r="R97" i="4" l="1"/>
  <c r="H69" i="4" l="1"/>
  <c r="E29" i="20" l="1"/>
  <c r="D27" i="20"/>
  <c r="O47" i="20"/>
  <c r="L47" i="20"/>
  <c r="L48" i="20" s="1"/>
  <c r="L45" i="20"/>
  <c r="T33" i="20"/>
  <c r="K26" i="20"/>
  <c r="K16" i="20"/>
  <c r="J6" i="20"/>
  <c r="J5" i="20"/>
  <c r="E27" i="20" l="1"/>
  <c r="N26" i="20" s="1"/>
  <c r="K36" i="20"/>
  <c r="K38" i="20" s="1"/>
  <c r="Q33" i="20"/>
  <c r="Q47" i="20"/>
  <c r="K199" i="4"/>
  <c r="N27" i="20" l="1"/>
  <c r="Q45" i="20" s="1"/>
  <c r="R45" i="20" s="1"/>
  <c r="K37" i="20"/>
  <c r="T45" i="20" l="1"/>
  <c r="Q48" i="20"/>
  <c r="T48" i="20" s="1"/>
  <c r="R48" i="20"/>
  <c r="L210" i="4"/>
  <c r="L208" i="4"/>
  <c r="L172" i="4"/>
  <c r="L170" i="4"/>
  <c r="L152" i="4"/>
  <c r="L150" i="4"/>
  <c r="T196" i="4" l="1"/>
  <c r="O210" i="4"/>
  <c r="L211" i="4"/>
  <c r="E190" i="4"/>
  <c r="N189" i="4" s="1"/>
  <c r="I144" i="4"/>
  <c r="L153" i="4"/>
  <c r="N149" i="4"/>
  <c r="U142" i="4"/>
  <c r="R142" i="4"/>
  <c r="T144" i="4" s="1"/>
  <c r="N137" i="4"/>
  <c r="N139" i="4" l="1"/>
  <c r="N190" i="4"/>
  <c r="Q208" i="4" s="1"/>
  <c r="R208" i="4" s="1"/>
  <c r="K201" i="4"/>
  <c r="K200" i="4"/>
  <c r="D139" i="4"/>
  <c r="F139" i="4" s="1"/>
  <c r="T208" i="4" l="1"/>
  <c r="L73" i="4" l="1"/>
  <c r="R69" i="4"/>
  <c r="N39" i="18"/>
  <c r="L37" i="18"/>
  <c r="K20" i="18"/>
  <c r="K32" i="18" s="1"/>
  <c r="K34" i="18" s="1"/>
  <c r="L173" i="4"/>
  <c r="N169" i="4"/>
  <c r="I164" i="4"/>
  <c r="U161" i="4"/>
  <c r="R161" i="4"/>
  <c r="T164" i="4" s="1"/>
  <c r="N158" i="4"/>
  <c r="E158" i="4"/>
  <c r="D158" i="4" s="1"/>
  <c r="F158" i="4" s="1"/>
  <c r="N156" i="4"/>
  <c r="K33" i="18" l="1"/>
  <c r="J8" i="4"/>
  <c r="J7" i="4"/>
  <c r="Q81" i="4" s="1"/>
  <c r="M84" i="4" s="1"/>
  <c r="P84" i="4" l="1"/>
  <c r="N84" i="4"/>
  <c r="Q118" i="4"/>
  <c r="M121" i="4" s="1"/>
  <c r="Q99" i="4"/>
  <c r="Q100" i="4" s="1"/>
  <c r="Q152" i="4"/>
  <c r="Q196" i="4"/>
  <c r="Q210" i="4"/>
  <c r="Q211" i="4" s="1"/>
  <c r="K156" i="4"/>
  <c r="Q157" i="4" s="1"/>
  <c r="Q170" i="4" s="1"/>
  <c r="T170" i="4" s="1"/>
  <c r="Q138" i="4"/>
  <c r="Q172" i="4"/>
  <c r="T100" i="4" l="1"/>
  <c r="R100" i="4"/>
  <c r="N121" i="4"/>
  <c r="P121" i="4"/>
  <c r="Q156" i="4"/>
  <c r="Q173" i="4"/>
  <c r="R173" i="4" s="1"/>
  <c r="T211" i="4"/>
  <c r="R211" i="4"/>
  <c r="R170" i="4"/>
  <c r="Q150" i="4"/>
  <c r="Q137" i="4"/>
  <c r="Q153" i="4"/>
  <c r="T173" i="4" l="1"/>
  <c r="T153" i="4"/>
  <c r="R153" i="4"/>
  <c r="T150" i="4"/>
  <c r="R150" i="4"/>
  <c r="K33" i="19" l="1"/>
  <c r="H33" i="19"/>
  <c r="N33" i="19" s="1"/>
  <c r="H32" i="19"/>
  <c r="K32" i="19" s="1"/>
  <c r="J31" i="19"/>
  <c r="L31" i="19" s="1"/>
  <c r="J28" i="19"/>
  <c r="L22" i="19"/>
  <c r="H22" i="19"/>
  <c r="K23" i="19" s="1"/>
  <c r="J6" i="19"/>
  <c r="M10" i="19" s="1"/>
  <c r="L17" i="19" s="1"/>
  <c r="J35" i="19" l="1"/>
  <c r="L20" i="19"/>
  <c r="P28" i="19" s="1"/>
  <c r="Q28" i="19" s="1"/>
  <c r="L19" i="19"/>
  <c r="J36" i="19"/>
  <c r="N36" i="19" s="1"/>
  <c r="O36" i="19" s="1"/>
  <c r="O31" i="19"/>
  <c r="P33" i="19" s="1"/>
  <c r="N35" i="19" s="1"/>
  <c r="O35" i="19" s="1"/>
  <c r="J25" i="19"/>
  <c r="H23" i="19"/>
  <c r="J26" i="19" s="1"/>
  <c r="P26" i="19" s="1"/>
  <c r="Q26" i="19" s="1"/>
  <c r="F94" i="6"/>
  <c r="E94" i="6"/>
  <c r="F93" i="6"/>
  <c r="E93" i="6"/>
  <c r="F92" i="6"/>
  <c r="E92" i="6"/>
  <c r="F90" i="6"/>
  <c r="E90" i="6"/>
  <c r="F89" i="6"/>
  <c r="E89" i="6"/>
  <c r="F88" i="6"/>
  <c r="E88" i="6"/>
  <c r="F87" i="6"/>
  <c r="E87" i="6"/>
  <c r="F86" i="6"/>
  <c r="E86" i="6"/>
  <c r="F84" i="6"/>
  <c r="E84" i="6"/>
  <c r="F83" i="6"/>
  <c r="E83" i="6"/>
  <c r="F82" i="6"/>
  <c r="E82" i="6"/>
  <c r="F80" i="6"/>
  <c r="E80" i="6"/>
  <c r="F79" i="6"/>
  <c r="E79" i="6"/>
  <c r="F78" i="6"/>
  <c r="E78" i="6"/>
  <c r="O37" i="18" l="1"/>
  <c r="M12" i="18"/>
  <c r="I12" i="18"/>
  <c r="M11" i="18"/>
  <c r="L30" i="18" s="1"/>
  <c r="I11" i="18"/>
  <c r="I9" i="18"/>
  <c r="M9" i="18" s="1"/>
  <c r="I8" i="18"/>
  <c r="M8" i="18" s="1"/>
  <c r="L29" i="18" s="1"/>
  <c r="I7" i="18"/>
  <c r="M7" i="18" s="1"/>
  <c r="I39" i="18" l="1"/>
  <c r="R39" i="18" s="1"/>
  <c r="S39" i="18" s="1"/>
  <c r="R70" i="6"/>
  <c r="R69" i="6"/>
  <c r="R68" i="6"/>
  <c r="R67" i="6"/>
  <c r="R66" i="6"/>
  <c r="R65" i="6"/>
  <c r="R64" i="6"/>
  <c r="S63" i="6"/>
  <c r="S64" i="6" s="1"/>
  <c r="S65" i="6" s="1"/>
  <c r="R63" i="6"/>
  <c r="R62" i="6"/>
  <c r="T62" i="6" s="1"/>
  <c r="T64" i="6" l="1"/>
  <c r="W64" i="6" s="1"/>
  <c r="X64" i="6" s="1"/>
  <c r="Y64" i="6" s="1"/>
  <c r="T65" i="6"/>
  <c r="W65" i="6" s="1"/>
  <c r="X65" i="6" s="1"/>
  <c r="Y65" i="6" s="1"/>
  <c r="U62" i="6"/>
  <c r="V62" i="6" s="1"/>
  <c r="W62" i="6"/>
  <c r="X62" i="6" s="1"/>
  <c r="Y62" i="6" s="1"/>
  <c r="I40" i="18"/>
  <c r="R40" i="18" s="1"/>
  <c r="S40" i="18" s="1"/>
  <c r="U65" i="6"/>
  <c r="V65" i="6" s="1"/>
  <c r="T63" i="6"/>
  <c r="U64" i="6"/>
  <c r="V64" i="6" s="1"/>
  <c r="S66" i="6"/>
  <c r="U63" i="6" l="1"/>
  <c r="V63" i="6" s="1"/>
  <c r="W63" i="6"/>
  <c r="X63" i="6" s="1"/>
  <c r="Y63" i="6" s="1"/>
  <c r="S67" i="6"/>
  <c r="T67" i="6" s="1"/>
  <c r="T66" i="6"/>
  <c r="U67" i="6" l="1"/>
  <c r="V67" i="6" s="1"/>
  <c r="W67" i="6"/>
  <c r="X67" i="6" s="1"/>
  <c r="Y67" i="6" s="1"/>
  <c r="S68" i="6"/>
  <c r="T68" i="6" s="1"/>
  <c r="W66" i="6"/>
  <c r="X66" i="6" s="1"/>
  <c r="Y66" i="6" s="1"/>
  <c r="U66" i="6"/>
  <c r="V66" i="6" s="1"/>
  <c r="W68" i="6" l="1"/>
  <c r="X68" i="6" s="1"/>
  <c r="Y68" i="6" s="1"/>
  <c r="U68" i="6"/>
  <c r="V68" i="6" s="1"/>
  <c r="S69" i="6"/>
  <c r="T69" i="6" s="1"/>
  <c r="W69" i="6" l="1"/>
  <c r="X69" i="6" s="1"/>
  <c r="Y69" i="6" s="1"/>
  <c r="U69" i="6"/>
  <c r="V69" i="6" s="1"/>
  <c r="S70" i="6"/>
  <c r="T70" i="6" s="1"/>
  <c r="F76" i="6"/>
  <c r="E76" i="6"/>
  <c r="F75" i="6"/>
  <c r="E75" i="6"/>
  <c r="F74" i="6"/>
  <c r="E74" i="6"/>
  <c r="F73" i="6"/>
  <c r="E73" i="6"/>
  <c r="F71" i="6"/>
  <c r="E71" i="6"/>
  <c r="F70" i="6"/>
  <c r="E70" i="6"/>
  <c r="F69" i="6"/>
  <c r="E69" i="6"/>
  <c r="F68" i="6"/>
  <c r="E68" i="6"/>
  <c r="F66" i="6"/>
  <c r="E66" i="6"/>
  <c r="F65" i="6"/>
  <c r="E65" i="6"/>
  <c r="F64" i="6"/>
  <c r="E64" i="6"/>
  <c r="F63" i="6"/>
  <c r="E63" i="6"/>
  <c r="W70" i="6" l="1"/>
  <c r="X70" i="6" s="1"/>
  <c r="Y70" i="6" s="1"/>
  <c r="U70" i="6"/>
  <c r="V70" i="6" s="1"/>
  <c r="R119" i="6" l="1"/>
  <c r="R134" i="6" s="1"/>
  <c r="O119" i="6"/>
  <c r="O134" i="6" s="1"/>
  <c r="R127" i="6"/>
  <c r="O135" i="6"/>
  <c r="O132" i="6"/>
  <c r="O131" i="6"/>
  <c r="O128" i="6"/>
  <c r="O127" i="6"/>
  <c r="R132" i="6" l="1"/>
  <c r="R128" i="6"/>
  <c r="R129" i="6"/>
  <c r="R131" i="6"/>
  <c r="R133" i="6"/>
  <c r="R135" i="6"/>
  <c r="R130" i="6"/>
  <c r="O129" i="6"/>
  <c r="O133" i="6"/>
  <c r="O130" i="6"/>
  <c r="D48" i="7" l="1"/>
  <c r="R11" i="6" l="1"/>
  <c r="Q11" i="6"/>
  <c r="R9" i="6"/>
  <c r="Q9" i="6"/>
  <c r="R7" i="6"/>
  <c r="Q7" i="6"/>
  <c r="R5" i="6"/>
  <c r="Q5" i="6"/>
  <c r="R3" i="6"/>
  <c r="Q3" i="6"/>
  <c r="AB517" i="6"/>
  <c r="AB515" i="6"/>
  <c r="AQ513" i="6"/>
  <c r="AO513" i="6"/>
  <c r="AC513" i="6"/>
  <c r="AQ512" i="6"/>
  <c r="AO512" i="6"/>
  <c r="AB512" i="6"/>
  <c r="AC512" i="6" s="1"/>
  <c r="AQ511" i="6"/>
  <c r="AO511" i="6"/>
  <c r="AC511" i="6"/>
  <c r="AQ510" i="6"/>
  <c r="AO510" i="6"/>
  <c r="AB510" i="6"/>
  <c r="AC510" i="6" s="1"/>
  <c r="AA510" i="6"/>
  <c r="AQ509" i="6"/>
  <c r="AO509" i="6"/>
  <c r="AC509" i="6"/>
  <c r="AG509" i="6" s="1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B478" i="6"/>
  <c r="AC476" i="6"/>
  <c r="AC477" i="6" s="1"/>
  <c r="AB476" i="6"/>
  <c r="AB474" i="6"/>
  <c r="AC472" i="6"/>
  <c r="AB472" i="6"/>
  <c r="AD470" i="6"/>
  <c r="AD471" i="6" s="1"/>
  <c r="AC470" i="6"/>
  <c r="AB470" i="6"/>
  <c r="AG469" i="6"/>
  <c r="AD467" i="6"/>
  <c r="AD468" i="6" s="1"/>
  <c r="AC467" i="6"/>
  <c r="AC468" i="6" s="1"/>
  <c r="AB467" i="6"/>
  <c r="AB468" i="6" s="1"/>
  <c r="AG466" i="6"/>
  <c r="AD465" i="6"/>
  <c r="AC465" i="6"/>
  <c r="AB465" i="6"/>
  <c r="AG464" i="6"/>
  <c r="AD463" i="6"/>
  <c r="AC463" i="6"/>
  <c r="AB463" i="6"/>
  <c r="AG462" i="6"/>
  <c r="AG461" i="6"/>
  <c r="AE460" i="6"/>
  <c r="AE459" i="6"/>
  <c r="AE458" i="6"/>
  <c r="AE457" i="6"/>
  <c r="AB457" i="6"/>
  <c r="AC457" i="6" s="1"/>
  <c r="AE456" i="6"/>
  <c r="AC456" i="6"/>
  <c r="AG456" i="6" s="1"/>
  <c r="AG455" i="6"/>
  <c r="AE454" i="6"/>
  <c r="AE453" i="6"/>
  <c r="AE452" i="6"/>
  <c r="AE451" i="6"/>
  <c r="AB451" i="6"/>
  <c r="AC451" i="6" s="1"/>
  <c r="AE450" i="6"/>
  <c r="AC450" i="6"/>
  <c r="AG450" i="6" s="1"/>
  <c r="AG449" i="6"/>
  <c r="AE448" i="6"/>
  <c r="AE447" i="6"/>
  <c r="AE446" i="6"/>
  <c r="AB446" i="6"/>
  <c r="AC446" i="6" s="1"/>
  <c r="AE445" i="6"/>
  <c r="AC445" i="6"/>
  <c r="AG444" i="6"/>
  <c r="AE443" i="6"/>
  <c r="AE442" i="6"/>
  <c r="AE441" i="6"/>
  <c r="AE440" i="6"/>
  <c r="AB440" i="6"/>
  <c r="AC440" i="6" s="1"/>
  <c r="AE439" i="6"/>
  <c r="AC439" i="6"/>
  <c r="AG438" i="6"/>
  <c r="AE437" i="6"/>
  <c r="AE436" i="6"/>
  <c r="AE435" i="6"/>
  <c r="AE434" i="6"/>
  <c r="AB434" i="6"/>
  <c r="AC434" i="6" s="1"/>
  <c r="AE433" i="6"/>
  <c r="AG433" i="6" s="1"/>
  <c r="AC433" i="6"/>
  <c r="AG432" i="6"/>
  <c r="AE431" i="6"/>
  <c r="AE430" i="6"/>
  <c r="AE429" i="6"/>
  <c r="AE428" i="6"/>
  <c r="AB428" i="6"/>
  <c r="AC428" i="6" s="1"/>
  <c r="AE427" i="6"/>
  <c r="AC427" i="6"/>
  <c r="AG426" i="6"/>
  <c r="AE425" i="6"/>
  <c r="AE424" i="6"/>
  <c r="AE423" i="6"/>
  <c r="AB423" i="6"/>
  <c r="AC423" i="6" s="1"/>
  <c r="AE422" i="6"/>
  <c r="AC422" i="6"/>
  <c r="AG421" i="6"/>
  <c r="AE420" i="6"/>
  <c r="AE419" i="6"/>
  <c r="AB419" i="6"/>
  <c r="AC419" i="6" s="1"/>
  <c r="AE418" i="6"/>
  <c r="AC418" i="6"/>
  <c r="AE417" i="6"/>
  <c r="AE416" i="6"/>
  <c r="AB416" i="6"/>
  <c r="AB417" i="6" s="1"/>
  <c r="AE415" i="6"/>
  <c r="AC415" i="6"/>
  <c r="AE414" i="6"/>
  <c r="AE413" i="6"/>
  <c r="AE412" i="6"/>
  <c r="AE411" i="6"/>
  <c r="AC411" i="6"/>
  <c r="AB411" i="6"/>
  <c r="AB412" i="6" s="1"/>
  <c r="AE410" i="6"/>
  <c r="AC410" i="6"/>
  <c r="AE409" i="6"/>
  <c r="AE408" i="6"/>
  <c r="AE407" i="6"/>
  <c r="AE406" i="6"/>
  <c r="AE405" i="6"/>
  <c r="AB405" i="6"/>
  <c r="AC405" i="6" s="1"/>
  <c r="AE404" i="6"/>
  <c r="AC404" i="6"/>
  <c r="AE403" i="6"/>
  <c r="AE402" i="6"/>
  <c r="AE401" i="6"/>
  <c r="AE400" i="6"/>
  <c r="AE399" i="6"/>
  <c r="AB399" i="6"/>
  <c r="AC399" i="6" s="1"/>
  <c r="AE398" i="6"/>
  <c r="AC398" i="6"/>
  <c r="AE397" i="6"/>
  <c r="AE396" i="6"/>
  <c r="AE395" i="6"/>
  <c r="AE394" i="6"/>
  <c r="AE393" i="6"/>
  <c r="AE392" i="6"/>
  <c r="AB392" i="6"/>
  <c r="AB393" i="6" s="1"/>
  <c r="AE391" i="6"/>
  <c r="AC391" i="6"/>
  <c r="AE390" i="6"/>
  <c r="AE389" i="6"/>
  <c r="AE388" i="6"/>
  <c r="AE387" i="6"/>
  <c r="AE386" i="6"/>
  <c r="AB386" i="6"/>
  <c r="AB387" i="6" s="1"/>
  <c r="AE385" i="6"/>
  <c r="AC385" i="6"/>
  <c r="AE384" i="6"/>
  <c r="AE383" i="6"/>
  <c r="AE382" i="6"/>
  <c r="AB382" i="6"/>
  <c r="AC382" i="6" s="1"/>
  <c r="AE381" i="6"/>
  <c r="AC381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18" i="6" l="1"/>
  <c r="AG427" i="6"/>
  <c r="AG422" i="6"/>
  <c r="M107" i="4"/>
  <c r="M109" i="4" s="1"/>
  <c r="M110" i="4" s="1"/>
  <c r="M91" i="4"/>
  <c r="M93" i="4" s="1"/>
  <c r="M94" i="4" s="1"/>
  <c r="K139" i="4"/>
  <c r="AG398" i="6"/>
  <c r="AG404" i="6"/>
  <c r="AG410" i="6"/>
  <c r="AG439" i="6"/>
  <c r="AG445" i="6"/>
  <c r="AG465" i="6"/>
  <c r="AG381" i="6"/>
  <c r="M34" i="20"/>
  <c r="K29" i="20"/>
  <c r="N29" i="20" s="1"/>
  <c r="N38" i="20"/>
  <c r="Q38" i="20" s="1"/>
  <c r="S38" i="20" s="1"/>
  <c r="J34" i="20"/>
  <c r="M40" i="20" s="1"/>
  <c r="N37" i="20"/>
  <c r="Q37" i="20" s="1"/>
  <c r="S37" i="20" s="1"/>
  <c r="N36" i="20"/>
  <c r="Q36" i="20" s="1"/>
  <c r="S36" i="20" s="1"/>
  <c r="I143" i="4"/>
  <c r="M197" i="4"/>
  <c r="L143" i="4"/>
  <c r="N200" i="4"/>
  <c r="Q200" i="4" s="1"/>
  <c r="S200" i="4" s="1"/>
  <c r="K158" i="4"/>
  <c r="K192" i="4"/>
  <c r="N192" i="4" s="1"/>
  <c r="N201" i="4"/>
  <c r="Q201" i="4" s="1"/>
  <c r="S201" i="4" s="1"/>
  <c r="N199" i="4"/>
  <c r="Q199" i="4" s="1"/>
  <c r="S199" i="4" s="1"/>
  <c r="L144" i="4"/>
  <c r="O144" i="4" s="1"/>
  <c r="Q144" i="4" s="1"/>
  <c r="J197" i="4"/>
  <c r="M203" i="4" s="1"/>
  <c r="M70" i="4"/>
  <c r="M72" i="4" s="1"/>
  <c r="M73" i="4" s="1"/>
  <c r="L164" i="4"/>
  <c r="O164" i="4" s="1"/>
  <c r="Q164" i="4" s="1"/>
  <c r="L162" i="4"/>
  <c r="I162" i="4"/>
  <c r="AG385" i="6"/>
  <c r="AG399" i="6"/>
  <c r="AG468" i="6"/>
  <c r="AG391" i="6"/>
  <c r="AC386" i="6"/>
  <c r="AG386" i="6" s="1"/>
  <c r="AG415" i="6"/>
  <c r="AG411" i="6"/>
  <c r="AG463" i="6"/>
  <c r="AC387" i="6"/>
  <c r="AG387" i="6" s="1"/>
  <c r="AB388" i="6"/>
  <c r="AB394" i="6"/>
  <c r="AC393" i="6"/>
  <c r="AG393" i="6" s="1"/>
  <c r="AD472" i="6"/>
  <c r="AD475" i="6" s="1"/>
  <c r="AG475" i="6" s="1"/>
  <c r="AG471" i="6"/>
  <c r="AG510" i="6"/>
  <c r="AC478" i="6"/>
  <c r="AG478" i="6" s="1"/>
  <c r="AG477" i="6"/>
  <c r="AC412" i="6"/>
  <c r="AG412" i="6" s="1"/>
  <c r="AB413" i="6"/>
  <c r="AC417" i="6"/>
  <c r="AG417" i="6" s="1"/>
  <c r="AG382" i="6"/>
  <c r="AC392" i="6"/>
  <c r="AG392" i="6" s="1"/>
  <c r="AG405" i="6"/>
  <c r="AC416" i="6"/>
  <c r="AG416" i="6" s="1"/>
  <c r="AA511" i="6"/>
  <c r="AB383" i="6"/>
  <c r="AB406" i="6"/>
  <c r="AG419" i="6"/>
  <c r="AG423" i="6"/>
  <c r="AG428" i="6"/>
  <c r="AG434" i="6"/>
  <c r="AG440" i="6"/>
  <c r="AG446" i="6"/>
  <c r="AG451" i="6"/>
  <c r="AG457" i="6"/>
  <c r="AG467" i="6"/>
  <c r="AD473" i="6"/>
  <c r="AB400" i="6"/>
  <c r="AB420" i="6"/>
  <c r="AB424" i="6"/>
  <c r="AB429" i="6"/>
  <c r="AB435" i="6"/>
  <c r="AB441" i="6"/>
  <c r="AB447" i="6"/>
  <c r="AB452" i="6"/>
  <c r="AB458" i="6"/>
  <c r="AG470" i="6"/>
  <c r="AG476" i="6"/>
  <c r="M204" i="4" l="1"/>
  <c r="P94" i="4"/>
  <c r="N94" i="4"/>
  <c r="P110" i="4"/>
  <c r="N110" i="4"/>
  <c r="M146" i="4"/>
  <c r="Q140" i="4"/>
  <c r="Q139" i="4"/>
  <c r="M147" i="4" s="1"/>
  <c r="P73" i="4"/>
  <c r="N73" i="4"/>
  <c r="M41" i="20"/>
  <c r="Q159" i="4"/>
  <c r="Q158" i="4"/>
  <c r="M167" i="4" s="1"/>
  <c r="Q204" i="4"/>
  <c r="Q41" i="20"/>
  <c r="M166" i="4"/>
  <c r="AC458" i="6"/>
  <c r="AG458" i="6" s="1"/>
  <c r="AB459" i="6"/>
  <c r="AC435" i="6"/>
  <c r="AB436" i="6"/>
  <c r="AG435" i="6"/>
  <c r="AC400" i="6"/>
  <c r="AG400" i="6" s="1"/>
  <c r="AB401" i="6"/>
  <c r="AC383" i="6"/>
  <c r="AG383" i="6" s="1"/>
  <c r="AB384" i="6"/>
  <c r="AB395" i="6"/>
  <c r="AC394" i="6"/>
  <c r="AG394" i="6" s="1"/>
  <c r="AC452" i="6"/>
  <c r="AG452" i="6" s="1"/>
  <c r="AB453" i="6"/>
  <c r="AC429" i="6"/>
  <c r="AG429" i="6" s="1"/>
  <c r="AB430" i="6"/>
  <c r="AG473" i="6"/>
  <c r="AD474" i="6"/>
  <c r="AG474" i="6" s="1"/>
  <c r="AG511" i="6"/>
  <c r="AA512" i="6"/>
  <c r="AC413" i="6"/>
  <c r="AG413" i="6" s="1"/>
  <c r="AB414" i="6"/>
  <c r="AC388" i="6"/>
  <c r="AG388" i="6" s="1"/>
  <c r="AB389" i="6"/>
  <c r="AC447" i="6"/>
  <c r="AG447" i="6" s="1"/>
  <c r="AB448" i="6"/>
  <c r="AC424" i="6"/>
  <c r="AG424" i="6" s="1"/>
  <c r="AB425" i="6"/>
  <c r="AG472" i="6"/>
  <c r="AC441" i="6"/>
  <c r="AG441" i="6" s="1"/>
  <c r="AB442" i="6"/>
  <c r="AC420" i="6"/>
  <c r="AG420" i="6" s="1"/>
  <c r="AC406" i="6"/>
  <c r="AG406" i="6" s="1"/>
  <c r="AB407" i="6"/>
  <c r="M48" i="7"/>
  <c r="J14" i="7"/>
  <c r="M14" i="7"/>
  <c r="P14" i="7"/>
  <c r="M19" i="7"/>
  <c r="S24" i="7" s="1"/>
  <c r="S29" i="7"/>
  <c r="H50" i="7"/>
  <c r="C5" i="6"/>
  <c r="D5" i="6"/>
  <c r="C7" i="6"/>
  <c r="D7" i="6"/>
  <c r="K11" i="7"/>
  <c r="K53" i="7" s="1"/>
  <c r="N54" i="7" s="1"/>
  <c r="O20" i="7"/>
  <c r="M26" i="7"/>
  <c r="M28" i="7"/>
  <c r="S28" i="7"/>
  <c r="M29" i="7"/>
  <c r="P47" i="7"/>
  <c r="S47" i="7"/>
  <c r="E48" i="7"/>
  <c r="K50" i="7"/>
  <c r="N50" i="7" s="1"/>
  <c r="N51" i="7" l="1"/>
  <c r="Q147" i="4"/>
  <c r="T147" i="4" s="1"/>
  <c r="R204" i="4"/>
  <c r="T204" i="4"/>
  <c r="R41" i="20"/>
  <c r="T41" i="20"/>
  <c r="Q167" i="4"/>
  <c r="P15" i="7"/>
  <c r="P17" i="7" s="1"/>
  <c r="Q51" i="7"/>
  <c r="T51" i="7" s="1"/>
  <c r="N53" i="7"/>
  <c r="Q53" i="7" s="1"/>
  <c r="T53" i="7" s="1"/>
  <c r="M20" i="7"/>
  <c r="S20" i="7" s="1"/>
  <c r="Q31" i="7" s="1"/>
  <c r="S23" i="7"/>
  <c r="Q32" i="7" s="1"/>
  <c r="S32" i="7" s="1"/>
  <c r="K59" i="7" s="1"/>
  <c r="Q50" i="7"/>
  <c r="T50" i="7" s="1"/>
  <c r="AC442" i="6"/>
  <c r="AB443" i="6"/>
  <c r="AG442" i="6"/>
  <c r="AC425" i="6"/>
  <c r="AG425" i="6" s="1"/>
  <c r="AC414" i="6"/>
  <c r="AG414" i="6" s="1"/>
  <c r="AC430" i="6"/>
  <c r="AG430" i="6" s="1"/>
  <c r="AB431" i="6"/>
  <c r="AC401" i="6"/>
  <c r="AG401" i="6" s="1"/>
  <c r="AB402" i="6"/>
  <c r="AC389" i="6"/>
  <c r="AG389" i="6" s="1"/>
  <c r="AB390" i="6"/>
  <c r="AC384" i="6"/>
  <c r="AG384" i="6" s="1"/>
  <c r="AC459" i="6"/>
  <c r="AG459" i="6" s="1"/>
  <c r="AB460" i="6"/>
  <c r="AC407" i="6"/>
  <c r="AG407" i="6" s="1"/>
  <c r="AB408" i="6"/>
  <c r="AC448" i="6"/>
  <c r="AG448" i="6" s="1"/>
  <c r="AA513" i="6"/>
  <c r="AG512" i="6"/>
  <c r="AC453" i="6"/>
  <c r="AG453" i="6" s="1"/>
  <c r="AB454" i="6"/>
  <c r="AB396" i="6"/>
  <c r="AC395" i="6"/>
  <c r="AG395" i="6" s="1"/>
  <c r="AC436" i="6"/>
  <c r="AG436" i="6" s="1"/>
  <c r="AB437" i="6"/>
  <c r="Q54" i="7"/>
  <c r="T54" i="7" s="1"/>
  <c r="S31" i="7" l="1"/>
  <c r="K56" i="7" s="1"/>
  <c r="Q57" i="7" s="1"/>
  <c r="T57" i="7" s="1"/>
  <c r="R147" i="4"/>
  <c r="T167" i="4"/>
  <c r="R167" i="4"/>
  <c r="N59" i="7"/>
  <c r="Q59" i="7" s="1"/>
  <c r="T59" i="7" s="1"/>
  <c r="N60" i="7"/>
  <c r="Q60" i="7"/>
  <c r="T60" i="7" s="1"/>
  <c r="N57" i="7"/>
  <c r="AC454" i="6"/>
  <c r="AG454" i="6" s="1"/>
  <c r="AC437" i="6"/>
  <c r="AG437" i="6" s="1"/>
  <c r="AB397" i="6"/>
  <c r="AC396" i="6"/>
  <c r="AG396" i="6" s="1"/>
  <c r="AC460" i="6"/>
  <c r="AG460" i="6"/>
  <c r="AC390" i="6"/>
  <c r="AG390" i="6" s="1"/>
  <c r="AC402" i="6"/>
  <c r="AG402" i="6" s="1"/>
  <c r="AB403" i="6"/>
  <c r="AG513" i="6"/>
  <c r="AA514" i="6"/>
  <c r="AC408" i="6"/>
  <c r="AB409" i="6"/>
  <c r="AG408" i="6"/>
  <c r="AC443" i="6"/>
  <c r="AG443" i="6" s="1"/>
  <c r="AC431" i="6"/>
  <c r="AG431" i="6" s="1"/>
  <c r="N56" i="7" l="1"/>
  <c r="Q56" i="7" s="1"/>
  <c r="T56" i="7" s="1"/>
  <c r="AA515" i="6"/>
  <c r="AG514" i="6"/>
  <c r="AC409" i="6"/>
  <c r="AG409" i="6" s="1"/>
  <c r="AC403" i="6"/>
  <c r="AG403" i="6" s="1"/>
  <c r="AC397" i="6"/>
  <c r="AG397" i="6" s="1"/>
  <c r="AA518" i="6" l="1"/>
  <c r="AG518" i="6" s="1"/>
  <c r="AA516" i="6"/>
  <c r="AG515" i="6"/>
  <c r="AA517" i="6" l="1"/>
  <c r="AG517" i="6" s="1"/>
  <c r="AG516" i="6"/>
</calcChain>
</file>

<file path=xl/sharedStrings.xml><?xml version="1.0" encoding="utf-8"?>
<sst xmlns="http://schemas.openxmlformats.org/spreadsheetml/2006/main" count="1620" uniqueCount="686">
  <si>
    <t>地表粗度区分</t>
    <rPh sb="0" eb="2">
      <t>チヒョウ</t>
    </rPh>
    <rPh sb="2" eb="3">
      <t>ソ</t>
    </rPh>
    <rPh sb="3" eb="4">
      <t>ド</t>
    </rPh>
    <rPh sb="4" eb="6">
      <t>クブン</t>
    </rPh>
    <phoneticPr fontId="3"/>
  </si>
  <si>
    <t>速度圧</t>
    <rPh sb="0" eb="2">
      <t>ソクド</t>
    </rPh>
    <rPh sb="2" eb="3">
      <t>アツ</t>
    </rPh>
    <phoneticPr fontId="3"/>
  </si>
  <si>
    <t>kN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</si>
  <si>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</si>
  <si>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 xml:space="preserve">  Λ=</t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</si>
  <si>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</si>
  <si>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>Σσ/f=</t>
    <phoneticPr fontId="3"/>
  </si>
  <si>
    <r>
      <t>kN/m</t>
    </r>
    <r>
      <rPr>
        <vertAlign val="superscript"/>
        <sz val="9"/>
        <rFont val="ＭＳ 明朝"/>
        <family val="1"/>
        <charset val="128"/>
      </rPr>
      <t>2</t>
    </r>
    <phoneticPr fontId="4"/>
  </si>
  <si>
    <t>積雪荷重(建設省告示１４５５号)</t>
    <rPh sb="0" eb="2">
      <t>セキセツ</t>
    </rPh>
    <rPh sb="2" eb="4">
      <t>カジュウ</t>
    </rPh>
    <phoneticPr fontId="3"/>
  </si>
  <si>
    <t>単位重量</t>
    <rPh sb="0" eb="2">
      <t>タンイ</t>
    </rPh>
    <rPh sb="2" eb="4">
      <t>ジュウリョウ</t>
    </rPh>
    <phoneticPr fontId="3"/>
  </si>
  <si>
    <t>Wo=</t>
    <phoneticPr fontId="3"/>
  </si>
  <si>
    <r>
      <t>N/cm･m</t>
    </r>
    <r>
      <rPr>
        <vertAlign val="superscript"/>
        <sz val="9"/>
        <rFont val="ＭＳ 明朝"/>
        <family val="1"/>
        <charset val="128"/>
      </rPr>
      <t>2</t>
    </r>
    <phoneticPr fontId="3"/>
  </si>
  <si>
    <t>積雪荷重</t>
    <rPh sb="0" eb="2">
      <t>セキセツ</t>
    </rPh>
    <rPh sb="2" eb="4">
      <t>カジュウ</t>
    </rPh>
    <phoneticPr fontId="3"/>
  </si>
  <si>
    <t>hs=</t>
    <phoneticPr fontId="3"/>
  </si>
  <si>
    <r>
      <t>c</t>
    </r>
    <r>
      <rPr>
        <sz val="9"/>
        <rFont val="ＭＳ 明朝"/>
        <family val="1"/>
        <charset val="128"/>
      </rPr>
      <t>m</t>
    </r>
    <phoneticPr fontId="4"/>
  </si>
  <si>
    <t>Ws=</t>
    <phoneticPr fontId="3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</si>
  <si>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3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</si>
  <si>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3"/>
  </si>
  <si>
    <t>風荷重(建設省告示１４５８号)</t>
    <rPh sb="0" eb="1">
      <t>カゼ</t>
    </rPh>
    <rPh sb="1" eb="3">
      <t>カジュウ</t>
    </rPh>
    <rPh sb="4" eb="7">
      <t>ケンセツショウ</t>
    </rPh>
    <rPh sb="7" eb="9">
      <t>コクジ</t>
    </rPh>
    <rPh sb="13" eb="14">
      <t>ゴウ</t>
    </rPh>
    <phoneticPr fontId="4"/>
  </si>
  <si>
    <t>Zb=</t>
    <phoneticPr fontId="3"/>
  </si>
  <si>
    <t>m</t>
    <phoneticPr fontId="4"/>
  </si>
  <si>
    <t>Zg=</t>
    <phoneticPr fontId="3"/>
  </si>
  <si>
    <t xml:space="preserve">  α=</t>
    <phoneticPr fontId="3"/>
  </si>
  <si>
    <t>建物高さ</t>
    <rPh sb="0" eb="2">
      <t>タテモノ</t>
    </rPh>
    <rPh sb="2" eb="3">
      <t>タカ</t>
    </rPh>
    <phoneticPr fontId="3"/>
  </si>
  <si>
    <t>H =</t>
    <phoneticPr fontId="4"/>
  </si>
  <si>
    <t>m</t>
    <phoneticPr fontId="4"/>
  </si>
  <si>
    <r>
      <t>Er=1.7(max(H,Zb)/Zg)</t>
    </r>
    <r>
      <rPr>
        <vertAlign val="superscript"/>
        <sz val="9"/>
        <rFont val="ＭＳ 明朝"/>
        <family val="1"/>
        <charset val="128"/>
      </rPr>
      <t>α</t>
    </r>
    <r>
      <rPr>
        <sz val="9"/>
        <rFont val="ＭＳ 明朝"/>
        <family val="1"/>
        <charset val="128"/>
      </rPr>
      <t>=</t>
    </r>
    <phoneticPr fontId="3"/>
  </si>
  <si>
    <t>基準風速</t>
    <rPh sb="0" eb="2">
      <t>キジュン</t>
    </rPh>
    <rPh sb="2" eb="4">
      <t>フウソク</t>
    </rPh>
    <phoneticPr fontId="4"/>
  </si>
  <si>
    <t xml:space="preserve">  Vo=</t>
    <phoneticPr fontId="3"/>
  </si>
  <si>
    <t>m/s</t>
    <phoneticPr fontId="3"/>
  </si>
  <si>
    <r>
      <t>q = 0.6･Er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･Vo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 xml:space="preserve"> =</t>
    </r>
    <phoneticPr fontId="3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</si>
  <si>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3"/>
  </si>
  <si>
    <t>ピーク外圧係数</t>
    <rPh sb="3" eb="5">
      <t>ガイアツ</t>
    </rPh>
    <rPh sb="5" eb="7">
      <t>ケイスウ</t>
    </rPh>
    <phoneticPr fontId="4"/>
  </si>
  <si>
    <t>屋根面勾配</t>
    <rPh sb="0" eb="2">
      <t>ヤネ</t>
    </rPh>
    <rPh sb="2" eb="3">
      <t>メン</t>
    </rPh>
    <rPh sb="3" eb="5">
      <t>コウバイ</t>
    </rPh>
    <phoneticPr fontId="4"/>
  </si>
  <si>
    <t>θ=</t>
    <phoneticPr fontId="4"/>
  </si>
  <si>
    <t>°</t>
    <phoneticPr fontId="4"/>
  </si>
  <si>
    <t>Cpe=</t>
    <phoneticPr fontId="4"/>
  </si>
  <si>
    <t xml:space="preserve"> Gpe=</t>
    <phoneticPr fontId="4"/>
  </si>
  <si>
    <t>Cpo=</t>
    <phoneticPr fontId="4"/>
  </si>
  <si>
    <t>ピーク内圧係数</t>
    <rPh sb="3" eb="5">
      <t>ナイアツ</t>
    </rPh>
    <rPh sb="5" eb="7">
      <t>ケイスウ</t>
    </rPh>
    <phoneticPr fontId="4"/>
  </si>
  <si>
    <t>Cpi=</t>
    <phoneticPr fontId="4"/>
  </si>
  <si>
    <t>風荷重</t>
    <rPh sb="0" eb="1">
      <t>カゼ</t>
    </rPh>
    <rPh sb="1" eb="3">
      <t>カジュウ</t>
    </rPh>
    <phoneticPr fontId="4"/>
  </si>
  <si>
    <t>Cf=Cpo-Cpi=</t>
    <phoneticPr fontId="4"/>
  </si>
  <si>
    <t>W=</t>
    <phoneticPr fontId="4"/>
  </si>
  <si>
    <t>W=</t>
    <phoneticPr fontId="4"/>
  </si>
  <si>
    <t>kN/m</t>
    <phoneticPr fontId="4"/>
  </si>
  <si>
    <t>M=</t>
    <phoneticPr fontId="4"/>
  </si>
  <si>
    <t>kNm</t>
    <phoneticPr fontId="4"/>
  </si>
  <si>
    <t>Q=</t>
    <phoneticPr fontId="4"/>
  </si>
  <si>
    <t>kN</t>
    <phoneticPr fontId="4"/>
  </si>
  <si>
    <t>Z=</t>
    <phoneticPr fontId="4"/>
  </si>
  <si>
    <r>
      <t>c</t>
    </r>
    <r>
      <rPr>
        <sz val="9"/>
        <rFont val="ＭＳ 明朝"/>
        <family val="1"/>
        <charset val="128"/>
      </rPr>
      <t>m</t>
    </r>
    <r>
      <rPr>
        <vertAlign val="superscript"/>
        <sz val="9"/>
        <rFont val="ＭＳ 明朝"/>
        <family val="1"/>
        <charset val="128"/>
      </rPr>
      <t>3</t>
    </r>
    <phoneticPr fontId="4"/>
  </si>
  <si>
    <t>σ=</t>
    <phoneticPr fontId="4"/>
  </si>
  <si>
    <t>σ/f=</t>
    <phoneticPr fontId="4"/>
  </si>
  <si>
    <t>I=</t>
    <phoneticPr fontId="4"/>
  </si>
  <si>
    <r>
      <t>c</t>
    </r>
    <r>
      <rPr>
        <sz val="9"/>
        <rFont val="ＭＳ 明朝"/>
        <family val="1"/>
        <charset val="128"/>
      </rPr>
      <t>m</t>
    </r>
    <r>
      <rPr>
        <vertAlign val="superscript"/>
        <sz val="9"/>
        <rFont val="ＭＳ 明朝"/>
        <family val="1"/>
        <charset val="128"/>
      </rPr>
      <t>4</t>
    </r>
    <phoneticPr fontId="4"/>
  </si>
  <si>
    <t>δ=</t>
    <phoneticPr fontId="4"/>
  </si>
  <si>
    <t>ｒ=</t>
    <phoneticPr fontId="4"/>
  </si>
  <si>
    <t>mm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</si>
  <si>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</si>
  <si>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</si>
  <si>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>α=</t>
    <phoneticPr fontId="3"/>
  </si>
  <si>
    <t>F=</t>
    <phoneticPr fontId="4"/>
  </si>
  <si>
    <t>mm</t>
    <phoneticPr fontId="4"/>
  </si>
  <si>
    <t>Lc=</t>
    <phoneticPr fontId="4"/>
  </si>
  <si>
    <t>iy=</t>
    <phoneticPr fontId="4"/>
  </si>
  <si>
    <t>fc=</t>
    <phoneticPr fontId="4"/>
  </si>
  <si>
    <t>Λ=</t>
    <phoneticPr fontId="4"/>
  </si>
  <si>
    <t>Ae=</t>
    <phoneticPr fontId="4"/>
  </si>
  <si>
    <t>負の外圧</t>
    <rPh sb="0" eb="1">
      <t>フ</t>
    </rPh>
    <phoneticPr fontId="4"/>
  </si>
  <si>
    <t>kN</t>
    <phoneticPr fontId="3"/>
  </si>
  <si>
    <t>材質</t>
    <rPh sb="0" eb="2">
      <t>ザイシツ</t>
    </rPh>
    <phoneticPr fontId="4"/>
  </si>
  <si>
    <t>HTB</t>
    <phoneticPr fontId="4"/>
  </si>
  <si>
    <t>GPL-</t>
    <phoneticPr fontId="3"/>
  </si>
  <si>
    <t>H</t>
  </si>
  <si>
    <t>Ao</t>
  </si>
  <si>
    <r>
      <t>D</t>
    </r>
    <r>
      <rPr>
        <sz val="9"/>
        <rFont val="ＭＳ 明朝"/>
        <family val="1"/>
        <charset val="128"/>
      </rPr>
      <t>10</t>
    </r>
    <phoneticPr fontId="3"/>
  </si>
  <si>
    <r>
      <t>D</t>
    </r>
    <r>
      <rPr>
        <sz val="9"/>
        <rFont val="ＭＳ 明朝"/>
        <family val="1"/>
        <charset val="128"/>
      </rPr>
      <t>10･13</t>
    </r>
    <phoneticPr fontId="3"/>
  </si>
  <si>
    <r>
      <t>D</t>
    </r>
    <r>
      <rPr>
        <sz val="9"/>
        <rFont val="ＭＳ 明朝"/>
        <family val="1"/>
        <charset val="128"/>
      </rPr>
      <t>13</t>
    </r>
    <phoneticPr fontId="3"/>
  </si>
  <si>
    <r>
      <t>D</t>
    </r>
    <r>
      <rPr>
        <sz val="9"/>
        <rFont val="ＭＳ 明朝"/>
        <family val="1"/>
        <charset val="128"/>
      </rPr>
      <t>13･16</t>
    </r>
    <phoneticPr fontId="3"/>
  </si>
  <si>
    <r>
      <t>D</t>
    </r>
    <r>
      <rPr>
        <sz val="9"/>
        <rFont val="ＭＳ 明朝"/>
        <family val="1"/>
        <charset val="128"/>
      </rPr>
      <t>16</t>
    </r>
    <phoneticPr fontId="3"/>
  </si>
  <si>
    <t>D19</t>
    <phoneticPr fontId="3"/>
  </si>
  <si>
    <t>D22</t>
    <phoneticPr fontId="3"/>
  </si>
  <si>
    <t>D25</t>
    <phoneticPr fontId="3"/>
  </si>
  <si>
    <r>
      <t>D2</t>
    </r>
    <r>
      <rPr>
        <sz val="9"/>
        <rFont val="ＭＳ 明朝"/>
        <family val="1"/>
        <charset val="128"/>
      </rPr>
      <t>9</t>
    </r>
    <phoneticPr fontId="3"/>
  </si>
  <si>
    <r>
      <t>D</t>
    </r>
    <r>
      <rPr>
        <sz val="9"/>
        <rFont val="ＭＳ 明朝"/>
        <family val="1"/>
        <charset val="128"/>
      </rPr>
      <t>32</t>
    </r>
    <phoneticPr fontId="3"/>
  </si>
  <si>
    <r>
      <t>D</t>
    </r>
    <r>
      <rPr>
        <sz val="9"/>
        <rFont val="ＭＳ 明朝"/>
        <family val="1"/>
        <charset val="128"/>
      </rPr>
      <t>35</t>
    </r>
    <phoneticPr fontId="3"/>
  </si>
  <si>
    <r>
      <t>D</t>
    </r>
    <r>
      <rPr>
        <sz val="9"/>
        <rFont val="ＭＳ 明朝"/>
        <family val="1"/>
        <charset val="128"/>
      </rPr>
      <t>38</t>
    </r>
    <phoneticPr fontId="3"/>
  </si>
  <si>
    <r>
      <t>D</t>
    </r>
    <r>
      <rPr>
        <sz val="9"/>
        <rFont val="ＭＳ 明朝"/>
        <family val="1"/>
        <charset val="128"/>
      </rPr>
      <t>41</t>
    </r>
    <phoneticPr fontId="3"/>
  </si>
  <si>
    <t>H -</t>
    <phoneticPr fontId="3"/>
  </si>
  <si>
    <t>鉄筋</t>
    <rPh sb="0" eb="2">
      <t>テッキン</t>
    </rPh>
    <phoneticPr fontId="3"/>
  </si>
  <si>
    <t>φ(mm)</t>
    <phoneticPr fontId="3"/>
  </si>
  <si>
    <r>
      <t>A(mm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3"/>
  </si>
  <si>
    <t>取合いプレート</t>
    <rPh sb="0" eb="2">
      <t>トリア</t>
    </rPh>
    <phoneticPr fontId="3"/>
  </si>
  <si>
    <t>size up</t>
    <phoneticPr fontId="3"/>
  </si>
  <si>
    <t>size up</t>
    <phoneticPr fontId="3"/>
  </si>
  <si>
    <t>折板</t>
    <rPh sb="0" eb="1">
      <t>オ</t>
    </rPh>
    <rPh sb="1" eb="2">
      <t>イタ</t>
    </rPh>
    <phoneticPr fontId="3"/>
  </si>
  <si>
    <r>
      <t>I(cm</t>
    </r>
    <r>
      <rPr>
        <vertAlign val="superscript"/>
        <sz val="9"/>
        <rFont val="ＭＳ 明朝"/>
        <family val="1"/>
        <charset val="128"/>
      </rPr>
      <t>4</t>
    </r>
    <r>
      <rPr>
        <sz val="9"/>
        <rFont val="ＭＳ 明朝"/>
        <family val="1"/>
        <charset val="128"/>
      </rPr>
      <t>)</t>
    </r>
    <phoneticPr fontId="3"/>
  </si>
  <si>
    <r>
      <t>Z(cm</t>
    </r>
    <r>
      <rPr>
        <vertAlign val="superscript"/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)</t>
    </r>
    <phoneticPr fontId="3"/>
  </si>
  <si>
    <t>サイディング</t>
    <phoneticPr fontId="3"/>
  </si>
  <si>
    <t>Cpo=Cpe･Gpe=</t>
    <phoneticPr fontId="4"/>
  </si>
  <si>
    <t>正の外圧</t>
    <rPh sb="0" eb="1">
      <t>セイ</t>
    </rPh>
    <rPh sb="2" eb="4">
      <t>ガイアツ</t>
    </rPh>
    <phoneticPr fontId="4"/>
  </si>
  <si>
    <t>正の内圧</t>
    <rPh sb="0" eb="1">
      <t>セイ</t>
    </rPh>
    <rPh sb="2" eb="3">
      <t>ウチ</t>
    </rPh>
    <rPh sb="3" eb="4">
      <t>アツ</t>
    </rPh>
    <phoneticPr fontId="4"/>
  </si>
  <si>
    <t>負の内圧</t>
    <rPh sb="0" eb="1">
      <t>フ</t>
    </rPh>
    <phoneticPr fontId="4"/>
  </si>
  <si>
    <t>1) 長期荷重</t>
    <rPh sb="3" eb="5">
      <t>チョウキ</t>
    </rPh>
    <rPh sb="5" eb="7">
      <t>カジュウ</t>
    </rPh>
    <phoneticPr fontId="4"/>
  </si>
  <si>
    <t>2) 短期荷重</t>
    <rPh sb="3" eb="5">
      <t>タンキ</t>
    </rPh>
    <rPh sb="5" eb="7">
      <t>カジュウ</t>
    </rPh>
    <phoneticPr fontId="3"/>
  </si>
  <si>
    <t>W=</t>
    <phoneticPr fontId="4"/>
  </si>
  <si>
    <t>使用材料</t>
    <rPh sb="0" eb="2">
      <t>シヨウ</t>
    </rPh>
    <rPh sb="2" eb="4">
      <t>ザイリョウ</t>
    </rPh>
    <phoneticPr fontId="4"/>
  </si>
  <si>
    <t>S:G+P+S</t>
    <phoneticPr fontId="3"/>
  </si>
  <si>
    <t xml:space="preserve">  G+P+W(↓)</t>
    <phoneticPr fontId="3"/>
  </si>
  <si>
    <t xml:space="preserve">  G+P+W(↑)</t>
    <phoneticPr fontId="3"/>
  </si>
  <si>
    <t>L:f=</t>
    <phoneticPr fontId="4"/>
  </si>
  <si>
    <t>S:f=</t>
    <phoneticPr fontId="4"/>
  </si>
  <si>
    <t>中央部</t>
    <rPh sb="0" eb="2">
      <t>チュウオウ</t>
    </rPh>
    <rPh sb="2" eb="3">
      <t>ブ</t>
    </rPh>
    <phoneticPr fontId="3"/>
  </si>
  <si>
    <t>棟角部</t>
    <rPh sb="0" eb="1">
      <t>ムネ</t>
    </rPh>
    <rPh sb="1" eb="2">
      <t>カド</t>
    </rPh>
    <rPh sb="2" eb="3">
      <t>ブ</t>
    </rPh>
    <phoneticPr fontId="3"/>
  </si>
  <si>
    <t>辺　部</t>
    <rPh sb="0" eb="1">
      <t>ヘン</t>
    </rPh>
    <rPh sb="2" eb="3">
      <t>ブ</t>
    </rPh>
    <phoneticPr fontId="3"/>
  </si>
  <si>
    <t>角　部</t>
    <rPh sb="0" eb="1">
      <t>カド</t>
    </rPh>
    <rPh sb="2" eb="3">
      <t>ブ</t>
    </rPh>
    <phoneticPr fontId="3"/>
  </si>
  <si>
    <t>建物形状</t>
    <rPh sb="0" eb="2">
      <t>タテモノ</t>
    </rPh>
    <rPh sb="2" eb="4">
      <t>ケイジョウ</t>
    </rPh>
    <phoneticPr fontId="3"/>
  </si>
  <si>
    <t>4) 断面算定</t>
    <rPh sb="3" eb="5">
      <t>ダンメン</t>
    </rPh>
    <rPh sb="5" eb="7">
      <t>サンテイ</t>
    </rPh>
    <phoneticPr fontId="3"/>
  </si>
  <si>
    <t>単純梁</t>
    <rPh sb="0" eb="2">
      <t>タンジュン</t>
    </rPh>
    <rPh sb="2" eb="3">
      <t>ハリ</t>
    </rPh>
    <phoneticPr fontId="3"/>
  </si>
  <si>
    <t>連続梁</t>
    <rPh sb="0" eb="2">
      <t>レンゾク</t>
    </rPh>
    <rPh sb="2" eb="3">
      <t>ハリ</t>
    </rPh>
    <phoneticPr fontId="3"/>
  </si>
  <si>
    <r>
      <t>Ｍ=Ｗ･Ｌ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/８</t>
    </r>
    <phoneticPr fontId="3"/>
  </si>
  <si>
    <r>
      <t>δ=５･Ｗ･Ｌ</t>
    </r>
    <r>
      <rPr>
        <vertAlign val="superscript"/>
        <sz val="9"/>
        <rFont val="ＭＳ 明朝"/>
        <family val="1"/>
        <charset val="128"/>
      </rPr>
      <t>4</t>
    </r>
    <r>
      <rPr>
        <sz val="9"/>
        <rFont val="ＭＳ 明朝"/>
        <family val="1"/>
        <charset val="128"/>
      </rPr>
      <t>/(３８４･Ｅ･Ｉ)</t>
    </r>
    <phoneticPr fontId="3"/>
  </si>
  <si>
    <r>
      <t>δ=Ｗ･Ｌ</t>
    </r>
    <r>
      <rPr>
        <vertAlign val="superscript"/>
        <sz val="9"/>
        <rFont val="ＭＳ 明朝"/>
        <family val="1"/>
        <charset val="128"/>
      </rPr>
      <t>4</t>
    </r>
    <r>
      <rPr>
        <sz val="9"/>
        <rFont val="ＭＳ 明朝"/>
        <family val="1"/>
        <charset val="128"/>
      </rPr>
      <t>/(１８５･Ｅ･Ｉ)</t>
    </r>
    <phoneticPr fontId="3"/>
  </si>
  <si>
    <t>：２連続</t>
    <rPh sb="2" eb="4">
      <t>レンゾク</t>
    </rPh>
    <phoneticPr fontId="3"/>
  </si>
  <si>
    <r>
      <t>δ=３･Ｗ･Ｌ</t>
    </r>
    <r>
      <rPr>
        <vertAlign val="superscript"/>
        <sz val="9"/>
        <rFont val="ＭＳ 明朝"/>
        <family val="1"/>
        <charset val="128"/>
      </rPr>
      <t>4</t>
    </r>
    <r>
      <rPr>
        <sz val="9"/>
        <rFont val="ＭＳ 明朝"/>
        <family val="1"/>
        <charset val="128"/>
      </rPr>
      <t>/(３８４･Ｅ･Ｉ)</t>
    </r>
    <phoneticPr fontId="3"/>
  </si>
  <si>
    <t>：３連続</t>
    <rPh sb="2" eb="4">
      <t>レンゾク</t>
    </rPh>
    <phoneticPr fontId="3"/>
  </si>
  <si>
    <t>mm</t>
    <phoneticPr fontId="3"/>
  </si>
  <si>
    <t>Ⅲ</t>
    <phoneticPr fontId="3"/>
  </si>
  <si>
    <t>ラウンジ上部</t>
    <rPh sb="4" eb="6">
      <t>ジョウブ</t>
    </rPh>
    <phoneticPr fontId="4"/>
  </si>
  <si>
    <t>コース上部</t>
    <rPh sb="3" eb="5">
      <t>ジョウブ</t>
    </rPh>
    <phoneticPr fontId="4"/>
  </si>
  <si>
    <t>6.1.1.共通事項</t>
    <rPh sb="6" eb="8">
      <t>キョウツウ</t>
    </rPh>
    <rPh sb="8" eb="10">
      <t>ジコウ</t>
    </rPh>
    <phoneticPr fontId="3"/>
  </si>
  <si>
    <t>使用材料</t>
  </si>
  <si>
    <t>鉄骨</t>
    <phoneticPr fontId="3"/>
  </si>
  <si>
    <t>SS400</t>
    <phoneticPr fontId="3"/>
  </si>
  <si>
    <t>Eo=</t>
    <phoneticPr fontId="3"/>
  </si>
  <si>
    <r>
      <t>kN/mm</t>
    </r>
    <r>
      <rPr>
        <vertAlign val="superscript"/>
        <sz val="9"/>
        <rFont val="ＭＳ 明朝"/>
        <family val="1"/>
        <charset val="128"/>
      </rPr>
      <t>2</t>
    </r>
    <phoneticPr fontId="3"/>
  </si>
  <si>
    <t>SM490</t>
    <phoneticPr fontId="3"/>
  </si>
  <si>
    <t>1) 仮定荷重</t>
    <rPh sb="3" eb="5">
      <t>カテイ</t>
    </rPh>
    <rPh sb="5" eb="7">
      <t>カジュウ</t>
    </rPh>
    <phoneticPr fontId="3"/>
  </si>
  <si>
    <t>W=</t>
    <phoneticPr fontId="3"/>
  </si>
  <si>
    <t>kN/m</t>
    <phoneticPr fontId="3"/>
  </si>
  <si>
    <t>M=</t>
    <phoneticPr fontId="3"/>
  </si>
  <si>
    <t>kN･m</t>
    <phoneticPr fontId="3"/>
  </si>
  <si>
    <t>Q=</t>
    <phoneticPr fontId="3"/>
  </si>
  <si>
    <t>材質</t>
    <rPh sb="0" eb="2">
      <t>ザイシツ</t>
    </rPh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</si>
  <si>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</si>
  <si>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>3) 根太の算定（@450）</t>
    <rPh sb="3" eb="5">
      <t>ネダ</t>
    </rPh>
    <phoneticPr fontId="3"/>
  </si>
  <si>
    <t>6.1.3.螺旋階段</t>
    <rPh sb="6" eb="8">
      <t>ラセン</t>
    </rPh>
    <rPh sb="8" eb="10">
      <t>カイダン</t>
    </rPh>
    <phoneticPr fontId="3"/>
  </si>
  <si>
    <t>3) 受け柱の算定</t>
    <rPh sb="3" eb="4">
      <t>ウ</t>
    </rPh>
    <rPh sb="5" eb="6">
      <t>ハシラ</t>
    </rPh>
    <rPh sb="7" eb="9">
      <t>サンテイ</t>
    </rPh>
    <phoneticPr fontId="4"/>
  </si>
  <si>
    <t>6.3.折板(屋根)の検討</t>
    <rPh sb="4" eb="5">
      <t>オ</t>
    </rPh>
    <rPh sb="5" eb="6">
      <t>イタ</t>
    </rPh>
    <rPh sb="7" eb="9">
      <t>ヤネ</t>
    </rPh>
    <rPh sb="11" eb="13">
      <t>ケントウ</t>
    </rPh>
    <phoneticPr fontId="4"/>
  </si>
  <si>
    <r>
      <t>mm</t>
    </r>
    <r>
      <rPr>
        <vertAlign val="superscript"/>
        <sz val="9"/>
        <rFont val="ＭＳ 明朝"/>
        <family val="1"/>
        <charset val="128"/>
      </rPr>
      <t>2</t>
    </r>
    <phoneticPr fontId="3"/>
  </si>
  <si>
    <t>kN･m</t>
    <phoneticPr fontId="4"/>
  </si>
  <si>
    <t>Lx=</t>
    <phoneticPr fontId="4"/>
  </si>
  <si>
    <t>Ly=</t>
    <phoneticPr fontId="4"/>
  </si>
  <si>
    <t>Ix</t>
    <phoneticPr fontId="6"/>
  </si>
  <si>
    <t>Iy</t>
    <phoneticPr fontId="6"/>
  </si>
  <si>
    <r>
      <t>i</t>
    </r>
    <r>
      <rPr>
        <sz val="9"/>
        <rFont val="ＭＳ 明朝"/>
        <family val="1"/>
        <charset val="128"/>
      </rPr>
      <t>x</t>
    </r>
    <phoneticPr fontId="3"/>
  </si>
  <si>
    <r>
      <t>i</t>
    </r>
    <r>
      <rPr>
        <sz val="9"/>
        <rFont val="ＭＳ 明朝"/>
        <family val="1"/>
        <charset val="128"/>
      </rPr>
      <t>y</t>
    </r>
    <phoneticPr fontId="3"/>
  </si>
  <si>
    <t>im</t>
    <phoneticPr fontId="6"/>
  </si>
  <si>
    <r>
      <t>Z</t>
    </r>
    <r>
      <rPr>
        <sz val="9"/>
        <rFont val="ＭＳ 明朝"/>
        <family val="1"/>
        <charset val="128"/>
      </rPr>
      <t>x</t>
    </r>
    <phoneticPr fontId="3"/>
  </si>
  <si>
    <r>
      <t>Z</t>
    </r>
    <r>
      <rPr>
        <sz val="9"/>
        <rFont val="ＭＳ 明朝"/>
        <family val="1"/>
        <charset val="128"/>
      </rPr>
      <t>y</t>
    </r>
    <phoneticPr fontId="3"/>
  </si>
  <si>
    <r>
      <t>Z</t>
    </r>
    <r>
      <rPr>
        <sz val="9"/>
        <rFont val="ＭＳ 明朝"/>
        <family val="1"/>
        <charset val="128"/>
      </rPr>
      <t>px</t>
    </r>
    <phoneticPr fontId="3"/>
  </si>
  <si>
    <r>
      <t>Z</t>
    </r>
    <r>
      <rPr>
        <sz val="9"/>
        <rFont val="ＭＳ 明朝"/>
        <family val="1"/>
        <charset val="128"/>
      </rPr>
      <t>py</t>
    </r>
    <phoneticPr fontId="3"/>
  </si>
  <si>
    <t>C</t>
    <phoneticPr fontId="6"/>
  </si>
  <si>
    <r>
      <t>H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-</t>
    </r>
    <phoneticPr fontId="6"/>
  </si>
  <si>
    <r>
      <t>H</t>
    </r>
    <r>
      <rPr>
        <sz val="9"/>
        <rFont val="ＭＳ 明朝"/>
        <family val="1"/>
        <charset val="128"/>
      </rPr>
      <t>y-</t>
    </r>
    <phoneticPr fontId="3"/>
  </si>
  <si>
    <t>BCR-</t>
    <phoneticPr fontId="3"/>
  </si>
  <si>
    <t>BCR-</t>
    <phoneticPr fontId="3"/>
  </si>
  <si>
    <t>BCR-</t>
    <phoneticPr fontId="3"/>
  </si>
  <si>
    <t>BCP-</t>
    <phoneticPr fontId="3"/>
  </si>
  <si>
    <t>BCP-</t>
    <phoneticPr fontId="3"/>
  </si>
  <si>
    <t>BCP-</t>
    <phoneticPr fontId="3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</si>
  <si>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</si>
  <si>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</si>
  <si>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</si>
  <si>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t>BCR-</t>
    <phoneticPr fontId="3"/>
  </si>
  <si>
    <t>BCR-</t>
    <phoneticPr fontId="3"/>
  </si>
  <si>
    <t>BCR-</t>
    <phoneticPr fontId="3"/>
  </si>
  <si>
    <t>BCR-</t>
    <phoneticPr fontId="3"/>
  </si>
  <si>
    <t>BCR-</t>
    <phoneticPr fontId="3"/>
  </si>
  <si>
    <t>BCR-</t>
    <phoneticPr fontId="3"/>
  </si>
  <si>
    <t>BCR-</t>
    <phoneticPr fontId="3"/>
  </si>
  <si>
    <t>BCR-</t>
    <phoneticPr fontId="3"/>
  </si>
  <si>
    <t>BCR-</t>
    <phoneticPr fontId="3"/>
  </si>
  <si>
    <t>BCP-</t>
    <phoneticPr fontId="3"/>
  </si>
  <si>
    <t>BCP-</t>
    <phoneticPr fontId="3"/>
  </si>
  <si>
    <t>BCP-</t>
    <phoneticPr fontId="3"/>
  </si>
  <si>
    <t>BCP-</t>
    <phoneticPr fontId="3"/>
  </si>
  <si>
    <t>BCP-</t>
    <phoneticPr fontId="3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</si>
  <si>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</si>
  <si>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</si>
  <si>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</si>
  <si>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</si>
  <si>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</si>
  <si>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 xml:space="preserve">C </t>
    </r>
    <r>
      <rPr>
        <sz val="9"/>
        <rFont val="ＭＳ 明朝"/>
        <family val="1"/>
        <charset val="128"/>
      </rPr>
      <t>-</t>
    </r>
    <phoneticPr fontId="6"/>
  </si>
  <si>
    <r>
      <t>L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-</t>
    </r>
    <phoneticPr fontId="4"/>
  </si>
  <si>
    <r>
      <t>C</t>
    </r>
    <r>
      <rPr>
        <sz val="9"/>
        <rFont val="ＭＳ 明朝"/>
        <family val="1"/>
        <charset val="128"/>
      </rPr>
      <t>HN-</t>
    </r>
    <phoneticPr fontId="4"/>
  </si>
  <si>
    <r>
      <t>K</t>
    </r>
    <r>
      <rPr>
        <sz val="9"/>
        <rFont val="ＭＳ 明朝"/>
        <family val="1"/>
        <charset val="128"/>
      </rPr>
      <t>P</t>
    </r>
    <r>
      <rPr>
        <sz val="9"/>
        <rFont val="ＭＳ 明朝"/>
        <family val="1"/>
        <charset val="128"/>
      </rPr>
      <t>-</t>
    </r>
    <phoneticPr fontId="6"/>
  </si>
  <si>
    <r>
      <t>*</t>
    </r>
    <r>
      <rPr>
        <sz val="9"/>
        <rFont val="ＭＳ 明朝"/>
        <family val="1"/>
        <charset val="128"/>
      </rPr>
      <t>*******************</t>
    </r>
    <phoneticPr fontId="3"/>
  </si>
  <si>
    <t>size up</t>
    <phoneticPr fontId="3"/>
  </si>
  <si>
    <r>
      <t>A(mm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4"/>
  </si>
  <si>
    <r>
      <t>φ(mm</t>
    </r>
    <r>
      <rPr>
        <sz val="9"/>
        <rFont val="ＭＳ 明朝"/>
        <family val="1"/>
        <charset val="128"/>
      </rPr>
      <t>)</t>
    </r>
    <phoneticPr fontId="4"/>
  </si>
  <si>
    <t>Ｄ(mm)</t>
    <phoneticPr fontId="4"/>
  </si>
  <si>
    <r>
      <t>D</t>
    </r>
    <r>
      <rPr>
        <sz val="9"/>
        <rFont val="ＭＳ 明朝"/>
        <family val="1"/>
        <charset val="128"/>
      </rPr>
      <t>10</t>
    </r>
    <phoneticPr fontId="3"/>
  </si>
  <si>
    <r>
      <t>D</t>
    </r>
    <r>
      <rPr>
        <sz val="9"/>
        <rFont val="ＭＳ 明朝"/>
        <family val="1"/>
        <charset val="128"/>
      </rPr>
      <t>10･13</t>
    </r>
    <phoneticPr fontId="3"/>
  </si>
  <si>
    <r>
      <t>D</t>
    </r>
    <r>
      <rPr>
        <sz val="9"/>
        <rFont val="ＭＳ 明朝"/>
        <family val="1"/>
        <charset val="128"/>
      </rPr>
      <t>13</t>
    </r>
    <phoneticPr fontId="3"/>
  </si>
  <si>
    <r>
      <t>D</t>
    </r>
    <r>
      <rPr>
        <sz val="9"/>
        <rFont val="ＭＳ 明朝"/>
        <family val="1"/>
        <charset val="128"/>
      </rPr>
      <t>13･16</t>
    </r>
    <phoneticPr fontId="3"/>
  </si>
  <si>
    <r>
      <t>D</t>
    </r>
    <r>
      <rPr>
        <sz val="9"/>
        <rFont val="ＭＳ 明朝"/>
        <family val="1"/>
        <charset val="128"/>
      </rPr>
      <t>16</t>
    </r>
    <phoneticPr fontId="3"/>
  </si>
  <si>
    <r>
      <t>D</t>
    </r>
    <r>
      <rPr>
        <sz val="9"/>
        <rFont val="ＭＳ 明朝"/>
        <family val="1"/>
        <charset val="128"/>
      </rPr>
      <t>16･19</t>
    </r>
    <phoneticPr fontId="3"/>
  </si>
  <si>
    <t>D19</t>
    <phoneticPr fontId="3"/>
  </si>
  <si>
    <r>
      <t>D</t>
    </r>
    <r>
      <rPr>
        <sz val="9"/>
        <rFont val="ＭＳ 明朝"/>
        <family val="1"/>
        <charset val="128"/>
      </rPr>
      <t>19･22</t>
    </r>
    <phoneticPr fontId="3"/>
  </si>
  <si>
    <t>D22</t>
    <phoneticPr fontId="3"/>
  </si>
  <si>
    <r>
      <t>D</t>
    </r>
    <r>
      <rPr>
        <sz val="9"/>
        <rFont val="ＭＳ 明朝"/>
        <family val="1"/>
        <charset val="128"/>
      </rPr>
      <t>22･25</t>
    </r>
    <phoneticPr fontId="3"/>
  </si>
  <si>
    <t>D25</t>
    <phoneticPr fontId="3"/>
  </si>
  <si>
    <r>
      <t>D2</t>
    </r>
    <r>
      <rPr>
        <sz val="9"/>
        <rFont val="ＭＳ 明朝"/>
        <family val="1"/>
        <charset val="128"/>
      </rPr>
      <t>9</t>
    </r>
    <phoneticPr fontId="3"/>
  </si>
  <si>
    <r>
      <t>D</t>
    </r>
    <r>
      <rPr>
        <sz val="9"/>
        <rFont val="ＭＳ 明朝"/>
        <family val="1"/>
        <charset val="128"/>
      </rPr>
      <t>32</t>
    </r>
    <phoneticPr fontId="3"/>
  </si>
  <si>
    <r>
      <t>D</t>
    </r>
    <r>
      <rPr>
        <sz val="9"/>
        <rFont val="ＭＳ 明朝"/>
        <family val="1"/>
        <charset val="128"/>
      </rPr>
      <t>35</t>
    </r>
    <phoneticPr fontId="3"/>
  </si>
  <si>
    <r>
      <t>D</t>
    </r>
    <r>
      <rPr>
        <sz val="9"/>
        <rFont val="ＭＳ 明朝"/>
        <family val="1"/>
        <charset val="128"/>
      </rPr>
      <t>38</t>
    </r>
    <phoneticPr fontId="3"/>
  </si>
  <si>
    <r>
      <t>D</t>
    </r>
    <r>
      <rPr>
        <sz val="9"/>
        <rFont val="ＭＳ 明朝"/>
        <family val="1"/>
        <charset val="128"/>
      </rPr>
      <t>41</t>
    </r>
    <phoneticPr fontId="3"/>
  </si>
  <si>
    <t>4φ</t>
    <phoneticPr fontId="3"/>
  </si>
  <si>
    <t>5φ</t>
    <phoneticPr fontId="3"/>
  </si>
  <si>
    <t>6φ</t>
    <phoneticPr fontId="3"/>
  </si>
  <si>
    <t>7φ</t>
    <phoneticPr fontId="3"/>
  </si>
  <si>
    <t>8φ</t>
    <phoneticPr fontId="3"/>
  </si>
  <si>
    <t>9φ</t>
    <phoneticPr fontId="3"/>
  </si>
  <si>
    <r>
      <t>1</t>
    </r>
    <r>
      <rPr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φ</t>
    </r>
    <phoneticPr fontId="3"/>
  </si>
  <si>
    <r>
      <t>1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φ</t>
    </r>
    <phoneticPr fontId="3"/>
  </si>
  <si>
    <t>SK-1型(0.4)</t>
    <rPh sb="4" eb="5">
      <t>カタ</t>
    </rPh>
    <phoneticPr fontId="3"/>
  </si>
  <si>
    <t>SK-1型(0.5)</t>
    <phoneticPr fontId="3"/>
  </si>
  <si>
    <t>SK-1型(0.6)</t>
    <phoneticPr fontId="3"/>
  </si>
  <si>
    <t>SK-2型(0.5)</t>
    <phoneticPr fontId="3"/>
  </si>
  <si>
    <t>SK-2型(0.6)</t>
    <phoneticPr fontId="3"/>
  </si>
  <si>
    <t>SK-3型(0.4)</t>
    <rPh sb="4" eb="5">
      <t>カタ</t>
    </rPh>
    <phoneticPr fontId="3"/>
  </si>
  <si>
    <t>SK-3型(0.6)</t>
    <phoneticPr fontId="3"/>
  </si>
  <si>
    <t>SK-3型(0.5)</t>
    <phoneticPr fontId="3"/>
  </si>
  <si>
    <t>SK-4型(0.4)</t>
    <rPh sb="4" eb="5">
      <t>カタ</t>
    </rPh>
    <phoneticPr fontId="3"/>
  </si>
  <si>
    <t>SK-4型(0.5)</t>
    <phoneticPr fontId="3"/>
  </si>
  <si>
    <t>SK-4型(0.6)</t>
    <phoneticPr fontId="3"/>
  </si>
  <si>
    <t>SK-4型(0.8)</t>
    <phoneticPr fontId="3"/>
  </si>
  <si>
    <t>SK-5型(0.35)</t>
    <rPh sb="4" eb="5">
      <t>カタ</t>
    </rPh>
    <phoneticPr fontId="3"/>
  </si>
  <si>
    <t>SK-5型(0.4)</t>
    <rPh sb="4" eb="5">
      <t>カタ</t>
    </rPh>
    <phoneticPr fontId="3"/>
  </si>
  <si>
    <t>SK-5型(0.5)</t>
    <phoneticPr fontId="3"/>
  </si>
  <si>
    <t>SK-6型(0.4)</t>
    <rPh sb="4" eb="5">
      <t>カタ</t>
    </rPh>
    <phoneticPr fontId="3"/>
  </si>
  <si>
    <t>SK-6型(0.5)</t>
    <phoneticPr fontId="3"/>
  </si>
  <si>
    <t>SK-6型(0.6)</t>
    <phoneticPr fontId="3"/>
  </si>
  <si>
    <t>h=25</t>
    <phoneticPr fontId="3"/>
  </si>
  <si>
    <t>h=30</t>
    <phoneticPr fontId="3"/>
  </si>
  <si>
    <t>h=20</t>
    <phoneticPr fontId="3"/>
  </si>
  <si>
    <t>h=40</t>
    <phoneticPr fontId="3"/>
  </si>
  <si>
    <t>h=16</t>
    <phoneticPr fontId="3"/>
  </si>
  <si>
    <t>h=15</t>
    <phoneticPr fontId="3"/>
  </si>
  <si>
    <t>MD式サイディング t=0.5</t>
    <phoneticPr fontId="3"/>
  </si>
  <si>
    <t>計算用</t>
    <rPh sb="0" eb="3">
      <t>ケイサンヨウ</t>
    </rPh>
    <phoneticPr fontId="3"/>
  </si>
  <si>
    <t>正圧</t>
    <rPh sb="0" eb="1">
      <t>セイ</t>
    </rPh>
    <rPh sb="1" eb="2">
      <t>アツ</t>
    </rPh>
    <phoneticPr fontId="3"/>
  </si>
  <si>
    <t>負圧</t>
    <rPh sb="0" eb="2">
      <t>フアツ</t>
    </rPh>
    <phoneticPr fontId="3"/>
  </si>
  <si>
    <t>ヨドルーフ166ハゼ(0.6)</t>
    <phoneticPr fontId="3"/>
  </si>
  <si>
    <t>ヨドルーフ166ハゼ(1.0)</t>
    <phoneticPr fontId="3"/>
  </si>
  <si>
    <t>ヨドルーフ88(0.6)</t>
    <phoneticPr fontId="3"/>
  </si>
  <si>
    <t>ヨドルーフ88(1.0)</t>
    <phoneticPr fontId="3"/>
  </si>
  <si>
    <t>ヨドルーフ88(1.2)</t>
    <phoneticPr fontId="3"/>
  </si>
  <si>
    <t>B=333</t>
    <phoneticPr fontId="3"/>
  </si>
  <si>
    <t xml:space="preserve"> 　〃</t>
    <phoneticPr fontId="3"/>
  </si>
  <si>
    <t>B=500</t>
    <phoneticPr fontId="3"/>
  </si>
  <si>
    <t>三晃 ルーフデッキ(0.6)</t>
    <phoneticPr fontId="3"/>
  </si>
  <si>
    <t>三晃 ルーフデッキ(0.8)</t>
    <phoneticPr fontId="3"/>
  </si>
  <si>
    <t>三晃 ルーフデッキ(1.0)</t>
    <phoneticPr fontId="3"/>
  </si>
  <si>
    <t>三晃 丸馳Ⅰ(0.8)</t>
    <rPh sb="0" eb="1">
      <t>サン</t>
    </rPh>
    <rPh sb="1" eb="2">
      <t>コウ</t>
    </rPh>
    <rPh sb="3" eb="5">
      <t>マルハゼ</t>
    </rPh>
    <phoneticPr fontId="3"/>
  </si>
  <si>
    <t>三晃 丸馳Ⅰ(1.0)</t>
    <rPh sb="0" eb="1">
      <t>サン</t>
    </rPh>
    <rPh sb="1" eb="2">
      <t>コウ</t>
    </rPh>
    <rPh sb="3" eb="5">
      <t>マルハゼ</t>
    </rPh>
    <phoneticPr fontId="3"/>
  </si>
  <si>
    <t>三晃 丸馳Ⅱ(0.8)</t>
    <rPh sb="0" eb="1">
      <t>サン</t>
    </rPh>
    <rPh sb="1" eb="2">
      <t>コウ</t>
    </rPh>
    <rPh sb="3" eb="5">
      <t>マルハゼ</t>
    </rPh>
    <phoneticPr fontId="3"/>
  </si>
  <si>
    <t>三晃 丸馳Ⅱ(1.0)</t>
    <rPh sb="0" eb="1">
      <t>サン</t>
    </rPh>
    <rPh sb="1" eb="2">
      <t>コウ</t>
    </rPh>
    <rPh sb="3" eb="5">
      <t>マルハゼ</t>
    </rPh>
    <phoneticPr fontId="3"/>
  </si>
  <si>
    <t>レジノロック160ハゼ333(1.0)</t>
    <phoneticPr fontId="3"/>
  </si>
  <si>
    <t>レジノロック160ハゼ500(0.8)</t>
    <phoneticPr fontId="3"/>
  </si>
  <si>
    <t>レジノロック160ハゼ500(1.0)</t>
    <phoneticPr fontId="3"/>
  </si>
  <si>
    <t>レジノルーフ86(0.5)</t>
    <phoneticPr fontId="3"/>
  </si>
  <si>
    <t>レジノルーフ86(0.6)</t>
    <phoneticPr fontId="3"/>
  </si>
  <si>
    <t>レジノルーフ86(0.8)</t>
    <phoneticPr fontId="3"/>
  </si>
  <si>
    <t>レジノルーフ86(1.0)</t>
    <phoneticPr fontId="3"/>
  </si>
  <si>
    <t>ボルトハシアキ</t>
    <phoneticPr fontId="3"/>
  </si>
  <si>
    <t>自動切断</t>
    <rPh sb="0" eb="2">
      <t>ジドウ</t>
    </rPh>
    <rPh sb="2" eb="4">
      <t>セツダン</t>
    </rPh>
    <phoneticPr fontId="3"/>
  </si>
  <si>
    <t>ガス切断他</t>
    <rPh sb="2" eb="4">
      <t>セツダン</t>
    </rPh>
    <rPh sb="4" eb="5">
      <t>ホカ</t>
    </rPh>
    <phoneticPr fontId="3"/>
  </si>
  <si>
    <t>レジノロック160ハゼ333(0.8)</t>
    <phoneticPr fontId="3"/>
  </si>
  <si>
    <t>3) 設計方針</t>
    <rPh sb="3" eb="5">
      <t>セッケイ</t>
    </rPh>
    <rPh sb="5" eb="7">
      <t>ホウシン</t>
    </rPh>
    <phoneticPr fontId="3"/>
  </si>
  <si>
    <t>・応力計算方法は、下記による。</t>
    <rPh sb="1" eb="3">
      <t>オウリョク</t>
    </rPh>
    <rPh sb="3" eb="5">
      <t>ケイサン</t>
    </rPh>
    <rPh sb="5" eb="7">
      <t>ホウホウ</t>
    </rPh>
    <rPh sb="9" eb="11">
      <t>カキ</t>
    </rPh>
    <phoneticPr fontId="3"/>
  </si>
  <si>
    <t>・折板の断面性能は、正圧用および負圧用の断面性能の小さい方を用いる。</t>
    <rPh sb="1" eb="2">
      <t>オ</t>
    </rPh>
    <rPh sb="2" eb="3">
      <t>イタ</t>
    </rPh>
    <rPh sb="4" eb="6">
      <t>ダンメン</t>
    </rPh>
    <rPh sb="6" eb="8">
      <t>セイノウ</t>
    </rPh>
    <rPh sb="10" eb="11">
      <t>セイ</t>
    </rPh>
    <rPh sb="11" eb="12">
      <t>アツ</t>
    </rPh>
    <rPh sb="12" eb="13">
      <t>ヨウ</t>
    </rPh>
    <rPh sb="16" eb="18">
      <t>フアツ</t>
    </rPh>
    <rPh sb="18" eb="19">
      <t>ヨウ</t>
    </rPh>
    <rPh sb="20" eb="22">
      <t>ダンメン</t>
    </rPh>
    <rPh sb="22" eb="24">
      <t>セイノウ</t>
    </rPh>
    <rPh sb="25" eb="26">
      <t>チイ</t>
    </rPh>
    <rPh sb="28" eb="29">
      <t>ホウ</t>
    </rPh>
    <rPh sb="30" eb="31">
      <t>モチ</t>
    </rPh>
    <phoneticPr fontId="3"/>
  </si>
  <si>
    <r>
      <t>W(</t>
    </r>
    <r>
      <rPr>
        <sz val="6"/>
        <rFont val="ＭＳ 明朝"/>
        <family val="1"/>
        <charset val="128"/>
      </rPr>
      <t>kg/m2</t>
    </r>
    <r>
      <rPr>
        <sz val="9"/>
        <rFont val="ＭＳ 明朝"/>
        <family val="1"/>
        <charset val="128"/>
      </rPr>
      <t>)</t>
    </r>
    <phoneticPr fontId="3"/>
  </si>
  <si>
    <t>重量</t>
    <rPh sb="0" eb="2">
      <t>ジュウリョウ</t>
    </rPh>
    <phoneticPr fontId="3"/>
  </si>
  <si>
    <t>ヨドルーフ88(0.5)</t>
    <phoneticPr fontId="3"/>
  </si>
  <si>
    <t>Z</t>
    <phoneticPr fontId="4"/>
  </si>
  <si>
    <t>I</t>
    <phoneticPr fontId="4"/>
  </si>
  <si>
    <t>W</t>
    <phoneticPr fontId="4"/>
  </si>
  <si>
    <r>
      <t>F</t>
    </r>
    <r>
      <rPr>
        <sz val="9"/>
        <rFont val="ＭＳ 明朝"/>
        <family val="1"/>
        <charset val="128"/>
      </rPr>
      <t>B19x3</t>
    </r>
    <phoneticPr fontId="4"/>
  </si>
  <si>
    <r>
      <t>F</t>
    </r>
    <r>
      <rPr>
        <sz val="9"/>
        <rFont val="ＭＳ 明朝"/>
        <family val="1"/>
        <charset val="128"/>
      </rPr>
      <t>B19x4.5</t>
    </r>
    <phoneticPr fontId="4"/>
  </si>
  <si>
    <r>
      <t>F</t>
    </r>
    <r>
      <rPr>
        <sz val="9"/>
        <rFont val="ＭＳ 明朝"/>
        <family val="1"/>
        <charset val="128"/>
      </rPr>
      <t>B25x3</t>
    </r>
    <phoneticPr fontId="4"/>
  </si>
  <si>
    <t>FB25x4.5</t>
    <phoneticPr fontId="4"/>
  </si>
  <si>
    <r>
      <t>F</t>
    </r>
    <r>
      <rPr>
        <sz val="9"/>
        <rFont val="ＭＳ 明朝"/>
        <family val="1"/>
        <charset val="128"/>
      </rPr>
      <t>B32x3</t>
    </r>
    <phoneticPr fontId="4"/>
  </si>
  <si>
    <r>
      <t>I</t>
    </r>
    <r>
      <rPr>
        <sz val="9"/>
        <rFont val="ＭＳ 明朝"/>
        <family val="1"/>
        <charset val="128"/>
      </rPr>
      <t>B32x5x3</t>
    </r>
    <phoneticPr fontId="4"/>
  </si>
  <si>
    <r>
      <t>F</t>
    </r>
    <r>
      <rPr>
        <sz val="9"/>
        <rFont val="ＭＳ 明朝"/>
        <family val="1"/>
        <charset val="128"/>
      </rPr>
      <t>B38x3</t>
    </r>
    <phoneticPr fontId="4"/>
  </si>
  <si>
    <r>
      <t>I</t>
    </r>
    <r>
      <rPr>
        <sz val="9"/>
        <rFont val="ＭＳ 明朝"/>
        <family val="1"/>
        <charset val="128"/>
      </rPr>
      <t>B38x5x3</t>
    </r>
    <phoneticPr fontId="4"/>
  </si>
  <si>
    <t>IB44x5x3</t>
    <phoneticPr fontId="4"/>
  </si>
  <si>
    <t>グレーチング</t>
    <phoneticPr fontId="3"/>
  </si>
  <si>
    <t>積載</t>
    <rPh sb="0" eb="2">
      <t>セキサイ</t>
    </rPh>
    <phoneticPr fontId="3"/>
  </si>
  <si>
    <t>§．６　諸検討</t>
    <rPh sb="4" eb="5">
      <t>ショ</t>
    </rPh>
    <rPh sb="5" eb="7">
      <t>ケントウ</t>
    </rPh>
    <phoneticPr fontId="4"/>
  </si>
  <si>
    <r>
      <t>1</t>
    </r>
    <r>
      <rPr>
        <sz val="9"/>
        <rFont val="ＭＳ 明朝"/>
        <family val="1"/>
        <charset val="128"/>
      </rPr>
      <t xml:space="preserve">) </t>
    </r>
    <r>
      <rPr>
        <sz val="9"/>
        <rFont val="ＭＳ 明朝"/>
        <family val="1"/>
        <charset val="128"/>
      </rPr>
      <t>使用材料</t>
    </r>
    <phoneticPr fontId="4"/>
  </si>
  <si>
    <r>
      <t>a</t>
    </r>
    <r>
      <rPr>
        <sz val="9"/>
        <rFont val="ＭＳ 明朝"/>
        <family val="1"/>
        <charset val="128"/>
      </rPr>
      <t xml:space="preserve">) </t>
    </r>
    <r>
      <rPr>
        <sz val="9"/>
        <rFont val="ＭＳ 明朝"/>
        <family val="1"/>
        <charset val="128"/>
      </rPr>
      <t>ｺﾝｸﾘｰﾄ</t>
    </r>
    <phoneticPr fontId="4"/>
  </si>
  <si>
    <t>Fc21</t>
    <phoneticPr fontId="6"/>
  </si>
  <si>
    <r>
      <t>Lfs</t>
    </r>
    <r>
      <rPr>
        <sz val="9"/>
        <rFont val="ＭＳ 明朝"/>
        <family val="1"/>
        <charset val="128"/>
      </rPr>
      <t>=</t>
    </r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</si>
  <si>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</si>
  <si>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r>
      <t>sfs</t>
    </r>
    <r>
      <rPr>
        <sz val="9"/>
        <rFont val="ＭＳ 明朝"/>
        <family val="1"/>
        <charset val="128"/>
      </rPr>
      <t>=</t>
    </r>
    <phoneticPr fontId="4"/>
  </si>
  <si>
    <r>
      <t>Fc2</t>
    </r>
    <r>
      <rPr>
        <sz val="9"/>
        <rFont val="ＭＳ 明朝"/>
        <family val="1"/>
        <charset val="128"/>
      </rPr>
      <t>4</t>
    </r>
    <phoneticPr fontId="6"/>
  </si>
  <si>
    <r>
      <t>Fc2</t>
    </r>
    <r>
      <rPr>
        <sz val="9"/>
        <rFont val="ＭＳ 明朝"/>
        <family val="1"/>
        <charset val="128"/>
      </rPr>
      <t>7</t>
    </r>
    <phoneticPr fontId="6"/>
  </si>
  <si>
    <r>
      <t>b</t>
    </r>
    <r>
      <rPr>
        <sz val="9"/>
        <rFont val="ＭＳ 明朝"/>
        <family val="1"/>
        <charset val="128"/>
      </rPr>
      <t xml:space="preserve">) </t>
    </r>
    <r>
      <rPr>
        <sz val="9"/>
        <rFont val="ＭＳ 明朝"/>
        <family val="1"/>
        <charset val="128"/>
      </rPr>
      <t>鉄 筋</t>
    </r>
    <phoneticPr fontId="4"/>
  </si>
  <si>
    <r>
      <t>D</t>
    </r>
    <r>
      <rPr>
        <sz val="9"/>
        <rFont val="ＭＳ 明朝"/>
        <family val="1"/>
        <charset val="128"/>
      </rPr>
      <t>16&lt;</t>
    </r>
    <phoneticPr fontId="4"/>
  </si>
  <si>
    <t>SD295</t>
    <phoneticPr fontId="4"/>
  </si>
  <si>
    <r>
      <t>Lf</t>
    </r>
    <r>
      <rPr>
        <sz val="9"/>
        <rFont val="ＭＳ 明朝"/>
        <family val="1"/>
        <charset val="128"/>
      </rPr>
      <t>t</t>
    </r>
    <r>
      <rPr>
        <sz val="9"/>
        <rFont val="ＭＳ 明朝"/>
        <family val="1"/>
        <charset val="128"/>
      </rPr>
      <t>=</t>
    </r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</si>
  <si>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</si>
  <si>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r>
      <t>sf</t>
    </r>
    <r>
      <rPr>
        <sz val="9"/>
        <rFont val="ＭＳ 明朝"/>
        <family val="1"/>
        <charset val="128"/>
      </rPr>
      <t>t</t>
    </r>
    <r>
      <rPr>
        <sz val="9"/>
        <rFont val="ＭＳ 明朝"/>
        <family val="1"/>
        <charset val="128"/>
      </rPr>
      <t>=</t>
    </r>
    <phoneticPr fontId="4"/>
  </si>
  <si>
    <r>
      <t>D</t>
    </r>
    <r>
      <rPr>
        <sz val="9"/>
        <rFont val="ＭＳ 明朝"/>
        <family val="1"/>
        <charset val="128"/>
      </rPr>
      <t>19&gt;</t>
    </r>
    <phoneticPr fontId="4"/>
  </si>
  <si>
    <r>
      <t>S</t>
    </r>
    <r>
      <rPr>
        <sz val="9"/>
        <rFont val="ＭＳ 明朝"/>
        <family val="1"/>
        <charset val="128"/>
      </rPr>
      <t>D345</t>
    </r>
    <phoneticPr fontId="4"/>
  </si>
  <si>
    <r>
      <t>2</t>
    </r>
    <r>
      <rPr>
        <sz val="9"/>
        <rFont val="ＭＳ 明朝"/>
        <family val="1"/>
        <charset val="128"/>
      </rPr>
      <t xml:space="preserve">) </t>
    </r>
    <r>
      <rPr>
        <sz val="9"/>
        <rFont val="ＭＳ 明朝"/>
        <family val="1"/>
        <charset val="128"/>
      </rPr>
      <t>設計方針</t>
    </r>
    <rPh sb="3" eb="5">
      <t>セッケイ</t>
    </rPh>
    <rPh sb="5" eb="7">
      <t>ホウシン</t>
    </rPh>
    <phoneticPr fontId="4"/>
  </si>
  <si>
    <r>
      <t>3</t>
    </r>
    <r>
      <rPr>
        <sz val="9"/>
        <rFont val="ＭＳ 明朝"/>
        <family val="1"/>
        <charset val="128"/>
      </rPr>
      <t>) 断面算定</t>
    </r>
    <rPh sb="3" eb="5">
      <t>ダンメン</t>
    </rPh>
    <rPh sb="5" eb="7">
      <t>サンテイ</t>
    </rPh>
    <phoneticPr fontId="4"/>
  </si>
  <si>
    <t>　ｺﾝｸﾘｰﾄ</t>
    <phoneticPr fontId="4"/>
  </si>
  <si>
    <t>Fc24</t>
    <phoneticPr fontId="4"/>
  </si>
  <si>
    <t>fs=</t>
    <phoneticPr fontId="3"/>
  </si>
  <si>
    <r>
      <t>N</t>
    </r>
    <r>
      <rPr>
        <sz val="9"/>
        <rFont val="ＭＳ 明朝"/>
        <family val="1"/>
        <charset val="128"/>
      </rPr>
      <t>/mm</t>
    </r>
    <r>
      <rPr>
        <vertAlign val="superscript"/>
        <sz val="9"/>
        <rFont val="ＭＳ 明朝"/>
        <family val="1"/>
        <charset val="128"/>
      </rPr>
      <t>2</t>
    </r>
    <phoneticPr fontId="4"/>
  </si>
  <si>
    <t>　鉄　筋</t>
    <rPh sb="1" eb="2">
      <t>テツ</t>
    </rPh>
    <rPh sb="3" eb="4">
      <t>スジ</t>
    </rPh>
    <phoneticPr fontId="4"/>
  </si>
  <si>
    <t>SD295</t>
    <phoneticPr fontId="4"/>
  </si>
  <si>
    <t>ft=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</si>
  <si>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</si>
  <si>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t>応力算定</t>
    <rPh sb="0" eb="2">
      <t>オウリョク</t>
    </rPh>
    <rPh sb="2" eb="4">
      <t>サンテイ</t>
    </rPh>
    <phoneticPr fontId="4"/>
  </si>
  <si>
    <r>
      <t>k</t>
    </r>
    <r>
      <rPr>
        <sz val="9"/>
        <rFont val="ＭＳ 明朝"/>
        <family val="1"/>
        <charset val="128"/>
      </rPr>
      <t>N</t>
    </r>
    <phoneticPr fontId="4"/>
  </si>
  <si>
    <t>断面算定</t>
    <rPh sb="0" eb="2">
      <t>ダンメン</t>
    </rPh>
    <rPh sb="2" eb="4">
      <t>サンテイ</t>
    </rPh>
    <phoneticPr fontId="4"/>
  </si>
  <si>
    <r>
      <t>t</t>
    </r>
    <r>
      <rPr>
        <sz val="9"/>
        <rFont val="ＭＳ 明朝"/>
        <family val="1"/>
        <charset val="128"/>
      </rPr>
      <t>=</t>
    </r>
    <phoneticPr fontId="4"/>
  </si>
  <si>
    <r>
      <t>m</t>
    </r>
    <r>
      <rPr>
        <sz val="9"/>
        <rFont val="ＭＳ 明朝"/>
        <family val="1"/>
        <charset val="128"/>
      </rPr>
      <t>m</t>
    </r>
    <phoneticPr fontId="4"/>
  </si>
  <si>
    <r>
      <t>d</t>
    </r>
    <r>
      <rPr>
        <sz val="9"/>
        <rFont val="ＭＳ 明朝"/>
        <family val="1"/>
        <charset val="128"/>
      </rPr>
      <t>=</t>
    </r>
    <phoneticPr fontId="4"/>
  </si>
  <si>
    <t>j=</t>
    <phoneticPr fontId="4"/>
  </si>
  <si>
    <t>mm</t>
    <phoneticPr fontId="4"/>
  </si>
  <si>
    <r>
      <t>a</t>
    </r>
    <r>
      <rPr>
        <sz val="9"/>
        <rFont val="ＭＳ 明朝"/>
        <family val="1"/>
        <charset val="128"/>
      </rPr>
      <t>t=</t>
    </r>
    <phoneticPr fontId="4"/>
  </si>
  <si>
    <r>
      <t>mm</t>
    </r>
    <r>
      <rPr>
        <vertAlign val="superscript"/>
        <sz val="9"/>
        <rFont val="ＭＳ 明朝"/>
        <family val="1"/>
        <charset val="128"/>
      </rPr>
      <t>2</t>
    </r>
    <phoneticPr fontId="4"/>
  </si>
  <si>
    <t>ato=</t>
    <phoneticPr fontId="4"/>
  </si>
  <si>
    <r>
      <t>a</t>
    </r>
    <r>
      <rPr>
        <sz val="9"/>
        <rFont val="ＭＳ 明朝"/>
        <family val="1"/>
        <charset val="128"/>
      </rPr>
      <t>t/ato=</t>
    </r>
    <phoneticPr fontId="4"/>
  </si>
  <si>
    <t>τ=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</si>
  <si>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</si>
  <si>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t>τ/fs=</t>
    <phoneticPr fontId="4"/>
  </si>
  <si>
    <t>ＫＫルーフ・ハゼⅢ型(0.6)</t>
    <rPh sb="9" eb="10">
      <t>カタ</t>
    </rPh>
    <phoneticPr fontId="3"/>
  </si>
  <si>
    <t>ＫＫルーフ・ハゼⅢ型(0.8)</t>
    <rPh sb="9" eb="10">
      <t>カタ</t>
    </rPh>
    <phoneticPr fontId="3"/>
  </si>
  <si>
    <t>ＫＫルーフ・ハゼⅢ型(0.5)</t>
    <rPh sb="9" eb="10">
      <t>カタ</t>
    </rPh>
    <phoneticPr fontId="3"/>
  </si>
  <si>
    <t>ヨドルーフ166ハゼ(0.8)</t>
    <phoneticPr fontId="3"/>
  </si>
  <si>
    <t>ヨドルーフ88(0.8)</t>
    <phoneticPr fontId="3"/>
  </si>
  <si>
    <t>ヨドルーフ88(0.8)</t>
    <phoneticPr fontId="4"/>
  </si>
  <si>
    <t>柱ジョイントピースの設計</t>
    <rPh sb="0" eb="1">
      <t>ハシラ</t>
    </rPh>
    <rPh sb="10" eb="12">
      <t>セッケイ</t>
    </rPh>
    <phoneticPr fontId="4"/>
  </si>
  <si>
    <t>仮定荷重</t>
    <rPh sb="0" eb="2">
      <t>カテイ</t>
    </rPh>
    <rPh sb="2" eb="4">
      <t>カジュウ</t>
    </rPh>
    <phoneticPr fontId="4"/>
  </si>
  <si>
    <t>鉄骨フレーム</t>
    <rPh sb="0" eb="2">
      <t>テッコツ</t>
    </rPh>
    <phoneticPr fontId="4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</si>
  <si>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4"/>
  </si>
  <si>
    <t>施工時積載荷重</t>
    <rPh sb="0" eb="2">
      <t>セコウ</t>
    </rPh>
    <rPh sb="2" eb="3">
      <t>ジ</t>
    </rPh>
    <rPh sb="3" eb="5">
      <t>セキサイ</t>
    </rPh>
    <rPh sb="5" eb="7">
      <t>カジュウ</t>
    </rPh>
    <phoneticPr fontId="4"/>
  </si>
  <si>
    <t>DL=</t>
    <phoneticPr fontId="4"/>
  </si>
  <si>
    <t>LL=</t>
    <phoneticPr fontId="4"/>
  </si>
  <si>
    <t>TL=</t>
    <phoneticPr fontId="4"/>
  </si>
  <si>
    <t>負担面積</t>
    <rPh sb="0" eb="2">
      <t>フタン</t>
    </rPh>
    <rPh sb="2" eb="4">
      <t>メンセキ</t>
    </rPh>
    <phoneticPr fontId="4"/>
  </si>
  <si>
    <t>施工時軸力の算定</t>
    <rPh sb="0" eb="2">
      <t>セコウ</t>
    </rPh>
    <rPh sb="2" eb="3">
      <t>ジ</t>
    </rPh>
    <rPh sb="3" eb="4">
      <t>ジク</t>
    </rPh>
    <rPh sb="4" eb="5">
      <t>リョク</t>
    </rPh>
    <rPh sb="6" eb="8">
      <t>サンテイ</t>
    </rPh>
    <phoneticPr fontId="4"/>
  </si>
  <si>
    <t>m</t>
    <phoneticPr fontId="4"/>
  </si>
  <si>
    <t>層数</t>
    <rPh sb="0" eb="1">
      <t>ソウ</t>
    </rPh>
    <phoneticPr fontId="4"/>
  </si>
  <si>
    <t>n =</t>
    <phoneticPr fontId="4"/>
  </si>
  <si>
    <t>N =</t>
    <phoneticPr fontId="4"/>
  </si>
  <si>
    <t>ジョイントピース箇所数</t>
    <rPh sb="8" eb="10">
      <t>カショ</t>
    </rPh>
    <rPh sb="10" eb="11">
      <t>スウ</t>
    </rPh>
    <phoneticPr fontId="4"/>
  </si>
  <si>
    <t>P=N/n=</t>
    <phoneticPr fontId="4"/>
  </si>
  <si>
    <t>Me=</t>
    <phoneticPr fontId="4"/>
  </si>
  <si>
    <t>Q =</t>
    <phoneticPr fontId="4"/>
  </si>
  <si>
    <t>GPL-</t>
    <phoneticPr fontId="4"/>
  </si>
  <si>
    <r>
      <t>cm</t>
    </r>
    <r>
      <rPr>
        <vertAlign val="superscript"/>
        <sz val="9"/>
        <rFont val="ＭＳ 明朝"/>
        <family val="1"/>
        <charset val="128"/>
      </rPr>
      <t>2</t>
    </r>
    <phoneticPr fontId="4"/>
  </si>
  <si>
    <t>Ze=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</si>
  <si>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</si>
  <si>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t>σ/f=</t>
    <phoneticPr fontId="4"/>
  </si>
  <si>
    <t>τ/fs=</t>
    <phoneticPr fontId="4"/>
  </si>
  <si>
    <r>
      <t>√((σ/f)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+3･(τ/fs)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)=</t>
    </r>
    <phoneticPr fontId="4"/>
  </si>
  <si>
    <t>母材</t>
    <rPh sb="0" eb="2">
      <t>ボザイ</t>
    </rPh>
    <phoneticPr fontId="4"/>
  </si>
  <si>
    <t>Q/(n･Qo)=</t>
    <phoneticPr fontId="4"/>
  </si>
  <si>
    <t>1.5･Qo=</t>
    <phoneticPr fontId="4"/>
  </si>
  <si>
    <t>2SPL-</t>
    <phoneticPr fontId="4"/>
  </si>
  <si>
    <t>Ao=</t>
    <phoneticPr fontId="4"/>
  </si>
  <si>
    <t>λ=</t>
    <phoneticPr fontId="4"/>
  </si>
  <si>
    <t>σc=P/Ao=</t>
    <phoneticPr fontId="4"/>
  </si>
  <si>
    <t>σt=P/Ae=</t>
    <phoneticPr fontId="4"/>
  </si>
  <si>
    <t>σc/fc=</t>
    <phoneticPr fontId="4"/>
  </si>
  <si>
    <t>σt/ft=</t>
    <phoneticPr fontId="4"/>
  </si>
  <si>
    <t>SM490</t>
    <phoneticPr fontId="4"/>
  </si>
  <si>
    <t>-M20</t>
    <phoneticPr fontId="4"/>
  </si>
  <si>
    <t>1)使用材料</t>
    <phoneticPr fontId="4"/>
  </si>
  <si>
    <t>鉄骨</t>
    <phoneticPr fontId="3"/>
  </si>
  <si>
    <t>SS400</t>
    <phoneticPr fontId="3"/>
  </si>
  <si>
    <t>F =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</si>
  <si>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</si>
  <si>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 xml:space="preserve">  Λ=</t>
    <phoneticPr fontId="3"/>
  </si>
  <si>
    <t>Eo=</t>
    <phoneticPr fontId="3"/>
  </si>
  <si>
    <r>
      <t>kN/mm</t>
    </r>
    <r>
      <rPr>
        <vertAlign val="superscript"/>
        <sz val="9"/>
        <rFont val="ＭＳ 明朝"/>
        <family val="1"/>
        <charset val="128"/>
      </rPr>
      <t>2</t>
    </r>
    <phoneticPr fontId="3"/>
  </si>
  <si>
    <t>SM490</t>
    <phoneticPr fontId="3"/>
  </si>
  <si>
    <t>HTB</t>
    <phoneticPr fontId="4"/>
  </si>
  <si>
    <t>F10T</t>
    <phoneticPr fontId="4"/>
  </si>
  <si>
    <t>M16</t>
  </si>
  <si>
    <t>Ab=</t>
    <phoneticPr fontId="4"/>
  </si>
  <si>
    <t>1Qa=</t>
    <phoneticPr fontId="4"/>
  </si>
  <si>
    <t>kN</t>
    <phoneticPr fontId="4"/>
  </si>
  <si>
    <t>2Qa=</t>
    <phoneticPr fontId="4"/>
  </si>
  <si>
    <t>d =</t>
    <phoneticPr fontId="4"/>
  </si>
  <si>
    <t>M20</t>
  </si>
  <si>
    <t>M22</t>
  </si>
  <si>
    <t>2)設計方針</t>
    <rPh sb="2" eb="4">
      <t>セッケイ</t>
    </rPh>
    <rPh sb="4" eb="6">
      <t>ホウシン</t>
    </rPh>
    <phoneticPr fontId="3"/>
  </si>
  <si>
    <t>　・車による衝突時荷重は、下記と仮定する。</t>
    <rPh sb="6" eb="8">
      <t>ショウトツ</t>
    </rPh>
    <rPh sb="8" eb="9">
      <t>ジ</t>
    </rPh>
    <rPh sb="9" eb="11">
      <t>カジュウ</t>
    </rPh>
    <rPh sb="13" eb="15">
      <t>カキ</t>
    </rPh>
    <rPh sb="16" eb="18">
      <t>カテイ</t>
    </rPh>
    <phoneticPr fontId="3"/>
  </si>
  <si>
    <t>衝突荷重</t>
    <rPh sb="0" eb="2">
      <t>ショウトツ</t>
    </rPh>
    <rPh sb="2" eb="4">
      <t>カジュウ</t>
    </rPh>
    <phoneticPr fontId="3"/>
  </si>
  <si>
    <t>P=</t>
    <phoneticPr fontId="3"/>
  </si>
  <si>
    <t>kN</t>
    <phoneticPr fontId="3"/>
  </si>
  <si>
    <t>衝突高さ</t>
    <rPh sb="0" eb="2">
      <t>ショウトツ</t>
    </rPh>
    <rPh sb="2" eb="3">
      <t>タカ</t>
    </rPh>
    <phoneticPr fontId="3"/>
  </si>
  <si>
    <t>h=</t>
    <phoneticPr fontId="3"/>
  </si>
  <si>
    <t>mm</t>
    <phoneticPr fontId="3"/>
  </si>
  <si>
    <t>衝突幅</t>
    <rPh sb="0" eb="2">
      <t>ショウトツ</t>
    </rPh>
    <rPh sb="2" eb="3">
      <t>ハバ</t>
    </rPh>
    <phoneticPr fontId="3"/>
  </si>
  <si>
    <t>B=</t>
    <phoneticPr fontId="3"/>
  </si>
  <si>
    <t>W=</t>
    <phoneticPr fontId="3"/>
  </si>
  <si>
    <t>kN/m</t>
    <phoneticPr fontId="3"/>
  </si>
  <si>
    <t>　・転落防止柵部材の許容応力度は、終局状態を想定し、短期許容応力度x1.50 を採用する。</t>
    <rPh sb="2" eb="4">
      <t>テンラク</t>
    </rPh>
    <rPh sb="4" eb="6">
      <t>ボウシ</t>
    </rPh>
    <rPh sb="6" eb="7">
      <t>サク</t>
    </rPh>
    <rPh sb="7" eb="9">
      <t>ブザイ</t>
    </rPh>
    <rPh sb="10" eb="12">
      <t>キョヨウ</t>
    </rPh>
    <rPh sb="12" eb="14">
      <t>オウリョク</t>
    </rPh>
    <rPh sb="14" eb="15">
      <t>ド</t>
    </rPh>
    <rPh sb="17" eb="19">
      <t>シュウキョク</t>
    </rPh>
    <rPh sb="19" eb="21">
      <t>ジョウタイ</t>
    </rPh>
    <rPh sb="22" eb="24">
      <t>ソウテイ</t>
    </rPh>
    <rPh sb="26" eb="28">
      <t>タンキ</t>
    </rPh>
    <rPh sb="28" eb="30">
      <t>キョヨウ</t>
    </rPh>
    <rPh sb="30" eb="32">
      <t>オウリョク</t>
    </rPh>
    <rPh sb="32" eb="33">
      <t>ド</t>
    </rPh>
    <rPh sb="40" eb="42">
      <t>サイヨウ</t>
    </rPh>
    <phoneticPr fontId="3"/>
  </si>
  <si>
    <t>許容応力の割増</t>
    <rPh sb="0" eb="2">
      <t>キョヨウ</t>
    </rPh>
    <rPh sb="2" eb="4">
      <t>オウリョク</t>
    </rPh>
    <rPh sb="5" eb="7">
      <t>ワリマシ</t>
    </rPh>
    <phoneticPr fontId="3"/>
  </si>
  <si>
    <t>α=</t>
    <phoneticPr fontId="3"/>
  </si>
  <si>
    <t>　・転落防止材受け部材の許容応力度は、短期許容応力度とする。</t>
    <rPh sb="2" eb="4">
      <t>テンラク</t>
    </rPh>
    <rPh sb="4" eb="6">
      <t>ボウシ</t>
    </rPh>
    <rPh sb="6" eb="7">
      <t>ザイ</t>
    </rPh>
    <rPh sb="7" eb="8">
      <t>ウ</t>
    </rPh>
    <rPh sb="9" eb="11">
      <t>ブザイ</t>
    </rPh>
    <rPh sb="12" eb="14">
      <t>キョヨウ</t>
    </rPh>
    <rPh sb="14" eb="16">
      <t>オウリョク</t>
    </rPh>
    <rPh sb="16" eb="17">
      <t>ド</t>
    </rPh>
    <rPh sb="19" eb="21">
      <t>タンキ</t>
    </rPh>
    <rPh sb="21" eb="23">
      <t>キョヨウ</t>
    </rPh>
    <rPh sb="23" eb="25">
      <t>オウリョク</t>
    </rPh>
    <rPh sb="25" eb="26">
      <t>ド</t>
    </rPh>
    <phoneticPr fontId="3"/>
  </si>
  <si>
    <t>kN･m</t>
    <phoneticPr fontId="3"/>
  </si>
  <si>
    <t>H -</t>
    <phoneticPr fontId="3"/>
  </si>
  <si>
    <t xml:space="preserve"> 材質</t>
    <phoneticPr fontId="3"/>
  </si>
  <si>
    <t>,  F=</t>
    <phoneticPr fontId="3"/>
  </si>
  <si>
    <t xml:space="preserve">  Zx=</t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</si>
  <si>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</si>
  <si>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>σ=M/Zx=</t>
    <phoneticPr fontId="3"/>
  </si>
  <si>
    <t>継手の検討</t>
    <rPh sb="0" eb="1">
      <t>ツギ</t>
    </rPh>
    <rPh sb="1" eb="2">
      <t>テ</t>
    </rPh>
    <rPh sb="3" eb="5">
      <t>ケントウ</t>
    </rPh>
    <phoneticPr fontId="4"/>
  </si>
  <si>
    <t>材質:</t>
    <rPh sb="0" eb="2">
      <t>ザイシツ</t>
    </rPh>
    <phoneticPr fontId="3"/>
  </si>
  <si>
    <t>Qa=</t>
    <phoneticPr fontId="3"/>
  </si>
  <si>
    <t>ρ=N/(1.5Qa･m･n)=</t>
    <phoneticPr fontId="4"/>
  </si>
  <si>
    <t>GPL-</t>
    <phoneticPr fontId="3"/>
  </si>
  <si>
    <t>Ae=</t>
    <phoneticPr fontId="3"/>
  </si>
  <si>
    <t>σc/(1.5･fs)=</t>
    <phoneticPr fontId="4"/>
  </si>
  <si>
    <t>P</t>
    <phoneticPr fontId="3"/>
  </si>
  <si>
    <t>追突荷重</t>
    <rPh sb="0" eb="2">
      <t>ツイトツ</t>
    </rPh>
    <rPh sb="2" eb="4">
      <t>カジュウ</t>
    </rPh>
    <phoneticPr fontId="3"/>
  </si>
  <si>
    <t>Mx=</t>
    <phoneticPr fontId="3"/>
  </si>
  <si>
    <t>Qx=</t>
    <phoneticPr fontId="3"/>
  </si>
  <si>
    <t>梁自重</t>
    <rPh sb="0" eb="1">
      <t>ハリ</t>
    </rPh>
    <rPh sb="1" eb="3">
      <t>ジジュウ</t>
    </rPh>
    <phoneticPr fontId="3"/>
  </si>
  <si>
    <t>My=</t>
    <phoneticPr fontId="3"/>
  </si>
  <si>
    <t>Qy=</t>
    <phoneticPr fontId="3"/>
  </si>
  <si>
    <t>Λ=</t>
  </si>
  <si>
    <t xml:space="preserve">  Zy=</t>
    <phoneticPr fontId="3"/>
  </si>
  <si>
    <t>座屈止め n=</t>
    <rPh sb="0" eb="2">
      <t>ザクツ</t>
    </rPh>
    <rPh sb="2" eb="3">
      <t>ド</t>
    </rPh>
    <phoneticPr fontId="3"/>
  </si>
  <si>
    <t>Lb=</t>
    <phoneticPr fontId="3"/>
  </si>
  <si>
    <t>ib=</t>
    <phoneticPr fontId="3"/>
  </si>
  <si>
    <t>λb=</t>
    <phoneticPr fontId="4"/>
  </si>
  <si>
    <t>fbx=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</si>
  <si>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</si>
  <si>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t>fby=</t>
    <phoneticPr fontId="4"/>
  </si>
  <si>
    <t>σx/(1.5･fb)=</t>
    <phoneticPr fontId="3"/>
  </si>
  <si>
    <t>σy/(1.5･fb)=</t>
    <phoneticPr fontId="3"/>
  </si>
  <si>
    <t>Σσ/f=</t>
    <phoneticPr fontId="3"/>
  </si>
  <si>
    <t>Ae=</t>
    <phoneticPr fontId="3"/>
  </si>
  <si>
    <r>
      <t>mm</t>
    </r>
    <r>
      <rPr>
        <vertAlign val="superscript"/>
        <sz val="9"/>
        <rFont val="ＭＳ 明朝"/>
        <family val="1"/>
        <charset val="128"/>
      </rPr>
      <t>2</t>
    </r>
    <phoneticPr fontId="3"/>
  </si>
  <si>
    <t>σc/(1.5･fs)=</t>
    <phoneticPr fontId="4"/>
  </si>
  <si>
    <t>SS400</t>
    <phoneticPr fontId="3"/>
  </si>
  <si>
    <t>L=</t>
    <phoneticPr fontId="3"/>
  </si>
  <si>
    <t>mm</t>
    <phoneticPr fontId="3"/>
  </si>
  <si>
    <t>6.1.転落防止壁の算定</t>
    <rPh sb="4" eb="6">
      <t>テンラク</t>
    </rPh>
    <rPh sb="6" eb="8">
      <t>ボウシ</t>
    </rPh>
    <rPh sb="8" eb="9">
      <t>カベ</t>
    </rPh>
    <rPh sb="10" eb="12">
      <t>サンテイ</t>
    </rPh>
    <phoneticPr fontId="4"/>
  </si>
  <si>
    <t>a) 転落防止壁</t>
    <rPh sb="3" eb="5">
      <t>テンラク</t>
    </rPh>
    <rPh sb="5" eb="7">
      <t>ボウシ</t>
    </rPh>
    <rPh sb="7" eb="8">
      <t>カベ</t>
    </rPh>
    <phoneticPr fontId="4"/>
  </si>
  <si>
    <r>
      <t xml:space="preserve">P </t>
    </r>
    <r>
      <rPr>
        <sz val="9"/>
        <rFont val="ＭＳ 明朝"/>
        <family val="1"/>
        <charset val="128"/>
      </rPr>
      <t>=</t>
    </r>
    <phoneticPr fontId="4"/>
  </si>
  <si>
    <r>
      <t xml:space="preserve">M </t>
    </r>
    <r>
      <rPr>
        <sz val="9"/>
        <rFont val="ＭＳ 明朝"/>
        <family val="1"/>
        <charset val="128"/>
      </rPr>
      <t>=</t>
    </r>
    <phoneticPr fontId="4"/>
  </si>
  <si>
    <t>kN/m</t>
    <phoneticPr fontId="4"/>
  </si>
  <si>
    <t>c) その他</t>
    <rPh sb="5" eb="6">
      <t>タ</t>
    </rPh>
    <phoneticPr fontId="4"/>
  </si>
  <si>
    <t>被り厚</t>
    <rPh sb="0" eb="1">
      <t>カブ</t>
    </rPh>
    <rPh sb="2" eb="3">
      <t>アツ</t>
    </rPh>
    <phoneticPr fontId="4"/>
  </si>
  <si>
    <t>t=</t>
    <phoneticPr fontId="4"/>
  </si>
  <si>
    <t>mm</t>
    <phoneticPr fontId="4"/>
  </si>
  <si>
    <t>D16-@75</t>
    <phoneticPr fontId="4"/>
  </si>
  <si>
    <t>母材の検討</t>
    <rPh sb="0" eb="2">
      <t>ボザイ</t>
    </rPh>
    <rPh sb="3" eb="5">
      <t>ケントウ</t>
    </rPh>
    <phoneticPr fontId="3"/>
  </si>
  <si>
    <t>【 H34 】</t>
    <phoneticPr fontId="3"/>
  </si>
  <si>
    <t>　・転落防止束材受け部材の許容応力度は、短期許容応力度とする。</t>
    <rPh sb="2" eb="4">
      <t>テンラク</t>
    </rPh>
    <rPh sb="4" eb="6">
      <t>ボウシ</t>
    </rPh>
    <rPh sb="6" eb="7">
      <t>ツカ</t>
    </rPh>
    <rPh sb="7" eb="8">
      <t>ザイ</t>
    </rPh>
    <rPh sb="8" eb="9">
      <t>ウ</t>
    </rPh>
    <rPh sb="10" eb="12">
      <t>ブザイ</t>
    </rPh>
    <rPh sb="13" eb="15">
      <t>キョヨウ</t>
    </rPh>
    <rPh sb="15" eb="17">
      <t>オウリョク</t>
    </rPh>
    <rPh sb="17" eb="18">
      <t>ド</t>
    </rPh>
    <rPh sb="20" eb="22">
      <t>タンキ</t>
    </rPh>
    <rPh sb="22" eb="24">
      <t>キョヨウ</t>
    </rPh>
    <rPh sb="24" eb="26">
      <t>オウリョク</t>
    </rPh>
    <rPh sb="26" eb="27">
      <t>ド</t>
    </rPh>
    <phoneticPr fontId="3"/>
  </si>
  <si>
    <t>6.1.転落防止柵の設計</t>
    <rPh sb="4" eb="6">
      <t>テンラク</t>
    </rPh>
    <rPh sb="6" eb="8">
      <t>ボウシ</t>
    </rPh>
    <rPh sb="8" eb="9">
      <t>サク</t>
    </rPh>
    <rPh sb="10" eb="12">
      <t>セッケイ</t>
    </rPh>
    <phoneticPr fontId="3"/>
  </si>
  <si>
    <t>【 H294 】</t>
    <phoneticPr fontId="3"/>
  </si>
  <si>
    <t>3)間柱の検討</t>
    <rPh sb="2" eb="3">
      <t>マ</t>
    </rPh>
    <rPh sb="3" eb="4">
      <t>ハシラ</t>
    </rPh>
    <rPh sb="5" eb="7">
      <t>ケントウ</t>
    </rPh>
    <phoneticPr fontId="3"/>
  </si>
  <si>
    <t>P'=</t>
    <phoneticPr fontId="3"/>
  </si>
  <si>
    <t>kN</t>
    <phoneticPr fontId="3"/>
  </si>
  <si>
    <t>M=</t>
    <phoneticPr fontId="3"/>
  </si>
  <si>
    <t>kN･m</t>
    <phoneticPr fontId="3"/>
  </si>
  <si>
    <t>Q=</t>
    <phoneticPr fontId="3"/>
  </si>
  <si>
    <t>kN</t>
    <phoneticPr fontId="3"/>
  </si>
  <si>
    <t>W=</t>
    <phoneticPr fontId="3"/>
  </si>
  <si>
    <t>N=</t>
    <phoneticPr fontId="3"/>
  </si>
  <si>
    <t>H -</t>
    <phoneticPr fontId="3"/>
  </si>
  <si>
    <t xml:space="preserve"> 材質</t>
    <phoneticPr fontId="3"/>
  </si>
  <si>
    <t>,  F=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</si>
  <si>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</si>
  <si>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 xml:space="preserve">  Zx=</t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</si>
  <si>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</si>
  <si>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 xml:space="preserve">  A=</t>
    <phoneticPr fontId="3"/>
  </si>
  <si>
    <r>
      <t>cm</t>
    </r>
    <r>
      <rPr>
        <vertAlign val="superscript"/>
        <sz val="9"/>
        <rFont val="ＭＳ 明朝"/>
        <family val="1"/>
        <charset val="128"/>
      </rPr>
      <t>2</t>
    </r>
    <phoneticPr fontId="3"/>
  </si>
  <si>
    <t>Lb=</t>
    <phoneticPr fontId="3"/>
  </si>
  <si>
    <t>mm</t>
    <phoneticPr fontId="3"/>
  </si>
  <si>
    <t>ib=</t>
    <phoneticPr fontId="3"/>
  </si>
  <si>
    <t>λb=</t>
    <phoneticPr fontId="4"/>
  </si>
  <si>
    <t>fb=</t>
    <phoneticPr fontId="4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</si>
  <si>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4"/>
  </si>
  <si>
    <t>Lx=</t>
    <phoneticPr fontId="3"/>
  </si>
  <si>
    <t>ix=</t>
    <phoneticPr fontId="3"/>
  </si>
  <si>
    <t>λx=</t>
    <phoneticPr fontId="4"/>
  </si>
  <si>
    <t>fc=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</si>
  <si>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</si>
  <si>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>Ly=</t>
    <phoneticPr fontId="3"/>
  </si>
  <si>
    <t>mm</t>
    <phoneticPr fontId="3"/>
  </si>
  <si>
    <t>iy=</t>
    <phoneticPr fontId="3"/>
  </si>
  <si>
    <t>λy=</t>
    <phoneticPr fontId="4"/>
  </si>
  <si>
    <t>fc=</t>
    <phoneticPr fontId="3"/>
  </si>
  <si>
    <t>σb/(1.5･fb)=</t>
    <phoneticPr fontId="3"/>
  </si>
  <si>
    <r>
      <t>kN/mm</t>
    </r>
    <r>
      <rPr>
        <vertAlign val="superscript"/>
        <sz val="9"/>
        <rFont val="ＭＳ 明朝"/>
        <family val="1"/>
        <charset val="128"/>
      </rPr>
      <t>2</t>
    </r>
    <phoneticPr fontId="3"/>
  </si>
  <si>
    <t>σc/(1.5･fc)=</t>
    <phoneticPr fontId="3"/>
  </si>
  <si>
    <r>
      <t>kN/mm</t>
    </r>
    <r>
      <rPr>
        <vertAlign val="superscript"/>
        <sz val="9"/>
        <rFont val="ＭＳ 明朝"/>
        <family val="1"/>
        <charset val="128"/>
      </rPr>
      <t>2</t>
    </r>
    <phoneticPr fontId="3"/>
  </si>
  <si>
    <t>Σσ/f=</t>
    <phoneticPr fontId="3"/>
  </si>
  <si>
    <t>2x1</t>
    <phoneticPr fontId="4"/>
  </si>
  <si>
    <t>Qa=</t>
    <phoneticPr fontId="3"/>
  </si>
  <si>
    <t>kN</t>
    <phoneticPr fontId="3"/>
  </si>
  <si>
    <t>Qx/(1.5Qa･m･n)=</t>
    <phoneticPr fontId="4"/>
  </si>
  <si>
    <t>F =</t>
    <phoneticPr fontId="3"/>
  </si>
  <si>
    <t>Ae=</t>
    <phoneticPr fontId="3"/>
  </si>
  <si>
    <r>
      <t>mm</t>
    </r>
    <r>
      <rPr>
        <vertAlign val="superscript"/>
        <sz val="9"/>
        <rFont val="ＭＳ 明朝"/>
        <family val="1"/>
        <charset val="128"/>
      </rPr>
      <t>2</t>
    </r>
    <phoneticPr fontId="3"/>
  </si>
  <si>
    <t>τ/(1.5･fs)=</t>
    <phoneticPr fontId="4"/>
  </si>
  <si>
    <t>F10T</t>
    <phoneticPr fontId="3"/>
  </si>
  <si>
    <t>SS400</t>
    <phoneticPr fontId="3"/>
  </si>
  <si>
    <t>間柱自重</t>
    <rPh sb="0" eb="1">
      <t>マ</t>
    </rPh>
    <rPh sb="1" eb="2">
      <t>ハシラ</t>
    </rPh>
    <rPh sb="2" eb="4">
      <t>ジジュウ</t>
    </rPh>
    <phoneticPr fontId="3"/>
  </si>
  <si>
    <t>kN/m</t>
    <phoneticPr fontId="3"/>
  </si>
  <si>
    <t>kN/m</t>
    <phoneticPr fontId="3"/>
  </si>
  <si>
    <t>3x1</t>
    <phoneticPr fontId="4"/>
  </si>
  <si>
    <t>-M20</t>
    <phoneticPr fontId="3"/>
  </si>
  <si>
    <t>b)RF:EX2-3,5-6</t>
    <phoneticPr fontId="3"/>
  </si>
  <si>
    <t>c)2-RF EX1:EY1-3,EX2:EY2-3,EX6:EY2-3,EX7:EY1-3</t>
    <phoneticPr fontId="3"/>
  </si>
  <si>
    <t>2-6F【 P244 】</t>
    <phoneticPr fontId="3"/>
  </si>
  <si>
    <t>転落防止柵の追加検討</t>
    <rPh sb="0" eb="2">
      <t>テンラク</t>
    </rPh>
    <rPh sb="2" eb="4">
      <t>ボウシ</t>
    </rPh>
    <rPh sb="4" eb="5">
      <t>サク</t>
    </rPh>
    <rPh sb="6" eb="8">
      <t>ツイカ</t>
    </rPh>
    <rPh sb="8" eb="10">
      <t>ケントウ</t>
    </rPh>
    <phoneticPr fontId="3"/>
  </si>
  <si>
    <t>1.共通事項</t>
    <rPh sb="2" eb="4">
      <t>キョウツウ</t>
    </rPh>
    <rPh sb="4" eb="6">
      <t>ジコウ</t>
    </rPh>
    <phoneticPr fontId="3"/>
  </si>
  <si>
    <t>2.転落防止柵</t>
    <rPh sb="2" eb="4">
      <t>テンラク</t>
    </rPh>
    <rPh sb="4" eb="6">
      <t>ボウシ</t>
    </rPh>
    <rPh sb="6" eb="7">
      <t>サク</t>
    </rPh>
    <phoneticPr fontId="3"/>
  </si>
  <si>
    <t>1)間柱の検討</t>
    <rPh sb="2" eb="3">
      <t>マ</t>
    </rPh>
    <rPh sb="3" eb="4">
      <t>ハシラ</t>
    </rPh>
    <rPh sb="5" eb="7">
      <t>ケントウ</t>
    </rPh>
    <phoneticPr fontId="3"/>
  </si>
  <si>
    <t>2-6F【 P298 】</t>
    <phoneticPr fontId="3"/>
  </si>
  <si>
    <t>F8T</t>
    <phoneticPr fontId="4"/>
  </si>
  <si>
    <t>2)支柱の検討</t>
    <rPh sb="2" eb="4">
      <t>シチュウ</t>
    </rPh>
    <rPh sb="5" eb="7">
      <t>ケントウ</t>
    </rPh>
    <phoneticPr fontId="3"/>
  </si>
  <si>
    <t>1)一台当たりの駐車スペースは、2.4ｍで支柱間配置は2.7ｍ以下なので、荷重タイプⅡで検討する。</t>
    <rPh sb="2" eb="4">
      <t>イチダイ</t>
    </rPh>
    <rPh sb="4" eb="5">
      <t>ア</t>
    </rPh>
    <rPh sb="8" eb="10">
      <t>チュウシャ</t>
    </rPh>
    <rPh sb="21" eb="22">
      <t>シ</t>
    </rPh>
    <rPh sb="22" eb="23">
      <t>バシラ</t>
    </rPh>
    <rPh sb="23" eb="24">
      <t>カン</t>
    </rPh>
    <rPh sb="24" eb="26">
      <t>ハイチ</t>
    </rPh>
    <rPh sb="31" eb="33">
      <t>イカ</t>
    </rPh>
    <rPh sb="37" eb="39">
      <t>カジュウ</t>
    </rPh>
    <rPh sb="44" eb="46">
      <t>ケントウ</t>
    </rPh>
    <phoneticPr fontId="3"/>
  </si>
  <si>
    <t>M</t>
    <phoneticPr fontId="3"/>
  </si>
  <si>
    <t>3)ガードレールの設計</t>
    <rPh sb="9" eb="11">
      <t>セッケイ</t>
    </rPh>
    <phoneticPr fontId="3"/>
  </si>
  <si>
    <t>M12</t>
    <phoneticPr fontId="3"/>
  </si>
  <si>
    <t>4)受け梁の設計</t>
    <rPh sb="2" eb="3">
      <t>ウ</t>
    </rPh>
    <rPh sb="4" eb="5">
      <t>ハリ</t>
    </rPh>
    <rPh sb="6" eb="8">
      <t>セッケイ</t>
    </rPh>
    <phoneticPr fontId="3"/>
  </si>
  <si>
    <t>M</t>
    <phoneticPr fontId="3"/>
  </si>
  <si>
    <t>Q</t>
    <phoneticPr fontId="3"/>
  </si>
  <si>
    <t>2x2</t>
    <phoneticPr fontId="4"/>
  </si>
  <si>
    <t>-M20</t>
    <phoneticPr fontId="3"/>
  </si>
  <si>
    <t>d=</t>
    <phoneticPr fontId="3"/>
  </si>
  <si>
    <t>n=</t>
    <phoneticPr fontId="3"/>
  </si>
  <si>
    <t>m=</t>
    <phoneticPr fontId="3"/>
  </si>
  <si>
    <t>Zx=</t>
    <phoneticPr fontId="3"/>
  </si>
  <si>
    <r>
      <t>cm</t>
    </r>
    <r>
      <rPr>
        <vertAlign val="superscript"/>
        <sz val="9"/>
        <rFont val="ＭＳ 明朝"/>
        <family val="1"/>
        <charset val="128"/>
      </rPr>
      <t>2</t>
    </r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</si>
  <si>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</si>
  <si>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>∑M=M+Q*h/2＝</t>
    <phoneticPr fontId="3"/>
  </si>
  <si>
    <t>∑Q=((M/L)^2+Q^2)^0.5=</t>
    <phoneticPr fontId="3"/>
  </si>
  <si>
    <t>σ=∑M/Zx=</t>
    <phoneticPr fontId="3"/>
  </si>
  <si>
    <t xml:space="preserve">  Qd=∑M/d*n+∑Q/n/m=</t>
    <phoneticPr fontId="3"/>
  </si>
  <si>
    <t>σ=∑M/Zx+∑Q/Ae=</t>
    <phoneticPr fontId="3"/>
  </si>
  <si>
    <t>-M16</t>
    <phoneticPr fontId="3"/>
  </si>
  <si>
    <t>1x2</t>
    <phoneticPr fontId="4"/>
  </si>
  <si>
    <t>鉄骨</t>
    <phoneticPr fontId="3"/>
  </si>
  <si>
    <t>SS400</t>
    <phoneticPr fontId="3"/>
  </si>
  <si>
    <t>ft=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</si>
  <si>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</si>
  <si>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 xml:space="preserve">  Λ=</t>
    <phoneticPr fontId="3"/>
  </si>
  <si>
    <t>Eo=</t>
    <phoneticPr fontId="3"/>
  </si>
  <si>
    <r>
      <t>kN/mm</t>
    </r>
    <r>
      <rPr>
        <vertAlign val="superscript"/>
        <sz val="9"/>
        <rFont val="ＭＳ 明朝"/>
        <family val="1"/>
        <charset val="128"/>
      </rPr>
      <t>2</t>
    </r>
    <phoneticPr fontId="3"/>
  </si>
  <si>
    <t>SM490</t>
    <phoneticPr fontId="3"/>
  </si>
  <si>
    <t>STK400</t>
    <phoneticPr fontId="4"/>
  </si>
  <si>
    <t>DL</t>
    <phoneticPr fontId="3"/>
  </si>
  <si>
    <t>LL</t>
    <phoneticPr fontId="3"/>
  </si>
  <si>
    <t>TL</t>
    <phoneticPr fontId="3"/>
  </si>
  <si>
    <t>2) 段板の算定</t>
    <phoneticPr fontId="3"/>
  </si>
  <si>
    <t>W=</t>
    <phoneticPr fontId="3"/>
  </si>
  <si>
    <t>kN/m</t>
    <phoneticPr fontId="3"/>
  </si>
  <si>
    <t>M=</t>
    <phoneticPr fontId="3"/>
  </si>
  <si>
    <t>kN･m</t>
    <phoneticPr fontId="3"/>
  </si>
  <si>
    <t>Q=</t>
    <phoneticPr fontId="3"/>
  </si>
  <si>
    <t>kN</t>
    <phoneticPr fontId="3"/>
  </si>
  <si>
    <t>PL-</t>
    <phoneticPr fontId="3"/>
  </si>
  <si>
    <t>SS400</t>
    <phoneticPr fontId="3"/>
  </si>
  <si>
    <t>Ie=</t>
    <phoneticPr fontId="3"/>
  </si>
  <si>
    <r>
      <t>cm</t>
    </r>
    <r>
      <rPr>
        <vertAlign val="superscript"/>
        <sz val="9"/>
        <rFont val="ＭＳ 明朝"/>
        <family val="1"/>
        <charset val="128"/>
      </rPr>
      <t>4</t>
    </r>
    <phoneticPr fontId="3"/>
  </si>
  <si>
    <t>Ze=</t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</si>
  <si>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</si>
  <si>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>σ/f=</t>
    <phoneticPr fontId="3"/>
  </si>
  <si>
    <t>δ=</t>
    <phoneticPr fontId="3"/>
  </si>
  <si>
    <t>mm</t>
    <phoneticPr fontId="3"/>
  </si>
  <si>
    <t>(L/</t>
    <phoneticPr fontId="3"/>
  </si>
  <si>
    <t>)</t>
    <phoneticPr fontId="3"/>
  </si>
  <si>
    <t>W=</t>
    <phoneticPr fontId="3"/>
  </si>
  <si>
    <t>kN/m</t>
    <phoneticPr fontId="3"/>
  </si>
  <si>
    <t>M=</t>
    <phoneticPr fontId="3"/>
  </si>
  <si>
    <t>kN･m</t>
    <phoneticPr fontId="3"/>
  </si>
  <si>
    <t>Q=</t>
    <phoneticPr fontId="3"/>
  </si>
  <si>
    <t>kN</t>
    <phoneticPr fontId="3"/>
  </si>
  <si>
    <t>PL-</t>
    <phoneticPr fontId="3"/>
  </si>
  <si>
    <t>SS400</t>
    <phoneticPr fontId="3"/>
  </si>
  <si>
    <t>ft=</t>
    <phoneticPr fontId="3"/>
  </si>
  <si>
    <r>
      <t>N/mm</t>
    </r>
    <r>
      <rPr>
        <vertAlign val="superscript"/>
        <sz val="9"/>
        <rFont val="ＭＳ 明朝"/>
        <family val="1"/>
        <charset val="128"/>
      </rPr>
      <t>2</t>
    </r>
    <phoneticPr fontId="3"/>
  </si>
  <si>
    <t>Ie=</t>
    <phoneticPr fontId="3"/>
  </si>
  <si>
    <t>4) ササラの算定</t>
    <phoneticPr fontId="3"/>
  </si>
  <si>
    <t>M1=</t>
    <phoneticPr fontId="3"/>
  </si>
  <si>
    <t>Q1=</t>
    <phoneticPr fontId="3"/>
  </si>
  <si>
    <t>G.PL-</t>
    <phoneticPr fontId="3"/>
  </si>
  <si>
    <t>Ao=</t>
    <phoneticPr fontId="4"/>
  </si>
  <si>
    <r>
      <t>mm</t>
    </r>
    <r>
      <rPr>
        <vertAlign val="superscript"/>
        <sz val="9"/>
        <rFont val="ＭＳ 明朝"/>
        <family val="1"/>
        <charset val="128"/>
      </rPr>
      <t>2</t>
    </r>
    <phoneticPr fontId="3"/>
  </si>
  <si>
    <t>Qa=</t>
    <phoneticPr fontId="4"/>
  </si>
  <si>
    <t>kN</t>
    <phoneticPr fontId="4"/>
  </si>
  <si>
    <t>Q/Qa=</t>
    <phoneticPr fontId="4"/>
  </si>
  <si>
    <t>HTB</t>
    <phoneticPr fontId="4"/>
  </si>
  <si>
    <t>-M16</t>
    <phoneticPr fontId="4"/>
  </si>
  <si>
    <t>(F8T)</t>
    <phoneticPr fontId="4"/>
  </si>
  <si>
    <t>DL</t>
    <phoneticPr fontId="3"/>
  </si>
  <si>
    <t>2) 段板の算定</t>
    <phoneticPr fontId="3"/>
  </si>
  <si>
    <t>LL</t>
    <phoneticPr fontId="3"/>
  </si>
  <si>
    <t>TL</t>
    <phoneticPr fontId="3"/>
  </si>
  <si>
    <r>
      <t>cm</t>
    </r>
    <r>
      <rPr>
        <vertAlign val="superscript"/>
        <sz val="9"/>
        <rFont val="ＭＳ 明朝"/>
        <family val="1"/>
        <charset val="128"/>
      </rPr>
      <t>4</t>
    </r>
    <phoneticPr fontId="3"/>
  </si>
  <si>
    <t>Ze=</t>
    <phoneticPr fontId="3"/>
  </si>
  <si>
    <r>
      <t>cm</t>
    </r>
    <r>
      <rPr>
        <vertAlign val="superscript"/>
        <sz val="9"/>
        <rFont val="ＭＳ 明朝"/>
        <family val="1"/>
        <charset val="128"/>
      </rPr>
      <t>3</t>
    </r>
    <phoneticPr fontId="3"/>
  </si>
  <si>
    <t>σ/f=</t>
    <phoneticPr fontId="3"/>
  </si>
  <si>
    <t>δ=</t>
    <phoneticPr fontId="3"/>
  </si>
  <si>
    <t>mm</t>
    <phoneticPr fontId="3"/>
  </si>
  <si>
    <t>(L/</t>
    <phoneticPr fontId="3"/>
  </si>
  <si>
    <t>)</t>
    <phoneticPr fontId="3"/>
  </si>
  <si>
    <t>N=</t>
    <phoneticPr fontId="3"/>
  </si>
  <si>
    <t>STK-</t>
    <phoneticPr fontId="4"/>
  </si>
  <si>
    <t>STK400</t>
    <phoneticPr fontId="3"/>
  </si>
  <si>
    <t>A =</t>
    <phoneticPr fontId="4"/>
  </si>
  <si>
    <r>
      <t>cm</t>
    </r>
    <r>
      <rPr>
        <vertAlign val="superscript"/>
        <sz val="9"/>
        <rFont val="ＭＳ 明朝"/>
        <family val="1"/>
        <charset val="128"/>
      </rPr>
      <t>2</t>
    </r>
    <phoneticPr fontId="3"/>
  </si>
  <si>
    <t>iy=</t>
    <phoneticPr fontId="4"/>
  </si>
  <si>
    <t>cm</t>
    <phoneticPr fontId="3"/>
  </si>
  <si>
    <t xml:space="preserve">  Lc=</t>
    <phoneticPr fontId="3"/>
  </si>
  <si>
    <t xml:space="preserve">  λ=</t>
    <phoneticPr fontId="3"/>
  </si>
  <si>
    <t xml:space="preserve">  fc=</t>
    <phoneticPr fontId="3"/>
  </si>
  <si>
    <t>6.2.階段の検討</t>
    <rPh sb="7" eb="9">
      <t>ケントウ</t>
    </rPh>
    <phoneticPr fontId="3"/>
  </si>
  <si>
    <t>6.2.1.共通事項</t>
    <rPh sb="6" eb="8">
      <t>キョウツウ</t>
    </rPh>
    <rPh sb="8" eb="10">
      <t>ジコウ</t>
    </rPh>
    <phoneticPr fontId="3"/>
  </si>
  <si>
    <t>L=</t>
    <phoneticPr fontId="3"/>
  </si>
  <si>
    <t>　・HTBは最大耐力を採用する。</t>
    <rPh sb="6" eb="8">
      <t>サイダイ</t>
    </rPh>
    <rPh sb="8" eb="10">
      <t>タイリョク</t>
    </rPh>
    <rPh sb="11" eb="13">
      <t>サイヨウ</t>
    </rPh>
    <phoneticPr fontId="3"/>
  </si>
  <si>
    <t>1Qu=</t>
    <phoneticPr fontId="4"/>
  </si>
  <si>
    <t>2Qu=</t>
    <phoneticPr fontId="4"/>
  </si>
  <si>
    <t>Qu=</t>
    <phoneticPr fontId="3"/>
  </si>
  <si>
    <t>σ/(1.50･F)=</t>
    <phoneticPr fontId="4"/>
  </si>
  <si>
    <t>Qu=</t>
    <phoneticPr fontId="3"/>
  </si>
  <si>
    <t>mm</t>
    <phoneticPr fontId="3"/>
  </si>
  <si>
    <t>3x1</t>
    <phoneticPr fontId="4"/>
  </si>
  <si>
    <t>Q/Qu=</t>
    <phoneticPr fontId="4"/>
  </si>
  <si>
    <t>GPL心</t>
    <rPh sb="3" eb="4">
      <t>シン</t>
    </rPh>
    <phoneticPr fontId="3"/>
  </si>
  <si>
    <t>L1</t>
    <phoneticPr fontId="3"/>
  </si>
  <si>
    <t>L1=</t>
    <phoneticPr fontId="3"/>
  </si>
  <si>
    <t>∑M=M+Q*L1＝</t>
    <phoneticPr fontId="3"/>
  </si>
  <si>
    <t xml:space="preserve">  Qd=∑M/d*n+∑Q/n/m=</t>
    <phoneticPr fontId="3"/>
  </si>
  <si>
    <t>σ=∑M/Zx+∑Q/Ae=</t>
    <phoneticPr fontId="3"/>
  </si>
  <si>
    <t>P=</t>
    <phoneticPr fontId="3"/>
  </si>
  <si>
    <t>kN</t>
    <phoneticPr fontId="3"/>
  </si>
  <si>
    <t>h=</t>
    <phoneticPr fontId="3"/>
  </si>
  <si>
    <t>mm</t>
    <phoneticPr fontId="3"/>
  </si>
  <si>
    <t>B=</t>
    <phoneticPr fontId="3"/>
  </si>
  <si>
    <t>W=</t>
    <phoneticPr fontId="3"/>
  </si>
  <si>
    <t>kN/m</t>
    <phoneticPr fontId="3"/>
  </si>
  <si>
    <t>6.1.3.一般階50kN用転落防止柵まとめ（一般）</t>
    <rPh sb="6" eb="8">
      <t>イッパン</t>
    </rPh>
    <rPh sb="8" eb="9">
      <t>カイ</t>
    </rPh>
    <rPh sb="13" eb="14">
      <t>ヨウ</t>
    </rPh>
    <rPh sb="14" eb="16">
      <t>テンラク</t>
    </rPh>
    <rPh sb="16" eb="18">
      <t>ボウシ</t>
    </rPh>
    <rPh sb="18" eb="19">
      <t>サク</t>
    </rPh>
    <rPh sb="23" eb="25">
      <t>イッパン</t>
    </rPh>
    <phoneticPr fontId="3"/>
  </si>
  <si>
    <t>2x1</t>
    <phoneticPr fontId="4"/>
  </si>
  <si>
    <t>6.2.2.屋外階段</t>
    <rPh sb="6" eb="8">
      <t>オクガイ</t>
    </rPh>
    <rPh sb="8" eb="10">
      <t>カイダン</t>
    </rPh>
    <phoneticPr fontId="3"/>
  </si>
  <si>
    <t>5) 受梁の算定</t>
    <rPh sb="3" eb="4">
      <t>ウ</t>
    </rPh>
    <rPh sb="4" eb="5">
      <t>ハリ</t>
    </rPh>
    <phoneticPr fontId="3"/>
  </si>
  <si>
    <t>H-</t>
    <phoneticPr fontId="3"/>
  </si>
  <si>
    <t>200x100x5.5x8</t>
    <phoneticPr fontId="4"/>
  </si>
  <si>
    <t>8.2 x 50 = 410kN･mm</t>
    <phoneticPr fontId="4"/>
  </si>
  <si>
    <t>σ=</t>
    <phoneticPr fontId="3"/>
  </si>
  <si>
    <t xml:space="preserve">3.80 x 2.40 x 4.40 x 2層 /2本 = 40.2kN </t>
    <rPh sb="22" eb="23">
      <t>ソウ</t>
    </rPh>
    <rPh sb="26" eb="27">
      <t>ホン</t>
    </rPh>
    <phoneticPr fontId="4"/>
  </si>
  <si>
    <t>150x150x7x10</t>
    <phoneticPr fontId="4"/>
  </si>
  <si>
    <t>λ=</t>
    <phoneticPr fontId="3"/>
  </si>
  <si>
    <t>320 / 3.77 = 85</t>
    <phoneticPr fontId="4"/>
  </si>
  <si>
    <t>A=</t>
    <phoneticPr fontId="4"/>
  </si>
  <si>
    <t>Na=</t>
    <phoneticPr fontId="4"/>
  </si>
  <si>
    <t>N/Na=</t>
    <phoneticPr fontId="3"/>
  </si>
  <si>
    <t>6) 柱軸力の検討</t>
    <rPh sb="3" eb="4">
      <t>ハシラ</t>
    </rPh>
    <rPh sb="4" eb="5">
      <t>ジク</t>
    </rPh>
    <rPh sb="5" eb="6">
      <t>リョク</t>
    </rPh>
    <rPh sb="7" eb="9">
      <t>ケントウ</t>
    </rPh>
    <phoneticPr fontId="3"/>
  </si>
  <si>
    <t>P=</t>
    <phoneticPr fontId="4"/>
  </si>
  <si>
    <t xml:space="preserve">3.10 x 2.40 x 4.40 x 0.5 = 16.4kN </t>
    <phoneticPr fontId="4"/>
  </si>
  <si>
    <t>X方向地震時については、水平震度0.5とし、上記Pに対して</t>
    <rPh sb="1" eb="3">
      <t>ホウコウ</t>
    </rPh>
    <rPh sb="3" eb="5">
      <t>ジシン</t>
    </rPh>
    <rPh sb="5" eb="6">
      <t>ジ</t>
    </rPh>
    <rPh sb="12" eb="14">
      <t>スイヘイ</t>
    </rPh>
    <rPh sb="14" eb="16">
      <t>シンド</t>
    </rPh>
    <rPh sb="22" eb="24">
      <t>ジョウキ</t>
    </rPh>
    <rPh sb="26" eb="27">
      <t>タイ</t>
    </rPh>
    <phoneticPr fontId="4"/>
  </si>
  <si>
    <t xml:space="preserve">P /2本 = 8.2kN </t>
    <rPh sb="4" eb="5">
      <t>ホン</t>
    </rPh>
    <phoneticPr fontId="4"/>
  </si>
  <si>
    <t>7) 地震時の受梁弱軸曲げの検討</t>
    <rPh sb="3" eb="5">
      <t>ジシン</t>
    </rPh>
    <rPh sb="5" eb="6">
      <t>ジ</t>
    </rPh>
    <rPh sb="7" eb="8">
      <t>ウ</t>
    </rPh>
    <rPh sb="8" eb="9">
      <t>ハリ</t>
    </rPh>
    <rPh sb="9" eb="11">
      <t>ジャクジク</t>
    </rPh>
    <rPh sb="11" eb="12">
      <t>マ</t>
    </rPh>
    <rPh sb="14" eb="16">
      <t>ケントウ</t>
    </rPh>
    <phoneticPr fontId="3"/>
  </si>
  <si>
    <t>Zy=</t>
    <phoneticPr fontId="3"/>
  </si>
  <si>
    <t>左上図のモーメント分布を仮定し、受梁及び受梁接合PLの</t>
    <rPh sb="0" eb="2">
      <t>ヒダリウエ</t>
    </rPh>
    <rPh sb="2" eb="3">
      <t>ズ</t>
    </rPh>
    <rPh sb="9" eb="11">
      <t>ブンプ</t>
    </rPh>
    <rPh sb="12" eb="14">
      <t>カテイ</t>
    </rPh>
    <rPh sb="16" eb="17">
      <t>ウ</t>
    </rPh>
    <rPh sb="17" eb="18">
      <t>ハリ</t>
    </rPh>
    <rPh sb="18" eb="19">
      <t>オヨ</t>
    </rPh>
    <rPh sb="20" eb="21">
      <t>ウ</t>
    </rPh>
    <rPh sb="21" eb="22">
      <t>ハリ</t>
    </rPh>
    <rPh sb="22" eb="24">
      <t>セツゴウ</t>
    </rPh>
    <phoneticPr fontId="4"/>
  </si>
  <si>
    <t>弱軸曲げに対する安全を確認する。</t>
    <rPh sb="0" eb="2">
      <t>ジャクジク</t>
    </rPh>
    <rPh sb="2" eb="3">
      <t>マ</t>
    </rPh>
    <rPh sb="5" eb="6">
      <t>タイ</t>
    </rPh>
    <rPh sb="8" eb="10">
      <t>アンゼン</t>
    </rPh>
    <rPh sb="11" eb="13">
      <t>カクニン</t>
    </rPh>
    <phoneticPr fontId="4"/>
  </si>
  <si>
    <t>8.2 x 500 =4100 kN･mm</t>
    <phoneticPr fontId="4"/>
  </si>
  <si>
    <t>8) 地震時の受梁接合PLの検討</t>
    <rPh sb="3" eb="5">
      <t>ジシン</t>
    </rPh>
    <rPh sb="5" eb="6">
      <t>ジ</t>
    </rPh>
    <rPh sb="7" eb="8">
      <t>ウ</t>
    </rPh>
    <rPh sb="8" eb="9">
      <t>ハリ</t>
    </rPh>
    <rPh sb="9" eb="11">
      <t>セツゴウ</t>
    </rPh>
    <rPh sb="14" eb="16">
      <t>ケントウ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</si>
</sst>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&quot;@&quot;0"/>
  </numFmts>
  <fonts count="11" x14ac:knownFonts="1">
    <font>
      <sz val="9"/>
      <name val="ＭＳ 明朝"/>
      <family val="1"/>
      <charset val="128"/>
    </font>
    <font>
      <sz val="9"/>
      <color theme="1"/>
      <name val="ＭＳ 明朝"/>
      <family val="2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6"/>
      <name val="ＭＳ 明朝"/>
      <family val="1"/>
      <charset val="128"/>
    </font>
    <font>
      <vertAlign val="superscript"/>
      <sz val="9"/>
      <name val="ＭＳ 明朝"/>
      <family val="1"/>
      <charset val="128"/>
    </font>
    <font>
      <sz val="7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HG丸ｺﾞｼｯｸM-PRO"/>
      <family val="3"/>
      <charset val="128"/>
    </font>
    <font>
      <sz val="9"/>
      <color indexed="8"/>
      <name val="ＭＳ 明朝"/>
      <family val="1"/>
      <charset val="128"/>
    </font>
    <font>
      <sz val="9"/>
      <color theme="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38" fontId="2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2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 applyProtection="1">
      <alignment horizontal="right"/>
    </xf>
    <xf numFmtId="0" fontId="0" fillId="0" borderId="3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 applyProtection="1"/>
    <xf numFmtId="1" fontId="0" fillId="0" borderId="0" xfId="0" applyNumberFormat="1" applyBorder="1" applyAlignment="1" applyProtection="1"/>
    <xf numFmtId="177" fontId="0" fillId="0" borderId="0" xfId="0" applyNumberFormat="1" applyBorder="1" applyAlignment="1" applyProtection="1"/>
    <xf numFmtId="2" fontId="0" fillId="0" borderId="0" xfId="0" applyNumberFormat="1" applyBorder="1" applyAlignment="1" applyProtection="1"/>
    <xf numFmtId="0" fontId="0" fillId="0" borderId="0" xfId="0" applyFill="1" applyBorder="1" applyAlignment="1" applyProtection="1"/>
    <xf numFmtId="177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2" fontId="0" fillId="0" borderId="0" xfId="0" applyNumberFormat="1" applyFill="1" applyBorder="1" applyAlignment="1"/>
    <xf numFmtId="176" fontId="0" fillId="0" borderId="0" xfId="0" applyNumberFormat="1" applyBorder="1" applyAlignment="1" applyProtection="1"/>
    <xf numFmtId="0" fontId="0" fillId="0" borderId="0" xfId="0" applyFont="1" applyBorder="1" applyAlignment="1">
      <alignment horizontal="right"/>
    </xf>
    <xf numFmtId="0" fontId="0" fillId="2" borderId="0" xfId="0" applyFill="1" applyAlignment="1"/>
    <xf numFmtId="0" fontId="0" fillId="0" borderId="0" xfId="0" applyFont="1" applyBorder="1" applyAlignment="1"/>
    <xf numFmtId="177" fontId="0" fillId="0" borderId="0" xfId="0" applyNumberFormat="1" applyBorder="1" applyAlignment="1">
      <alignment horizontal="right"/>
    </xf>
    <xf numFmtId="177" fontId="0" fillId="2" borderId="0" xfId="0" applyNumberFormat="1" applyFill="1" applyBorder="1" applyAlignment="1"/>
    <xf numFmtId="0" fontId="0" fillId="0" borderId="0" xfId="0" applyNumberFormat="1" applyFont="1" applyFill="1" applyBorder="1" applyAlignment="1"/>
    <xf numFmtId="0" fontId="0" fillId="0" borderId="0" xfId="0" applyFont="1" applyBorder="1" applyAlignment="1" applyProtection="1"/>
    <xf numFmtId="0" fontId="0" fillId="0" borderId="0" xfId="0" applyFill="1" applyBorder="1" applyAlignment="1">
      <alignment horizontal="right"/>
    </xf>
    <xf numFmtId="177" fontId="0" fillId="2" borderId="0" xfId="0" applyNumberFormat="1" applyFont="1" applyFill="1" applyBorder="1" applyAlignment="1"/>
    <xf numFmtId="0" fontId="0" fillId="0" borderId="0" xfId="0" applyFill="1" applyAlignment="1"/>
    <xf numFmtId="177" fontId="0" fillId="2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0" borderId="0" xfId="0" applyFill="1" applyAlignment="1">
      <alignment horizontal="right"/>
    </xf>
    <xf numFmtId="2" fontId="0" fillId="2" borderId="0" xfId="0" applyNumberFormat="1" applyFill="1" applyBorder="1" applyAlignment="1"/>
    <xf numFmtId="2" fontId="0" fillId="0" borderId="0" xfId="0" quotePrefix="1" applyNumberFormat="1" applyFill="1" applyBorder="1" applyAlignment="1"/>
    <xf numFmtId="177" fontId="0" fillId="2" borderId="0" xfId="0" applyNumberFormat="1" applyFill="1" applyBorder="1" applyAlignment="1" applyProtection="1"/>
    <xf numFmtId="1" fontId="0" fillId="0" borderId="0" xfId="0" quotePrefix="1" applyNumberFormat="1" applyFill="1" applyBorder="1" applyAlignment="1"/>
    <xf numFmtId="2" fontId="0" fillId="0" borderId="0" xfId="0" applyNumberFormat="1" applyFill="1" applyAlignment="1"/>
    <xf numFmtId="1" fontId="0" fillId="0" borderId="0" xfId="0" applyNumberFormat="1" applyFill="1" applyAlignment="1"/>
    <xf numFmtId="2" fontId="0" fillId="0" borderId="0" xfId="0" applyNumberFormat="1" applyAlignment="1"/>
    <xf numFmtId="176" fontId="0" fillId="0" borderId="0" xfId="0" applyNumberFormat="1" applyFont="1" applyBorder="1" applyAlignment="1" applyProtection="1"/>
    <xf numFmtId="0" fontId="0" fillId="2" borderId="0" xfId="0" applyFont="1" applyFill="1" applyBorder="1" applyAlignment="1" applyProtection="1"/>
    <xf numFmtId="1" fontId="0" fillId="2" borderId="0" xfId="0" applyNumberFormat="1" applyFont="1" applyFill="1" applyBorder="1" applyAlignment="1" applyProtection="1"/>
    <xf numFmtId="1" fontId="0" fillId="0" borderId="0" xfId="0" applyNumberFormat="1" applyAlignment="1"/>
    <xf numFmtId="177" fontId="0" fillId="2" borderId="0" xfId="0" applyNumberFormat="1" applyFont="1" applyFill="1" applyBorder="1" applyAlignment="1" applyProtection="1"/>
    <xf numFmtId="177" fontId="0" fillId="0" borderId="0" xfId="0" applyNumberFormat="1" applyBorder="1" applyAlignment="1"/>
    <xf numFmtId="0" fontId="0" fillId="0" borderId="0" xfId="0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77" fontId="0" fillId="0" borderId="0" xfId="0" applyNumberFormat="1"/>
    <xf numFmtId="0" fontId="0" fillId="0" borderId="0" xfId="0" applyBorder="1" applyAlignment="1" applyProtection="1">
      <alignment horizontal="left"/>
    </xf>
    <xf numFmtId="0" fontId="0" fillId="0" borderId="1" xfId="0" applyBorder="1" applyAlignment="1">
      <alignment horizontal="right"/>
    </xf>
    <xf numFmtId="0" fontId="0" fillId="0" borderId="0" xfId="0" quotePrefix="1" applyBorder="1" applyAlignment="1"/>
    <xf numFmtId="0" fontId="0" fillId="0" borderId="0" xfId="0" applyFont="1"/>
    <xf numFmtId="0" fontId="0" fillId="0" borderId="0" xfId="0" applyFont="1" applyProtection="1"/>
    <xf numFmtId="1" fontId="0" fillId="0" borderId="0" xfId="0" applyNumberFormat="1" applyFont="1"/>
    <xf numFmtId="2" fontId="0" fillId="0" borderId="0" xfId="0" applyNumberFormat="1" applyFont="1"/>
    <xf numFmtId="177" fontId="0" fillId="0" borderId="0" xfId="0" applyNumberFormat="1" applyFont="1"/>
    <xf numFmtId="2" fontId="0" fillId="0" borderId="0" xfId="0" applyNumberFormat="1" applyAlignment="1">
      <alignment horizontal="center"/>
    </xf>
    <xf numFmtId="1" fontId="0" fillId="0" borderId="0" xfId="0" applyNumberFormat="1" applyFont="1" applyProtection="1"/>
    <xf numFmtId="2" fontId="0" fillId="0" borderId="0" xfId="0" applyNumberFormat="1" applyFont="1" applyProtection="1"/>
    <xf numFmtId="0" fontId="0" fillId="0" borderId="14" xfId="0" applyFont="1" applyBorder="1"/>
    <xf numFmtId="1" fontId="0" fillId="0" borderId="14" xfId="0" applyNumberFormat="1" applyFont="1" applyBorder="1"/>
    <xf numFmtId="177" fontId="0" fillId="0" borderId="14" xfId="0" applyNumberFormat="1" applyFont="1" applyBorder="1"/>
    <xf numFmtId="0" fontId="0" fillId="0" borderId="15" xfId="0" applyFont="1" applyBorder="1"/>
    <xf numFmtId="0" fontId="0" fillId="0" borderId="10" xfId="0" applyFont="1" applyBorder="1"/>
    <xf numFmtId="0" fontId="0" fillId="0" borderId="16" xfId="0" applyFont="1" applyBorder="1"/>
    <xf numFmtId="0" fontId="0" fillId="0" borderId="16" xfId="0" applyBorder="1"/>
    <xf numFmtId="177" fontId="0" fillId="0" borderId="14" xfId="0" applyNumberFormat="1" applyFont="1" applyBorder="1" applyProtection="1"/>
    <xf numFmtId="0" fontId="0" fillId="0" borderId="14" xfId="0" applyNumberFormat="1" applyFont="1" applyBorder="1" applyProtection="1"/>
    <xf numFmtId="0" fontId="0" fillId="0" borderId="14" xfId="0" applyNumberFormat="1" applyFont="1" applyBorder="1"/>
    <xf numFmtId="1" fontId="0" fillId="0" borderId="15" xfId="0" applyNumberFormat="1" applyFont="1" applyBorder="1"/>
    <xf numFmtId="177" fontId="0" fillId="0" borderId="15" xfId="0" applyNumberFormat="1" applyFont="1" applyBorder="1"/>
    <xf numFmtId="177" fontId="0" fillId="0" borderId="10" xfId="0" applyNumberFormat="1" applyFont="1" applyBorder="1" applyProtection="1"/>
    <xf numFmtId="0" fontId="0" fillId="0" borderId="10" xfId="0" applyNumberFormat="1" applyFont="1" applyBorder="1" applyProtection="1"/>
    <xf numFmtId="0" fontId="0" fillId="0" borderId="10" xfId="0" applyNumberFormat="1" applyFont="1" applyBorder="1"/>
    <xf numFmtId="0" fontId="0" fillId="0" borderId="16" xfId="0" applyNumberFormat="1" applyFont="1" applyBorder="1"/>
    <xf numFmtId="0" fontId="0" fillId="0" borderId="13" xfId="0" applyFont="1" applyBorder="1"/>
    <xf numFmtId="0" fontId="0" fillId="0" borderId="17" xfId="0" applyFont="1" applyBorder="1"/>
    <xf numFmtId="0" fontId="0" fillId="0" borderId="18" xfId="0" applyFont="1" applyBorder="1"/>
    <xf numFmtId="1" fontId="0" fillId="0" borderId="20" xfId="0" applyNumberFormat="1" applyFont="1" applyBorder="1"/>
    <xf numFmtId="1" fontId="0" fillId="0" borderId="21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Font="1" applyBorder="1"/>
    <xf numFmtId="0" fontId="0" fillId="0" borderId="12" xfId="0" applyFont="1" applyBorder="1"/>
    <xf numFmtId="0" fontId="0" fillId="0" borderId="23" xfId="0" applyFont="1" applyBorder="1"/>
    <xf numFmtId="177" fontId="0" fillId="0" borderId="10" xfId="0" applyNumberFormat="1" applyFont="1" applyBorder="1"/>
    <xf numFmtId="177" fontId="0" fillId="0" borderId="0" xfId="0" applyNumberFormat="1" applyFont="1" applyBorder="1" applyAlignment="1" applyProtection="1"/>
    <xf numFmtId="1" fontId="0" fillId="2" borderId="0" xfId="0" applyNumberFormat="1" applyFill="1" applyAlignment="1"/>
    <xf numFmtId="1" fontId="0" fillId="0" borderId="0" xfId="0" applyNumberFormat="1" applyFont="1" applyBorder="1" applyAlignme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left"/>
    </xf>
    <xf numFmtId="177" fontId="0" fillId="0" borderId="0" xfId="0" applyNumberFormat="1" applyFont="1" applyFill="1" applyBorder="1" applyAlignment="1"/>
    <xf numFmtId="0" fontId="2" fillId="0" borderId="0" xfId="0" applyFont="1"/>
    <xf numFmtId="1" fontId="2" fillId="0" borderId="0" xfId="0" applyNumberFormat="1" applyFont="1"/>
    <xf numFmtId="177" fontId="2" fillId="0" borderId="0" xfId="0" applyNumberFormat="1" applyFont="1"/>
    <xf numFmtId="0" fontId="2" fillId="0" borderId="0" xfId="0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177" fontId="0" fillId="0" borderId="0" xfId="0" applyNumberFormat="1" applyFont="1" applyProtection="1"/>
    <xf numFmtId="3" fontId="0" fillId="0" borderId="0" xfId="0" applyNumberFormat="1" applyFont="1" applyProtection="1"/>
    <xf numFmtId="3" fontId="0" fillId="0" borderId="0" xfId="0" applyNumberFormat="1"/>
    <xf numFmtId="0" fontId="2" fillId="0" borderId="0" xfId="2" applyFont="1" applyBorder="1" applyAlignment="1" applyProtection="1">
      <alignment vertical="center"/>
    </xf>
    <xf numFmtId="2" fontId="2" fillId="0" borderId="0" xfId="2" applyNumberFormat="1" applyFont="1" applyBorder="1" applyAlignment="1" applyProtection="1">
      <alignment vertical="center"/>
    </xf>
    <xf numFmtId="3" fontId="2" fillId="0" borderId="0" xfId="2" applyNumberFormat="1" applyFont="1" applyBorder="1" applyAlignment="1" applyProtection="1">
      <alignment vertical="center"/>
    </xf>
    <xf numFmtId="0" fontId="2" fillId="0" borderId="0" xfId="2" applyFont="1" applyBorder="1" applyAlignment="1">
      <alignment vertical="center"/>
    </xf>
    <xf numFmtId="2" fontId="2" fillId="0" borderId="0" xfId="2" applyNumberFormat="1" applyFont="1" applyBorder="1" applyAlignment="1">
      <alignment vertical="center"/>
    </xf>
    <xf numFmtId="3" fontId="2" fillId="0" borderId="0" xfId="2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2" fontId="2" fillId="0" borderId="0" xfId="3" applyNumberFormat="1" applyFont="1" applyFill="1" applyBorder="1" applyAlignment="1">
      <alignment vertical="center"/>
    </xf>
    <xf numFmtId="3" fontId="2" fillId="0" borderId="0" xfId="3" applyNumberFormat="1" applyFont="1" applyFill="1" applyBorder="1" applyAlignment="1">
      <alignment vertical="center"/>
    </xf>
    <xf numFmtId="1" fontId="2" fillId="0" borderId="0" xfId="0" applyNumberFormat="1" applyFont="1" applyProtection="1"/>
    <xf numFmtId="0" fontId="2" fillId="0" borderId="0" xfId="0" applyFont="1" applyProtection="1"/>
    <xf numFmtId="0" fontId="2" fillId="0" borderId="0" xfId="0" applyNumberFormat="1" applyFont="1"/>
    <xf numFmtId="0" fontId="0" fillId="0" borderId="0" xfId="0" applyNumberFormat="1"/>
    <xf numFmtId="177" fontId="2" fillId="0" borderId="0" xfId="0" applyNumberFormat="1" applyFont="1" applyProtection="1"/>
    <xf numFmtId="0" fontId="2" fillId="0" borderId="0" xfId="0" applyNumberFormat="1" applyFont="1" applyProtection="1"/>
    <xf numFmtId="0" fontId="0" fillId="0" borderId="10" xfId="0" applyNumberFormat="1" applyBorder="1"/>
    <xf numFmtId="0" fontId="0" fillId="0" borderId="14" xfId="0" applyNumberFormat="1" applyBorder="1"/>
    <xf numFmtId="0" fontId="2" fillId="0" borderId="14" xfId="0" applyNumberFormat="1" applyFont="1" applyBorder="1"/>
    <xf numFmtId="0" fontId="0" fillId="0" borderId="0" xfId="0" applyNumberFormat="1" applyAlignment="1"/>
    <xf numFmtId="0" fontId="0" fillId="0" borderId="0" xfId="0" applyFont="1" applyFill="1" applyBorder="1" applyAlignment="1" applyProtection="1">
      <alignment horizontal="right"/>
    </xf>
    <xf numFmtId="2" fontId="0" fillId="0" borderId="10" xfId="0" applyNumberFormat="1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1" fontId="0" fillId="0" borderId="6" xfId="0" applyNumberFormat="1" applyFont="1" applyBorder="1"/>
    <xf numFmtId="1" fontId="0" fillId="0" borderId="5" xfId="0" applyNumberFormat="1" applyFont="1" applyBorder="1"/>
    <xf numFmtId="177" fontId="0" fillId="0" borderId="11" xfId="0" applyNumberFormat="1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14" xfId="0" applyFont="1" applyFill="1" applyBorder="1"/>
    <xf numFmtId="0" fontId="0" fillId="0" borderId="9" xfId="0" applyBorder="1" applyAlignment="1"/>
    <xf numFmtId="2" fontId="0" fillId="0" borderId="2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0" fillId="0" borderId="0" xfId="0" applyNumberFormat="1" applyFont="1" applyBorder="1" applyAlignment="1"/>
    <xf numFmtId="0" fontId="0" fillId="0" borderId="0" xfId="0" applyNumberFormat="1" applyBorder="1" applyAlignment="1" applyProtection="1"/>
    <xf numFmtId="0" fontId="0" fillId="0" borderId="0" xfId="0" applyNumberFormat="1" applyFont="1" applyBorder="1" applyAlignment="1" applyProtection="1"/>
    <xf numFmtId="0" fontId="0" fillId="0" borderId="0" xfId="0" applyNumberFormat="1" applyFont="1" applyAlignment="1"/>
    <xf numFmtId="0" fontId="0" fillId="0" borderId="0" xfId="0" applyNumberFormat="1" applyFont="1" applyBorder="1" applyAlignment="1" applyProtection="1">
      <alignment horizontal="right"/>
    </xf>
    <xf numFmtId="2" fontId="0" fillId="0" borderId="0" xfId="0" applyNumberFormat="1" applyFont="1" applyBorder="1" applyAlignment="1" applyProtection="1"/>
    <xf numFmtId="0" fontId="0" fillId="0" borderId="0" xfId="0" applyNumberFormat="1" applyFont="1" applyAlignment="1">
      <alignment horizontal="right"/>
    </xf>
    <xf numFmtId="0" fontId="0" fillId="0" borderId="0" xfId="0" applyNumberFormat="1" applyBorder="1" applyAlignment="1"/>
    <xf numFmtId="0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0" fontId="0" fillId="0" borderId="0" xfId="0" applyNumberFormat="1" applyBorder="1" applyAlignment="1" applyProtection="1">
      <alignment horizontal="right"/>
    </xf>
    <xf numFmtId="0" fontId="0" fillId="0" borderId="0" xfId="0" applyNumberFormat="1" applyFont="1" applyFill="1" applyBorder="1" applyAlignment="1">
      <alignment horizontal="right"/>
    </xf>
    <xf numFmtId="177" fontId="0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NumberFormat="1" applyFont="1" applyBorder="1" applyAlignment="1">
      <alignment vertical="center" textRotation="90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0" fontId="0" fillId="0" borderId="0" xfId="0" applyFont="1" applyFill="1" applyBorder="1" applyAlignment="1" applyProtection="1"/>
    <xf numFmtId="177" fontId="0" fillId="0" borderId="0" xfId="0" applyNumberFormat="1" applyFont="1" applyFill="1" applyBorder="1" applyAlignment="1" applyProtection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 applyProtection="1"/>
    <xf numFmtId="0" fontId="0" fillId="0" borderId="0" xfId="0" applyFont="1" applyFill="1" applyAlignment="1" applyProtection="1">
      <alignment horizontal="right"/>
    </xf>
    <xf numFmtId="1" fontId="0" fillId="0" borderId="0" xfId="0" applyNumberFormat="1" applyFont="1" applyFill="1" applyAlignment="1" applyProtection="1"/>
    <xf numFmtId="177" fontId="0" fillId="0" borderId="0" xfId="0" applyNumberFormat="1" applyFont="1" applyFill="1" applyAlignment="1" applyProtection="1"/>
    <xf numFmtId="0" fontId="0" fillId="0" borderId="0" xfId="0" applyFont="1" applyFill="1"/>
    <xf numFmtId="2" fontId="0" fillId="0" borderId="0" xfId="0" applyNumberFormat="1" applyFont="1" applyFill="1" applyAlignment="1"/>
    <xf numFmtId="177" fontId="0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 applyProtection="1"/>
    <xf numFmtId="176" fontId="0" fillId="0" borderId="0" xfId="0" applyNumberFormat="1" applyFont="1" applyFill="1" applyAlignment="1"/>
    <xf numFmtId="0" fontId="0" fillId="0" borderId="0" xfId="0" quotePrefix="1" applyFont="1" applyFill="1" applyAlignment="1"/>
    <xf numFmtId="1" fontId="0" fillId="0" borderId="0" xfId="0" applyNumberFormat="1" applyFont="1" applyFill="1" applyAlignment="1"/>
    <xf numFmtId="177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 applyProtection="1"/>
    <xf numFmtId="177" fontId="0" fillId="0" borderId="0" xfId="0" applyNumberFormat="1" applyFont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right"/>
    </xf>
    <xf numFmtId="177" fontId="0" fillId="0" borderId="1" xfId="0" applyNumberFormat="1" applyFont="1" applyFill="1" applyBorder="1" applyAlignment="1" applyProtection="1"/>
    <xf numFmtId="0" fontId="0" fillId="0" borderId="1" xfId="0" applyFont="1" applyFill="1" applyBorder="1" applyAlignment="1" applyProtection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 vertical="center" textRotation="90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Fill="1" applyBorder="1" applyAlignment="1" applyProtection="1">
      <alignment vertical="center"/>
    </xf>
    <xf numFmtId="177" fontId="2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right" vertical="center"/>
    </xf>
    <xf numFmtId="178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center" vertical="center" textRotation="90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ont="1" applyFill="1" applyAlignment="1">
      <alignment horizontal="center"/>
    </xf>
    <xf numFmtId="1" fontId="0" fillId="0" borderId="0" xfId="0" applyNumberFormat="1" applyBorder="1" applyAlignment="1"/>
    <xf numFmtId="2" fontId="0" fillId="0" borderId="0" xfId="0" applyNumberFormat="1" applyBorder="1" applyAlignment="1"/>
    <xf numFmtId="0" fontId="1" fillId="0" borderId="0" xfId="4" applyFont="1" applyAlignment="1" applyProtection="1">
      <alignment horizontal="center"/>
    </xf>
    <xf numFmtId="177" fontId="2" fillId="0" borderId="0" xfId="4" applyNumberFormat="1" applyFont="1" applyFill="1" applyAlignment="1">
      <alignment horizontal="center"/>
    </xf>
    <xf numFmtId="0" fontId="2" fillId="0" borderId="0" xfId="4" applyFont="1" applyFill="1" applyAlignment="1">
      <alignment horizontal="center"/>
    </xf>
    <xf numFmtId="0" fontId="1" fillId="0" borderId="0" xfId="4" applyFont="1" applyAlignment="1">
      <alignment horizontal="center"/>
    </xf>
    <xf numFmtId="177" fontId="1" fillId="0" borderId="0" xfId="4" applyNumberFormat="1" applyFont="1" applyAlignment="1" applyProtection="1">
      <alignment horizontal="center"/>
    </xf>
    <xf numFmtId="0" fontId="2" fillId="0" borderId="0" xfId="4" applyFont="1" applyFill="1" applyAlignment="1">
      <alignment horizontal="right"/>
    </xf>
    <xf numFmtId="0" fontId="10" fillId="0" borderId="1" xfId="0" applyFont="1" applyFill="1" applyBorder="1" applyAlignment="1"/>
    <xf numFmtId="0" fontId="0" fillId="0" borderId="0" xfId="0" applyFont="1" applyFill="1" applyAlignment="1">
      <alignment horizontal="right" textRotation="90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Alignment="1">
      <alignment horizontal="right" vertical="center" textRotation="90"/>
    </xf>
    <xf numFmtId="0" fontId="0" fillId="0" borderId="0" xfId="0" applyFont="1" applyFill="1" applyAlignment="1">
      <alignment horizontal="left" vertical="center" textRotation="90"/>
    </xf>
    <xf numFmtId="0" fontId="0" fillId="0" borderId="0" xfId="0" applyAlignment="1">
      <alignment horizontal="left" vertical="center" textRotation="90"/>
    </xf>
    <xf numFmtId="0" fontId="0" fillId="0" borderId="0" xfId="0" applyFont="1" applyFill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 vertical="center" textRotation="90"/>
    </xf>
    <xf numFmtId="2" fontId="0" fillId="0" borderId="13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77" fontId="0" fillId="0" borderId="13" xfId="0" applyNumberFormat="1" applyFont="1" applyBorder="1" applyAlignment="1">
      <alignment horizontal="center"/>
    </xf>
    <xf numFmtId="177" fontId="0" fillId="0" borderId="18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 vertical="center" textRotation="90"/>
    </xf>
    <xf numFmtId="0" fontId="0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 applyProtection="1">
      <alignment horizontal="right"/>
    </xf>
  </cellXfs>
  <cellStyles count="5">
    <cellStyle name="桁区切り" xfId="1" builtinId="6"/>
    <cellStyle name="標準" xfId="0" builtinId="0"/>
    <cellStyle name="標準 4" xfId="4" xr:uid="{00000000-0005-0000-0000-000002000000}"/>
    <cellStyle name="標準_SH1000" xfId="3" xr:uid="{00000000-0005-0000-0000-000003000000}"/>
    <cellStyle name="標準_新断面3" xfId="2" xr:uid="{00000000-0005-0000-0000-000004000000}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86</xdr:row>
      <xdr:rowOff>169074</xdr:rowOff>
    </xdr:from>
    <xdr:to>
      <xdr:col>6</xdr:col>
      <xdr:colOff>0</xdr:colOff>
      <xdr:row>86</xdr:row>
      <xdr:rowOff>169074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/>
      </xdr:nvCxnSpPr>
      <xdr:spPr bwMode="auto">
        <a:xfrm>
          <a:off x="485775" y="1439942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87</xdr:row>
      <xdr:rowOff>151410</xdr:rowOff>
    </xdr:from>
    <xdr:to>
      <xdr:col>3</xdr:col>
      <xdr:colOff>0</xdr:colOff>
      <xdr:row>89</xdr:row>
      <xdr:rowOff>34328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/>
      </xdr:nvCxnSpPr>
      <xdr:spPr bwMode="auto">
        <a:xfrm>
          <a:off x="485775" y="13181610"/>
          <a:ext cx="0" cy="22581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330993</xdr:colOff>
      <xdr:row>65</xdr:row>
      <xdr:rowOff>123862</xdr:rowOff>
    </xdr:from>
    <xdr:to>
      <xdr:col>3</xdr:col>
      <xdr:colOff>330993</xdr:colOff>
      <xdr:row>69</xdr:row>
      <xdr:rowOff>23776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 bwMode="auto">
        <a:xfrm>
          <a:off x="816768" y="11268112"/>
          <a:ext cx="0" cy="5857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89</xdr:row>
      <xdr:rowOff>4</xdr:rowOff>
    </xdr:from>
    <xdr:to>
      <xdr:col>6</xdr:col>
      <xdr:colOff>0</xdr:colOff>
      <xdr:row>89</xdr:row>
      <xdr:rowOff>4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/>
      </xdr:nvCxnSpPr>
      <xdr:spPr bwMode="auto">
        <a:xfrm>
          <a:off x="485775" y="1491615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313852</xdr:colOff>
      <xdr:row>88</xdr:row>
      <xdr:rowOff>151924</xdr:rowOff>
    </xdr:from>
    <xdr:to>
      <xdr:col>6</xdr:col>
      <xdr:colOff>16477</xdr:colOff>
      <xdr:row>89</xdr:row>
      <xdr:rowOff>16474</xdr:rowOff>
    </xdr:to>
    <xdr:sp macro="" textlink="">
      <xdr:nvSpPr>
        <xdr:cNvPr id="183" name="円/楕円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 bwMode="auto">
        <a:xfrm flipH="1">
          <a:off x="1466377" y="148966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144783</xdr:colOff>
      <xdr:row>88</xdr:row>
      <xdr:rowOff>151924</xdr:rowOff>
    </xdr:from>
    <xdr:to>
      <xdr:col>3</xdr:col>
      <xdr:colOff>18858</xdr:colOff>
      <xdr:row>89</xdr:row>
      <xdr:rowOff>16474</xdr:rowOff>
    </xdr:to>
    <xdr:sp macro="" textlink="">
      <xdr:nvSpPr>
        <xdr:cNvPr id="189" name="円/楕円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 bwMode="auto">
        <a:xfrm flipH="1">
          <a:off x="468633" y="148966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332989</xdr:colOff>
      <xdr:row>155</xdr:row>
      <xdr:rowOff>54769</xdr:rowOff>
    </xdr:from>
    <xdr:to>
      <xdr:col>5</xdr:col>
      <xdr:colOff>5148</xdr:colOff>
      <xdr:row>155</xdr:row>
      <xdr:rowOff>161925</xdr:rowOff>
    </xdr:to>
    <xdr:sp macro="" textlink="">
      <xdr:nvSpPr>
        <xdr:cNvPr id="242" name="正方形/長方形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 bwMode="auto">
        <a:xfrm>
          <a:off x="819536" y="10748512"/>
          <a:ext cx="341484" cy="107156"/>
        </a:xfrm>
        <a:prstGeom prst="rect">
          <a:avLst/>
        </a:prstGeom>
        <a:pattFill prst="ltVert">
          <a:fgClr>
            <a:schemeClr val="tx1"/>
          </a:fgClr>
          <a:bgClr>
            <a:schemeClr val="bg1"/>
          </a:bgClr>
        </a:pattFill>
        <a:ln w="6350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155</xdr:row>
      <xdr:rowOff>169074</xdr:rowOff>
    </xdr:from>
    <xdr:to>
      <xdr:col>6</xdr:col>
      <xdr:colOff>0</xdr:colOff>
      <xdr:row>155</xdr:row>
      <xdr:rowOff>169074</xdr:rowOff>
    </xdr:to>
    <xdr:cxnSp macro="">
      <xdr:nvCxnSpPr>
        <xdr:cNvPr id="243" name="直線コネクタ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 bwMode="auto">
        <a:xfrm>
          <a:off x="485775" y="479822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156</xdr:row>
      <xdr:rowOff>111919</xdr:rowOff>
    </xdr:from>
    <xdr:to>
      <xdr:col>3</xdr:col>
      <xdr:colOff>0</xdr:colOff>
      <xdr:row>158</xdr:row>
      <xdr:rowOff>169069</xdr:rowOff>
    </xdr:to>
    <xdr:cxnSp macro="">
      <xdr:nvCxnSpPr>
        <xdr:cNvPr id="244" name="直線コネクタ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 bwMode="auto">
        <a:xfrm>
          <a:off x="485775" y="4912519"/>
          <a:ext cx="0" cy="4000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633</xdr:colOff>
      <xdr:row>156</xdr:row>
      <xdr:rowOff>111919</xdr:rowOff>
    </xdr:from>
    <xdr:to>
      <xdr:col>4</xdr:col>
      <xdr:colOff>633</xdr:colOff>
      <xdr:row>158</xdr:row>
      <xdr:rowOff>4763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 bwMode="auto">
        <a:xfrm>
          <a:off x="821842" y="10978142"/>
          <a:ext cx="0" cy="23780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334638</xdr:colOff>
      <xdr:row>156</xdr:row>
      <xdr:rowOff>111919</xdr:rowOff>
    </xdr:from>
    <xdr:to>
      <xdr:col>4</xdr:col>
      <xdr:colOff>334638</xdr:colOff>
      <xdr:row>158</xdr:row>
      <xdr:rowOff>4763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 bwMode="auto">
        <a:xfrm>
          <a:off x="1155847" y="10978142"/>
          <a:ext cx="0" cy="23780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330993</xdr:colOff>
      <xdr:row>156</xdr:row>
      <xdr:rowOff>111919</xdr:rowOff>
    </xdr:from>
    <xdr:to>
      <xdr:col>5</xdr:col>
      <xdr:colOff>330993</xdr:colOff>
      <xdr:row>158</xdr:row>
      <xdr:rowOff>169069</xdr:rowOff>
    </xdr:to>
    <xdr:cxnSp macro="">
      <xdr:nvCxnSpPr>
        <xdr:cNvPr id="247" name="直線コネクタ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 bwMode="auto">
        <a:xfrm>
          <a:off x="1483518" y="4912519"/>
          <a:ext cx="0" cy="4000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158</xdr:row>
      <xdr:rowOff>2386</xdr:rowOff>
    </xdr:from>
    <xdr:to>
      <xdr:col>6</xdr:col>
      <xdr:colOff>0</xdr:colOff>
      <xdr:row>158</xdr:row>
      <xdr:rowOff>2386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 bwMode="auto">
        <a:xfrm>
          <a:off x="485775" y="5145886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159</xdr:row>
      <xdr:rowOff>4</xdr:rowOff>
    </xdr:from>
    <xdr:to>
      <xdr:col>6</xdr:col>
      <xdr:colOff>0</xdr:colOff>
      <xdr:row>159</xdr:row>
      <xdr:rowOff>4</xdr:rowOff>
    </xdr:to>
    <xdr:cxnSp macro="">
      <xdr:nvCxnSpPr>
        <xdr:cNvPr id="249" name="直線コネクタ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 bwMode="auto">
        <a:xfrm>
          <a:off x="485775" y="531495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320534</xdr:colOff>
      <xdr:row>157</xdr:row>
      <xdr:rowOff>154305</xdr:rowOff>
    </xdr:from>
    <xdr:to>
      <xdr:col>4</xdr:col>
      <xdr:colOff>21872</xdr:colOff>
      <xdr:row>158</xdr:row>
      <xdr:rowOff>18855</xdr:rowOff>
    </xdr:to>
    <xdr:sp macro="" textlink="">
      <xdr:nvSpPr>
        <xdr:cNvPr id="250" name="円/楕円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 bwMode="auto">
        <a:xfrm flipH="1">
          <a:off x="807081" y="11193008"/>
          <a:ext cx="36000" cy="37029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317496</xdr:colOff>
      <xdr:row>157</xdr:row>
      <xdr:rowOff>154305</xdr:rowOff>
    </xdr:from>
    <xdr:to>
      <xdr:col>5</xdr:col>
      <xdr:colOff>18833</xdr:colOff>
      <xdr:row>158</xdr:row>
      <xdr:rowOff>18855</xdr:rowOff>
    </xdr:to>
    <xdr:sp macro="" textlink="">
      <xdr:nvSpPr>
        <xdr:cNvPr id="251" name="円/楕円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 bwMode="auto">
        <a:xfrm flipH="1">
          <a:off x="1138705" y="11193008"/>
          <a:ext cx="36000" cy="37029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313852</xdr:colOff>
      <xdr:row>157</xdr:row>
      <xdr:rowOff>154305</xdr:rowOff>
    </xdr:from>
    <xdr:to>
      <xdr:col>6</xdr:col>
      <xdr:colOff>16477</xdr:colOff>
      <xdr:row>158</xdr:row>
      <xdr:rowOff>18855</xdr:rowOff>
    </xdr:to>
    <xdr:sp macro="" textlink="">
      <xdr:nvSpPr>
        <xdr:cNvPr id="252" name="円/楕円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 bwMode="auto">
        <a:xfrm flipH="1">
          <a:off x="1466377" y="51263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313852</xdr:colOff>
      <xdr:row>158</xdr:row>
      <xdr:rowOff>151924</xdr:rowOff>
    </xdr:from>
    <xdr:to>
      <xdr:col>6</xdr:col>
      <xdr:colOff>16477</xdr:colOff>
      <xdr:row>159</xdr:row>
      <xdr:rowOff>16474</xdr:rowOff>
    </xdr:to>
    <xdr:sp macro="" textlink="">
      <xdr:nvSpPr>
        <xdr:cNvPr id="253" name="円/楕円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 bwMode="auto">
        <a:xfrm flipH="1">
          <a:off x="1466377" y="52954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144783</xdr:colOff>
      <xdr:row>156</xdr:row>
      <xdr:rowOff>154305</xdr:rowOff>
    </xdr:from>
    <xdr:to>
      <xdr:col>3</xdr:col>
      <xdr:colOff>18858</xdr:colOff>
      <xdr:row>157</xdr:row>
      <xdr:rowOff>18855</xdr:rowOff>
    </xdr:to>
    <xdr:sp macro="" textlink="">
      <xdr:nvSpPr>
        <xdr:cNvPr id="254" name="円/楕円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 bwMode="auto">
        <a:xfrm flipH="1">
          <a:off x="468633" y="51263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144783</xdr:colOff>
      <xdr:row>157</xdr:row>
      <xdr:rowOff>151924</xdr:rowOff>
    </xdr:from>
    <xdr:to>
      <xdr:col>3</xdr:col>
      <xdr:colOff>18858</xdr:colOff>
      <xdr:row>158</xdr:row>
      <xdr:rowOff>16474</xdr:rowOff>
    </xdr:to>
    <xdr:sp macro="" textlink="">
      <xdr:nvSpPr>
        <xdr:cNvPr id="255" name="円/楕円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 bwMode="auto">
        <a:xfrm flipH="1">
          <a:off x="468633" y="52954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2858</xdr:colOff>
      <xdr:row>66</xdr:row>
      <xdr:rowOff>3810</xdr:rowOff>
    </xdr:from>
    <xdr:to>
      <xdr:col>5</xdr:col>
      <xdr:colOff>2858</xdr:colOff>
      <xdr:row>68</xdr:row>
      <xdr:rowOff>0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 bwMode="auto">
        <a:xfrm>
          <a:off x="1155383" y="14405610"/>
          <a:ext cx="0" cy="3390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278962</xdr:colOff>
      <xdr:row>67</xdr:row>
      <xdr:rowOff>169075</xdr:rowOff>
    </xdr:from>
    <xdr:to>
      <xdr:col>5</xdr:col>
      <xdr:colOff>64142</xdr:colOff>
      <xdr:row>67</xdr:row>
      <xdr:rowOff>169075</xdr:rowOff>
    </xdr:to>
    <xdr:cxnSp macro="">
      <xdr:nvCxnSpPr>
        <xdr:cNvPr id="257" name="直線コネクタ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 bwMode="auto">
        <a:xfrm>
          <a:off x="1098112" y="14742325"/>
          <a:ext cx="11855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38746</xdr:colOff>
      <xdr:row>136</xdr:row>
      <xdr:rowOff>54769</xdr:rowOff>
    </xdr:from>
    <xdr:to>
      <xdr:col>4</xdr:col>
      <xdr:colOff>299392</xdr:colOff>
      <xdr:row>136</xdr:row>
      <xdr:rowOff>161925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857896" y="5026819"/>
          <a:ext cx="260646" cy="107156"/>
        </a:xfrm>
        <a:prstGeom prst="rect">
          <a:avLst/>
        </a:prstGeom>
        <a:pattFill prst="ltVert">
          <a:fgClr>
            <a:schemeClr val="tx1"/>
          </a:fgClr>
          <a:bgClr>
            <a:schemeClr val="bg1"/>
          </a:bgClr>
        </a:pattFill>
        <a:ln w="6350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136</xdr:row>
      <xdr:rowOff>169074</xdr:rowOff>
    </xdr:from>
    <xdr:to>
      <xdr:col>6</xdr:col>
      <xdr:colOff>0</xdr:colOff>
      <xdr:row>136</xdr:row>
      <xdr:rowOff>169074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 bwMode="auto">
        <a:xfrm>
          <a:off x="485775" y="514112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137</xdr:row>
      <xdr:rowOff>111919</xdr:rowOff>
    </xdr:from>
    <xdr:to>
      <xdr:col>3</xdr:col>
      <xdr:colOff>0</xdr:colOff>
      <xdr:row>139</xdr:row>
      <xdr:rowOff>169069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 bwMode="auto">
        <a:xfrm>
          <a:off x="485775" y="5255419"/>
          <a:ext cx="0" cy="4000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41822</xdr:colOff>
      <xdr:row>137</xdr:row>
      <xdr:rowOff>111919</xdr:rowOff>
    </xdr:from>
    <xdr:to>
      <xdr:col>4</xdr:col>
      <xdr:colOff>41822</xdr:colOff>
      <xdr:row>139</xdr:row>
      <xdr:rowOff>4763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 bwMode="auto">
        <a:xfrm>
          <a:off x="860972" y="5255419"/>
          <a:ext cx="0" cy="23574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290874</xdr:colOff>
      <xdr:row>137</xdr:row>
      <xdr:rowOff>111919</xdr:rowOff>
    </xdr:from>
    <xdr:to>
      <xdr:col>4</xdr:col>
      <xdr:colOff>290874</xdr:colOff>
      <xdr:row>139</xdr:row>
      <xdr:rowOff>4763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 bwMode="auto">
        <a:xfrm>
          <a:off x="1110024" y="5255419"/>
          <a:ext cx="0" cy="23574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330993</xdr:colOff>
      <xdr:row>137</xdr:row>
      <xdr:rowOff>111919</xdr:rowOff>
    </xdr:from>
    <xdr:to>
      <xdr:col>5</xdr:col>
      <xdr:colOff>330993</xdr:colOff>
      <xdr:row>139</xdr:row>
      <xdr:rowOff>169069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 bwMode="auto">
        <a:xfrm>
          <a:off x="1483518" y="5255419"/>
          <a:ext cx="0" cy="4000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139</xdr:row>
      <xdr:rowOff>2386</xdr:rowOff>
    </xdr:from>
    <xdr:to>
      <xdr:col>6</xdr:col>
      <xdr:colOff>0</xdr:colOff>
      <xdr:row>139</xdr:row>
      <xdr:rowOff>2386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 bwMode="auto">
        <a:xfrm>
          <a:off x="485775" y="5488786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140</xdr:row>
      <xdr:rowOff>4</xdr:rowOff>
    </xdr:from>
    <xdr:to>
      <xdr:col>6</xdr:col>
      <xdr:colOff>0</xdr:colOff>
      <xdr:row>140</xdr:row>
      <xdr:rowOff>4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 bwMode="auto">
        <a:xfrm>
          <a:off x="485775" y="5657854"/>
          <a:ext cx="100012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27061</xdr:colOff>
      <xdr:row>138</xdr:row>
      <xdr:rowOff>154305</xdr:rowOff>
    </xdr:from>
    <xdr:to>
      <xdr:col>4</xdr:col>
      <xdr:colOff>63061</xdr:colOff>
      <xdr:row>139</xdr:row>
      <xdr:rowOff>18855</xdr:rowOff>
    </xdr:to>
    <xdr:sp macro="" textlink="">
      <xdr:nvSpPr>
        <xdr:cNvPr id="56" name="円/楕円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 bwMode="auto">
        <a:xfrm flipH="1">
          <a:off x="846211" y="54692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273732</xdr:colOff>
      <xdr:row>138</xdr:row>
      <xdr:rowOff>154305</xdr:rowOff>
    </xdr:from>
    <xdr:to>
      <xdr:col>4</xdr:col>
      <xdr:colOff>309732</xdr:colOff>
      <xdr:row>139</xdr:row>
      <xdr:rowOff>18855</xdr:rowOff>
    </xdr:to>
    <xdr:sp macro="" textlink="">
      <xdr:nvSpPr>
        <xdr:cNvPr id="57" name="円/楕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 bwMode="auto">
        <a:xfrm flipH="1">
          <a:off x="1092882" y="54692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313852</xdr:colOff>
      <xdr:row>138</xdr:row>
      <xdr:rowOff>154305</xdr:rowOff>
    </xdr:from>
    <xdr:to>
      <xdr:col>6</xdr:col>
      <xdr:colOff>16477</xdr:colOff>
      <xdr:row>139</xdr:row>
      <xdr:rowOff>18855</xdr:rowOff>
    </xdr:to>
    <xdr:sp macro="" textlink="">
      <xdr:nvSpPr>
        <xdr:cNvPr id="58" name="円/楕円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 bwMode="auto">
        <a:xfrm flipH="1">
          <a:off x="1466377" y="54692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313852</xdr:colOff>
      <xdr:row>139</xdr:row>
      <xdr:rowOff>151924</xdr:rowOff>
    </xdr:from>
    <xdr:to>
      <xdr:col>6</xdr:col>
      <xdr:colOff>16477</xdr:colOff>
      <xdr:row>140</xdr:row>
      <xdr:rowOff>16474</xdr:rowOff>
    </xdr:to>
    <xdr:sp macro="" textlink="">
      <xdr:nvSpPr>
        <xdr:cNvPr id="59" name="円/楕円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 bwMode="auto">
        <a:xfrm flipH="1">
          <a:off x="1466377" y="56383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144783</xdr:colOff>
      <xdr:row>137</xdr:row>
      <xdr:rowOff>154305</xdr:rowOff>
    </xdr:from>
    <xdr:to>
      <xdr:col>3</xdr:col>
      <xdr:colOff>18858</xdr:colOff>
      <xdr:row>138</xdr:row>
      <xdr:rowOff>18855</xdr:rowOff>
    </xdr:to>
    <xdr:sp macro="" textlink="">
      <xdr:nvSpPr>
        <xdr:cNvPr id="60" name="円/楕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 bwMode="auto">
        <a:xfrm flipH="1">
          <a:off x="468633" y="5469255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144783</xdr:colOff>
      <xdr:row>138</xdr:row>
      <xdr:rowOff>151924</xdr:rowOff>
    </xdr:from>
    <xdr:to>
      <xdr:col>3</xdr:col>
      <xdr:colOff>18858</xdr:colOff>
      <xdr:row>139</xdr:row>
      <xdr:rowOff>16474</xdr:rowOff>
    </xdr:to>
    <xdr:sp macro="" textlink="">
      <xdr:nvSpPr>
        <xdr:cNvPr id="61" name="円/楕円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 bwMode="auto">
        <a:xfrm flipH="1">
          <a:off x="468633" y="563832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176570</xdr:colOff>
      <xdr:row>188</xdr:row>
      <xdr:rowOff>168934</xdr:rowOff>
    </xdr:from>
    <xdr:to>
      <xdr:col>5</xdr:col>
      <xdr:colOff>176570</xdr:colOff>
      <xdr:row>192</xdr:row>
      <xdr:rowOff>1078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 bwMode="auto">
        <a:xfrm>
          <a:off x="1329095" y="19542784"/>
          <a:ext cx="0" cy="51794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221163</xdr:colOff>
      <xdr:row>189</xdr:row>
      <xdr:rowOff>10785</xdr:rowOff>
    </xdr:from>
    <xdr:to>
      <xdr:col>3</xdr:col>
      <xdr:colOff>221163</xdr:colOff>
      <xdr:row>192</xdr:row>
      <xdr:rowOff>5403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 bwMode="auto">
        <a:xfrm>
          <a:off x="706399" y="19679011"/>
          <a:ext cx="0" cy="51220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222849</xdr:colOff>
      <xdr:row>189</xdr:row>
      <xdr:rowOff>3803</xdr:rowOff>
    </xdr:from>
    <xdr:to>
      <xdr:col>4</xdr:col>
      <xdr:colOff>311944</xdr:colOff>
      <xdr:row>189</xdr:row>
      <xdr:rowOff>3803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 bwMode="auto">
        <a:xfrm>
          <a:off x="708624" y="19549103"/>
          <a:ext cx="42247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202652</xdr:colOff>
      <xdr:row>188</xdr:row>
      <xdr:rowOff>156937</xdr:rowOff>
    </xdr:from>
    <xdr:to>
      <xdr:col>3</xdr:col>
      <xdr:colOff>238653</xdr:colOff>
      <xdr:row>189</xdr:row>
      <xdr:rowOff>21488</xdr:rowOff>
    </xdr:to>
    <xdr:sp macro="" textlink="">
      <xdr:nvSpPr>
        <xdr:cNvPr id="66" name="円/楕円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 bwMode="auto">
        <a:xfrm flipH="1">
          <a:off x="687888" y="19652635"/>
          <a:ext cx="36001" cy="37079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226443</xdr:colOff>
      <xdr:row>192</xdr:row>
      <xdr:rowOff>207</xdr:rowOff>
    </xdr:from>
    <xdr:to>
      <xdr:col>4</xdr:col>
      <xdr:colOff>304800</xdr:colOff>
      <xdr:row>192</xdr:row>
      <xdr:rowOff>207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 bwMode="auto">
        <a:xfrm>
          <a:off x="712218" y="20059857"/>
          <a:ext cx="41173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202652</xdr:colOff>
      <xdr:row>191</xdr:row>
      <xdr:rowOff>153342</xdr:rowOff>
    </xdr:from>
    <xdr:to>
      <xdr:col>3</xdr:col>
      <xdr:colOff>238653</xdr:colOff>
      <xdr:row>192</xdr:row>
      <xdr:rowOff>17892</xdr:rowOff>
    </xdr:to>
    <xdr:sp macro="" textlink="">
      <xdr:nvSpPr>
        <xdr:cNvPr id="78" name="円/楕円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 bwMode="auto">
        <a:xfrm flipH="1">
          <a:off x="688427" y="18155592"/>
          <a:ext cx="36001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2617</xdr:colOff>
      <xdr:row>191</xdr:row>
      <xdr:rowOff>4814</xdr:rowOff>
    </xdr:from>
    <xdr:to>
      <xdr:col>5</xdr:col>
      <xdr:colOff>170432</xdr:colOff>
      <xdr:row>191</xdr:row>
      <xdr:rowOff>4814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 bwMode="auto">
        <a:xfrm>
          <a:off x="1155142" y="19893014"/>
          <a:ext cx="16781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stealth" w="sm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177403</xdr:colOff>
      <xdr:row>188</xdr:row>
      <xdr:rowOff>141353</xdr:rowOff>
    </xdr:from>
    <xdr:to>
      <xdr:col>5</xdr:col>
      <xdr:colOff>223122</xdr:colOff>
      <xdr:row>189</xdr:row>
      <xdr:rowOff>21860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 rot="16200000">
          <a:off x="1326809" y="19518322"/>
          <a:ext cx="51957" cy="45719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177404</xdr:colOff>
      <xdr:row>191</xdr:row>
      <xdr:rowOff>144932</xdr:rowOff>
    </xdr:from>
    <xdr:to>
      <xdr:col>5</xdr:col>
      <xdr:colOff>223123</xdr:colOff>
      <xdr:row>192</xdr:row>
      <xdr:rowOff>25438</xdr:rowOff>
    </xdr:to>
    <xdr:sp macro="" textlink="">
      <xdr:nvSpPr>
        <xdr:cNvPr id="80" name="二等辺三角形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 bwMode="auto">
        <a:xfrm rot="16200000">
          <a:off x="1326811" y="20036250"/>
          <a:ext cx="51956" cy="45719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147375</xdr:colOff>
      <xdr:row>191</xdr:row>
      <xdr:rowOff>2581</xdr:rowOff>
    </xdr:from>
    <xdr:to>
      <xdr:col>4</xdr:col>
      <xdr:colOff>302419</xdr:colOff>
      <xdr:row>191</xdr:row>
      <xdr:rowOff>2581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 bwMode="auto">
        <a:xfrm>
          <a:off x="966525" y="19890781"/>
          <a:ext cx="15504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129605</xdr:colOff>
      <xdr:row>190</xdr:row>
      <xdr:rowOff>153922</xdr:rowOff>
    </xdr:from>
    <xdr:to>
      <xdr:col>4</xdr:col>
      <xdr:colOff>165606</xdr:colOff>
      <xdr:row>191</xdr:row>
      <xdr:rowOff>22072</xdr:rowOff>
    </xdr:to>
    <xdr:sp macro="" textlink="">
      <xdr:nvSpPr>
        <xdr:cNvPr id="82" name="円/楕円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 bwMode="auto">
        <a:xfrm flipH="1">
          <a:off x="948755" y="19870672"/>
          <a:ext cx="36001" cy="396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145689</xdr:colOff>
      <xdr:row>189</xdr:row>
      <xdr:rowOff>3595</xdr:rowOff>
    </xdr:from>
    <xdr:to>
      <xdr:col>4</xdr:col>
      <xdr:colOff>145689</xdr:colOff>
      <xdr:row>191</xdr:row>
      <xdr:rowOff>170741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 bwMode="auto">
        <a:xfrm>
          <a:off x="965198" y="19671821"/>
          <a:ext cx="0" cy="51220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127178</xdr:colOff>
      <xdr:row>188</xdr:row>
      <xdr:rowOff>156937</xdr:rowOff>
    </xdr:from>
    <xdr:to>
      <xdr:col>4</xdr:col>
      <xdr:colOff>163179</xdr:colOff>
      <xdr:row>189</xdr:row>
      <xdr:rowOff>21488</xdr:rowOff>
    </xdr:to>
    <xdr:sp macro="" textlink="">
      <xdr:nvSpPr>
        <xdr:cNvPr id="84" name="円/楕円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 bwMode="auto">
        <a:xfrm flipH="1">
          <a:off x="946687" y="19652635"/>
          <a:ext cx="36001" cy="37079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127178</xdr:colOff>
      <xdr:row>191</xdr:row>
      <xdr:rowOff>153342</xdr:rowOff>
    </xdr:from>
    <xdr:to>
      <xdr:col>4</xdr:col>
      <xdr:colOff>163179</xdr:colOff>
      <xdr:row>192</xdr:row>
      <xdr:rowOff>17892</xdr:rowOff>
    </xdr:to>
    <xdr:sp macro="" textlink="">
      <xdr:nvSpPr>
        <xdr:cNvPr id="85" name="円/楕円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 bwMode="auto">
        <a:xfrm flipH="1">
          <a:off x="946687" y="20166625"/>
          <a:ext cx="36001" cy="37078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209551</xdr:colOff>
      <xdr:row>67</xdr:row>
      <xdr:rowOff>0</xdr:rowOff>
    </xdr:from>
    <xdr:to>
      <xdr:col>5</xdr:col>
      <xdr:colOff>123826</xdr:colOff>
      <xdr:row>68</xdr:row>
      <xdr:rowOff>95250</xdr:rowOff>
    </xdr:to>
    <xdr:sp macro="" textlink="">
      <xdr:nvSpPr>
        <xdr:cNvPr id="3" name="円弧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1028701" y="5829300"/>
          <a:ext cx="247650" cy="266700"/>
        </a:xfrm>
        <a:prstGeom prst="arc">
          <a:avLst>
            <a:gd name="adj1" fmla="val 10077980"/>
            <a:gd name="adj2" fmla="val 0"/>
          </a:avLst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sm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329963</xdr:colOff>
      <xdr:row>104</xdr:row>
      <xdr:rowOff>169074</xdr:rowOff>
    </xdr:from>
    <xdr:to>
      <xdr:col>6</xdr:col>
      <xdr:colOff>12937</xdr:colOff>
      <xdr:row>104</xdr:row>
      <xdr:rowOff>169074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 bwMode="auto">
        <a:xfrm>
          <a:off x="815738" y="10456074"/>
          <a:ext cx="683099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105</xdr:row>
      <xdr:rowOff>130969</xdr:rowOff>
    </xdr:from>
    <xdr:to>
      <xdr:col>4</xdr:col>
      <xdr:colOff>0</xdr:colOff>
      <xdr:row>107</xdr:row>
      <xdr:rowOff>16669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 bwMode="auto">
        <a:xfrm>
          <a:off x="819150" y="10589419"/>
          <a:ext cx="0" cy="2286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330993</xdr:colOff>
      <xdr:row>105</xdr:row>
      <xdr:rowOff>111919</xdr:rowOff>
    </xdr:from>
    <xdr:to>
      <xdr:col>5</xdr:col>
      <xdr:colOff>330993</xdr:colOff>
      <xdr:row>106</xdr:row>
      <xdr:rowOff>169069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 bwMode="auto">
        <a:xfrm>
          <a:off x="1483518" y="7827169"/>
          <a:ext cx="0" cy="4000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329963</xdr:colOff>
      <xdr:row>107</xdr:row>
      <xdr:rowOff>9529</xdr:rowOff>
    </xdr:from>
    <xdr:to>
      <xdr:col>6</xdr:col>
      <xdr:colOff>12937</xdr:colOff>
      <xdr:row>107</xdr:row>
      <xdr:rowOff>9529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 bwMode="auto">
        <a:xfrm>
          <a:off x="815738" y="10810879"/>
          <a:ext cx="683099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313852</xdr:colOff>
      <xdr:row>106</xdr:row>
      <xdr:rowOff>151924</xdr:rowOff>
    </xdr:from>
    <xdr:to>
      <xdr:col>6</xdr:col>
      <xdr:colOff>16477</xdr:colOff>
      <xdr:row>107</xdr:row>
      <xdr:rowOff>16474</xdr:rowOff>
    </xdr:to>
    <xdr:sp macro="" textlink="">
      <xdr:nvSpPr>
        <xdr:cNvPr id="76" name="円/楕円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 bwMode="auto">
        <a:xfrm flipH="1">
          <a:off x="1466377" y="8210074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323377</xdr:colOff>
      <xdr:row>106</xdr:row>
      <xdr:rowOff>157877</xdr:rowOff>
    </xdr:from>
    <xdr:to>
      <xdr:col>4</xdr:col>
      <xdr:colOff>26002</xdr:colOff>
      <xdr:row>107</xdr:row>
      <xdr:rowOff>22427</xdr:rowOff>
    </xdr:to>
    <xdr:sp macro="" textlink="">
      <xdr:nvSpPr>
        <xdr:cNvPr id="87" name="円/楕円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 bwMode="auto">
        <a:xfrm flipH="1">
          <a:off x="809152" y="16617077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326708</xdr:colOff>
      <xdr:row>104</xdr:row>
      <xdr:rowOff>72645</xdr:rowOff>
    </xdr:from>
    <xdr:to>
      <xdr:col>3</xdr:col>
      <xdr:colOff>326708</xdr:colOff>
      <xdr:row>105</xdr:row>
      <xdr:rowOff>75232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 bwMode="auto">
        <a:xfrm>
          <a:off x="808911" y="10949004"/>
          <a:ext cx="0" cy="17522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287655</xdr:colOff>
      <xdr:row>87</xdr:row>
      <xdr:rowOff>1191</xdr:rowOff>
    </xdr:from>
    <xdr:to>
      <xdr:col>6</xdr:col>
      <xdr:colOff>40680</xdr:colOff>
      <xdr:row>87</xdr:row>
      <xdr:rowOff>88106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1436608" y="7770019"/>
          <a:ext cx="86400" cy="86915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115013</xdr:colOff>
      <xdr:row>87</xdr:row>
      <xdr:rowOff>1191</xdr:rowOff>
    </xdr:from>
    <xdr:to>
      <xdr:col>3</xdr:col>
      <xdr:colOff>40679</xdr:colOff>
      <xdr:row>87</xdr:row>
      <xdr:rowOff>88106</xdr:rowOff>
    </xdr:to>
    <xdr:sp macro="" textlink="">
      <xdr:nvSpPr>
        <xdr:cNvPr id="69" name="二等辺三角形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 bwMode="auto">
        <a:xfrm>
          <a:off x="436482" y="7770019"/>
          <a:ext cx="86400" cy="86915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239772</xdr:colOff>
      <xdr:row>65</xdr:row>
      <xdr:rowOff>138371</xdr:rowOff>
    </xdr:from>
    <xdr:to>
      <xdr:col>4</xdr:col>
      <xdr:colOff>326687</xdr:colOff>
      <xdr:row>66</xdr:row>
      <xdr:rowOff>52131</xdr:rowOff>
    </xdr:to>
    <xdr:sp macro="" textlink="">
      <xdr:nvSpPr>
        <xdr:cNvPr id="71" name="二等辺三角形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 bwMode="auto">
        <a:xfrm rot="5400000">
          <a:off x="1055608" y="5835254"/>
          <a:ext cx="86400" cy="86915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297180</xdr:colOff>
      <xdr:row>105</xdr:row>
      <xdr:rowOff>3572</xdr:rowOff>
    </xdr:from>
    <xdr:to>
      <xdr:col>6</xdr:col>
      <xdr:colOff>50205</xdr:colOff>
      <xdr:row>105</xdr:row>
      <xdr:rowOff>89296</xdr:rowOff>
    </xdr:to>
    <xdr:sp macro="" textlink="">
      <xdr:nvSpPr>
        <xdr:cNvPr id="75" name="二等辺三角形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 bwMode="auto">
        <a:xfrm>
          <a:off x="1449705" y="16119872"/>
          <a:ext cx="86400" cy="85724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192985</xdr:colOff>
      <xdr:row>103</xdr:row>
      <xdr:rowOff>140804</xdr:rowOff>
    </xdr:from>
    <xdr:to>
      <xdr:col>4</xdr:col>
      <xdr:colOff>107260</xdr:colOff>
      <xdr:row>105</xdr:row>
      <xdr:rowOff>62120</xdr:rowOff>
    </xdr:to>
    <xdr:sp macro="" textlink="">
      <xdr:nvSpPr>
        <xdr:cNvPr id="92" name="円弧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 bwMode="auto">
        <a:xfrm>
          <a:off x="689942" y="10924761"/>
          <a:ext cx="245579" cy="269185"/>
        </a:xfrm>
        <a:prstGeom prst="arc">
          <a:avLst>
            <a:gd name="adj1" fmla="val 10077980"/>
            <a:gd name="adj2" fmla="val 0"/>
          </a:avLst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sm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254114</xdr:colOff>
      <xdr:row>67</xdr:row>
      <xdr:rowOff>144228</xdr:rowOff>
    </xdr:from>
    <xdr:to>
      <xdr:col>5</xdr:col>
      <xdr:colOff>39294</xdr:colOff>
      <xdr:row>67</xdr:row>
      <xdr:rowOff>144228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 bwMode="auto">
        <a:xfrm>
          <a:off x="1082375" y="6231945"/>
          <a:ext cx="11648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arrow" w="sm" len="sm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262396</xdr:colOff>
      <xdr:row>104</xdr:row>
      <xdr:rowOff>119380</xdr:rowOff>
    </xdr:from>
    <xdr:to>
      <xdr:col>4</xdr:col>
      <xdr:colOff>47576</xdr:colOff>
      <xdr:row>104</xdr:row>
      <xdr:rowOff>119380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 bwMode="auto">
        <a:xfrm>
          <a:off x="759353" y="11077271"/>
          <a:ext cx="11648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arrow" w="sm" len="sm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87</xdr:row>
      <xdr:rowOff>141885</xdr:rowOff>
    </xdr:from>
    <xdr:to>
      <xdr:col>6</xdr:col>
      <xdr:colOff>0</xdr:colOff>
      <xdr:row>89</xdr:row>
      <xdr:rowOff>24803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 bwMode="auto">
        <a:xfrm>
          <a:off x="1485900" y="15400935"/>
          <a:ext cx="0" cy="22581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219784</xdr:colOff>
      <xdr:row>68</xdr:row>
      <xdr:rowOff>9529</xdr:rowOff>
    </xdr:from>
    <xdr:to>
      <xdr:col>4</xdr:col>
      <xdr:colOff>104066</xdr:colOff>
      <xdr:row>68</xdr:row>
      <xdr:rowOff>9529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 bwMode="auto">
        <a:xfrm>
          <a:off x="705559" y="11668129"/>
          <a:ext cx="2176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229309</xdr:colOff>
      <xdr:row>65</xdr:row>
      <xdr:rowOff>161929</xdr:rowOff>
    </xdr:from>
    <xdr:to>
      <xdr:col>4</xdr:col>
      <xdr:colOff>113591</xdr:colOff>
      <xdr:row>65</xdr:row>
      <xdr:rowOff>161929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 bwMode="auto">
        <a:xfrm>
          <a:off x="715084" y="11306179"/>
          <a:ext cx="2176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313852</xdr:colOff>
      <xdr:row>65</xdr:row>
      <xdr:rowOff>149440</xdr:rowOff>
    </xdr:from>
    <xdr:to>
      <xdr:col>4</xdr:col>
      <xdr:colOff>16477</xdr:colOff>
      <xdr:row>66</xdr:row>
      <xdr:rowOff>11505</xdr:rowOff>
    </xdr:to>
    <xdr:sp macro="" textlink="">
      <xdr:nvSpPr>
        <xdr:cNvPr id="88" name="円/楕円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 bwMode="auto">
        <a:xfrm flipH="1">
          <a:off x="810809" y="11455201"/>
          <a:ext cx="33929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313852</xdr:colOff>
      <xdr:row>67</xdr:row>
      <xdr:rowOff>161449</xdr:rowOff>
    </xdr:from>
    <xdr:to>
      <xdr:col>4</xdr:col>
      <xdr:colOff>16477</xdr:colOff>
      <xdr:row>68</xdr:row>
      <xdr:rowOff>25999</xdr:rowOff>
    </xdr:to>
    <xdr:sp macro="" textlink="">
      <xdr:nvSpPr>
        <xdr:cNvPr id="89" name="円/楕円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 bwMode="auto">
        <a:xfrm flipH="1">
          <a:off x="799627" y="11648599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304327</xdr:colOff>
      <xdr:row>68</xdr:row>
      <xdr:rowOff>161449</xdr:rowOff>
    </xdr:from>
    <xdr:to>
      <xdr:col>4</xdr:col>
      <xdr:colOff>6952</xdr:colOff>
      <xdr:row>69</xdr:row>
      <xdr:rowOff>25999</xdr:rowOff>
    </xdr:to>
    <xdr:sp macro="" textlink="">
      <xdr:nvSpPr>
        <xdr:cNvPr id="90" name="円/楕円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 bwMode="auto">
        <a:xfrm flipH="1">
          <a:off x="790102" y="11820049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200734</xdr:colOff>
      <xdr:row>69</xdr:row>
      <xdr:rowOff>4</xdr:rowOff>
    </xdr:from>
    <xdr:to>
      <xdr:col>4</xdr:col>
      <xdr:colOff>85016</xdr:colOff>
      <xdr:row>69</xdr:row>
      <xdr:rowOff>4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 bwMode="auto">
        <a:xfrm>
          <a:off x="686509" y="11830054"/>
          <a:ext cx="2176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321469</xdr:colOff>
      <xdr:row>8</xdr:row>
      <xdr:rowOff>152404</xdr:rowOff>
    </xdr:from>
    <xdr:to>
      <xdr:col>9</xdr:col>
      <xdr:colOff>50006</xdr:colOff>
      <xdr:row>9</xdr:row>
      <xdr:rowOff>15994</xdr:rowOff>
    </xdr:to>
    <xdr:sp macro="" textlink="">
      <xdr:nvSpPr>
        <xdr:cNvPr id="11" name="Rectangl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97769" y="1524004"/>
          <a:ext cx="1395412" cy="35040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316717</xdr:colOff>
      <xdr:row>9</xdr:row>
      <xdr:rowOff>33338</xdr:rowOff>
    </xdr:from>
    <xdr:to>
      <xdr:col>8</xdr:col>
      <xdr:colOff>9831</xdr:colOff>
      <xdr:row>12</xdr:row>
      <xdr:rowOff>85725</xdr:rowOff>
    </xdr:to>
    <xdr:sp macro="" textlink="">
      <xdr:nvSpPr>
        <xdr:cNvPr id="12" name="Rectangle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2193142" y="1576388"/>
          <a:ext cx="26489" cy="566737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4763</xdr:colOff>
      <xdr:row>9</xdr:row>
      <xdr:rowOff>85725</xdr:rowOff>
    </xdr:from>
    <xdr:to>
      <xdr:col>9</xdr:col>
      <xdr:colOff>0</xdr:colOff>
      <xdr:row>9</xdr:row>
      <xdr:rowOff>85725</xdr:rowOff>
    </xdr:to>
    <xdr:sp macro="" textlink="">
      <xdr:nvSpPr>
        <xdr:cNvPr id="13" name="Lin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214438" y="1628775"/>
          <a:ext cx="1328737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29689</xdr:colOff>
      <xdr:row>10</xdr:row>
      <xdr:rowOff>161925</xdr:rowOff>
    </xdr:from>
    <xdr:to>
      <xdr:col>7</xdr:col>
      <xdr:colOff>297656</xdr:colOff>
      <xdr:row>10</xdr:row>
      <xdr:rowOff>161925</xdr:rowOff>
    </xdr:to>
    <xdr:sp macro="" textlink="">
      <xdr:nvSpPr>
        <xdr:cNvPr id="14" name="Line 1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572739" y="1876425"/>
          <a:ext cx="601342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104775</xdr:colOff>
      <xdr:row>9</xdr:row>
      <xdr:rowOff>85725</xdr:rowOff>
    </xdr:from>
    <xdr:to>
      <xdr:col>6</xdr:col>
      <xdr:colOff>104775</xdr:colOff>
      <xdr:row>10</xdr:row>
      <xdr:rowOff>161925</xdr:rowOff>
    </xdr:to>
    <xdr:sp macro="" textlink="">
      <xdr:nvSpPr>
        <xdr:cNvPr id="15" name="Lin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64782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161925</xdr:colOff>
      <xdr:row>9</xdr:row>
      <xdr:rowOff>85725</xdr:rowOff>
    </xdr:from>
    <xdr:to>
      <xdr:col>6</xdr:col>
      <xdr:colOff>161925</xdr:colOff>
      <xdr:row>10</xdr:row>
      <xdr:rowOff>161925</xdr:rowOff>
    </xdr:to>
    <xdr:sp macro="" textlink="">
      <xdr:nvSpPr>
        <xdr:cNvPr id="16" name="Line 2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17049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219075</xdr:colOff>
      <xdr:row>9</xdr:row>
      <xdr:rowOff>85725</xdr:rowOff>
    </xdr:from>
    <xdr:to>
      <xdr:col>6</xdr:col>
      <xdr:colOff>219075</xdr:colOff>
      <xdr:row>10</xdr:row>
      <xdr:rowOff>161925</xdr:rowOff>
    </xdr:to>
    <xdr:sp macro="" textlink="">
      <xdr:nvSpPr>
        <xdr:cNvPr id="17" name="Line 2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176212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276225</xdr:colOff>
      <xdr:row>9</xdr:row>
      <xdr:rowOff>85725</xdr:rowOff>
    </xdr:from>
    <xdr:to>
      <xdr:col>6</xdr:col>
      <xdr:colOff>276225</xdr:colOff>
      <xdr:row>10</xdr:row>
      <xdr:rowOff>161925</xdr:rowOff>
    </xdr:to>
    <xdr:sp macro="" textlink="">
      <xdr:nvSpPr>
        <xdr:cNvPr id="18" name="Line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8192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333375</xdr:colOff>
      <xdr:row>9</xdr:row>
      <xdr:rowOff>85725</xdr:rowOff>
    </xdr:from>
    <xdr:to>
      <xdr:col>6</xdr:col>
      <xdr:colOff>333375</xdr:colOff>
      <xdr:row>10</xdr:row>
      <xdr:rowOff>161925</xdr:rowOff>
    </xdr:to>
    <xdr:sp macro="" textlink="">
      <xdr:nvSpPr>
        <xdr:cNvPr id="19" name="Line 3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87642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57150</xdr:colOff>
      <xdr:row>9</xdr:row>
      <xdr:rowOff>85725</xdr:rowOff>
    </xdr:from>
    <xdr:to>
      <xdr:col>7</xdr:col>
      <xdr:colOff>57150</xdr:colOff>
      <xdr:row>10</xdr:row>
      <xdr:rowOff>161925</xdr:rowOff>
    </xdr:to>
    <xdr:sp macro="" textlink="">
      <xdr:nvSpPr>
        <xdr:cNvPr id="20" name="Line 3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19335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114300</xdr:colOff>
      <xdr:row>9</xdr:row>
      <xdr:rowOff>85725</xdr:rowOff>
    </xdr:from>
    <xdr:to>
      <xdr:col>7</xdr:col>
      <xdr:colOff>114300</xdr:colOff>
      <xdr:row>10</xdr:row>
      <xdr:rowOff>161925</xdr:rowOff>
    </xdr:to>
    <xdr:sp macro="" textlink="">
      <xdr:nvSpPr>
        <xdr:cNvPr id="21" name="Line 3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199072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9</xdr:row>
      <xdr:rowOff>85725</xdr:rowOff>
    </xdr:from>
    <xdr:to>
      <xdr:col>7</xdr:col>
      <xdr:colOff>171450</xdr:colOff>
      <xdr:row>10</xdr:row>
      <xdr:rowOff>161925</xdr:rowOff>
    </xdr:to>
    <xdr:sp macro="" textlink="">
      <xdr:nvSpPr>
        <xdr:cNvPr id="22" name="Line 3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20478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228600</xdr:colOff>
      <xdr:row>9</xdr:row>
      <xdr:rowOff>85725</xdr:rowOff>
    </xdr:from>
    <xdr:to>
      <xdr:col>7</xdr:col>
      <xdr:colOff>228600</xdr:colOff>
      <xdr:row>10</xdr:row>
      <xdr:rowOff>161925</xdr:rowOff>
    </xdr:to>
    <xdr:sp macro="" textlink="">
      <xdr:nvSpPr>
        <xdr:cNvPr id="23" name="Line 3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210502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285750</xdr:colOff>
      <xdr:row>9</xdr:row>
      <xdr:rowOff>85725</xdr:rowOff>
    </xdr:from>
    <xdr:to>
      <xdr:col>7</xdr:col>
      <xdr:colOff>285750</xdr:colOff>
      <xdr:row>10</xdr:row>
      <xdr:rowOff>161925</xdr:rowOff>
    </xdr:to>
    <xdr:sp macro="" textlink="">
      <xdr:nvSpPr>
        <xdr:cNvPr id="24" name="Line 3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21621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13</xdr:row>
      <xdr:rowOff>95250</xdr:rowOff>
    </xdr:from>
    <xdr:to>
      <xdr:col>5</xdr:col>
      <xdr:colOff>0</xdr:colOff>
      <xdr:row>16</xdr:row>
      <xdr:rowOff>0</xdr:rowOff>
    </xdr:to>
    <xdr:sp macro="" textlink="">
      <xdr:nvSpPr>
        <xdr:cNvPr id="25" name="Line 4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209675" y="2667000"/>
          <a:ext cx="0" cy="4191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13</xdr:row>
      <xdr:rowOff>95250</xdr:rowOff>
    </xdr:from>
    <xdr:to>
      <xdr:col>6</xdr:col>
      <xdr:colOff>0</xdr:colOff>
      <xdr:row>15</xdr:row>
      <xdr:rowOff>0</xdr:rowOff>
    </xdr:to>
    <xdr:sp macro="" textlink="">
      <xdr:nvSpPr>
        <xdr:cNvPr id="26" name="Line 4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1543050" y="2667000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13</xdr:row>
      <xdr:rowOff>95250</xdr:rowOff>
    </xdr:from>
    <xdr:to>
      <xdr:col>9</xdr:col>
      <xdr:colOff>0</xdr:colOff>
      <xdr:row>16</xdr:row>
      <xdr:rowOff>0</xdr:rowOff>
    </xdr:to>
    <xdr:sp macro="" textlink="">
      <xdr:nvSpPr>
        <xdr:cNvPr id="27" name="Line 44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2543175" y="2667000"/>
          <a:ext cx="0" cy="4191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13</xdr:row>
      <xdr:rowOff>104775</xdr:rowOff>
    </xdr:from>
    <xdr:to>
      <xdr:col>8</xdr:col>
      <xdr:colOff>0</xdr:colOff>
      <xdr:row>15</xdr:row>
      <xdr:rowOff>0</xdr:rowOff>
    </xdr:to>
    <xdr:sp macro="" textlink="">
      <xdr:nvSpPr>
        <xdr:cNvPr id="28" name="Line 4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2209800" y="2676525"/>
          <a:ext cx="0" cy="2381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15</xdr:row>
      <xdr:rowOff>0</xdr:rowOff>
    </xdr:from>
    <xdr:to>
      <xdr:col>9</xdr:col>
      <xdr:colOff>0</xdr:colOff>
      <xdr:row>15</xdr:row>
      <xdr:rowOff>0</xdr:rowOff>
    </xdr:to>
    <xdr:sp macro="" textlink="">
      <xdr:nvSpPr>
        <xdr:cNvPr id="29" name="Line 4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1209675" y="2914650"/>
          <a:ext cx="133350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16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30" name="Line 4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209675" y="3086100"/>
          <a:ext cx="133350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14</xdr:row>
      <xdr:rowOff>152400</xdr:rowOff>
    </xdr:from>
    <xdr:to>
      <xdr:col>5</xdr:col>
      <xdr:colOff>19050</xdr:colOff>
      <xdr:row>15</xdr:row>
      <xdr:rowOff>19050</xdr:rowOff>
    </xdr:to>
    <xdr:sp macro="" textlink="">
      <xdr:nvSpPr>
        <xdr:cNvPr id="31" name="Oval 5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1190625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14</xdr:row>
      <xdr:rowOff>152400</xdr:rowOff>
    </xdr:from>
    <xdr:to>
      <xdr:col>6</xdr:col>
      <xdr:colOff>19050</xdr:colOff>
      <xdr:row>15</xdr:row>
      <xdr:rowOff>19050</xdr:rowOff>
    </xdr:to>
    <xdr:sp macro="" textlink="">
      <xdr:nvSpPr>
        <xdr:cNvPr id="32" name="Oval 5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1524000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314325</xdr:colOff>
      <xdr:row>14</xdr:row>
      <xdr:rowOff>152400</xdr:rowOff>
    </xdr:from>
    <xdr:to>
      <xdr:col>8</xdr:col>
      <xdr:colOff>19050</xdr:colOff>
      <xdr:row>15</xdr:row>
      <xdr:rowOff>19050</xdr:rowOff>
    </xdr:to>
    <xdr:sp macro="" textlink="">
      <xdr:nvSpPr>
        <xdr:cNvPr id="33" name="Oval 5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2190750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314325</xdr:colOff>
      <xdr:row>14</xdr:row>
      <xdr:rowOff>152400</xdr:rowOff>
    </xdr:from>
    <xdr:to>
      <xdr:col>9</xdr:col>
      <xdr:colOff>19050</xdr:colOff>
      <xdr:row>15</xdr:row>
      <xdr:rowOff>19050</xdr:rowOff>
    </xdr:to>
    <xdr:sp macro="" textlink="">
      <xdr:nvSpPr>
        <xdr:cNvPr id="34" name="Oval 5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2524125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315801</xdr:colOff>
      <xdr:row>15</xdr:row>
      <xdr:rowOff>152400</xdr:rowOff>
    </xdr:from>
    <xdr:to>
      <xdr:col>9</xdr:col>
      <xdr:colOff>20526</xdr:colOff>
      <xdr:row>16</xdr:row>
      <xdr:rowOff>19050</xdr:rowOff>
    </xdr:to>
    <xdr:sp macro="" textlink="">
      <xdr:nvSpPr>
        <xdr:cNvPr id="35" name="Oval 5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525601" y="30670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36" name="Line 7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>
          <a:off x="3876675" y="2228850"/>
          <a:ext cx="3333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9</xdr:row>
      <xdr:rowOff>85725</xdr:rowOff>
    </xdr:from>
    <xdr:to>
      <xdr:col>4</xdr:col>
      <xdr:colOff>257175</xdr:colOff>
      <xdr:row>9</xdr:row>
      <xdr:rowOff>85725</xdr:rowOff>
    </xdr:to>
    <xdr:sp macro="" textlink="">
      <xdr:nvSpPr>
        <xdr:cNvPr id="37" name="Line 8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876300" y="1971675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9</xdr:row>
      <xdr:rowOff>85725</xdr:rowOff>
    </xdr:from>
    <xdr:to>
      <xdr:col>4</xdr:col>
      <xdr:colOff>0</xdr:colOff>
      <xdr:row>12</xdr:row>
      <xdr:rowOff>95250</xdr:rowOff>
    </xdr:to>
    <xdr:sp macro="" textlink="">
      <xdr:nvSpPr>
        <xdr:cNvPr id="38" name="Line 8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876300" y="1971675"/>
          <a:ext cx="0" cy="5238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9</xdr:row>
      <xdr:rowOff>66675</xdr:rowOff>
    </xdr:from>
    <xdr:to>
      <xdr:col>4</xdr:col>
      <xdr:colOff>19050</xdr:colOff>
      <xdr:row>9</xdr:row>
      <xdr:rowOff>104775</xdr:rowOff>
    </xdr:to>
    <xdr:sp macro="" textlink="">
      <xdr:nvSpPr>
        <xdr:cNvPr id="39" name="Oval 8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857250" y="1952625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12</xdr:row>
      <xdr:rowOff>95250</xdr:rowOff>
    </xdr:from>
    <xdr:to>
      <xdr:col>4</xdr:col>
      <xdr:colOff>257175</xdr:colOff>
      <xdr:row>12</xdr:row>
      <xdr:rowOff>95250</xdr:rowOff>
    </xdr:to>
    <xdr:sp macro="" textlink="">
      <xdr:nvSpPr>
        <xdr:cNvPr id="40" name="Line 9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>
          <a:off x="876300" y="249555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12</xdr:row>
      <xdr:rowOff>76200</xdr:rowOff>
    </xdr:from>
    <xdr:to>
      <xdr:col>4</xdr:col>
      <xdr:colOff>19050</xdr:colOff>
      <xdr:row>12</xdr:row>
      <xdr:rowOff>114300</xdr:rowOff>
    </xdr:to>
    <xdr:sp macro="" textlink="">
      <xdr:nvSpPr>
        <xdr:cNvPr id="41" name="Oval 9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857250" y="24765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8</xdr:row>
      <xdr:rowOff>171450</xdr:rowOff>
    </xdr:from>
    <xdr:to>
      <xdr:col>12</xdr:col>
      <xdr:colOff>0</xdr:colOff>
      <xdr:row>13</xdr:row>
      <xdr:rowOff>0</xdr:rowOff>
    </xdr:to>
    <xdr:sp macro="" textlink="">
      <xdr:nvSpPr>
        <xdr:cNvPr id="42" name="Line 9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>
          <a:off x="3543300" y="1885950"/>
          <a:ext cx="0" cy="6858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8</xdr:row>
      <xdr:rowOff>171450</xdr:rowOff>
    </xdr:from>
    <xdr:to>
      <xdr:col>12</xdr:col>
      <xdr:colOff>257175</xdr:colOff>
      <xdr:row>8</xdr:row>
      <xdr:rowOff>171450</xdr:rowOff>
    </xdr:to>
    <xdr:sp macro="" textlink="">
      <xdr:nvSpPr>
        <xdr:cNvPr id="43" name="Line 9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 bwMode="auto">
        <a:xfrm>
          <a:off x="3543300" y="188595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314325</xdr:colOff>
      <xdr:row>8</xdr:row>
      <xdr:rowOff>152400</xdr:rowOff>
    </xdr:from>
    <xdr:to>
      <xdr:col>12</xdr:col>
      <xdr:colOff>19050</xdr:colOff>
      <xdr:row>9</xdr:row>
      <xdr:rowOff>19050</xdr:rowOff>
    </xdr:to>
    <xdr:sp macro="" textlink="">
      <xdr:nvSpPr>
        <xdr:cNvPr id="44" name="Oval 9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3524250" y="18669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257175</xdr:colOff>
      <xdr:row>13</xdr:row>
      <xdr:rowOff>0</xdr:rowOff>
    </xdr:to>
    <xdr:sp macro="" textlink="">
      <xdr:nvSpPr>
        <xdr:cNvPr id="45" name="Line 97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>
          <a:off x="3543300" y="257175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24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46" name="Line 9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 bwMode="auto">
        <a:xfrm>
          <a:off x="876300" y="5829300"/>
          <a:ext cx="6667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24</xdr:row>
      <xdr:rowOff>57150</xdr:rowOff>
    </xdr:from>
    <xdr:to>
      <xdr:col>4</xdr:col>
      <xdr:colOff>0</xdr:colOff>
      <xdr:row>26</xdr:row>
      <xdr:rowOff>0</xdr:rowOff>
    </xdr:to>
    <xdr:sp macro="" textlink="">
      <xdr:nvSpPr>
        <xdr:cNvPr id="47" name="Line 10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 bwMode="auto">
        <a:xfrm>
          <a:off x="876300" y="588645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25</xdr:row>
      <xdr:rowOff>152400</xdr:rowOff>
    </xdr:from>
    <xdr:to>
      <xdr:col>4</xdr:col>
      <xdr:colOff>19050</xdr:colOff>
      <xdr:row>26</xdr:row>
      <xdr:rowOff>19050</xdr:rowOff>
    </xdr:to>
    <xdr:sp macro="" textlink="">
      <xdr:nvSpPr>
        <xdr:cNvPr id="48" name="Oval 10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857250" y="61531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24</xdr:row>
      <xdr:rowOff>57150</xdr:rowOff>
    </xdr:from>
    <xdr:to>
      <xdr:col>6</xdr:col>
      <xdr:colOff>0</xdr:colOff>
      <xdr:row>26</xdr:row>
      <xdr:rowOff>0</xdr:rowOff>
    </xdr:to>
    <xdr:sp macro="" textlink="">
      <xdr:nvSpPr>
        <xdr:cNvPr id="49" name="Line 10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 bwMode="auto">
        <a:xfrm>
          <a:off x="1543050" y="588645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25</xdr:row>
      <xdr:rowOff>152400</xdr:rowOff>
    </xdr:from>
    <xdr:to>
      <xdr:col>6</xdr:col>
      <xdr:colOff>19050</xdr:colOff>
      <xdr:row>26</xdr:row>
      <xdr:rowOff>19050</xdr:rowOff>
    </xdr:to>
    <xdr:sp macro="" textlink="">
      <xdr:nvSpPr>
        <xdr:cNvPr id="50" name="Oval 10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61531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1" name="Line 10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 bwMode="auto">
        <a:xfrm>
          <a:off x="876300" y="6172200"/>
          <a:ext cx="6667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27</xdr:row>
      <xdr:rowOff>95250</xdr:rowOff>
    </xdr:from>
    <xdr:to>
      <xdr:col>4</xdr:col>
      <xdr:colOff>257175</xdr:colOff>
      <xdr:row>27</xdr:row>
      <xdr:rowOff>95250</xdr:rowOff>
    </xdr:to>
    <xdr:sp macro="" textlink="">
      <xdr:nvSpPr>
        <xdr:cNvPr id="52" name="Line 10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 bwMode="auto">
        <a:xfrm>
          <a:off x="876300" y="643890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27</xdr:row>
      <xdr:rowOff>76200</xdr:rowOff>
    </xdr:from>
    <xdr:to>
      <xdr:col>4</xdr:col>
      <xdr:colOff>19050</xdr:colOff>
      <xdr:row>27</xdr:row>
      <xdr:rowOff>114300</xdr:rowOff>
    </xdr:to>
    <xdr:sp macro="" textlink="">
      <xdr:nvSpPr>
        <xdr:cNvPr id="53" name="Oval 10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857250" y="64198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54" name="Line 10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 bwMode="auto">
        <a:xfrm>
          <a:off x="876300" y="6343650"/>
          <a:ext cx="0" cy="3429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4</xdr:col>
      <xdr:colOff>257175</xdr:colOff>
      <xdr:row>28</xdr:row>
      <xdr:rowOff>0</xdr:rowOff>
    </xdr:to>
    <xdr:sp macro="" textlink="">
      <xdr:nvSpPr>
        <xdr:cNvPr id="55" name="Line 10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876300" y="651510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27</xdr:row>
      <xdr:rowOff>152400</xdr:rowOff>
    </xdr:from>
    <xdr:to>
      <xdr:col>4</xdr:col>
      <xdr:colOff>19050</xdr:colOff>
      <xdr:row>28</xdr:row>
      <xdr:rowOff>19050</xdr:rowOff>
    </xdr:to>
    <xdr:sp macro="" textlink="">
      <xdr:nvSpPr>
        <xdr:cNvPr id="56" name="Oval 10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57250" y="64960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28</xdr:row>
      <xdr:rowOff>76200</xdr:rowOff>
    </xdr:from>
    <xdr:to>
      <xdr:col>4</xdr:col>
      <xdr:colOff>257175</xdr:colOff>
      <xdr:row>28</xdr:row>
      <xdr:rowOff>76200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 bwMode="auto">
        <a:xfrm>
          <a:off x="876300" y="659130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28</xdr:row>
      <xdr:rowOff>57150</xdr:rowOff>
    </xdr:from>
    <xdr:to>
      <xdr:col>4</xdr:col>
      <xdr:colOff>19050</xdr:colOff>
      <xdr:row>28</xdr:row>
      <xdr:rowOff>95250</xdr:rowOff>
    </xdr:to>
    <xdr:sp macro="" textlink="">
      <xdr:nvSpPr>
        <xdr:cNvPr id="58" name="Oval 11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rrowheads="1"/>
        </xdr:cNvSpPr>
      </xdr:nvSpPr>
      <xdr:spPr bwMode="auto">
        <a:xfrm>
          <a:off x="857250" y="65722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27</xdr:row>
      <xdr:rowOff>95250</xdr:rowOff>
    </xdr:from>
    <xdr:to>
      <xdr:col>6</xdr:col>
      <xdr:colOff>0</xdr:colOff>
      <xdr:row>28</xdr:row>
      <xdr:rowOff>0</xdr:rowOff>
    </xdr:to>
    <xdr:sp macro="" textlink="">
      <xdr:nvSpPr>
        <xdr:cNvPr id="59" name="Line 11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 bwMode="auto">
        <a:xfrm>
          <a:off x="1543050" y="6438900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0" name="Line 11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 bwMode="auto">
        <a:xfrm>
          <a:off x="1209675" y="6515100"/>
          <a:ext cx="3333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29</xdr:row>
      <xdr:rowOff>47625</xdr:rowOff>
    </xdr:from>
    <xdr:to>
      <xdr:col>5</xdr:col>
      <xdr:colOff>0</xdr:colOff>
      <xdr:row>30</xdr:row>
      <xdr:rowOff>0</xdr:rowOff>
    </xdr:to>
    <xdr:sp macro="" textlink="">
      <xdr:nvSpPr>
        <xdr:cNvPr id="61" name="Line 11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1209675" y="6734175"/>
          <a:ext cx="0" cy="1238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29</xdr:row>
      <xdr:rowOff>152400</xdr:rowOff>
    </xdr:from>
    <xdr:to>
      <xdr:col>5</xdr:col>
      <xdr:colOff>19050</xdr:colOff>
      <xdr:row>30</xdr:row>
      <xdr:rowOff>19050</xdr:rowOff>
    </xdr:to>
    <xdr:sp macro="" textlink="">
      <xdr:nvSpPr>
        <xdr:cNvPr id="62" name="Oval 115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rrowheads="1"/>
        </xdr:cNvSpPr>
      </xdr:nvSpPr>
      <xdr:spPr bwMode="auto">
        <a:xfrm>
          <a:off x="1190625" y="68389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29</xdr:row>
      <xdr:rowOff>47625</xdr:rowOff>
    </xdr:from>
    <xdr:to>
      <xdr:col>6</xdr:col>
      <xdr:colOff>0</xdr:colOff>
      <xdr:row>30</xdr:row>
      <xdr:rowOff>0</xdr:rowOff>
    </xdr:to>
    <xdr:sp macro="" textlink="">
      <xdr:nvSpPr>
        <xdr:cNvPr id="63" name="Line 116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ShapeType="1"/>
        </xdr:cNvSpPr>
      </xdr:nvSpPr>
      <xdr:spPr bwMode="auto">
        <a:xfrm>
          <a:off x="1543050" y="6734175"/>
          <a:ext cx="0" cy="1238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29</xdr:row>
      <xdr:rowOff>152400</xdr:rowOff>
    </xdr:from>
    <xdr:to>
      <xdr:col>6</xdr:col>
      <xdr:colOff>19050</xdr:colOff>
      <xdr:row>30</xdr:row>
      <xdr:rowOff>19050</xdr:rowOff>
    </xdr:to>
    <xdr:sp macro="" textlink="">
      <xdr:nvSpPr>
        <xdr:cNvPr id="64" name="Oval 117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1524000" y="68389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65" name="Line 118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1209675" y="6858000"/>
          <a:ext cx="3333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28</xdr:row>
      <xdr:rowOff>0</xdr:rowOff>
    </xdr:from>
    <xdr:to>
      <xdr:col>5</xdr:col>
      <xdr:colOff>0</xdr:colOff>
      <xdr:row>28</xdr:row>
      <xdr:rowOff>76200</xdr:rowOff>
    </xdr:to>
    <xdr:sp macro="" textlink="">
      <xdr:nvSpPr>
        <xdr:cNvPr id="66" name="Line 119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1209675" y="6515100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67" name="Line 12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876300" y="7372350"/>
          <a:ext cx="6667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33</xdr:row>
      <xdr:rowOff>57150</xdr:rowOff>
    </xdr:from>
    <xdr:to>
      <xdr:col>4</xdr:col>
      <xdr:colOff>0</xdr:colOff>
      <xdr:row>35</xdr:row>
      <xdr:rowOff>0</xdr:rowOff>
    </xdr:to>
    <xdr:sp macro="" textlink="">
      <xdr:nvSpPr>
        <xdr:cNvPr id="68" name="Line 12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876300" y="742950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34</xdr:row>
      <xdr:rowOff>152400</xdr:rowOff>
    </xdr:from>
    <xdr:to>
      <xdr:col>4</xdr:col>
      <xdr:colOff>19050</xdr:colOff>
      <xdr:row>35</xdr:row>
      <xdr:rowOff>19050</xdr:rowOff>
    </xdr:to>
    <xdr:sp macro="" textlink="">
      <xdr:nvSpPr>
        <xdr:cNvPr id="69" name="Oval 12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857250" y="76962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33</xdr:row>
      <xdr:rowOff>57150</xdr:rowOff>
    </xdr:from>
    <xdr:to>
      <xdr:col>6</xdr:col>
      <xdr:colOff>0</xdr:colOff>
      <xdr:row>35</xdr:row>
      <xdr:rowOff>0</xdr:rowOff>
    </xdr:to>
    <xdr:sp macro="" textlink="">
      <xdr:nvSpPr>
        <xdr:cNvPr id="70" name="Line 123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ShapeType="1"/>
        </xdr:cNvSpPr>
      </xdr:nvSpPr>
      <xdr:spPr bwMode="auto">
        <a:xfrm>
          <a:off x="1543050" y="742950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34</xdr:row>
      <xdr:rowOff>152400</xdr:rowOff>
    </xdr:from>
    <xdr:to>
      <xdr:col>6</xdr:col>
      <xdr:colOff>19050</xdr:colOff>
      <xdr:row>35</xdr:row>
      <xdr:rowOff>19050</xdr:rowOff>
    </xdr:to>
    <xdr:sp macro="" textlink="">
      <xdr:nvSpPr>
        <xdr:cNvPr id="71" name="Oval 124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rrowheads="1"/>
        </xdr:cNvSpPr>
      </xdr:nvSpPr>
      <xdr:spPr bwMode="auto">
        <a:xfrm>
          <a:off x="1524000" y="76962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35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72" name="Line 12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ShapeType="1"/>
        </xdr:cNvSpPr>
      </xdr:nvSpPr>
      <xdr:spPr bwMode="auto">
        <a:xfrm>
          <a:off x="876300" y="7715250"/>
          <a:ext cx="6667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39</xdr:row>
      <xdr:rowOff>115954</xdr:rowOff>
    </xdr:from>
    <xdr:to>
      <xdr:col>6</xdr:col>
      <xdr:colOff>0</xdr:colOff>
      <xdr:row>39</xdr:row>
      <xdr:rowOff>115954</xdr:rowOff>
    </xdr:to>
    <xdr:sp macro="" textlink="">
      <xdr:nvSpPr>
        <xdr:cNvPr id="73" name="Line 12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ShapeType="1"/>
        </xdr:cNvSpPr>
      </xdr:nvSpPr>
      <xdr:spPr bwMode="auto">
        <a:xfrm>
          <a:off x="876300" y="8517004"/>
          <a:ext cx="6667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74" name="Line 12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876300" y="8572500"/>
          <a:ext cx="0" cy="1714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40</xdr:row>
      <xdr:rowOff>152400</xdr:rowOff>
    </xdr:from>
    <xdr:to>
      <xdr:col>4</xdr:col>
      <xdr:colOff>19050</xdr:colOff>
      <xdr:row>41</xdr:row>
      <xdr:rowOff>19050</xdr:rowOff>
    </xdr:to>
    <xdr:sp macro="" textlink="">
      <xdr:nvSpPr>
        <xdr:cNvPr id="75" name="Oval 128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rrowheads="1"/>
        </xdr:cNvSpPr>
      </xdr:nvSpPr>
      <xdr:spPr bwMode="auto">
        <a:xfrm>
          <a:off x="857250" y="87249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76" name="Line 129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1543050" y="8572500"/>
          <a:ext cx="0" cy="1714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40</xdr:row>
      <xdr:rowOff>152400</xdr:rowOff>
    </xdr:from>
    <xdr:to>
      <xdr:col>6</xdr:col>
      <xdr:colOff>19050</xdr:colOff>
      <xdr:row>41</xdr:row>
      <xdr:rowOff>19050</xdr:rowOff>
    </xdr:to>
    <xdr:sp macro="" textlink="">
      <xdr:nvSpPr>
        <xdr:cNvPr id="77" name="Oval 130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rrowheads="1"/>
        </xdr:cNvSpPr>
      </xdr:nvSpPr>
      <xdr:spPr bwMode="auto">
        <a:xfrm>
          <a:off x="1524000" y="87249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78" name="Line 13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876300" y="8743950"/>
          <a:ext cx="6667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38100</xdr:colOff>
      <xdr:row>109</xdr:row>
      <xdr:rowOff>57150</xdr:rowOff>
    </xdr:from>
    <xdr:to>
      <xdr:col>6</xdr:col>
      <xdr:colOff>104775</xdr:colOff>
      <xdr:row>116</xdr:row>
      <xdr:rowOff>104775</xdr:rowOff>
    </xdr:to>
    <xdr:sp macro="" textlink="">
      <xdr:nvSpPr>
        <xdr:cNvPr id="79" name="Arc 13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/>
        </xdr:cNvSpPr>
      </xdr:nvSpPr>
      <xdr:spPr bwMode="auto">
        <a:xfrm>
          <a:off x="581025" y="12230100"/>
          <a:ext cx="1066800" cy="1247775"/>
        </a:xfrm>
        <a:custGeom>
          <a:avLst/>
          <a:gdLst>
            <a:gd name="T0" fmla="*/ 890663193 w 36899"/>
            <a:gd name="T1" fmla="*/ 888951535 h 43200"/>
            <a:gd name="T2" fmla="*/ 891702180 w 36899"/>
            <a:gd name="T3" fmla="*/ 153062133 h 43200"/>
            <a:gd name="T4" fmla="*/ 521985971 w 36899"/>
            <a:gd name="T5" fmla="*/ 520489180 h 432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36899" h="43200" fill="none" extrusionOk="0">
              <a:moveTo>
                <a:pt x="36855" y="36890"/>
              </a:moveTo>
              <a:cubicBezTo>
                <a:pt x="32806" y="40931"/>
                <a:pt x="27320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341" y="-1"/>
                <a:pt x="32846" y="2285"/>
                <a:pt x="36898" y="6352"/>
              </a:cubicBezTo>
            </a:path>
            <a:path w="36899" h="43200" stroke="0" extrusionOk="0">
              <a:moveTo>
                <a:pt x="36855" y="36890"/>
              </a:moveTo>
              <a:cubicBezTo>
                <a:pt x="32806" y="40931"/>
                <a:pt x="27320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341" y="-1"/>
                <a:pt x="32846" y="2285"/>
                <a:pt x="36898" y="6352"/>
              </a:cubicBezTo>
              <a:lnTo>
                <a:pt x="21600" y="21600"/>
              </a:lnTo>
              <a:lnTo>
                <a:pt x="36855" y="36890"/>
              </a:lnTo>
              <a:close/>
            </a:path>
          </a:pathLst>
        </a:cu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190500</xdr:colOff>
      <xdr:row>112</xdr:row>
      <xdr:rowOff>28575</xdr:rowOff>
    </xdr:from>
    <xdr:to>
      <xdr:col>5</xdr:col>
      <xdr:colOff>133350</xdr:colOff>
      <xdr:row>113</xdr:row>
      <xdr:rowOff>133350</xdr:rowOff>
    </xdr:to>
    <xdr:sp macro="" textlink="">
      <xdr:nvSpPr>
        <xdr:cNvPr id="80" name="Oval 13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rrowheads="1"/>
        </xdr:cNvSpPr>
      </xdr:nvSpPr>
      <xdr:spPr bwMode="auto">
        <a:xfrm>
          <a:off x="1066800" y="12715875"/>
          <a:ext cx="276225" cy="276225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123825</xdr:colOff>
      <xdr:row>110</xdr:row>
      <xdr:rowOff>76200</xdr:rowOff>
    </xdr:from>
    <xdr:to>
      <xdr:col>6</xdr:col>
      <xdr:colOff>104775</xdr:colOff>
      <xdr:row>112</xdr:row>
      <xdr:rowOff>47625</xdr:rowOff>
    </xdr:to>
    <xdr:sp macro="" textlink="">
      <xdr:nvSpPr>
        <xdr:cNvPr id="81" name="Line 135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ShapeType="1"/>
        </xdr:cNvSpPr>
      </xdr:nvSpPr>
      <xdr:spPr bwMode="auto">
        <a:xfrm flipV="1">
          <a:off x="1333500" y="12420600"/>
          <a:ext cx="314325" cy="3143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123825</xdr:colOff>
      <xdr:row>113</xdr:row>
      <xdr:rowOff>114300</xdr:rowOff>
    </xdr:from>
    <xdr:to>
      <xdr:col>6</xdr:col>
      <xdr:colOff>104775</xdr:colOff>
      <xdr:row>115</xdr:row>
      <xdr:rowOff>85725</xdr:rowOff>
    </xdr:to>
    <xdr:sp macro="" textlink="">
      <xdr:nvSpPr>
        <xdr:cNvPr id="82" name="Line 136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ShapeType="1"/>
        </xdr:cNvSpPr>
      </xdr:nvSpPr>
      <xdr:spPr bwMode="auto">
        <a:xfrm>
          <a:off x="1333500" y="12973050"/>
          <a:ext cx="314325" cy="3143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38100</xdr:colOff>
      <xdr:row>117</xdr:row>
      <xdr:rowOff>57150</xdr:rowOff>
    </xdr:from>
    <xdr:to>
      <xdr:col>3</xdr:col>
      <xdr:colOff>38100</xdr:colOff>
      <xdr:row>119</xdr:row>
      <xdr:rowOff>0</xdr:rowOff>
    </xdr:to>
    <xdr:sp macro="" textlink="">
      <xdr:nvSpPr>
        <xdr:cNvPr id="83" name="Line 137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ShapeType="1"/>
        </xdr:cNvSpPr>
      </xdr:nvSpPr>
      <xdr:spPr bwMode="auto">
        <a:xfrm>
          <a:off x="581025" y="1360170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</xdr:colOff>
      <xdr:row>118</xdr:row>
      <xdr:rowOff>152400</xdr:rowOff>
    </xdr:from>
    <xdr:to>
      <xdr:col>3</xdr:col>
      <xdr:colOff>57150</xdr:colOff>
      <xdr:row>119</xdr:row>
      <xdr:rowOff>19050</xdr:rowOff>
    </xdr:to>
    <xdr:sp macro="" textlink="">
      <xdr:nvSpPr>
        <xdr:cNvPr id="84" name="Oval 138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rrowheads="1"/>
        </xdr:cNvSpPr>
      </xdr:nvSpPr>
      <xdr:spPr bwMode="auto">
        <a:xfrm>
          <a:off x="561975" y="138684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171450</xdr:colOff>
      <xdr:row>117</xdr:row>
      <xdr:rowOff>57150</xdr:rowOff>
    </xdr:from>
    <xdr:to>
      <xdr:col>4</xdr:col>
      <xdr:colOff>171450</xdr:colOff>
      <xdr:row>119</xdr:row>
      <xdr:rowOff>0</xdr:rowOff>
    </xdr:to>
    <xdr:sp macro="" textlink="">
      <xdr:nvSpPr>
        <xdr:cNvPr id="85" name="Line 13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ShapeType="1"/>
        </xdr:cNvSpPr>
      </xdr:nvSpPr>
      <xdr:spPr bwMode="auto">
        <a:xfrm>
          <a:off x="1047750" y="1360170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152400</xdr:colOff>
      <xdr:row>118</xdr:row>
      <xdr:rowOff>152400</xdr:rowOff>
    </xdr:from>
    <xdr:to>
      <xdr:col>4</xdr:col>
      <xdr:colOff>190500</xdr:colOff>
      <xdr:row>119</xdr:row>
      <xdr:rowOff>19050</xdr:rowOff>
    </xdr:to>
    <xdr:sp macro="" textlink="">
      <xdr:nvSpPr>
        <xdr:cNvPr id="86" name="Oval 14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1028700" y="138684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38100</xdr:colOff>
      <xdr:row>119</xdr:row>
      <xdr:rowOff>0</xdr:rowOff>
    </xdr:from>
    <xdr:to>
      <xdr:col>5</xdr:col>
      <xdr:colOff>0</xdr:colOff>
      <xdr:row>119</xdr:row>
      <xdr:rowOff>0</xdr:rowOff>
    </xdr:to>
    <xdr:sp macro="" textlink="">
      <xdr:nvSpPr>
        <xdr:cNvPr id="87" name="Line 14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ShapeType="1"/>
        </xdr:cNvSpPr>
      </xdr:nvSpPr>
      <xdr:spPr bwMode="auto">
        <a:xfrm>
          <a:off x="581025" y="13887450"/>
          <a:ext cx="6286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117</xdr:row>
      <xdr:rowOff>57150</xdr:rowOff>
    </xdr:from>
    <xdr:to>
      <xdr:col>5</xdr:col>
      <xdr:colOff>0</xdr:colOff>
      <xdr:row>119</xdr:row>
      <xdr:rowOff>0</xdr:rowOff>
    </xdr:to>
    <xdr:sp macro="" textlink="">
      <xdr:nvSpPr>
        <xdr:cNvPr id="88" name="Line 14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ShapeType="1"/>
        </xdr:cNvSpPr>
      </xdr:nvSpPr>
      <xdr:spPr bwMode="auto">
        <a:xfrm>
          <a:off x="1209675" y="1360170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118</xdr:row>
      <xdr:rowOff>152400</xdr:rowOff>
    </xdr:from>
    <xdr:to>
      <xdr:col>5</xdr:col>
      <xdr:colOff>19050</xdr:colOff>
      <xdr:row>119</xdr:row>
      <xdr:rowOff>19050</xdr:rowOff>
    </xdr:to>
    <xdr:sp macro="" textlink="">
      <xdr:nvSpPr>
        <xdr:cNvPr id="89" name="Oval 143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rrowheads="1"/>
        </xdr:cNvSpPr>
      </xdr:nvSpPr>
      <xdr:spPr bwMode="auto">
        <a:xfrm>
          <a:off x="1190625" y="138684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161925</xdr:colOff>
      <xdr:row>112</xdr:row>
      <xdr:rowOff>0</xdr:rowOff>
    </xdr:from>
    <xdr:to>
      <xdr:col>5</xdr:col>
      <xdr:colOff>123825</xdr:colOff>
      <xdr:row>113</xdr:row>
      <xdr:rowOff>161925</xdr:rowOff>
    </xdr:to>
    <xdr:sp macro="" textlink="">
      <xdr:nvSpPr>
        <xdr:cNvPr id="90" name="Arc 14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/>
        </xdr:cNvSpPr>
      </xdr:nvSpPr>
      <xdr:spPr bwMode="auto">
        <a:xfrm>
          <a:off x="1038225" y="12687300"/>
          <a:ext cx="295275" cy="333375"/>
        </a:xfrm>
        <a:custGeom>
          <a:avLst/>
          <a:gdLst>
            <a:gd name="T0" fmla="*/ 18886197 w 36899"/>
            <a:gd name="T1" fmla="*/ 16953824 h 43200"/>
            <a:gd name="T2" fmla="*/ 18908227 w 36899"/>
            <a:gd name="T3" fmla="*/ 2919138 h 43200"/>
            <a:gd name="T4" fmla="*/ 11068559 w 36899"/>
            <a:gd name="T5" fmla="*/ 9926657 h 432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36899" h="43200" fill="none" extrusionOk="0">
              <a:moveTo>
                <a:pt x="36855" y="36890"/>
              </a:moveTo>
              <a:cubicBezTo>
                <a:pt x="32806" y="40931"/>
                <a:pt x="27320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341" y="-1"/>
                <a:pt x="32846" y="2285"/>
                <a:pt x="36898" y="6352"/>
              </a:cubicBezTo>
            </a:path>
            <a:path w="36899" h="43200" stroke="0" extrusionOk="0">
              <a:moveTo>
                <a:pt x="36855" y="36890"/>
              </a:moveTo>
              <a:cubicBezTo>
                <a:pt x="32806" y="40931"/>
                <a:pt x="27320" y="43199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7341" y="-1"/>
                <a:pt x="32846" y="2285"/>
                <a:pt x="36898" y="6352"/>
              </a:cubicBezTo>
              <a:lnTo>
                <a:pt x="21600" y="21600"/>
              </a:lnTo>
              <a:lnTo>
                <a:pt x="36855" y="36890"/>
              </a:lnTo>
              <a:close/>
            </a:path>
          </a:pathLst>
        </a:cu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128</xdr:row>
      <xdr:rowOff>0</xdr:rowOff>
    </xdr:from>
    <xdr:to>
      <xdr:col>6</xdr:col>
      <xdr:colOff>0</xdr:colOff>
      <xdr:row>128</xdr:row>
      <xdr:rowOff>0</xdr:rowOff>
    </xdr:to>
    <xdr:sp macro="" textlink="">
      <xdr:nvSpPr>
        <xdr:cNvPr id="91" name="Line 145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ShapeType="1"/>
        </xdr:cNvSpPr>
      </xdr:nvSpPr>
      <xdr:spPr bwMode="auto">
        <a:xfrm>
          <a:off x="876300" y="15430500"/>
          <a:ext cx="6667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128</xdr:row>
      <xdr:rowOff>57150</xdr:rowOff>
    </xdr:from>
    <xdr:to>
      <xdr:col>4</xdr:col>
      <xdr:colOff>0</xdr:colOff>
      <xdr:row>130</xdr:row>
      <xdr:rowOff>0</xdr:rowOff>
    </xdr:to>
    <xdr:sp macro="" textlink="">
      <xdr:nvSpPr>
        <xdr:cNvPr id="92" name="Line 14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ShapeType="1"/>
        </xdr:cNvSpPr>
      </xdr:nvSpPr>
      <xdr:spPr bwMode="auto">
        <a:xfrm>
          <a:off x="876300" y="15487650"/>
          <a:ext cx="0" cy="2857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129</xdr:row>
      <xdr:rowOff>152400</xdr:rowOff>
    </xdr:from>
    <xdr:to>
      <xdr:col>4</xdr:col>
      <xdr:colOff>19050</xdr:colOff>
      <xdr:row>130</xdr:row>
      <xdr:rowOff>19050</xdr:rowOff>
    </xdr:to>
    <xdr:sp macro="" textlink="">
      <xdr:nvSpPr>
        <xdr:cNvPr id="93" name="Oval 147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rrowheads="1"/>
        </xdr:cNvSpPr>
      </xdr:nvSpPr>
      <xdr:spPr bwMode="auto">
        <a:xfrm>
          <a:off x="857250" y="157543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125</xdr:row>
      <xdr:rowOff>171126</xdr:rowOff>
    </xdr:from>
    <xdr:to>
      <xdr:col>6</xdr:col>
      <xdr:colOff>0</xdr:colOff>
      <xdr:row>126</xdr:row>
      <xdr:rowOff>171126</xdr:rowOff>
    </xdr:to>
    <xdr:sp macro="" textlink="">
      <xdr:nvSpPr>
        <xdr:cNvPr id="94" name="Line 14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ShapeType="1"/>
        </xdr:cNvSpPr>
      </xdr:nvSpPr>
      <xdr:spPr bwMode="auto">
        <a:xfrm>
          <a:off x="1543050" y="15087276"/>
          <a:ext cx="0" cy="1714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129</xdr:row>
      <xdr:rowOff>152400</xdr:rowOff>
    </xdr:from>
    <xdr:to>
      <xdr:col>6</xdr:col>
      <xdr:colOff>19050</xdr:colOff>
      <xdr:row>130</xdr:row>
      <xdr:rowOff>19050</xdr:rowOff>
    </xdr:to>
    <xdr:sp macro="" textlink="">
      <xdr:nvSpPr>
        <xdr:cNvPr id="95" name="Oval 149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rrowheads="1"/>
        </xdr:cNvSpPr>
      </xdr:nvSpPr>
      <xdr:spPr bwMode="auto">
        <a:xfrm>
          <a:off x="1524000" y="157543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130</xdr:row>
      <xdr:rowOff>0</xdr:rowOff>
    </xdr:from>
    <xdr:to>
      <xdr:col>6</xdr:col>
      <xdr:colOff>0</xdr:colOff>
      <xdr:row>130</xdr:row>
      <xdr:rowOff>0</xdr:rowOff>
    </xdr:to>
    <xdr:sp macro="" textlink="">
      <xdr:nvSpPr>
        <xdr:cNvPr id="96" name="Line 15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ShapeType="1"/>
        </xdr:cNvSpPr>
      </xdr:nvSpPr>
      <xdr:spPr bwMode="auto">
        <a:xfrm>
          <a:off x="876300" y="15773400"/>
          <a:ext cx="6667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0</xdr:colOff>
      <xdr:row>133</xdr:row>
      <xdr:rowOff>0</xdr:rowOff>
    </xdr:to>
    <xdr:sp macro="" textlink="">
      <xdr:nvSpPr>
        <xdr:cNvPr id="97" name="Line 153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ShapeType="1"/>
        </xdr:cNvSpPr>
      </xdr:nvSpPr>
      <xdr:spPr bwMode="auto">
        <a:xfrm>
          <a:off x="876300" y="16116300"/>
          <a:ext cx="0" cy="1714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257175</xdr:colOff>
      <xdr:row>132</xdr:row>
      <xdr:rowOff>0</xdr:rowOff>
    </xdr:to>
    <xdr:sp macro="" textlink="">
      <xdr:nvSpPr>
        <xdr:cNvPr id="98" name="Line 154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ShapeType="1"/>
        </xdr:cNvSpPr>
      </xdr:nvSpPr>
      <xdr:spPr bwMode="auto">
        <a:xfrm>
          <a:off x="876300" y="1611630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132</xdr:row>
      <xdr:rowOff>152400</xdr:rowOff>
    </xdr:from>
    <xdr:to>
      <xdr:col>4</xdr:col>
      <xdr:colOff>19050</xdr:colOff>
      <xdr:row>133</xdr:row>
      <xdr:rowOff>19050</xdr:rowOff>
    </xdr:to>
    <xdr:sp macro="" textlink="">
      <xdr:nvSpPr>
        <xdr:cNvPr id="99" name="Oval 155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rrowheads="1"/>
        </xdr:cNvSpPr>
      </xdr:nvSpPr>
      <xdr:spPr bwMode="auto">
        <a:xfrm>
          <a:off x="857250" y="162687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133</xdr:row>
      <xdr:rowOff>0</xdr:rowOff>
    </xdr:from>
    <xdr:to>
      <xdr:col>4</xdr:col>
      <xdr:colOff>257175</xdr:colOff>
      <xdr:row>133</xdr:row>
      <xdr:rowOff>0</xdr:rowOff>
    </xdr:to>
    <xdr:sp macro="" textlink="">
      <xdr:nvSpPr>
        <xdr:cNvPr id="100" name="Line 156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ShapeType="1"/>
        </xdr:cNvSpPr>
      </xdr:nvSpPr>
      <xdr:spPr bwMode="auto">
        <a:xfrm>
          <a:off x="876300" y="1628775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131</xdr:row>
      <xdr:rowOff>152400</xdr:rowOff>
    </xdr:from>
    <xdr:to>
      <xdr:col>4</xdr:col>
      <xdr:colOff>19050</xdr:colOff>
      <xdr:row>132</xdr:row>
      <xdr:rowOff>19050</xdr:rowOff>
    </xdr:to>
    <xdr:sp macro="" textlink="">
      <xdr:nvSpPr>
        <xdr:cNvPr id="101" name="Oval 15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rrowheads="1"/>
        </xdr:cNvSpPr>
      </xdr:nvSpPr>
      <xdr:spPr bwMode="auto">
        <a:xfrm>
          <a:off x="857250" y="160972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161925</xdr:colOff>
      <xdr:row>132</xdr:row>
      <xdr:rowOff>0</xdr:rowOff>
    </xdr:from>
    <xdr:to>
      <xdr:col>5</xdr:col>
      <xdr:colOff>161925</xdr:colOff>
      <xdr:row>132</xdr:row>
      <xdr:rowOff>161925</xdr:rowOff>
    </xdr:to>
    <xdr:sp macro="" textlink="">
      <xdr:nvSpPr>
        <xdr:cNvPr id="102" name="Line 15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ShapeType="1"/>
        </xdr:cNvSpPr>
      </xdr:nvSpPr>
      <xdr:spPr bwMode="auto">
        <a:xfrm>
          <a:off x="1371600" y="16116300"/>
          <a:ext cx="0" cy="1619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132</xdr:row>
      <xdr:rowOff>0</xdr:rowOff>
    </xdr:from>
    <xdr:to>
      <xdr:col>6</xdr:col>
      <xdr:colOff>0</xdr:colOff>
      <xdr:row>132</xdr:row>
      <xdr:rowOff>0</xdr:rowOff>
    </xdr:to>
    <xdr:sp macro="" textlink="">
      <xdr:nvSpPr>
        <xdr:cNvPr id="103" name="Line 159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ShapeType="1"/>
        </xdr:cNvSpPr>
      </xdr:nvSpPr>
      <xdr:spPr bwMode="auto">
        <a:xfrm>
          <a:off x="1209675" y="16116300"/>
          <a:ext cx="3333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133</xdr:row>
      <xdr:rowOff>47625</xdr:rowOff>
    </xdr:from>
    <xdr:to>
      <xdr:col>5</xdr:col>
      <xdr:colOff>0</xdr:colOff>
      <xdr:row>134</xdr:row>
      <xdr:rowOff>0</xdr:rowOff>
    </xdr:to>
    <xdr:sp macro="" textlink="">
      <xdr:nvSpPr>
        <xdr:cNvPr id="104" name="Line 160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ShapeType="1"/>
        </xdr:cNvSpPr>
      </xdr:nvSpPr>
      <xdr:spPr bwMode="auto">
        <a:xfrm>
          <a:off x="1209675" y="16335375"/>
          <a:ext cx="0" cy="1238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133</xdr:row>
      <xdr:rowOff>152400</xdr:rowOff>
    </xdr:from>
    <xdr:to>
      <xdr:col>5</xdr:col>
      <xdr:colOff>19050</xdr:colOff>
      <xdr:row>134</xdr:row>
      <xdr:rowOff>19050</xdr:rowOff>
    </xdr:to>
    <xdr:sp macro="" textlink="">
      <xdr:nvSpPr>
        <xdr:cNvPr id="105" name="Oval 16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rrowheads="1"/>
        </xdr:cNvSpPr>
      </xdr:nvSpPr>
      <xdr:spPr bwMode="auto">
        <a:xfrm>
          <a:off x="1190625" y="164401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130</xdr:row>
      <xdr:rowOff>47625</xdr:rowOff>
    </xdr:from>
    <xdr:to>
      <xdr:col>6</xdr:col>
      <xdr:colOff>0</xdr:colOff>
      <xdr:row>131</xdr:row>
      <xdr:rowOff>0</xdr:rowOff>
    </xdr:to>
    <xdr:sp macro="" textlink="">
      <xdr:nvSpPr>
        <xdr:cNvPr id="106" name="Line 16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ShapeType="1"/>
        </xdr:cNvSpPr>
      </xdr:nvSpPr>
      <xdr:spPr bwMode="auto">
        <a:xfrm>
          <a:off x="1543050" y="15821025"/>
          <a:ext cx="0" cy="1238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133</xdr:row>
      <xdr:rowOff>152400</xdr:rowOff>
    </xdr:from>
    <xdr:to>
      <xdr:col>6</xdr:col>
      <xdr:colOff>19050</xdr:colOff>
      <xdr:row>134</xdr:row>
      <xdr:rowOff>19050</xdr:rowOff>
    </xdr:to>
    <xdr:sp macro="" textlink="">
      <xdr:nvSpPr>
        <xdr:cNvPr id="107" name="Oval 163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rrowheads="1"/>
        </xdr:cNvSpPr>
      </xdr:nvSpPr>
      <xdr:spPr bwMode="auto">
        <a:xfrm>
          <a:off x="1524000" y="164401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134</xdr:row>
      <xdr:rowOff>0</xdr:rowOff>
    </xdr:to>
    <xdr:sp macro="" textlink="">
      <xdr:nvSpPr>
        <xdr:cNvPr id="108" name="Line 164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ShapeType="1"/>
        </xdr:cNvSpPr>
      </xdr:nvSpPr>
      <xdr:spPr bwMode="auto">
        <a:xfrm>
          <a:off x="1209675" y="16459200"/>
          <a:ext cx="3333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124</xdr:row>
      <xdr:rowOff>85725</xdr:rowOff>
    </xdr:from>
    <xdr:to>
      <xdr:col>6</xdr:col>
      <xdr:colOff>0</xdr:colOff>
      <xdr:row>125</xdr:row>
      <xdr:rowOff>76200</xdr:rowOff>
    </xdr:to>
    <xdr:sp macro="" textlink="">
      <xdr:nvSpPr>
        <xdr:cNvPr id="109" name="Line 166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ShapeType="1"/>
        </xdr:cNvSpPr>
      </xdr:nvSpPr>
      <xdr:spPr bwMode="auto">
        <a:xfrm>
          <a:off x="1543050" y="14830425"/>
          <a:ext cx="0" cy="1619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295274</xdr:colOff>
      <xdr:row>8</xdr:row>
      <xdr:rowOff>130969</xdr:rowOff>
    </xdr:from>
    <xdr:to>
      <xdr:col>4</xdr:col>
      <xdr:colOff>295274</xdr:colOff>
      <xdr:row>9</xdr:row>
      <xdr:rowOff>35719</xdr:rowOff>
    </xdr:to>
    <xdr:sp macro="" textlink="">
      <xdr:nvSpPr>
        <xdr:cNvPr id="110" name="Line 7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>
          <a:off x="1171574" y="1502569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180974</xdr:colOff>
      <xdr:row>8</xdr:row>
      <xdr:rowOff>166687</xdr:rowOff>
    </xdr:from>
    <xdr:to>
      <xdr:col>4</xdr:col>
      <xdr:colOff>295275</xdr:colOff>
      <xdr:row>8</xdr:row>
      <xdr:rowOff>166687</xdr:rowOff>
    </xdr:to>
    <xdr:sp macro="" textlink="">
      <xdr:nvSpPr>
        <xdr:cNvPr id="111" name="Line 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1057274" y="1538287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9</xdr:row>
      <xdr:rowOff>85725</xdr:rowOff>
    </xdr:from>
    <xdr:to>
      <xdr:col>6</xdr:col>
      <xdr:colOff>47625</xdr:colOff>
      <xdr:row>10</xdr:row>
      <xdr:rowOff>161925</xdr:rowOff>
    </xdr:to>
    <xdr:sp macro="" textlink="">
      <xdr:nvSpPr>
        <xdr:cNvPr id="115" name="Line 27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1590675" y="19716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27401</xdr:colOff>
      <xdr:row>11</xdr:row>
      <xdr:rowOff>9525</xdr:rowOff>
    </xdr:from>
    <xdr:to>
      <xdr:col>7</xdr:col>
      <xdr:colOff>300038</xdr:colOff>
      <xdr:row>11</xdr:row>
      <xdr:rowOff>9525</xdr:rowOff>
    </xdr:to>
    <xdr:sp macro="" textlink="">
      <xdr:nvSpPr>
        <xdr:cNvPr id="117" name="Line 17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ShapeType="1"/>
        </xdr:cNvSpPr>
      </xdr:nvSpPr>
      <xdr:spPr bwMode="auto">
        <a:xfrm>
          <a:off x="1570451" y="1895475"/>
          <a:ext cx="606012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2382</xdr:colOff>
      <xdr:row>12</xdr:row>
      <xdr:rowOff>85725</xdr:rowOff>
    </xdr:from>
    <xdr:to>
      <xdr:col>9</xdr:col>
      <xdr:colOff>2382</xdr:colOff>
      <xdr:row>12</xdr:row>
      <xdr:rowOff>85725</xdr:rowOff>
    </xdr:to>
    <xdr:sp macro="" textlink="">
      <xdr:nvSpPr>
        <xdr:cNvPr id="118" name="Line 18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ShapeType="1"/>
        </xdr:cNvSpPr>
      </xdr:nvSpPr>
      <xdr:spPr bwMode="auto">
        <a:xfrm>
          <a:off x="1212057" y="2143125"/>
          <a:ext cx="13335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104775</xdr:colOff>
      <xdr:row>11</xdr:row>
      <xdr:rowOff>9525</xdr:rowOff>
    </xdr:from>
    <xdr:to>
      <xdr:col>6</xdr:col>
      <xdr:colOff>104775</xdr:colOff>
      <xdr:row>12</xdr:row>
      <xdr:rowOff>85725</xdr:rowOff>
    </xdr:to>
    <xdr:sp macro="" textlink="">
      <xdr:nvSpPr>
        <xdr:cNvPr id="119" name="Line 27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ShapeType="1"/>
        </xdr:cNvSpPr>
      </xdr:nvSpPr>
      <xdr:spPr bwMode="auto">
        <a:xfrm>
          <a:off x="164782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161925</xdr:colOff>
      <xdr:row>11</xdr:row>
      <xdr:rowOff>9525</xdr:rowOff>
    </xdr:from>
    <xdr:to>
      <xdr:col>6</xdr:col>
      <xdr:colOff>161925</xdr:colOff>
      <xdr:row>12</xdr:row>
      <xdr:rowOff>85725</xdr:rowOff>
    </xdr:to>
    <xdr:sp macro="" textlink="">
      <xdr:nvSpPr>
        <xdr:cNvPr id="120" name="Line 28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ShapeType="1"/>
        </xdr:cNvSpPr>
      </xdr:nvSpPr>
      <xdr:spPr bwMode="auto">
        <a:xfrm>
          <a:off x="17049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219075</xdr:colOff>
      <xdr:row>11</xdr:row>
      <xdr:rowOff>9525</xdr:rowOff>
    </xdr:from>
    <xdr:to>
      <xdr:col>6</xdr:col>
      <xdr:colOff>219075</xdr:colOff>
      <xdr:row>12</xdr:row>
      <xdr:rowOff>85725</xdr:rowOff>
    </xdr:to>
    <xdr:sp macro="" textlink="">
      <xdr:nvSpPr>
        <xdr:cNvPr id="121" name="Line 29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ShapeType="1"/>
        </xdr:cNvSpPr>
      </xdr:nvSpPr>
      <xdr:spPr bwMode="auto">
        <a:xfrm>
          <a:off x="176212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276225</xdr:colOff>
      <xdr:row>11</xdr:row>
      <xdr:rowOff>9525</xdr:rowOff>
    </xdr:from>
    <xdr:to>
      <xdr:col>6</xdr:col>
      <xdr:colOff>276225</xdr:colOff>
      <xdr:row>12</xdr:row>
      <xdr:rowOff>85725</xdr:rowOff>
    </xdr:to>
    <xdr:sp macro="" textlink="">
      <xdr:nvSpPr>
        <xdr:cNvPr id="122" name="Line 30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ShapeType="1"/>
        </xdr:cNvSpPr>
      </xdr:nvSpPr>
      <xdr:spPr bwMode="auto">
        <a:xfrm>
          <a:off x="18192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333375</xdr:colOff>
      <xdr:row>11</xdr:row>
      <xdr:rowOff>9525</xdr:rowOff>
    </xdr:from>
    <xdr:to>
      <xdr:col>6</xdr:col>
      <xdr:colOff>333375</xdr:colOff>
      <xdr:row>12</xdr:row>
      <xdr:rowOff>85725</xdr:rowOff>
    </xdr:to>
    <xdr:sp macro="" textlink="">
      <xdr:nvSpPr>
        <xdr:cNvPr id="123" name="Line 3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ShapeType="1"/>
        </xdr:cNvSpPr>
      </xdr:nvSpPr>
      <xdr:spPr bwMode="auto">
        <a:xfrm>
          <a:off x="187642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57150</xdr:colOff>
      <xdr:row>11</xdr:row>
      <xdr:rowOff>9525</xdr:rowOff>
    </xdr:from>
    <xdr:to>
      <xdr:col>7</xdr:col>
      <xdr:colOff>57150</xdr:colOff>
      <xdr:row>12</xdr:row>
      <xdr:rowOff>85725</xdr:rowOff>
    </xdr:to>
    <xdr:sp macro="" textlink="">
      <xdr:nvSpPr>
        <xdr:cNvPr id="124" name="Line 32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ShapeType="1"/>
        </xdr:cNvSpPr>
      </xdr:nvSpPr>
      <xdr:spPr bwMode="auto">
        <a:xfrm>
          <a:off x="19335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114300</xdr:colOff>
      <xdr:row>11</xdr:row>
      <xdr:rowOff>9525</xdr:rowOff>
    </xdr:from>
    <xdr:to>
      <xdr:col>7</xdr:col>
      <xdr:colOff>114300</xdr:colOff>
      <xdr:row>12</xdr:row>
      <xdr:rowOff>85725</xdr:rowOff>
    </xdr:to>
    <xdr:sp macro="" textlink="">
      <xdr:nvSpPr>
        <xdr:cNvPr id="125" name="Line 33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>
          <a:off x="199072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11</xdr:row>
      <xdr:rowOff>9525</xdr:rowOff>
    </xdr:from>
    <xdr:to>
      <xdr:col>7</xdr:col>
      <xdr:colOff>171450</xdr:colOff>
      <xdr:row>12</xdr:row>
      <xdr:rowOff>85725</xdr:rowOff>
    </xdr:to>
    <xdr:sp macro="" textlink="">
      <xdr:nvSpPr>
        <xdr:cNvPr id="126" name="Line 34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20478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228600</xdr:colOff>
      <xdr:row>11</xdr:row>
      <xdr:rowOff>9525</xdr:rowOff>
    </xdr:from>
    <xdr:to>
      <xdr:col>7</xdr:col>
      <xdr:colOff>228600</xdr:colOff>
      <xdr:row>12</xdr:row>
      <xdr:rowOff>85725</xdr:rowOff>
    </xdr:to>
    <xdr:sp macro="" textlink="">
      <xdr:nvSpPr>
        <xdr:cNvPr id="127" name="Line 35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>
          <a:off x="210502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285750</xdr:colOff>
      <xdr:row>11</xdr:row>
      <xdr:rowOff>9525</xdr:rowOff>
    </xdr:from>
    <xdr:to>
      <xdr:col>7</xdr:col>
      <xdr:colOff>285750</xdr:colOff>
      <xdr:row>12</xdr:row>
      <xdr:rowOff>85725</xdr:rowOff>
    </xdr:to>
    <xdr:sp macro="" textlink="">
      <xdr:nvSpPr>
        <xdr:cNvPr id="128" name="Line 36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>
          <a:off x="21621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47625</xdr:colOff>
      <xdr:row>11</xdr:row>
      <xdr:rowOff>9525</xdr:rowOff>
    </xdr:from>
    <xdr:to>
      <xdr:col>6</xdr:col>
      <xdr:colOff>47625</xdr:colOff>
      <xdr:row>12</xdr:row>
      <xdr:rowOff>85725</xdr:rowOff>
    </xdr:to>
    <xdr:sp macro="" textlink="">
      <xdr:nvSpPr>
        <xdr:cNvPr id="129" name="Line 27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1590675" y="2238375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15</xdr:row>
      <xdr:rowOff>152400</xdr:rowOff>
    </xdr:from>
    <xdr:to>
      <xdr:col>5</xdr:col>
      <xdr:colOff>19050</xdr:colOff>
      <xdr:row>16</xdr:row>
      <xdr:rowOff>19050</xdr:rowOff>
    </xdr:to>
    <xdr:sp macro="" textlink="">
      <xdr:nvSpPr>
        <xdr:cNvPr id="133" name="Oval 5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rrowheads="1"/>
        </xdr:cNvSpPr>
      </xdr:nvSpPr>
      <xdr:spPr bwMode="auto">
        <a:xfrm>
          <a:off x="1190625" y="30670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314325</xdr:colOff>
      <xdr:row>12</xdr:row>
      <xdr:rowOff>152400</xdr:rowOff>
    </xdr:from>
    <xdr:to>
      <xdr:col>12</xdr:col>
      <xdr:colOff>19050</xdr:colOff>
      <xdr:row>13</xdr:row>
      <xdr:rowOff>19050</xdr:rowOff>
    </xdr:to>
    <xdr:sp macro="" textlink="">
      <xdr:nvSpPr>
        <xdr:cNvPr id="134" name="Oval 9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rrowheads="1"/>
        </xdr:cNvSpPr>
      </xdr:nvSpPr>
      <xdr:spPr bwMode="auto">
        <a:xfrm>
          <a:off x="3524250" y="25527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11</xdr:row>
      <xdr:rowOff>57150</xdr:rowOff>
    </xdr:from>
    <xdr:to>
      <xdr:col>13</xdr:col>
      <xdr:colOff>314325</xdr:colOff>
      <xdr:row>11</xdr:row>
      <xdr:rowOff>57150</xdr:rowOff>
    </xdr:to>
    <xdr:sp macro="" textlink="">
      <xdr:nvSpPr>
        <xdr:cNvPr id="135" name="Line 79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ShapeType="1"/>
        </xdr:cNvSpPr>
      </xdr:nvSpPr>
      <xdr:spPr bwMode="auto">
        <a:xfrm>
          <a:off x="3876675" y="2286000"/>
          <a:ext cx="3143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328612</xdr:colOff>
      <xdr:row>11</xdr:row>
      <xdr:rowOff>90488</xdr:rowOff>
    </xdr:from>
    <xdr:to>
      <xdr:col>13</xdr:col>
      <xdr:colOff>328612</xdr:colOff>
      <xdr:row>11</xdr:row>
      <xdr:rowOff>147638</xdr:rowOff>
    </xdr:to>
    <xdr:sp macro="" textlink="">
      <xdr:nvSpPr>
        <xdr:cNvPr id="136" name="Line 10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ShapeType="1"/>
        </xdr:cNvSpPr>
      </xdr:nvSpPr>
      <xdr:spPr bwMode="auto">
        <a:xfrm>
          <a:off x="4205287" y="1976438"/>
          <a:ext cx="0" cy="5715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304800</xdr:colOff>
      <xdr:row>11</xdr:row>
      <xdr:rowOff>90488</xdr:rowOff>
    </xdr:from>
    <xdr:to>
      <xdr:col>14</xdr:col>
      <xdr:colOff>19050</xdr:colOff>
      <xdr:row>11</xdr:row>
      <xdr:rowOff>90488</xdr:rowOff>
    </xdr:to>
    <xdr:sp macro="" textlink="">
      <xdr:nvSpPr>
        <xdr:cNvPr id="137" name="Line 1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ShapeType="1"/>
        </xdr:cNvSpPr>
      </xdr:nvSpPr>
      <xdr:spPr bwMode="auto">
        <a:xfrm>
          <a:off x="4181475" y="1976438"/>
          <a:ext cx="476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304800</xdr:colOff>
      <xdr:row>11</xdr:row>
      <xdr:rowOff>145256</xdr:rowOff>
    </xdr:from>
    <xdr:to>
      <xdr:col>14</xdr:col>
      <xdr:colOff>19050</xdr:colOff>
      <xdr:row>11</xdr:row>
      <xdr:rowOff>145256</xdr:rowOff>
    </xdr:to>
    <xdr:sp macro="" textlink="">
      <xdr:nvSpPr>
        <xdr:cNvPr id="138" name="Line 1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ShapeType="1"/>
        </xdr:cNvSpPr>
      </xdr:nvSpPr>
      <xdr:spPr bwMode="auto">
        <a:xfrm>
          <a:off x="4181475" y="2031206"/>
          <a:ext cx="476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11</xdr:row>
      <xdr:rowOff>57150</xdr:rowOff>
    </xdr:to>
    <xdr:sp macro="" textlink="">
      <xdr:nvSpPr>
        <xdr:cNvPr id="139" name="Line 10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ShapeType="1"/>
        </xdr:cNvSpPr>
      </xdr:nvSpPr>
      <xdr:spPr bwMode="auto">
        <a:xfrm>
          <a:off x="3876675" y="2228850"/>
          <a:ext cx="0" cy="5715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0</xdr:colOff>
      <xdr:row>12</xdr:row>
      <xdr:rowOff>152400</xdr:rowOff>
    </xdr:to>
    <xdr:cxnSp macro="">
      <xdr:nvCxnSpPr>
        <xdr:cNvPr id="140" name="直線コネクタ 4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CxnSpPr>
          <a:cxnSpLocks noChangeShapeType="1"/>
          <a:stCxn id="36" idx="1"/>
        </xdr:cNvCxnSpPr>
      </xdr:nvCxnSpPr>
      <xdr:spPr bwMode="auto">
        <a:xfrm>
          <a:off x="4210050" y="2228850"/>
          <a:ext cx="666750" cy="323850"/>
        </a:xfrm>
        <a:prstGeom prst="lin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314325</xdr:colOff>
      <xdr:row>11</xdr:row>
      <xdr:rowOff>57150</xdr:rowOff>
    </xdr:from>
    <xdr:to>
      <xdr:col>15</xdr:col>
      <xdr:colOff>257175</xdr:colOff>
      <xdr:row>13</xdr:row>
      <xdr:rowOff>0</xdr:rowOff>
    </xdr:to>
    <xdr:cxnSp macro="">
      <xdr:nvCxnSpPr>
        <xdr:cNvPr id="141" name="直線コネクタ 21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CxnSpPr>
          <a:cxnSpLocks noChangeShapeType="1"/>
          <a:stCxn id="135" idx="1"/>
        </xdr:cNvCxnSpPr>
      </xdr:nvCxnSpPr>
      <xdr:spPr bwMode="auto">
        <a:xfrm>
          <a:off x="4191000" y="2286000"/>
          <a:ext cx="609600" cy="285750"/>
        </a:xfrm>
        <a:prstGeom prst="lin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12</xdr:row>
      <xdr:rowOff>152400</xdr:rowOff>
    </xdr:from>
    <xdr:to>
      <xdr:col>16</xdr:col>
      <xdr:colOff>0</xdr:colOff>
      <xdr:row>13</xdr:row>
      <xdr:rowOff>4763</xdr:rowOff>
    </xdr:to>
    <xdr:sp macro="" textlink="">
      <xdr:nvSpPr>
        <xdr:cNvPr id="142" name="Line 10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>
          <a:off x="4876800" y="2552700"/>
          <a:ext cx="0" cy="23813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257175</xdr:colOff>
      <xdr:row>13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143" name="Line 1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>
          <a:off x="4800600" y="2571750"/>
          <a:ext cx="762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9</xdr:row>
      <xdr:rowOff>0</xdr:rowOff>
    </xdr:from>
    <xdr:to>
      <xdr:col>16</xdr:col>
      <xdr:colOff>0</xdr:colOff>
      <xdr:row>11</xdr:row>
      <xdr:rowOff>0</xdr:rowOff>
    </xdr:to>
    <xdr:cxnSp macro="">
      <xdr:nvCxnSpPr>
        <xdr:cNvPr id="144" name="直線コネクタ 1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>
          <a:cxnSpLocks noChangeShapeType="1"/>
          <a:stCxn id="36" idx="1"/>
        </xdr:cNvCxnSpPr>
      </xdr:nvCxnSpPr>
      <xdr:spPr bwMode="auto">
        <a:xfrm flipV="1">
          <a:off x="4210050" y="1885950"/>
          <a:ext cx="666750" cy="342900"/>
        </a:xfrm>
        <a:prstGeom prst="lin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57150</xdr:colOff>
      <xdr:row>9</xdr:row>
      <xdr:rowOff>47626</xdr:rowOff>
    </xdr:from>
    <xdr:to>
      <xdr:col>16</xdr:col>
      <xdr:colOff>0</xdr:colOff>
      <xdr:row>11</xdr:row>
      <xdr:rowOff>19051</xdr:rowOff>
    </xdr:to>
    <xdr:cxnSp macro="">
      <xdr:nvCxnSpPr>
        <xdr:cNvPr id="145" name="直線コネクタ 22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CxnSpPr>
          <a:cxnSpLocks noChangeShapeType="1"/>
          <a:endCxn id="147" idx="0"/>
        </xdr:cNvCxnSpPr>
      </xdr:nvCxnSpPr>
      <xdr:spPr bwMode="auto">
        <a:xfrm flipV="1">
          <a:off x="4267200" y="1933576"/>
          <a:ext cx="609600" cy="314325"/>
        </a:xfrm>
        <a:prstGeom prst="lin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</xdr:rowOff>
    </xdr:from>
    <xdr:to>
      <xdr:col>16</xdr:col>
      <xdr:colOff>304800</xdr:colOff>
      <xdr:row>9</xdr:row>
      <xdr:rowOff>1</xdr:rowOff>
    </xdr:to>
    <xdr:sp macro="" textlink="">
      <xdr:nvSpPr>
        <xdr:cNvPr id="146" name="Line 79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ShapeType="1"/>
        </xdr:cNvSpPr>
      </xdr:nvSpPr>
      <xdr:spPr bwMode="auto">
        <a:xfrm>
          <a:off x="4876800" y="1885951"/>
          <a:ext cx="3048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9</xdr:row>
      <xdr:rowOff>47626</xdr:rowOff>
    </xdr:from>
    <xdr:to>
      <xdr:col>16</xdr:col>
      <xdr:colOff>304800</xdr:colOff>
      <xdr:row>9</xdr:row>
      <xdr:rowOff>47626</xdr:rowOff>
    </xdr:to>
    <xdr:sp macro="" textlink="">
      <xdr:nvSpPr>
        <xdr:cNvPr id="147" name="Line 79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ShapeType="1"/>
        </xdr:cNvSpPr>
      </xdr:nvSpPr>
      <xdr:spPr bwMode="auto">
        <a:xfrm>
          <a:off x="4876800" y="1933576"/>
          <a:ext cx="3048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304800</xdr:colOff>
      <xdr:row>9</xdr:row>
      <xdr:rowOff>1</xdr:rowOff>
    </xdr:from>
    <xdr:to>
      <xdr:col>16</xdr:col>
      <xdr:colOff>304800</xdr:colOff>
      <xdr:row>9</xdr:row>
      <xdr:rowOff>47626</xdr:rowOff>
    </xdr:to>
    <xdr:sp macro="" textlink="">
      <xdr:nvSpPr>
        <xdr:cNvPr id="148" name="Line 10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ShapeType="1"/>
        </xdr:cNvSpPr>
      </xdr:nvSpPr>
      <xdr:spPr bwMode="auto">
        <a:xfrm>
          <a:off x="5181600" y="1885951"/>
          <a:ext cx="0" cy="476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13</xdr:row>
      <xdr:rowOff>95250</xdr:rowOff>
    </xdr:from>
    <xdr:to>
      <xdr:col>13</xdr:col>
      <xdr:colOff>0</xdr:colOff>
      <xdr:row>16</xdr:row>
      <xdr:rowOff>0</xdr:rowOff>
    </xdr:to>
    <xdr:sp macro="" textlink="">
      <xdr:nvSpPr>
        <xdr:cNvPr id="152" name="Line 4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ShapeType="1"/>
        </xdr:cNvSpPr>
      </xdr:nvSpPr>
      <xdr:spPr bwMode="auto">
        <a:xfrm>
          <a:off x="3876675" y="2667000"/>
          <a:ext cx="0" cy="4191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13</xdr:row>
      <xdr:rowOff>95250</xdr:rowOff>
    </xdr:from>
    <xdr:to>
      <xdr:col>14</xdr:col>
      <xdr:colOff>0</xdr:colOff>
      <xdr:row>15</xdr:row>
      <xdr:rowOff>0</xdr:rowOff>
    </xdr:to>
    <xdr:sp macro="" textlink="">
      <xdr:nvSpPr>
        <xdr:cNvPr id="153" name="Line 43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ShapeType="1"/>
        </xdr:cNvSpPr>
      </xdr:nvSpPr>
      <xdr:spPr bwMode="auto">
        <a:xfrm>
          <a:off x="4210050" y="2667000"/>
          <a:ext cx="0" cy="24765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13</xdr:row>
      <xdr:rowOff>95250</xdr:rowOff>
    </xdr:from>
    <xdr:to>
      <xdr:col>17</xdr:col>
      <xdr:colOff>0</xdr:colOff>
      <xdr:row>16</xdr:row>
      <xdr:rowOff>0</xdr:rowOff>
    </xdr:to>
    <xdr:sp macro="" textlink="">
      <xdr:nvSpPr>
        <xdr:cNvPr id="154" name="Line 44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ShapeType="1"/>
        </xdr:cNvSpPr>
      </xdr:nvSpPr>
      <xdr:spPr bwMode="auto">
        <a:xfrm>
          <a:off x="5210175" y="2667000"/>
          <a:ext cx="0" cy="41910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13</xdr:row>
      <xdr:rowOff>104775</xdr:rowOff>
    </xdr:from>
    <xdr:to>
      <xdr:col>16</xdr:col>
      <xdr:colOff>0</xdr:colOff>
      <xdr:row>15</xdr:row>
      <xdr:rowOff>0</xdr:rowOff>
    </xdr:to>
    <xdr:sp macro="" textlink="">
      <xdr:nvSpPr>
        <xdr:cNvPr id="155" name="Line 45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ShapeType="1"/>
        </xdr:cNvSpPr>
      </xdr:nvSpPr>
      <xdr:spPr bwMode="auto">
        <a:xfrm>
          <a:off x="4876800" y="2676525"/>
          <a:ext cx="0" cy="23812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0</xdr:colOff>
      <xdr:row>15</xdr:row>
      <xdr:rowOff>0</xdr:rowOff>
    </xdr:to>
    <xdr:sp macro="" textlink="">
      <xdr:nvSpPr>
        <xdr:cNvPr id="156" name="Line 48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>
          <a:off x="3876675" y="2914650"/>
          <a:ext cx="133350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16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57" name="Line 49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3876675" y="3086100"/>
          <a:ext cx="133350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314325</xdr:colOff>
      <xdr:row>14</xdr:row>
      <xdr:rowOff>152400</xdr:rowOff>
    </xdr:from>
    <xdr:to>
      <xdr:col>13</xdr:col>
      <xdr:colOff>19050</xdr:colOff>
      <xdr:row>15</xdr:row>
      <xdr:rowOff>19050</xdr:rowOff>
    </xdr:to>
    <xdr:sp macro="" textlink="">
      <xdr:nvSpPr>
        <xdr:cNvPr id="158" name="Oval 50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Arrowheads="1"/>
        </xdr:cNvSpPr>
      </xdr:nvSpPr>
      <xdr:spPr bwMode="auto">
        <a:xfrm>
          <a:off x="3857625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314325</xdr:colOff>
      <xdr:row>14</xdr:row>
      <xdr:rowOff>152400</xdr:rowOff>
    </xdr:from>
    <xdr:to>
      <xdr:col>14</xdr:col>
      <xdr:colOff>19050</xdr:colOff>
      <xdr:row>15</xdr:row>
      <xdr:rowOff>19050</xdr:rowOff>
    </xdr:to>
    <xdr:sp macro="" textlink="">
      <xdr:nvSpPr>
        <xdr:cNvPr id="159" name="Oval 52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Arrowheads="1"/>
        </xdr:cNvSpPr>
      </xdr:nvSpPr>
      <xdr:spPr bwMode="auto">
        <a:xfrm>
          <a:off x="4191000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314325</xdr:colOff>
      <xdr:row>14</xdr:row>
      <xdr:rowOff>152400</xdr:rowOff>
    </xdr:from>
    <xdr:to>
      <xdr:col>16</xdr:col>
      <xdr:colOff>19050</xdr:colOff>
      <xdr:row>15</xdr:row>
      <xdr:rowOff>19050</xdr:rowOff>
    </xdr:to>
    <xdr:sp macro="" textlink="">
      <xdr:nvSpPr>
        <xdr:cNvPr id="160" name="Oval 54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rrowheads="1"/>
        </xdr:cNvSpPr>
      </xdr:nvSpPr>
      <xdr:spPr bwMode="auto">
        <a:xfrm>
          <a:off x="4857750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314325</xdr:colOff>
      <xdr:row>14</xdr:row>
      <xdr:rowOff>152400</xdr:rowOff>
    </xdr:from>
    <xdr:to>
      <xdr:col>17</xdr:col>
      <xdr:colOff>19050</xdr:colOff>
      <xdr:row>15</xdr:row>
      <xdr:rowOff>19050</xdr:rowOff>
    </xdr:to>
    <xdr:sp macro="" textlink="">
      <xdr:nvSpPr>
        <xdr:cNvPr id="161" name="Oval 55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rrowheads="1"/>
        </xdr:cNvSpPr>
      </xdr:nvSpPr>
      <xdr:spPr bwMode="auto">
        <a:xfrm>
          <a:off x="5191125" y="28956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313118</xdr:colOff>
      <xdr:row>15</xdr:row>
      <xdr:rowOff>152400</xdr:rowOff>
    </xdr:from>
    <xdr:to>
      <xdr:col>17</xdr:col>
      <xdr:colOff>17843</xdr:colOff>
      <xdr:row>16</xdr:row>
      <xdr:rowOff>19050</xdr:rowOff>
    </xdr:to>
    <xdr:sp macro="" textlink="">
      <xdr:nvSpPr>
        <xdr:cNvPr id="162" name="Oval 57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rrowheads="1"/>
        </xdr:cNvSpPr>
      </xdr:nvSpPr>
      <xdr:spPr bwMode="auto">
        <a:xfrm>
          <a:off x="5189918" y="30670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314325</xdr:colOff>
      <xdr:row>15</xdr:row>
      <xdr:rowOff>152400</xdr:rowOff>
    </xdr:from>
    <xdr:to>
      <xdr:col>13</xdr:col>
      <xdr:colOff>19050</xdr:colOff>
      <xdr:row>16</xdr:row>
      <xdr:rowOff>19050</xdr:rowOff>
    </xdr:to>
    <xdr:sp macro="" textlink="">
      <xdr:nvSpPr>
        <xdr:cNvPr id="163" name="Oval 50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rrowheads="1"/>
        </xdr:cNvSpPr>
      </xdr:nvSpPr>
      <xdr:spPr bwMode="auto">
        <a:xfrm>
          <a:off x="3857625" y="306705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321859</xdr:colOff>
      <xdr:row>42</xdr:row>
      <xdr:rowOff>166688</xdr:rowOff>
    </xdr:from>
    <xdr:to>
      <xdr:col>4</xdr:col>
      <xdr:colOff>330176</xdr:colOff>
      <xdr:row>42</xdr:row>
      <xdr:rowOff>166688</xdr:rowOff>
    </xdr:to>
    <xdr:sp macro="" textlink="">
      <xdr:nvSpPr>
        <xdr:cNvPr id="263" name="Line 126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ShapeType="1"/>
        </xdr:cNvSpPr>
      </xdr:nvSpPr>
      <xdr:spPr bwMode="auto">
        <a:xfrm>
          <a:off x="864784" y="9082088"/>
          <a:ext cx="341692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333375</xdr:colOff>
      <xdr:row>44</xdr:row>
      <xdr:rowOff>7566</xdr:rowOff>
    </xdr:from>
    <xdr:to>
      <xdr:col>3</xdr:col>
      <xdr:colOff>333375</xdr:colOff>
      <xdr:row>45</xdr:row>
      <xdr:rowOff>31722</xdr:rowOff>
    </xdr:to>
    <xdr:sp macro="" textlink="">
      <xdr:nvSpPr>
        <xdr:cNvPr id="264" name="Line 127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ShapeType="1"/>
        </xdr:cNvSpPr>
      </xdr:nvSpPr>
      <xdr:spPr bwMode="auto">
        <a:xfrm>
          <a:off x="876300" y="9265866"/>
          <a:ext cx="0" cy="195606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44</xdr:row>
      <xdr:rowOff>152400</xdr:rowOff>
    </xdr:from>
    <xdr:to>
      <xdr:col>4</xdr:col>
      <xdr:colOff>19050</xdr:colOff>
      <xdr:row>45</xdr:row>
      <xdr:rowOff>19050</xdr:rowOff>
    </xdr:to>
    <xdr:sp macro="" textlink="">
      <xdr:nvSpPr>
        <xdr:cNvPr id="265" name="Oval 128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Arrowheads="1"/>
        </xdr:cNvSpPr>
      </xdr:nvSpPr>
      <xdr:spPr bwMode="auto">
        <a:xfrm>
          <a:off x="857250" y="94107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333375</xdr:colOff>
      <xdr:row>44</xdr:row>
      <xdr:rowOff>7566</xdr:rowOff>
    </xdr:from>
    <xdr:to>
      <xdr:col>4</xdr:col>
      <xdr:colOff>333375</xdr:colOff>
      <xdr:row>45</xdr:row>
      <xdr:rowOff>31722</xdr:rowOff>
    </xdr:to>
    <xdr:sp macro="" textlink="">
      <xdr:nvSpPr>
        <xdr:cNvPr id="266" name="Line 129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ShapeType="1"/>
        </xdr:cNvSpPr>
      </xdr:nvSpPr>
      <xdr:spPr bwMode="auto">
        <a:xfrm>
          <a:off x="1209675" y="9265866"/>
          <a:ext cx="0" cy="195606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45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267" name="Line 131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876300" y="9429750"/>
          <a:ext cx="3333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333375</xdr:colOff>
      <xdr:row>42</xdr:row>
      <xdr:rowOff>75255</xdr:rowOff>
    </xdr:from>
    <xdr:to>
      <xdr:col>4</xdr:col>
      <xdr:colOff>333375</xdr:colOff>
      <xdr:row>43</xdr:row>
      <xdr:rowOff>82325</xdr:rowOff>
    </xdr:to>
    <xdr:sp macro="" textlink="">
      <xdr:nvSpPr>
        <xdr:cNvPr id="268" name="Line 129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209675" y="8990655"/>
          <a:ext cx="0" cy="17852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313290</xdr:colOff>
      <xdr:row>44</xdr:row>
      <xdr:rowOff>159389</xdr:rowOff>
    </xdr:from>
    <xdr:to>
      <xdr:col>5</xdr:col>
      <xdr:colOff>18015</xdr:colOff>
      <xdr:row>45</xdr:row>
      <xdr:rowOff>26039</xdr:rowOff>
    </xdr:to>
    <xdr:sp macro="" textlink="">
      <xdr:nvSpPr>
        <xdr:cNvPr id="269" name="Oval 12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Arrowheads="1"/>
        </xdr:cNvSpPr>
      </xdr:nvSpPr>
      <xdr:spPr bwMode="auto">
        <a:xfrm>
          <a:off x="1189590" y="9417689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2381</xdr:colOff>
      <xdr:row>9</xdr:row>
      <xdr:rowOff>71437</xdr:rowOff>
    </xdr:from>
    <xdr:to>
      <xdr:col>16</xdr:col>
      <xdr:colOff>2381</xdr:colOff>
      <xdr:row>9</xdr:row>
      <xdr:rowOff>128587</xdr:rowOff>
    </xdr:to>
    <xdr:sp macro="" textlink="">
      <xdr:nvSpPr>
        <xdr:cNvPr id="270" name="Line 10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>
          <a:off x="4879181" y="1614487"/>
          <a:ext cx="0" cy="5715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311944</xdr:colOff>
      <xdr:row>9</xdr:row>
      <xdr:rowOff>71437</xdr:rowOff>
    </xdr:from>
    <xdr:to>
      <xdr:col>16</xdr:col>
      <xdr:colOff>26194</xdr:colOff>
      <xdr:row>9</xdr:row>
      <xdr:rowOff>71437</xdr:rowOff>
    </xdr:to>
    <xdr:sp macro="" textlink="">
      <xdr:nvSpPr>
        <xdr:cNvPr id="271" name="Line 11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>
          <a:off x="4855369" y="1614487"/>
          <a:ext cx="476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311944</xdr:colOff>
      <xdr:row>9</xdr:row>
      <xdr:rowOff>126205</xdr:rowOff>
    </xdr:from>
    <xdr:to>
      <xdr:col>16</xdr:col>
      <xdr:colOff>26194</xdr:colOff>
      <xdr:row>9</xdr:row>
      <xdr:rowOff>126205</xdr:rowOff>
    </xdr:to>
    <xdr:sp macro="" textlink="">
      <xdr:nvSpPr>
        <xdr:cNvPr id="272" name="Line 1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ShapeType="1"/>
        </xdr:cNvSpPr>
      </xdr:nvSpPr>
      <xdr:spPr bwMode="auto">
        <a:xfrm>
          <a:off x="4855369" y="1669255"/>
          <a:ext cx="476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331643</xdr:colOff>
      <xdr:row>10</xdr:row>
      <xdr:rowOff>140401</xdr:rowOff>
    </xdr:from>
    <xdr:to>
      <xdr:col>5</xdr:col>
      <xdr:colOff>331643</xdr:colOff>
      <xdr:row>11</xdr:row>
      <xdr:rowOff>26101</xdr:rowOff>
    </xdr:to>
    <xdr:sp macro="" textlink="">
      <xdr:nvSpPr>
        <xdr:cNvPr id="273" name="Line 7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ShapeType="1"/>
        </xdr:cNvSpPr>
      </xdr:nvSpPr>
      <xdr:spPr bwMode="auto">
        <a:xfrm>
          <a:off x="1541442" y="1847479"/>
          <a:ext cx="0" cy="56408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302449</xdr:colOff>
      <xdr:row>10</xdr:row>
      <xdr:rowOff>140401</xdr:rowOff>
    </xdr:from>
    <xdr:to>
      <xdr:col>6</xdr:col>
      <xdr:colOff>26225</xdr:colOff>
      <xdr:row>10</xdr:row>
      <xdr:rowOff>140401</xdr:rowOff>
    </xdr:to>
    <xdr:sp macro="" textlink="">
      <xdr:nvSpPr>
        <xdr:cNvPr id="274" name="Line 8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ShapeType="1"/>
        </xdr:cNvSpPr>
      </xdr:nvSpPr>
      <xdr:spPr bwMode="auto">
        <a:xfrm>
          <a:off x="1512248" y="1847479"/>
          <a:ext cx="57769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302449</xdr:colOff>
      <xdr:row>11</xdr:row>
      <xdr:rowOff>26101</xdr:rowOff>
    </xdr:from>
    <xdr:to>
      <xdr:col>6</xdr:col>
      <xdr:colOff>26225</xdr:colOff>
      <xdr:row>11</xdr:row>
      <xdr:rowOff>26101</xdr:rowOff>
    </xdr:to>
    <xdr:sp macro="" textlink="">
      <xdr:nvSpPr>
        <xdr:cNvPr id="275" name="Line 9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ShapeType="1"/>
        </xdr:cNvSpPr>
      </xdr:nvSpPr>
      <xdr:spPr bwMode="auto">
        <a:xfrm>
          <a:off x="1512248" y="1903887"/>
          <a:ext cx="57769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330746</xdr:colOff>
      <xdr:row>10</xdr:row>
      <xdr:rowOff>141979</xdr:rowOff>
    </xdr:from>
    <xdr:to>
      <xdr:col>7</xdr:col>
      <xdr:colOff>330746</xdr:colOff>
      <xdr:row>11</xdr:row>
      <xdr:rowOff>27679</xdr:rowOff>
    </xdr:to>
    <xdr:sp macro="" textlink="">
      <xdr:nvSpPr>
        <xdr:cNvPr id="276" name="Line 7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ShapeType="1"/>
        </xdr:cNvSpPr>
      </xdr:nvSpPr>
      <xdr:spPr bwMode="auto">
        <a:xfrm>
          <a:off x="2207171" y="1856479"/>
          <a:ext cx="0" cy="5715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301552</xdr:colOff>
      <xdr:row>10</xdr:row>
      <xdr:rowOff>141979</xdr:rowOff>
    </xdr:from>
    <xdr:to>
      <xdr:col>8</xdr:col>
      <xdr:colOff>25327</xdr:colOff>
      <xdr:row>10</xdr:row>
      <xdr:rowOff>141979</xdr:rowOff>
    </xdr:to>
    <xdr:sp macro="" textlink="">
      <xdr:nvSpPr>
        <xdr:cNvPr id="277" name="Line 8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ShapeType="1"/>
        </xdr:cNvSpPr>
      </xdr:nvSpPr>
      <xdr:spPr bwMode="auto">
        <a:xfrm>
          <a:off x="2177977" y="1856479"/>
          <a:ext cx="571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301552</xdr:colOff>
      <xdr:row>11</xdr:row>
      <xdr:rowOff>27679</xdr:rowOff>
    </xdr:from>
    <xdr:to>
      <xdr:col>8</xdr:col>
      <xdr:colOff>25327</xdr:colOff>
      <xdr:row>11</xdr:row>
      <xdr:rowOff>27679</xdr:rowOff>
    </xdr:to>
    <xdr:sp macro="" textlink="">
      <xdr:nvSpPr>
        <xdr:cNvPr id="278" name="Line 9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ShapeType="1"/>
        </xdr:cNvSpPr>
      </xdr:nvSpPr>
      <xdr:spPr bwMode="auto">
        <a:xfrm>
          <a:off x="2177977" y="1913629"/>
          <a:ext cx="571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</xdr:colOff>
      <xdr:row>9</xdr:row>
      <xdr:rowOff>35719</xdr:rowOff>
    </xdr:from>
    <xdr:to>
      <xdr:col>9</xdr:col>
      <xdr:colOff>2381</xdr:colOff>
      <xdr:row>12</xdr:row>
      <xdr:rowOff>88106</xdr:rowOff>
    </xdr:to>
    <xdr:sp macro="" textlink="">
      <xdr:nvSpPr>
        <xdr:cNvPr id="279" name="Line 10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ShapeType="1"/>
        </xdr:cNvSpPr>
      </xdr:nvSpPr>
      <xdr:spPr bwMode="auto">
        <a:xfrm>
          <a:off x="2545556" y="1578769"/>
          <a:ext cx="0" cy="566737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25019</xdr:colOff>
      <xdr:row>11</xdr:row>
      <xdr:rowOff>14287</xdr:rowOff>
    </xdr:from>
    <xdr:to>
      <xdr:col>8</xdr:col>
      <xdr:colOff>321469</xdr:colOff>
      <xdr:row>11</xdr:row>
      <xdr:rowOff>14287</xdr:rowOff>
    </xdr:to>
    <xdr:sp macro="" textlink="">
      <xdr:nvSpPr>
        <xdr:cNvPr id="280" name="Line 17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ShapeType="1"/>
        </xdr:cNvSpPr>
      </xdr:nvSpPr>
      <xdr:spPr bwMode="auto">
        <a:xfrm>
          <a:off x="2234819" y="1900237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27400</xdr:colOff>
      <xdr:row>10</xdr:row>
      <xdr:rowOff>161925</xdr:rowOff>
    </xdr:from>
    <xdr:to>
      <xdr:col>8</xdr:col>
      <xdr:colOff>323850</xdr:colOff>
      <xdr:row>10</xdr:row>
      <xdr:rowOff>161925</xdr:rowOff>
    </xdr:to>
    <xdr:sp macro="" textlink="">
      <xdr:nvSpPr>
        <xdr:cNvPr id="281" name="Line 17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ShapeType="1"/>
        </xdr:cNvSpPr>
      </xdr:nvSpPr>
      <xdr:spPr bwMode="auto">
        <a:xfrm>
          <a:off x="2237200" y="1876425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178593</xdr:colOff>
      <xdr:row>8</xdr:row>
      <xdr:rowOff>128588</xdr:rowOff>
    </xdr:from>
    <xdr:to>
      <xdr:col>4</xdr:col>
      <xdr:colOff>178593</xdr:colOff>
      <xdr:row>9</xdr:row>
      <xdr:rowOff>33338</xdr:rowOff>
    </xdr:to>
    <xdr:sp macro="" textlink="">
      <xdr:nvSpPr>
        <xdr:cNvPr id="283" name="Line 7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ShapeType="1"/>
        </xdr:cNvSpPr>
      </xdr:nvSpPr>
      <xdr:spPr bwMode="auto">
        <a:xfrm>
          <a:off x="1054893" y="1500188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204780</xdr:colOff>
      <xdr:row>8</xdr:row>
      <xdr:rowOff>130969</xdr:rowOff>
    </xdr:from>
    <xdr:to>
      <xdr:col>9</xdr:col>
      <xdr:colOff>204780</xdr:colOff>
      <xdr:row>9</xdr:row>
      <xdr:rowOff>35719</xdr:rowOff>
    </xdr:to>
    <xdr:sp macro="" textlink="">
      <xdr:nvSpPr>
        <xdr:cNvPr id="285" name="Line 7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ShapeType="1"/>
        </xdr:cNvSpPr>
      </xdr:nvSpPr>
      <xdr:spPr bwMode="auto">
        <a:xfrm>
          <a:off x="2747955" y="1502569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90480</xdr:colOff>
      <xdr:row>8</xdr:row>
      <xdr:rowOff>166687</xdr:rowOff>
    </xdr:from>
    <xdr:to>
      <xdr:col>9</xdr:col>
      <xdr:colOff>204781</xdr:colOff>
      <xdr:row>8</xdr:row>
      <xdr:rowOff>166687</xdr:rowOff>
    </xdr:to>
    <xdr:sp macro="" textlink="">
      <xdr:nvSpPr>
        <xdr:cNvPr id="286" name="Line 8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ShapeType="1"/>
        </xdr:cNvSpPr>
      </xdr:nvSpPr>
      <xdr:spPr bwMode="auto">
        <a:xfrm>
          <a:off x="2633655" y="1538287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88099</xdr:colOff>
      <xdr:row>8</xdr:row>
      <xdr:rowOff>128588</xdr:rowOff>
    </xdr:from>
    <xdr:to>
      <xdr:col>9</xdr:col>
      <xdr:colOff>88099</xdr:colOff>
      <xdr:row>9</xdr:row>
      <xdr:rowOff>33338</xdr:rowOff>
    </xdr:to>
    <xdr:sp macro="" textlink="">
      <xdr:nvSpPr>
        <xdr:cNvPr id="287" name="Line 7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ShapeType="1"/>
        </xdr:cNvSpPr>
      </xdr:nvSpPr>
      <xdr:spPr bwMode="auto">
        <a:xfrm>
          <a:off x="2631274" y="1500188"/>
          <a:ext cx="0" cy="76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319098</xdr:colOff>
      <xdr:row>9</xdr:row>
      <xdr:rowOff>33338</xdr:rowOff>
    </xdr:from>
    <xdr:to>
      <xdr:col>6</xdr:col>
      <xdr:colOff>12212</xdr:colOff>
      <xdr:row>12</xdr:row>
      <xdr:rowOff>85725</xdr:rowOff>
    </xdr:to>
    <xdr:sp macro="" textlink="">
      <xdr:nvSpPr>
        <xdr:cNvPr id="288" name="Rectangle 15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Arrowheads="1"/>
        </xdr:cNvSpPr>
      </xdr:nvSpPr>
      <xdr:spPr bwMode="auto">
        <a:xfrm>
          <a:off x="1528773" y="1576388"/>
          <a:ext cx="26489" cy="566737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2381</xdr:colOff>
      <xdr:row>9</xdr:row>
      <xdr:rowOff>90488</xdr:rowOff>
    </xdr:from>
    <xdr:to>
      <xdr:col>5</xdr:col>
      <xdr:colOff>2381</xdr:colOff>
      <xdr:row>12</xdr:row>
      <xdr:rowOff>90487</xdr:rowOff>
    </xdr:to>
    <xdr:sp macro="" textlink="">
      <xdr:nvSpPr>
        <xdr:cNvPr id="289" name="Line 10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ShapeType="1"/>
        </xdr:cNvSpPr>
      </xdr:nvSpPr>
      <xdr:spPr bwMode="auto">
        <a:xfrm>
          <a:off x="1212056" y="1633538"/>
          <a:ext cx="0" cy="51434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10452</xdr:colOff>
      <xdr:row>11</xdr:row>
      <xdr:rowOff>11485</xdr:rowOff>
    </xdr:from>
    <xdr:to>
      <xdr:col>5</xdr:col>
      <xdr:colOff>306902</xdr:colOff>
      <xdr:row>11</xdr:row>
      <xdr:rowOff>11485</xdr:rowOff>
    </xdr:to>
    <xdr:sp macro="" textlink="">
      <xdr:nvSpPr>
        <xdr:cNvPr id="290" name="Line 17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ShapeType="1"/>
        </xdr:cNvSpPr>
      </xdr:nvSpPr>
      <xdr:spPr bwMode="auto">
        <a:xfrm>
          <a:off x="1220687" y="1891272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12833</xdr:colOff>
      <xdr:row>10</xdr:row>
      <xdr:rowOff>159123</xdr:rowOff>
    </xdr:from>
    <xdr:to>
      <xdr:col>5</xdr:col>
      <xdr:colOff>309283</xdr:colOff>
      <xdr:row>10</xdr:row>
      <xdr:rowOff>159123</xdr:rowOff>
    </xdr:to>
    <xdr:sp macro="" textlink="">
      <xdr:nvSpPr>
        <xdr:cNvPr id="291" name="Line 17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ShapeType="1"/>
        </xdr:cNvSpPr>
      </xdr:nvSpPr>
      <xdr:spPr bwMode="auto">
        <a:xfrm>
          <a:off x="1223068" y="1868020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320600</xdr:colOff>
      <xdr:row>53</xdr:row>
      <xdr:rowOff>167064</xdr:rowOff>
    </xdr:from>
    <xdr:to>
      <xdr:col>5</xdr:col>
      <xdr:colOff>717</xdr:colOff>
      <xdr:row>53</xdr:row>
      <xdr:rowOff>167064</xdr:rowOff>
    </xdr:to>
    <xdr:sp macro="" textlink="">
      <xdr:nvSpPr>
        <xdr:cNvPr id="292" name="Line 126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ShapeType="1"/>
        </xdr:cNvSpPr>
      </xdr:nvSpPr>
      <xdr:spPr bwMode="auto">
        <a:xfrm>
          <a:off x="864222" y="9278540"/>
          <a:ext cx="34919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55</xdr:row>
      <xdr:rowOff>152400</xdr:rowOff>
    </xdr:from>
    <xdr:to>
      <xdr:col>4</xdr:col>
      <xdr:colOff>19050</xdr:colOff>
      <xdr:row>56</xdr:row>
      <xdr:rowOff>19050</xdr:rowOff>
    </xdr:to>
    <xdr:sp macro="" textlink="">
      <xdr:nvSpPr>
        <xdr:cNvPr id="293" name="Oval 128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Arrowheads="1"/>
        </xdr:cNvSpPr>
      </xdr:nvSpPr>
      <xdr:spPr bwMode="auto">
        <a:xfrm>
          <a:off x="856517" y="7567246"/>
          <a:ext cx="41764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333375</xdr:colOff>
      <xdr:row>54</xdr:row>
      <xdr:rowOff>165543</xdr:rowOff>
    </xdr:from>
    <xdr:to>
      <xdr:col>4</xdr:col>
      <xdr:colOff>333375</xdr:colOff>
      <xdr:row>56</xdr:row>
      <xdr:rowOff>17784</xdr:rowOff>
    </xdr:to>
    <xdr:sp macro="" textlink="">
      <xdr:nvSpPr>
        <xdr:cNvPr id="294" name="Line 129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ShapeType="1"/>
        </xdr:cNvSpPr>
      </xdr:nvSpPr>
      <xdr:spPr bwMode="auto">
        <a:xfrm>
          <a:off x="1211534" y="9448933"/>
          <a:ext cx="0" cy="196071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313290</xdr:colOff>
      <xdr:row>55</xdr:row>
      <xdr:rowOff>159389</xdr:rowOff>
    </xdr:from>
    <xdr:to>
      <xdr:col>5</xdr:col>
      <xdr:colOff>18015</xdr:colOff>
      <xdr:row>56</xdr:row>
      <xdr:rowOff>26039</xdr:rowOff>
    </xdr:to>
    <xdr:sp macro="" textlink="">
      <xdr:nvSpPr>
        <xdr:cNvPr id="295" name="Oval 128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Arrowheads="1"/>
        </xdr:cNvSpPr>
      </xdr:nvSpPr>
      <xdr:spPr bwMode="auto">
        <a:xfrm>
          <a:off x="1192521" y="7574235"/>
          <a:ext cx="41763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3664</xdr:colOff>
      <xdr:row>55</xdr:row>
      <xdr:rowOff>160953</xdr:rowOff>
    </xdr:from>
    <xdr:to>
      <xdr:col>5</xdr:col>
      <xdr:colOff>3664</xdr:colOff>
      <xdr:row>55</xdr:row>
      <xdr:rowOff>160953</xdr:rowOff>
    </xdr:to>
    <xdr:sp macro="" textlink="">
      <xdr:nvSpPr>
        <xdr:cNvPr id="297" name="Line 131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ShapeType="1"/>
        </xdr:cNvSpPr>
      </xdr:nvSpPr>
      <xdr:spPr bwMode="auto">
        <a:xfrm>
          <a:off x="882895" y="9260991"/>
          <a:ext cx="337038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555</xdr:colOff>
      <xdr:row>53</xdr:row>
      <xdr:rowOff>82370</xdr:rowOff>
    </xdr:from>
    <xdr:to>
      <xdr:col>5</xdr:col>
      <xdr:colOff>555</xdr:colOff>
      <xdr:row>54</xdr:row>
      <xdr:rowOff>89440</xdr:rowOff>
    </xdr:to>
    <xdr:sp macro="" textlink="">
      <xdr:nvSpPr>
        <xdr:cNvPr id="298" name="Line 129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ShapeType="1"/>
        </xdr:cNvSpPr>
      </xdr:nvSpPr>
      <xdr:spPr bwMode="auto">
        <a:xfrm>
          <a:off x="1213250" y="9193846"/>
          <a:ext cx="0" cy="178984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1072</xdr:colOff>
      <xdr:row>54</xdr:row>
      <xdr:rowOff>169769</xdr:rowOff>
    </xdr:from>
    <xdr:to>
      <xdr:col>4</xdr:col>
      <xdr:colOff>1072</xdr:colOff>
      <xdr:row>56</xdr:row>
      <xdr:rowOff>25404</xdr:rowOff>
    </xdr:to>
    <xdr:sp macro="" textlink="">
      <xdr:nvSpPr>
        <xdr:cNvPr id="299" name="Line 127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ShapeType="1"/>
        </xdr:cNvSpPr>
      </xdr:nvSpPr>
      <xdr:spPr bwMode="auto">
        <a:xfrm>
          <a:off x="879231" y="9453159"/>
          <a:ext cx="0" cy="19946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321469</xdr:colOff>
      <xdr:row>69</xdr:row>
      <xdr:rowOff>152404</xdr:rowOff>
    </xdr:from>
    <xdr:to>
      <xdr:col>9</xdr:col>
      <xdr:colOff>50006</xdr:colOff>
      <xdr:row>70</xdr:row>
      <xdr:rowOff>15994</xdr:rowOff>
    </xdr:to>
    <xdr:sp macro="" textlink="">
      <xdr:nvSpPr>
        <xdr:cNvPr id="185" name="Rectangle 1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rrowheads="1"/>
        </xdr:cNvSpPr>
      </xdr:nvSpPr>
      <xdr:spPr bwMode="auto">
        <a:xfrm>
          <a:off x="1200700" y="1500558"/>
          <a:ext cx="1413729" cy="32109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316717</xdr:colOff>
      <xdr:row>70</xdr:row>
      <xdr:rowOff>33338</xdr:rowOff>
    </xdr:from>
    <xdr:to>
      <xdr:col>8</xdr:col>
      <xdr:colOff>9831</xdr:colOff>
      <xdr:row>73</xdr:row>
      <xdr:rowOff>85725</xdr:rowOff>
    </xdr:to>
    <xdr:sp macro="" textlink="">
      <xdr:nvSpPr>
        <xdr:cNvPr id="186" name="Rectangle 1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rrowheads="1"/>
        </xdr:cNvSpPr>
      </xdr:nvSpPr>
      <xdr:spPr bwMode="auto">
        <a:xfrm>
          <a:off x="2207063" y="1550011"/>
          <a:ext cx="30153" cy="557945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4763</xdr:colOff>
      <xdr:row>70</xdr:row>
      <xdr:rowOff>85725</xdr:rowOff>
    </xdr:from>
    <xdr:to>
      <xdr:col>9</xdr:col>
      <xdr:colOff>0</xdr:colOff>
      <xdr:row>70</xdr:row>
      <xdr:rowOff>85725</xdr:rowOff>
    </xdr:to>
    <xdr:sp macro="" textlink="">
      <xdr:nvSpPr>
        <xdr:cNvPr id="187" name="Line 17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ShapeType="1"/>
        </xdr:cNvSpPr>
      </xdr:nvSpPr>
      <xdr:spPr bwMode="auto">
        <a:xfrm>
          <a:off x="1221032" y="1602398"/>
          <a:ext cx="134339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29689</xdr:colOff>
      <xdr:row>71</xdr:row>
      <xdr:rowOff>161925</xdr:rowOff>
    </xdr:from>
    <xdr:to>
      <xdr:col>7</xdr:col>
      <xdr:colOff>297656</xdr:colOff>
      <xdr:row>71</xdr:row>
      <xdr:rowOff>161925</xdr:rowOff>
    </xdr:to>
    <xdr:sp macro="" textlink="">
      <xdr:nvSpPr>
        <xdr:cNvPr id="188" name="Line 18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ShapeType="1"/>
        </xdr:cNvSpPr>
      </xdr:nvSpPr>
      <xdr:spPr bwMode="auto">
        <a:xfrm>
          <a:off x="1582997" y="1847117"/>
          <a:ext cx="60500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104775</xdr:colOff>
      <xdr:row>70</xdr:row>
      <xdr:rowOff>85725</xdr:rowOff>
    </xdr:from>
    <xdr:to>
      <xdr:col>6</xdr:col>
      <xdr:colOff>104775</xdr:colOff>
      <xdr:row>71</xdr:row>
      <xdr:rowOff>161925</xdr:rowOff>
    </xdr:to>
    <xdr:sp macro="" textlink="">
      <xdr:nvSpPr>
        <xdr:cNvPr id="189" name="Line 27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ShapeType="1"/>
        </xdr:cNvSpPr>
      </xdr:nvSpPr>
      <xdr:spPr bwMode="auto">
        <a:xfrm>
          <a:off x="165808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161925</xdr:colOff>
      <xdr:row>70</xdr:row>
      <xdr:rowOff>85725</xdr:rowOff>
    </xdr:from>
    <xdr:to>
      <xdr:col>6</xdr:col>
      <xdr:colOff>161925</xdr:colOff>
      <xdr:row>71</xdr:row>
      <xdr:rowOff>161925</xdr:rowOff>
    </xdr:to>
    <xdr:sp macro="" textlink="">
      <xdr:nvSpPr>
        <xdr:cNvPr id="190" name="Line 28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ShapeType="1"/>
        </xdr:cNvSpPr>
      </xdr:nvSpPr>
      <xdr:spPr bwMode="auto">
        <a:xfrm>
          <a:off x="171523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219075</xdr:colOff>
      <xdr:row>70</xdr:row>
      <xdr:rowOff>85725</xdr:rowOff>
    </xdr:from>
    <xdr:to>
      <xdr:col>6</xdr:col>
      <xdr:colOff>219075</xdr:colOff>
      <xdr:row>71</xdr:row>
      <xdr:rowOff>161925</xdr:rowOff>
    </xdr:to>
    <xdr:sp macro="" textlink="">
      <xdr:nvSpPr>
        <xdr:cNvPr id="191" name="Line 29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ShapeType="1"/>
        </xdr:cNvSpPr>
      </xdr:nvSpPr>
      <xdr:spPr bwMode="auto">
        <a:xfrm>
          <a:off x="177238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276225</xdr:colOff>
      <xdr:row>70</xdr:row>
      <xdr:rowOff>85725</xdr:rowOff>
    </xdr:from>
    <xdr:to>
      <xdr:col>6</xdr:col>
      <xdr:colOff>276225</xdr:colOff>
      <xdr:row>71</xdr:row>
      <xdr:rowOff>161925</xdr:rowOff>
    </xdr:to>
    <xdr:sp macro="" textlink="">
      <xdr:nvSpPr>
        <xdr:cNvPr id="192" name="Line 30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ShapeType="1"/>
        </xdr:cNvSpPr>
      </xdr:nvSpPr>
      <xdr:spPr bwMode="auto">
        <a:xfrm>
          <a:off x="182953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333375</xdr:colOff>
      <xdr:row>70</xdr:row>
      <xdr:rowOff>85725</xdr:rowOff>
    </xdr:from>
    <xdr:to>
      <xdr:col>6</xdr:col>
      <xdr:colOff>333375</xdr:colOff>
      <xdr:row>71</xdr:row>
      <xdr:rowOff>161925</xdr:rowOff>
    </xdr:to>
    <xdr:sp macro="" textlink="">
      <xdr:nvSpPr>
        <xdr:cNvPr id="193" name="Line 3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ShapeType="1"/>
        </xdr:cNvSpPr>
      </xdr:nvSpPr>
      <xdr:spPr bwMode="auto">
        <a:xfrm>
          <a:off x="188668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57150</xdr:colOff>
      <xdr:row>70</xdr:row>
      <xdr:rowOff>85725</xdr:rowOff>
    </xdr:from>
    <xdr:to>
      <xdr:col>7</xdr:col>
      <xdr:colOff>57150</xdr:colOff>
      <xdr:row>71</xdr:row>
      <xdr:rowOff>161925</xdr:rowOff>
    </xdr:to>
    <xdr:sp macro="" textlink="">
      <xdr:nvSpPr>
        <xdr:cNvPr id="194" name="Line 32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ShapeType="1"/>
        </xdr:cNvSpPr>
      </xdr:nvSpPr>
      <xdr:spPr bwMode="auto">
        <a:xfrm>
          <a:off x="1947496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114300</xdr:colOff>
      <xdr:row>70</xdr:row>
      <xdr:rowOff>85725</xdr:rowOff>
    </xdr:from>
    <xdr:to>
      <xdr:col>7</xdr:col>
      <xdr:colOff>114300</xdr:colOff>
      <xdr:row>71</xdr:row>
      <xdr:rowOff>161925</xdr:rowOff>
    </xdr:to>
    <xdr:sp macro="" textlink="">
      <xdr:nvSpPr>
        <xdr:cNvPr id="195" name="Line 33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ShapeType="1"/>
        </xdr:cNvSpPr>
      </xdr:nvSpPr>
      <xdr:spPr bwMode="auto">
        <a:xfrm>
          <a:off x="2004646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70</xdr:row>
      <xdr:rowOff>85725</xdr:rowOff>
    </xdr:from>
    <xdr:to>
      <xdr:col>7</xdr:col>
      <xdr:colOff>171450</xdr:colOff>
      <xdr:row>71</xdr:row>
      <xdr:rowOff>161925</xdr:rowOff>
    </xdr:to>
    <xdr:sp macro="" textlink="">
      <xdr:nvSpPr>
        <xdr:cNvPr id="196" name="Line 34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ShapeType="1"/>
        </xdr:cNvSpPr>
      </xdr:nvSpPr>
      <xdr:spPr bwMode="auto">
        <a:xfrm>
          <a:off x="2061796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228600</xdr:colOff>
      <xdr:row>70</xdr:row>
      <xdr:rowOff>85725</xdr:rowOff>
    </xdr:from>
    <xdr:to>
      <xdr:col>7</xdr:col>
      <xdr:colOff>228600</xdr:colOff>
      <xdr:row>71</xdr:row>
      <xdr:rowOff>161925</xdr:rowOff>
    </xdr:to>
    <xdr:sp macro="" textlink="">
      <xdr:nvSpPr>
        <xdr:cNvPr id="197" name="Line 35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ShapeType="1"/>
        </xdr:cNvSpPr>
      </xdr:nvSpPr>
      <xdr:spPr bwMode="auto">
        <a:xfrm>
          <a:off x="2118946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285750</xdr:colOff>
      <xdr:row>70</xdr:row>
      <xdr:rowOff>85725</xdr:rowOff>
    </xdr:from>
    <xdr:to>
      <xdr:col>7</xdr:col>
      <xdr:colOff>285750</xdr:colOff>
      <xdr:row>71</xdr:row>
      <xdr:rowOff>161925</xdr:rowOff>
    </xdr:to>
    <xdr:sp macro="" textlink="">
      <xdr:nvSpPr>
        <xdr:cNvPr id="198" name="Line 36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ShapeType="1"/>
        </xdr:cNvSpPr>
      </xdr:nvSpPr>
      <xdr:spPr bwMode="auto">
        <a:xfrm>
          <a:off x="2176096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74</xdr:row>
      <xdr:rowOff>95250</xdr:rowOff>
    </xdr:from>
    <xdr:to>
      <xdr:col>5</xdr:col>
      <xdr:colOff>0</xdr:colOff>
      <xdr:row>77</xdr:row>
      <xdr:rowOff>0</xdr:rowOff>
    </xdr:to>
    <xdr:sp macro="" textlink="">
      <xdr:nvSpPr>
        <xdr:cNvPr id="199" name="Line 42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ShapeType="1"/>
        </xdr:cNvSpPr>
      </xdr:nvSpPr>
      <xdr:spPr bwMode="auto">
        <a:xfrm>
          <a:off x="1216269" y="2286000"/>
          <a:ext cx="0" cy="410308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74</xdr:row>
      <xdr:rowOff>95250</xdr:rowOff>
    </xdr:from>
    <xdr:to>
      <xdr:col>6</xdr:col>
      <xdr:colOff>0</xdr:colOff>
      <xdr:row>76</xdr:row>
      <xdr:rowOff>0</xdr:rowOff>
    </xdr:to>
    <xdr:sp macro="" textlink="">
      <xdr:nvSpPr>
        <xdr:cNvPr id="200" name="Line 43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ShapeType="1"/>
        </xdr:cNvSpPr>
      </xdr:nvSpPr>
      <xdr:spPr bwMode="auto">
        <a:xfrm>
          <a:off x="1553308" y="2286000"/>
          <a:ext cx="0" cy="241788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74</xdr:row>
      <xdr:rowOff>95250</xdr:rowOff>
    </xdr:from>
    <xdr:to>
      <xdr:col>9</xdr:col>
      <xdr:colOff>0</xdr:colOff>
      <xdr:row>77</xdr:row>
      <xdr:rowOff>0</xdr:rowOff>
    </xdr:to>
    <xdr:sp macro="" textlink="">
      <xdr:nvSpPr>
        <xdr:cNvPr id="201" name="Line 44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ShapeType="1"/>
        </xdr:cNvSpPr>
      </xdr:nvSpPr>
      <xdr:spPr bwMode="auto">
        <a:xfrm>
          <a:off x="2564423" y="2286000"/>
          <a:ext cx="0" cy="410308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74</xdr:row>
      <xdr:rowOff>104775</xdr:rowOff>
    </xdr:from>
    <xdr:to>
      <xdr:col>8</xdr:col>
      <xdr:colOff>0</xdr:colOff>
      <xdr:row>76</xdr:row>
      <xdr:rowOff>0</xdr:rowOff>
    </xdr:to>
    <xdr:sp macro="" textlink="">
      <xdr:nvSpPr>
        <xdr:cNvPr id="202" name="Line 4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ShapeType="1"/>
        </xdr:cNvSpPr>
      </xdr:nvSpPr>
      <xdr:spPr bwMode="auto">
        <a:xfrm>
          <a:off x="2227385" y="2295525"/>
          <a:ext cx="0" cy="232263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76</xdr:row>
      <xdr:rowOff>0</xdr:rowOff>
    </xdr:from>
    <xdr:to>
      <xdr:col>9</xdr:col>
      <xdr:colOff>0</xdr:colOff>
      <xdr:row>76</xdr:row>
      <xdr:rowOff>0</xdr:rowOff>
    </xdr:to>
    <xdr:sp macro="" textlink="">
      <xdr:nvSpPr>
        <xdr:cNvPr id="203" name="Line 4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ShapeType="1"/>
        </xdr:cNvSpPr>
      </xdr:nvSpPr>
      <xdr:spPr bwMode="auto">
        <a:xfrm>
          <a:off x="1216269" y="2527788"/>
          <a:ext cx="1348154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204" name="Line 49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ShapeType="1"/>
        </xdr:cNvSpPr>
      </xdr:nvSpPr>
      <xdr:spPr bwMode="auto">
        <a:xfrm>
          <a:off x="1216269" y="2696308"/>
          <a:ext cx="1348154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75</xdr:row>
      <xdr:rowOff>152400</xdr:rowOff>
    </xdr:from>
    <xdr:to>
      <xdr:col>5</xdr:col>
      <xdr:colOff>19050</xdr:colOff>
      <xdr:row>76</xdr:row>
      <xdr:rowOff>19050</xdr:rowOff>
    </xdr:to>
    <xdr:sp macro="" textlink="">
      <xdr:nvSpPr>
        <xdr:cNvPr id="205" name="Oval 50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1193556" y="2511669"/>
          <a:ext cx="41763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314325</xdr:colOff>
      <xdr:row>75</xdr:row>
      <xdr:rowOff>152400</xdr:rowOff>
    </xdr:from>
    <xdr:to>
      <xdr:col>6</xdr:col>
      <xdr:colOff>19050</xdr:colOff>
      <xdr:row>76</xdr:row>
      <xdr:rowOff>19050</xdr:rowOff>
    </xdr:to>
    <xdr:sp macro="" textlink="">
      <xdr:nvSpPr>
        <xdr:cNvPr id="206" name="Oval 52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1530594" y="2511669"/>
          <a:ext cx="41764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314325</xdr:colOff>
      <xdr:row>75</xdr:row>
      <xdr:rowOff>152400</xdr:rowOff>
    </xdr:from>
    <xdr:to>
      <xdr:col>8</xdr:col>
      <xdr:colOff>19050</xdr:colOff>
      <xdr:row>76</xdr:row>
      <xdr:rowOff>19050</xdr:rowOff>
    </xdr:to>
    <xdr:sp macro="" textlink="">
      <xdr:nvSpPr>
        <xdr:cNvPr id="207" name="Oval 54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rrowheads="1"/>
        </xdr:cNvSpPr>
      </xdr:nvSpPr>
      <xdr:spPr bwMode="auto">
        <a:xfrm>
          <a:off x="2204671" y="2511669"/>
          <a:ext cx="41764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314325</xdr:colOff>
      <xdr:row>75</xdr:row>
      <xdr:rowOff>152400</xdr:rowOff>
    </xdr:from>
    <xdr:to>
      <xdr:col>9</xdr:col>
      <xdr:colOff>19050</xdr:colOff>
      <xdr:row>76</xdr:row>
      <xdr:rowOff>19050</xdr:rowOff>
    </xdr:to>
    <xdr:sp macro="" textlink="">
      <xdr:nvSpPr>
        <xdr:cNvPr id="208" name="Oval 55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rrowheads="1"/>
        </xdr:cNvSpPr>
      </xdr:nvSpPr>
      <xdr:spPr bwMode="auto">
        <a:xfrm>
          <a:off x="2541710" y="2511669"/>
          <a:ext cx="41763" cy="35169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315801</xdr:colOff>
      <xdr:row>76</xdr:row>
      <xdr:rowOff>152400</xdr:rowOff>
    </xdr:from>
    <xdr:to>
      <xdr:col>9</xdr:col>
      <xdr:colOff>20526</xdr:colOff>
      <xdr:row>77</xdr:row>
      <xdr:rowOff>19050</xdr:rowOff>
    </xdr:to>
    <xdr:sp macro="" textlink="">
      <xdr:nvSpPr>
        <xdr:cNvPr id="209" name="Oval 57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rrowheads="1"/>
        </xdr:cNvSpPr>
      </xdr:nvSpPr>
      <xdr:spPr bwMode="auto">
        <a:xfrm>
          <a:off x="2543186" y="2680188"/>
          <a:ext cx="41763" cy="3517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70</xdr:row>
      <xdr:rowOff>85725</xdr:rowOff>
    </xdr:from>
    <xdr:to>
      <xdr:col>4</xdr:col>
      <xdr:colOff>257175</xdr:colOff>
      <xdr:row>70</xdr:row>
      <xdr:rowOff>85725</xdr:rowOff>
    </xdr:to>
    <xdr:sp macro="" textlink="">
      <xdr:nvSpPr>
        <xdr:cNvPr id="210" name="Line 87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ShapeType="1"/>
        </xdr:cNvSpPr>
      </xdr:nvSpPr>
      <xdr:spPr bwMode="auto">
        <a:xfrm>
          <a:off x="879231" y="1602398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332567</xdr:colOff>
      <xdr:row>69</xdr:row>
      <xdr:rowOff>158213</xdr:rowOff>
    </xdr:from>
    <xdr:to>
      <xdr:col>3</xdr:col>
      <xdr:colOff>332567</xdr:colOff>
      <xdr:row>73</xdr:row>
      <xdr:rowOff>100093</xdr:rowOff>
    </xdr:to>
    <xdr:sp macro="" textlink="">
      <xdr:nvSpPr>
        <xdr:cNvPr id="211" name="Line 88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ShapeType="1"/>
        </xdr:cNvSpPr>
      </xdr:nvSpPr>
      <xdr:spPr bwMode="auto">
        <a:xfrm flipH="1">
          <a:off x="875008" y="11965984"/>
          <a:ext cx="0" cy="62638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70</xdr:row>
      <xdr:rowOff>69903</xdr:rowOff>
    </xdr:from>
    <xdr:to>
      <xdr:col>4</xdr:col>
      <xdr:colOff>19050</xdr:colOff>
      <xdr:row>70</xdr:row>
      <xdr:rowOff>108003</xdr:rowOff>
    </xdr:to>
    <xdr:sp macro="" textlink="">
      <xdr:nvSpPr>
        <xdr:cNvPr id="212" name="Oval 89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rrowheads="1"/>
        </xdr:cNvSpPr>
      </xdr:nvSpPr>
      <xdr:spPr bwMode="auto">
        <a:xfrm>
          <a:off x="856766" y="12048801"/>
          <a:ext cx="37292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73</xdr:row>
      <xdr:rowOff>95250</xdr:rowOff>
    </xdr:from>
    <xdr:to>
      <xdr:col>4</xdr:col>
      <xdr:colOff>257175</xdr:colOff>
      <xdr:row>73</xdr:row>
      <xdr:rowOff>95250</xdr:rowOff>
    </xdr:to>
    <xdr:sp macro="" textlink="">
      <xdr:nvSpPr>
        <xdr:cNvPr id="213" name="Line 9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ShapeType="1"/>
        </xdr:cNvSpPr>
      </xdr:nvSpPr>
      <xdr:spPr bwMode="auto">
        <a:xfrm>
          <a:off x="879231" y="2117481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314325</xdr:colOff>
      <xdr:row>73</xdr:row>
      <xdr:rowOff>76200</xdr:rowOff>
    </xdr:from>
    <xdr:to>
      <xdr:col>4</xdr:col>
      <xdr:colOff>19050</xdr:colOff>
      <xdr:row>73</xdr:row>
      <xdr:rowOff>114300</xdr:rowOff>
    </xdr:to>
    <xdr:sp macro="" textlink="">
      <xdr:nvSpPr>
        <xdr:cNvPr id="214" name="Oval 9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rrowheads="1"/>
        </xdr:cNvSpPr>
      </xdr:nvSpPr>
      <xdr:spPr bwMode="auto">
        <a:xfrm>
          <a:off x="856517" y="2098431"/>
          <a:ext cx="41764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295274</xdr:colOff>
      <xdr:row>69</xdr:row>
      <xdr:rowOff>130969</xdr:rowOff>
    </xdr:from>
    <xdr:to>
      <xdr:col>4</xdr:col>
      <xdr:colOff>295274</xdr:colOff>
      <xdr:row>70</xdr:row>
      <xdr:rowOff>35719</xdr:rowOff>
    </xdr:to>
    <xdr:sp macro="" textlink="">
      <xdr:nvSpPr>
        <xdr:cNvPr id="215" name="Line 7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ShapeType="1"/>
        </xdr:cNvSpPr>
      </xdr:nvSpPr>
      <xdr:spPr bwMode="auto">
        <a:xfrm>
          <a:off x="1174505" y="1479123"/>
          <a:ext cx="0" cy="7326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180974</xdr:colOff>
      <xdr:row>69</xdr:row>
      <xdr:rowOff>166687</xdr:rowOff>
    </xdr:from>
    <xdr:to>
      <xdr:col>4</xdr:col>
      <xdr:colOff>295275</xdr:colOff>
      <xdr:row>69</xdr:row>
      <xdr:rowOff>166687</xdr:rowOff>
    </xdr:to>
    <xdr:sp macro="" textlink="">
      <xdr:nvSpPr>
        <xdr:cNvPr id="216" name="Line 8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ShapeType="1"/>
        </xdr:cNvSpPr>
      </xdr:nvSpPr>
      <xdr:spPr bwMode="auto">
        <a:xfrm>
          <a:off x="1060205" y="1514841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70</xdr:row>
      <xdr:rowOff>85725</xdr:rowOff>
    </xdr:from>
    <xdr:to>
      <xdr:col>6</xdr:col>
      <xdr:colOff>47625</xdr:colOff>
      <xdr:row>71</xdr:row>
      <xdr:rowOff>161925</xdr:rowOff>
    </xdr:to>
    <xdr:sp macro="" textlink="">
      <xdr:nvSpPr>
        <xdr:cNvPr id="217" name="Line 27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ShapeType="1"/>
        </xdr:cNvSpPr>
      </xdr:nvSpPr>
      <xdr:spPr bwMode="auto">
        <a:xfrm>
          <a:off x="1600933" y="1602398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27401</xdr:colOff>
      <xdr:row>72</xdr:row>
      <xdr:rowOff>9525</xdr:rowOff>
    </xdr:from>
    <xdr:to>
      <xdr:col>7</xdr:col>
      <xdr:colOff>300038</xdr:colOff>
      <xdr:row>72</xdr:row>
      <xdr:rowOff>9525</xdr:rowOff>
    </xdr:to>
    <xdr:sp macro="" textlink="">
      <xdr:nvSpPr>
        <xdr:cNvPr id="218" name="Line 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ShapeType="1"/>
        </xdr:cNvSpPr>
      </xdr:nvSpPr>
      <xdr:spPr bwMode="auto">
        <a:xfrm>
          <a:off x="1580709" y="1863237"/>
          <a:ext cx="6096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2382</xdr:colOff>
      <xdr:row>73</xdr:row>
      <xdr:rowOff>85725</xdr:rowOff>
    </xdr:from>
    <xdr:to>
      <xdr:col>9</xdr:col>
      <xdr:colOff>2382</xdr:colOff>
      <xdr:row>73</xdr:row>
      <xdr:rowOff>85725</xdr:rowOff>
    </xdr:to>
    <xdr:sp macro="" textlink="">
      <xdr:nvSpPr>
        <xdr:cNvPr id="219" name="Line 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ShapeType="1"/>
        </xdr:cNvSpPr>
      </xdr:nvSpPr>
      <xdr:spPr bwMode="auto">
        <a:xfrm>
          <a:off x="1218651" y="2107956"/>
          <a:ext cx="1348154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104775</xdr:colOff>
      <xdr:row>72</xdr:row>
      <xdr:rowOff>9525</xdr:rowOff>
    </xdr:from>
    <xdr:to>
      <xdr:col>6</xdr:col>
      <xdr:colOff>104775</xdr:colOff>
      <xdr:row>73</xdr:row>
      <xdr:rowOff>85725</xdr:rowOff>
    </xdr:to>
    <xdr:sp macro="" textlink="">
      <xdr:nvSpPr>
        <xdr:cNvPr id="220" name="Line 27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ShapeType="1"/>
        </xdr:cNvSpPr>
      </xdr:nvSpPr>
      <xdr:spPr bwMode="auto">
        <a:xfrm>
          <a:off x="165808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161925</xdr:colOff>
      <xdr:row>72</xdr:row>
      <xdr:rowOff>9525</xdr:rowOff>
    </xdr:from>
    <xdr:to>
      <xdr:col>6</xdr:col>
      <xdr:colOff>161925</xdr:colOff>
      <xdr:row>73</xdr:row>
      <xdr:rowOff>85725</xdr:rowOff>
    </xdr:to>
    <xdr:sp macro="" textlink="">
      <xdr:nvSpPr>
        <xdr:cNvPr id="221" name="Line 28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ShapeType="1"/>
        </xdr:cNvSpPr>
      </xdr:nvSpPr>
      <xdr:spPr bwMode="auto">
        <a:xfrm>
          <a:off x="171523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219075</xdr:colOff>
      <xdr:row>72</xdr:row>
      <xdr:rowOff>9525</xdr:rowOff>
    </xdr:from>
    <xdr:to>
      <xdr:col>6</xdr:col>
      <xdr:colOff>219075</xdr:colOff>
      <xdr:row>73</xdr:row>
      <xdr:rowOff>85725</xdr:rowOff>
    </xdr:to>
    <xdr:sp macro="" textlink="">
      <xdr:nvSpPr>
        <xdr:cNvPr id="222" name="Line 29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ShapeType="1"/>
        </xdr:cNvSpPr>
      </xdr:nvSpPr>
      <xdr:spPr bwMode="auto">
        <a:xfrm>
          <a:off x="177238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276225</xdr:colOff>
      <xdr:row>72</xdr:row>
      <xdr:rowOff>9525</xdr:rowOff>
    </xdr:from>
    <xdr:to>
      <xdr:col>6</xdr:col>
      <xdr:colOff>276225</xdr:colOff>
      <xdr:row>73</xdr:row>
      <xdr:rowOff>85725</xdr:rowOff>
    </xdr:to>
    <xdr:sp macro="" textlink="">
      <xdr:nvSpPr>
        <xdr:cNvPr id="223" name="Line 30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ShapeType="1"/>
        </xdr:cNvSpPr>
      </xdr:nvSpPr>
      <xdr:spPr bwMode="auto">
        <a:xfrm>
          <a:off x="182953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333375</xdr:colOff>
      <xdr:row>72</xdr:row>
      <xdr:rowOff>9525</xdr:rowOff>
    </xdr:from>
    <xdr:to>
      <xdr:col>6</xdr:col>
      <xdr:colOff>333375</xdr:colOff>
      <xdr:row>73</xdr:row>
      <xdr:rowOff>85725</xdr:rowOff>
    </xdr:to>
    <xdr:sp macro="" textlink="">
      <xdr:nvSpPr>
        <xdr:cNvPr id="224" name="Line 3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ShapeType="1"/>
        </xdr:cNvSpPr>
      </xdr:nvSpPr>
      <xdr:spPr bwMode="auto">
        <a:xfrm>
          <a:off x="188668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57150</xdr:colOff>
      <xdr:row>72</xdr:row>
      <xdr:rowOff>9525</xdr:rowOff>
    </xdr:from>
    <xdr:to>
      <xdr:col>7</xdr:col>
      <xdr:colOff>57150</xdr:colOff>
      <xdr:row>73</xdr:row>
      <xdr:rowOff>85725</xdr:rowOff>
    </xdr:to>
    <xdr:sp macro="" textlink="">
      <xdr:nvSpPr>
        <xdr:cNvPr id="225" name="Line 32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ShapeType="1"/>
        </xdr:cNvSpPr>
      </xdr:nvSpPr>
      <xdr:spPr bwMode="auto">
        <a:xfrm>
          <a:off x="1947496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114300</xdr:colOff>
      <xdr:row>72</xdr:row>
      <xdr:rowOff>9525</xdr:rowOff>
    </xdr:from>
    <xdr:to>
      <xdr:col>7</xdr:col>
      <xdr:colOff>114300</xdr:colOff>
      <xdr:row>73</xdr:row>
      <xdr:rowOff>85725</xdr:rowOff>
    </xdr:to>
    <xdr:sp macro="" textlink="">
      <xdr:nvSpPr>
        <xdr:cNvPr id="226" name="Line 33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ShapeType="1"/>
        </xdr:cNvSpPr>
      </xdr:nvSpPr>
      <xdr:spPr bwMode="auto">
        <a:xfrm>
          <a:off x="2004646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72</xdr:row>
      <xdr:rowOff>9525</xdr:rowOff>
    </xdr:from>
    <xdr:to>
      <xdr:col>7</xdr:col>
      <xdr:colOff>171450</xdr:colOff>
      <xdr:row>73</xdr:row>
      <xdr:rowOff>85725</xdr:rowOff>
    </xdr:to>
    <xdr:sp macro="" textlink="">
      <xdr:nvSpPr>
        <xdr:cNvPr id="227" name="Line 34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ShapeType="1"/>
        </xdr:cNvSpPr>
      </xdr:nvSpPr>
      <xdr:spPr bwMode="auto">
        <a:xfrm>
          <a:off x="2061796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228600</xdr:colOff>
      <xdr:row>72</xdr:row>
      <xdr:rowOff>9525</xdr:rowOff>
    </xdr:from>
    <xdr:to>
      <xdr:col>7</xdr:col>
      <xdr:colOff>228600</xdr:colOff>
      <xdr:row>73</xdr:row>
      <xdr:rowOff>85725</xdr:rowOff>
    </xdr:to>
    <xdr:sp macro="" textlink="">
      <xdr:nvSpPr>
        <xdr:cNvPr id="228" name="Line 35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ShapeType="1"/>
        </xdr:cNvSpPr>
      </xdr:nvSpPr>
      <xdr:spPr bwMode="auto">
        <a:xfrm>
          <a:off x="2118946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285750</xdr:colOff>
      <xdr:row>72</xdr:row>
      <xdr:rowOff>9525</xdr:rowOff>
    </xdr:from>
    <xdr:to>
      <xdr:col>7</xdr:col>
      <xdr:colOff>285750</xdr:colOff>
      <xdr:row>73</xdr:row>
      <xdr:rowOff>85725</xdr:rowOff>
    </xdr:to>
    <xdr:sp macro="" textlink="">
      <xdr:nvSpPr>
        <xdr:cNvPr id="229" name="Line 36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ShapeType="1"/>
        </xdr:cNvSpPr>
      </xdr:nvSpPr>
      <xdr:spPr bwMode="auto">
        <a:xfrm>
          <a:off x="2176096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47625</xdr:colOff>
      <xdr:row>72</xdr:row>
      <xdr:rowOff>9525</xdr:rowOff>
    </xdr:from>
    <xdr:to>
      <xdr:col>6</xdr:col>
      <xdr:colOff>47625</xdr:colOff>
      <xdr:row>73</xdr:row>
      <xdr:rowOff>85725</xdr:rowOff>
    </xdr:to>
    <xdr:sp macro="" textlink="">
      <xdr:nvSpPr>
        <xdr:cNvPr id="230" name="Line 27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ShapeType="1"/>
        </xdr:cNvSpPr>
      </xdr:nvSpPr>
      <xdr:spPr bwMode="auto">
        <a:xfrm>
          <a:off x="1600933" y="1863237"/>
          <a:ext cx="0" cy="2447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76</xdr:row>
      <xdr:rowOff>152400</xdr:rowOff>
    </xdr:from>
    <xdr:to>
      <xdr:col>5</xdr:col>
      <xdr:colOff>19050</xdr:colOff>
      <xdr:row>77</xdr:row>
      <xdr:rowOff>19050</xdr:rowOff>
    </xdr:to>
    <xdr:sp macro="" textlink="">
      <xdr:nvSpPr>
        <xdr:cNvPr id="231" name="Oval 5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rrowheads="1"/>
        </xdr:cNvSpPr>
      </xdr:nvSpPr>
      <xdr:spPr bwMode="auto">
        <a:xfrm>
          <a:off x="1193556" y="2680188"/>
          <a:ext cx="41763" cy="3517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331643</xdr:colOff>
      <xdr:row>71</xdr:row>
      <xdr:rowOff>140401</xdr:rowOff>
    </xdr:from>
    <xdr:to>
      <xdr:col>5</xdr:col>
      <xdr:colOff>331643</xdr:colOff>
      <xdr:row>72</xdr:row>
      <xdr:rowOff>26101</xdr:rowOff>
    </xdr:to>
    <xdr:sp macro="" textlink="">
      <xdr:nvSpPr>
        <xdr:cNvPr id="232" name="Line 7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ShapeType="1"/>
        </xdr:cNvSpPr>
      </xdr:nvSpPr>
      <xdr:spPr bwMode="auto">
        <a:xfrm>
          <a:off x="1547912" y="1825593"/>
          <a:ext cx="0" cy="5422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302449</xdr:colOff>
      <xdr:row>71</xdr:row>
      <xdr:rowOff>140401</xdr:rowOff>
    </xdr:from>
    <xdr:to>
      <xdr:col>6</xdr:col>
      <xdr:colOff>26225</xdr:colOff>
      <xdr:row>71</xdr:row>
      <xdr:rowOff>140401</xdr:rowOff>
    </xdr:to>
    <xdr:sp macro="" textlink="">
      <xdr:nvSpPr>
        <xdr:cNvPr id="233" name="Line 8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ShapeType="1"/>
        </xdr:cNvSpPr>
      </xdr:nvSpPr>
      <xdr:spPr bwMode="auto">
        <a:xfrm>
          <a:off x="1518718" y="1825593"/>
          <a:ext cx="6081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302449</xdr:colOff>
      <xdr:row>72</xdr:row>
      <xdr:rowOff>26101</xdr:rowOff>
    </xdr:from>
    <xdr:to>
      <xdr:col>6</xdr:col>
      <xdr:colOff>26225</xdr:colOff>
      <xdr:row>72</xdr:row>
      <xdr:rowOff>26101</xdr:rowOff>
    </xdr:to>
    <xdr:sp macro="" textlink="">
      <xdr:nvSpPr>
        <xdr:cNvPr id="234" name="Line 9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ShapeType="1"/>
        </xdr:cNvSpPr>
      </xdr:nvSpPr>
      <xdr:spPr bwMode="auto">
        <a:xfrm>
          <a:off x="1518718" y="1879813"/>
          <a:ext cx="6081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330746</xdr:colOff>
      <xdr:row>71</xdr:row>
      <xdr:rowOff>141979</xdr:rowOff>
    </xdr:from>
    <xdr:to>
      <xdr:col>7</xdr:col>
      <xdr:colOff>330746</xdr:colOff>
      <xdr:row>72</xdr:row>
      <xdr:rowOff>27679</xdr:rowOff>
    </xdr:to>
    <xdr:sp macro="" textlink="">
      <xdr:nvSpPr>
        <xdr:cNvPr id="235" name="Line 7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ShapeType="1"/>
        </xdr:cNvSpPr>
      </xdr:nvSpPr>
      <xdr:spPr bwMode="auto">
        <a:xfrm>
          <a:off x="2221092" y="1827171"/>
          <a:ext cx="0" cy="5422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301552</xdr:colOff>
      <xdr:row>71</xdr:row>
      <xdr:rowOff>141979</xdr:rowOff>
    </xdr:from>
    <xdr:to>
      <xdr:col>8</xdr:col>
      <xdr:colOff>25327</xdr:colOff>
      <xdr:row>71</xdr:row>
      <xdr:rowOff>141979</xdr:rowOff>
    </xdr:to>
    <xdr:sp macro="" textlink="">
      <xdr:nvSpPr>
        <xdr:cNvPr id="236" name="Line 8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ShapeType="1"/>
        </xdr:cNvSpPr>
      </xdr:nvSpPr>
      <xdr:spPr bwMode="auto">
        <a:xfrm>
          <a:off x="2191898" y="1827171"/>
          <a:ext cx="60814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301552</xdr:colOff>
      <xdr:row>72</xdr:row>
      <xdr:rowOff>27679</xdr:rowOff>
    </xdr:from>
    <xdr:to>
      <xdr:col>8</xdr:col>
      <xdr:colOff>25327</xdr:colOff>
      <xdr:row>72</xdr:row>
      <xdr:rowOff>27679</xdr:rowOff>
    </xdr:to>
    <xdr:sp macro="" textlink="">
      <xdr:nvSpPr>
        <xdr:cNvPr id="237" name="Line 9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ShapeType="1"/>
        </xdr:cNvSpPr>
      </xdr:nvSpPr>
      <xdr:spPr bwMode="auto">
        <a:xfrm>
          <a:off x="2191898" y="1881391"/>
          <a:ext cx="60814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</xdr:colOff>
      <xdr:row>70</xdr:row>
      <xdr:rowOff>35719</xdr:rowOff>
    </xdr:from>
    <xdr:to>
      <xdr:col>9</xdr:col>
      <xdr:colOff>2381</xdr:colOff>
      <xdr:row>73</xdr:row>
      <xdr:rowOff>88106</xdr:rowOff>
    </xdr:to>
    <xdr:sp macro="" textlink="">
      <xdr:nvSpPr>
        <xdr:cNvPr id="238" name="Line 10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ShapeType="1"/>
        </xdr:cNvSpPr>
      </xdr:nvSpPr>
      <xdr:spPr bwMode="auto">
        <a:xfrm>
          <a:off x="2566804" y="1552392"/>
          <a:ext cx="0" cy="55794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25019</xdr:colOff>
      <xdr:row>72</xdr:row>
      <xdr:rowOff>14287</xdr:rowOff>
    </xdr:from>
    <xdr:to>
      <xdr:col>8</xdr:col>
      <xdr:colOff>321469</xdr:colOff>
      <xdr:row>72</xdr:row>
      <xdr:rowOff>14287</xdr:rowOff>
    </xdr:to>
    <xdr:sp macro="" textlink="">
      <xdr:nvSpPr>
        <xdr:cNvPr id="239" name="Line 17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ShapeType="1"/>
        </xdr:cNvSpPr>
      </xdr:nvSpPr>
      <xdr:spPr bwMode="auto">
        <a:xfrm>
          <a:off x="2252404" y="1867999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27400</xdr:colOff>
      <xdr:row>71</xdr:row>
      <xdr:rowOff>161925</xdr:rowOff>
    </xdr:from>
    <xdr:to>
      <xdr:col>8</xdr:col>
      <xdr:colOff>323850</xdr:colOff>
      <xdr:row>71</xdr:row>
      <xdr:rowOff>161925</xdr:rowOff>
    </xdr:to>
    <xdr:sp macro="" textlink="">
      <xdr:nvSpPr>
        <xdr:cNvPr id="240" name="Line 17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ShapeType="1"/>
        </xdr:cNvSpPr>
      </xdr:nvSpPr>
      <xdr:spPr bwMode="auto">
        <a:xfrm>
          <a:off x="2254785" y="1847117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178593</xdr:colOff>
      <xdr:row>69</xdr:row>
      <xdr:rowOff>128588</xdr:rowOff>
    </xdr:from>
    <xdr:to>
      <xdr:col>4</xdr:col>
      <xdr:colOff>178593</xdr:colOff>
      <xdr:row>70</xdr:row>
      <xdr:rowOff>33338</xdr:rowOff>
    </xdr:to>
    <xdr:sp macro="" textlink="">
      <xdr:nvSpPr>
        <xdr:cNvPr id="241" name="Line 7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ShapeType="1"/>
        </xdr:cNvSpPr>
      </xdr:nvSpPr>
      <xdr:spPr bwMode="auto">
        <a:xfrm>
          <a:off x="1057824" y="1476742"/>
          <a:ext cx="0" cy="7326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204780</xdr:colOff>
      <xdr:row>69</xdr:row>
      <xdr:rowOff>130969</xdr:rowOff>
    </xdr:from>
    <xdr:to>
      <xdr:col>9</xdr:col>
      <xdr:colOff>204780</xdr:colOff>
      <xdr:row>70</xdr:row>
      <xdr:rowOff>35719</xdr:rowOff>
    </xdr:to>
    <xdr:sp macro="" textlink="">
      <xdr:nvSpPr>
        <xdr:cNvPr id="242" name="Line 7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ShapeType="1"/>
        </xdr:cNvSpPr>
      </xdr:nvSpPr>
      <xdr:spPr bwMode="auto">
        <a:xfrm>
          <a:off x="2769203" y="1479123"/>
          <a:ext cx="0" cy="7326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90480</xdr:colOff>
      <xdr:row>69</xdr:row>
      <xdr:rowOff>166687</xdr:rowOff>
    </xdr:from>
    <xdr:to>
      <xdr:col>9</xdr:col>
      <xdr:colOff>204781</xdr:colOff>
      <xdr:row>69</xdr:row>
      <xdr:rowOff>166687</xdr:rowOff>
    </xdr:to>
    <xdr:sp macro="" textlink="">
      <xdr:nvSpPr>
        <xdr:cNvPr id="243" name="Line 8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ShapeType="1"/>
        </xdr:cNvSpPr>
      </xdr:nvSpPr>
      <xdr:spPr bwMode="auto">
        <a:xfrm>
          <a:off x="2654903" y="1514841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88099</xdr:colOff>
      <xdr:row>69</xdr:row>
      <xdr:rowOff>128588</xdr:rowOff>
    </xdr:from>
    <xdr:to>
      <xdr:col>9</xdr:col>
      <xdr:colOff>88099</xdr:colOff>
      <xdr:row>70</xdr:row>
      <xdr:rowOff>33338</xdr:rowOff>
    </xdr:to>
    <xdr:sp macro="" textlink="">
      <xdr:nvSpPr>
        <xdr:cNvPr id="244" name="Line 7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ShapeType="1"/>
        </xdr:cNvSpPr>
      </xdr:nvSpPr>
      <xdr:spPr bwMode="auto">
        <a:xfrm>
          <a:off x="2652522" y="1476742"/>
          <a:ext cx="0" cy="7326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319098</xdr:colOff>
      <xdr:row>70</xdr:row>
      <xdr:rowOff>33338</xdr:rowOff>
    </xdr:from>
    <xdr:to>
      <xdr:col>6</xdr:col>
      <xdr:colOff>12212</xdr:colOff>
      <xdr:row>73</xdr:row>
      <xdr:rowOff>85725</xdr:rowOff>
    </xdr:to>
    <xdr:sp macro="" textlink="">
      <xdr:nvSpPr>
        <xdr:cNvPr id="245" name="Rectangle 15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Arrowheads="1"/>
        </xdr:cNvSpPr>
      </xdr:nvSpPr>
      <xdr:spPr bwMode="auto">
        <a:xfrm>
          <a:off x="1535367" y="1550011"/>
          <a:ext cx="30153" cy="557945"/>
        </a:xfrm>
        <a:prstGeom prst="rect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2381</xdr:colOff>
      <xdr:row>70</xdr:row>
      <xdr:rowOff>90488</xdr:rowOff>
    </xdr:from>
    <xdr:to>
      <xdr:col>5</xdr:col>
      <xdr:colOff>2381</xdr:colOff>
      <xdr:row>73</xdr:row>
      <xdr:rowOff>90487</xdr:rowOff>
    </xdr:to>
    <xdr:sp macro="" textlink="">
      <xdr:nvSpPr>
        <xdr:cNvPr id="246" name="Line 10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ShapeType="1"/>
        </xdr:cNvSpPr>
      </xdr:nvSpPr>
      <xdr:spPr bwMode="auto">
        <a:xfrm>
          <a:off x="1218650" y="1607161"/>
          <a:ext cx="0" cy="505557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10452</xdr:colOff>
      <xdr:row>72</xdr:row>
      <xdr:rowOff>11485</xdr:rowOff>
    </xdr:from>
    <xdr:to>
      <xdr:col>5</xdr:col>
      <xdr:colOff>306902</xdr:colOff>
      <xdr:row>72</xdr:row>
      <xdr:rowOff>11485</xdr:rowOff>
    </xdr:to>
    <xdr:sp macro="" textlink="">
      <xdr:nvSpPr>
        <xdr:cNvPr id="247" name="Line 17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ShapeType="1"/>
        </xdr:cNvSpPr>
      </xdr:nvSpPr>
      <xdr:spPr bwMode="auto">
        <a:xfrm>
          <a:off x="1226721" y="1865197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12833</xdr:colOff>
      <xdr:row>71</xdr:row>
      <xdr:rowOff>159123</xdr:rowOff>
    </xdr:from>
    <xdr:to>
      <xdr:col>5</xdr:col>
      <xdr:colOff>309283</xdr:colOff>
      <xdr:row>71</xdr:row>
      <xdr:rowOff>159123</xdr:rowOff>
    </xdr:to>
    <xdr:sp macro="" textlink="">
      <xdr:nvSpPr>
        <xdr:cNvPr id="248" name="Line 1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ShapeType="1"/>
        </xdr:cNvSpPr>
      </xdr:nvSpPr>
      <xdr:spPr bwMode="auto">
        <a:xfrm>
          <a:off x="1229102" y="1844315"/>
          <a:ext cx="296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102220</xdr:colOff>
      <xdr:row>72</xdr:row>
      <xdr:rowOff>4647</xdr:rowOff>
    </xdr:from>
    <xdr:to>
      <xdr:col>10</xdr:col>
      <xdr:colOff>55756</xdr:colOff>
      <xdr:row>72</xdr:row>
      <xdr:rowOff>4647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 bwMode="auto">
        <a:xfrm>
          <a:off x="2653061" y="12382501"/>
          <a:ext cx="28807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327290</xdr:colOff>
      <xdr:row>69</xdr:row>
      <xdr:rowOff>155286</xdr:rowOff>
    </xdr:from>
    <xdr:to>
      <xdr:col>6</xdr:col>
      <xdr:colOff>61711</xdr:colOff>
      <xdr:row>70</xdr:row>
      <xdr:rowOff>88543</xdr:rowOff>
    </xdr:to>
    <xdr:sp macro="" textlink="">
      <xdr:nvSpPr>
        <xdr:cNvPr id="4" name="直角三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534684" y="12003849"/>
          <a:ext cx="67126" cy="104976"/>
        </a:xfrm>
        <a:prstGeom prst="rtTriangle">
          <a:avLst/>
        </a:prstGeom>
        <a:solidFill>
          <a:schemeClr val="bg1">
            <a:lumMod val="50000"/>
          </a:schemeClr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52020</xdr:colOff>
      <xdr:row>8</xdr:row>
      <xdr:rowOff>133901</xdr:rowOff>
    </xdr:from>
    <xdr:to>
      <xdr:col>6</xdr:col>
      <xdr:colOff>52020</xdr:colOff>
      <xdr:row>9</xdr:row>
      <xdr:rowOff>38651</xdr:rowOff>
    </xdr:to>
    <xdr:sp macro="" textlink="">
      <xdr:nvSpPr>
        <xdr:cNvPr id="256" name="Line 7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ShapeType="1"/>
        </xdr:cNvSpPr>
      </xdr:nvSpPr>
      <xdr:spPr bwMode="auto">
        <a:xfrm>
          <a:off x="1596535" y="1517224"/>
          <a:ext cx="0" cy="7766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271827</xdr:colOff>
      <xdr:row>8</xdr:row>
      <xdr:rowOff>169619</xdr:rowOff>
    </xdr:from>
    <xdr:to>
      <xdr:col>6</xdr:col>
      <xdr:colOff>52021</xdr:colOff>
      <xdr:row>8</xdr:row>
      <xdr:rowOff>169619</xdr:rowOff>
    </xdr:to>
    <xdr:sp macro="" textlink="">
      <xdr:nvSpPr>
        <xdr:cNvPr id="257" name="Line 8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ShapeType="1"/>
        </xdr:cNvSpPr>
      </xdr:nvSpPr>
      <xdr:spPr bwMode="auto">
        <a:xfrm>
          <a:off x="1482235" y="1552942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269446</xdr:colOff>
      <xdr:row>8</xdr:row>
      <xdr:rowOff>131520</xdr:rowOff>
    </xdr:from>
    <xdr:to>
      <xdr:col>5</xdr:col>
      <xdr:colOff>269446</xdr:colOff>
      <xdr:row>9</xdr:row>
      <xdr:rowOff>36270</xdr:rowOff>
    </xdr:to>
    <xdr:sp macro="" textlink="">
      <xdr:nvSpPr>
        <xdr:cNvPr id="258" name="Line 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ShapeType="1"/>
        </xdr:cNvSpPr>
      </xdr:nvSpPr>
      <xdr:spPr bwMode="auto">
        <a:xfrm>
          <a:off x="1479854" y="1514843"/>
          <a:ext cx="0" cy="7766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57881</xdr:colOff>
      <xdr:row>69</xdr:row>
      <xdr:rowOff>134002</xdr:rowOff>
    </xdr:from>
    <xdr:to>
      <xdr:col>6</xdr:col>
      <xdr:colOff>57881</xdr:colOff>
      <xdr:row>70</xdr:row>
      <xdr:rowOff>38752</xdr:rowOff>
    </xdr:to>
    <xdr:sp macro="" textlink="">
      <xdr:nvSpPr>
        <xdr:cNvPr id="259" name="Line 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>
          <a:off x="1602396" y="12065164"/>
          <a:ext cx="0" cy="7766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277688</xdr:colOff>
      <xdr:row>69</xdr:row>
      <xdr:rowOff>169720</xdr:rowOff>
    </xdr:from>
    <xdr:to>
      <xdr:col>6</xdr:col>
      <xdr:colOff>57882</xdr:colOff>
      <xdr:row>69</xdr:row>
      <xdr:rowOff>169720</xdr:rowOff>
    </xdr:to>
    <xdr:sp macro="" textlink="">
      <xdr:nvSpPr>
        <xdr:cNvPr id="260" name="Line 8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ShapeType="1"/>
        </xdr:cNvSpPr>
      </xdr:nvSpPr>
      <xdr:spPr bwMode="auto">
        <a:xfrm>
          <a:off x="1488096" y="12100882"/>
          <a:ext cx="114301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275307</xdr:colOff>
      <xdr:row>69</xdr:row>
      <xdr:rowOff>131621</xdr:rowOff>
    </xdr:from>
    <xdr:to>
      <xdr:col>5</xdr:col>
      <xdr:colOff>275307</xdr:colOff>
      <xdr:row>70</xdr:row>
      <xdr:rowOff>36371</xdr:rowOff>
    </xdr:to>
    <xdr:sp macro="" textlink="">
      <xdr:nvSpPr>
        <xdr:cNvPr id="261" name="Line 7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>
          <a:off x="1485715" y="12062783"/>
          <a:ext cx="0" cy="7766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330413</xdr:colOff>
      <xdr:row>69</xdr:row>
      <xdr:rowOff>164349</xdr:rowOff>
    </xdr:from>
    <xdr:to>
      <xdr:col>4</xdr:col>
      <xdr:colOff>255021</xdr:colOff>
      <xdr:row>69</xdr:row>
      <xdr:rowOff>164349</xdr:rowOff>
    </xdr:to>
    <xdr:sp macro="" textlink="">
      <xdr:nvSpPr>
        <xdr:cNvPr id="284" name="Line 87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ShapeType="1"/>
        </xdr:cNvSpPr>
      </xdr:nvSpPr>
      <xdr:spPr bwMode="auto">
        <a:xfrm>
          <a:off x="872854" y="11972120"/>
          <a:ext cx="2571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312171</xdr:colOff>
      <xdr:row>69</xdr:row>
      <xdr:rowOff>145304</xdr:rowOff>
    </xdr:from>
    <xdr:to>
      <xdr:col>4</xdr:col>
      <xdr:colOff>16896</xdr:colOff>
      <xdr:row>70</xdr:row>
      <xdr:rowOff>12277</xdr:rowOff>
    </xdr:to>
    <xdr:sp macro="" textlink="">
      <xdr:nvSpPr>
        <xdr:cNvPr id="296" name="Oval 89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Arrowheads="1"/>
        </xdr:cNvSpPr>
      </xdr:nvSpPr>
      <xdr:spPr bwMode="auto">
        <a:xfrm>
          <a:off x="854612" y="11953075"/>
          <a:ext cx="37292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326753</xdr:colOff>
      <xdr:row>69</xdr:row>
      <xdr:rowOff>154749</xdr:rowOff>
    </xdr:from>
    <xdr:to>
      <xdr:col>8</xdr:col>
      <xdr:colOff>61175</xdr:colOff>
      <xdr:row>70</xdr:row>
      <xdr:rowOff>88006</xdr:rowOff>
    </xdr:to>
    <xdr:sp macro="" textlink="">
      <xdr:nvSpPr>
        <xdr:cNvPr id="300" name="直角三角形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/>
      </xdr:nvSpPr>
      <xdr:spPr bwMode="auto">
        <a:xfrm>
          <a:off x="2199556" y="12003312"/>
          <a:ext cx="67126" cy="104976"/>
        </a:xfrm>
        <a:prstGeom prst="rtTriangle">
          <a:avLst/>
        </a:prstGeom>
        <a:solidFill>
          <a:schemeClr val="bg1">
            <a:lumMod val="50000"/>
          </a:schemeClr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42863</xdr:colOff>
      <xdr:row>30</xdr:row>
      <xdr:rowOff>166687</xdr:rowOff>
    </xdr:from>
    <xdr:to>
      <xdr:col>6</xdr:col>
      <xdr:colOff>135731</xdr:colOff>
      <xdr:row>30</xdr:row>
      <xdr:rowOff>166687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1366838" y="5138737"/>
          <a:ext cx="426243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2381</xdr:colOff>
      <xdr:row>31</xdr:row>
      <xdr:rowOff>30956</xdr:rowOff>
    </xdr:from>
    <xdr:to>
      <xdr:col>6</xdr:col>
      <xdr:colOff>135731</xdr:colOff>
      <xdr:row>31</xdr:row>
      <xdr:rowOff>30956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1326356" y="5174456"/>
          <a:ext cx="4667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123824</xdr:colOff>
      <xdr:row>31</xdr:row>
      <xdr:rowOff>59531</xdr:rowOff>
    </xdr:from>
    <xdr:to>
      <xdr:col>5</xdr:col>
      <xdr:colOff>123824</xdr:colOff>
      <xdr:row>32</xdr:row>
      <xdr:rowOff>121444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1445164" y="5336786"/>
          <a:ext cx="0" cy="232147"/>
        </a:xfrm>
        <a:prstGeom prst="line">
          <a:avLst/>
        </a:prstGeom>
        <a:noFill/>
        <a:ln w="22225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2381</xdr:colOff>
      <xdr:row>29</xdr:row>
      <xdr:rowOff>0</xdr:rowOff>
    </xdr:from>
    <xdr:to>
      <xdr:col>4</xdr:col>
      <xdr:colOff>2381</xdr:colOff>
      <xdr:row>30</xdr:row>
      <xdr:rowOff>169069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>
          <a:off x="992981" y="4800600"/>
          <a:ext cx="0" cy="340519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604</xdr:colOff>
      <xdr:row>29</xdr:row>
      <xdr:rowOff>2683</xdr:rowOff>
    </xdr:from>
    <xdr:to>
      <xdr:col>5</xdr:col>
      <xdr:colOff>40481</xdr:colOff>
      <xdr:row>29</xdr:row>
      <xdr:rowOff>2683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ShapeType="1"/>
        </xdr:cNvSpPr>
      </xdr:nvSpPr>
      <xdr:spPr bwMode="auto">
        <a:xfrm>
          <a:off x="1324579" y="4803283"/>
          <a:ext cx="39877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2381</xdr:colOff>
      <xdr:row>29</xdr:row>
      <xdr:rowOff>0</xdr:rowOff>
    </xdr:from>
    <xdr:to>
      <xdr:col>4</xdr:col>
      <xdr:colOff>204789</xdr:colOff>
      <xdr:row>29</xdr:row>
      <xdr:rowOff>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992981" y="4800600"/>
          <a:ext cx="202408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2382</xdr:colOff>
      <xdr:row>29</xdr:row>
      <xdr:rowOff>0</xdr:rowOff>
    </xdr:from>
    <xdr:to>
      <xdr:col>5</xdr:col>
      <xdr:colOff>2382</xdr:colOff>
      <xdr:row>31</xdr:row>
      <xdr:rowOff>35719</xdr:rowOff>
    </xdr:to>
    <xdr:sp macro="" textlink="">
      <xdr:nvSpPr>
        <xdr:cNvPr id="46" name="Line 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ShapeType="1"/>
        </xdr:cNvSpPr>
      </xdr:nvSpPr>
      <xdr:spPr bwMode="auto">
        <a:xfrm>
          <a:off x="1326357" y="4800600"/>
          <a:ext cx="0" cy="37861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40482</xdr:colOff>
      <xdr:row>29</xdr:row>
      <xdr:rowOff>0</xdr:rowOff>
    </xdr:from>
    <xdr:to>
      <xdr:col>5</xdr:col>
      <xdr:colOff>40482</xdr:colOff>
      <xdr:row>30</xdr:row>
      <xdr:rowOff>169069</xdr:rowOff>
    </xdr:to>
    <xdr:sp macro="" textlink="">
      <xdr:nvSpPr>
        <xdr:cNvPr id="47" name="Line 2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ShapeType="1"/>
        </xdr:cNvSpPr>
      </xdr:nvSpPr>
      <xdr:spPr bwMode="auto">
        <a:xfrm>
          <a:off x="1364457" y="4800600"/>
          <a:ext cx="0" cy="340519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54768</xdr:colOff>
      <xdr:row>31</xdr:row>
      <xdr:rowOff>33337</xdr:rowOff>
    </xdr:from>
    <xdr:to>
      <xdr:col>5</xdr:col>
      <xdr:colOff>198768</xdr:colOff>
      <xdr:row>31</xdr:row>
      <xdr:rowOff>58537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1378743" y="5176837"/>
          <a:ext cx="144000" cy="25200"/>
        </a:xfrm>
        <a:prstGeom prst="rect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54768</xdr:colOff>
      <xdr:row>32</xdr:row>
      <xdr:rowOff>121443</xdr:rowOff>
    </xdr:from>
    <xdr:to>
      <xdr:col>5</xdr:col>
      <xdr:colOff>198768</xdr:colOff>
      <xdr:row>32</xdr:row>
      <xdr:rowOff>146643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1378743" y="5436393"/>
          <a:ext cx="144000" cy="25200"/>
        </a:xfrm>
        <a:prstGeom prst="rect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2381</xdr:colOff>
      <xdr:row>30</xdr:row>
      <xdr:rowOff>169069</xdr:rowOff>
    </xdr:from>
    <xdr:to>
      <xdr:col>4</xdr:col>
      <xdr:colOff>204789</xdr:colOff>
      <xdr:row>30</xdr:row>
      <xdr:rowOff>169069</xdr:rowOff>
    </xdr:to>
    <xdr:sp macro="" textlink="">
      <xdr:nvSpPr>
        <xdr:cNvPr id="50" name="Line 43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ShapeType="1"/>
        </xdr:cNvSpPr>
      </xdr:nvSpPr>
      <xdr:spPr bwMode="auto">
        <a:xfrm>
          <a:off x="992981" y="5141119"/>
          <a:ext cx="202408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321469</xdr:colOff>
      <xdr:row>28</xdr:row>
      <xdr:rowOff>154780</xdr:rowOff>
    </xdr:from>
    <xdr:to>
      <xdr:col>4</xdr:col>
      <xdr:colOff>24094</xdr:colOff>
      <xdr:row>29</xdr:row>
      <xdr:rowOff>19330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978694" y="4783930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321469</xdr:colOff>
      <xdr:row>30</xdr:row>
      <xdr:rowOff>150017</xdr:rowOff>
    </xdr:from>
    <xdr:to>
      <xdr:col>4</xdr:col>
      <xdr:colOff>24094</xdr:colOff>
      <xdr:row>31</xdr:row>
      <xdr:rowOff>14567</xdr:rowOff>
    </xdr:to>
    <xdr:sp macro="" textlink="">
      <xdr:nvSpPr>
        <xdr:cNvPr id="52" name="円/楕円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978694" y="5122067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2172" name="Line 1"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SpPr>
          <a:spLocks noChangeShapeType="1"/>
        </xdr:cNvSpPr>
      </xdr:nvSpPr>
      <xdr:spPr bwMode="auto">
        <a:xfrm>
          <a:off x="485775" y="7543800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46</xdr:row>
      <xdr:rowOff>47625</xdr:rowOff>
    </xdr:from>
    <xdr:to>
      <xdr:col>3</xdr:col>
      <xdr:colOff>0</xdr:colOff>
      <xdr:row>46</xdr:row>
      <xdr:rowOff>161925</xdr:rowOff>
    </xdr:to>
    <xdr:sp macro="" textlink="">
      <xdr:nvSpPr>
        <xdr:cNvPr id="2173" name="Line 2"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SpPr>
          <a:spLocks noChangeShapeType="1"/>
        </xdr:cNvSpPr>
      </xdr:nvSpPr>
      <xdr:spPr bwMode="auto">
        <a:xfrm>
          <a:off x="48577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46</xdr:row>
      <xdr:rowOff>47625</xdr:rowOff>
    </xdr:from>
    <xdr:to>
      <xdr:col>3</xdr:col>
      <xdr:colOff>66675</xdr:colOff>
      <xdr:row>46</xdr:row>
      <xdr:rowOff>161925</xdr:rowOff>
    </xdr:to>
    <xdr:sp macro="" textlink="">
      <xdr:nvSpPr>
        <xdr:cNvPr id="2174" name="Line 3"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SpPr>
          <a:spLocks noChangeShapeType="1"/>
        </xdr:cNvSpPr>
      </xdr:nvSpPr>
      <xdr:spPr bwMode="auto">
        <a:xfrm>
          <a:off x="552450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133350</xdr:colOff>
      <xdr:row>46</xdr:row>
      <xdr:rowOff>47625</xdr:rowOff>
    </xdr:from>
    <xdr:to>
      <xdr:col>3</xdr:col>
      <xdr:colOff>133350</xdr:colOff>
      <xdr:row>46</xdr:row>
      <xdr:rowOff>161925</xdr:rowOff>
    </xdr:to>
    <xdr:sp macro="" textlink="">
      <xdr:nvSpPr>
        <xdr:cNvPr id="2175" name="Line 4"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SpPr>
          <a:spLocks noChangeShapeType="1"/>
        </xdr:cNvSpPr>
      </xdr:nvSpPr>
      <xdr:spPr bwMode="auto">
        <a:xfrm>
          <a:off x="61912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200025</xdr:colOff>
      <xdr:row>46</xdr:row>
      <xdr:rowOff>47625</xdr:rowOff>
    </xdr:from>
    <xdr:to>
      <xdr:col>3</xdr:col>
      <xdr:colOff>200025</xdr:colOff>
      <xdr:row>46</xdr:row>
      <xdr:rowOff>161925</xdr:rowOff>
    </xdr:to>
    <xdr:sp macro="" textlink="">
      <xdr:nvSpPr>
        <xdr:cNvPr id="2176" name="Line 6"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SpPr>
          <a:spLocks noChangeShapeType="1"/>
        </xdr:cNvSpPr>
      </xdr:nvSpPr>
      <xdr:spPr bwMode="auto">
        <a:xfrm>
          <a:off x="685800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46</xdr:row>
      <xdr:rowOff>47625</xdr:rowOff>
    </xdr:from>
    <xdr:to>
      <xdr:col>3</xdr:col>
      <xdr:colOff>266700</xdr:colOff>
      <xdr:row>46</xdr:row>
      <xdr:rowOff>161925</xdr:rowOff>
    </xdr:to>
    <xdr:sp macro="" textlink="">
      <xdr:nvSpPr>
        <xdr:cNvPr id="2177" name="Line 7"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SpPr>
          <a:spLocks noChangeShapeType="1"/>
        </xdr:cNvSpPr>
      </xdr:nvSpPr>
      <xdr:spPr bwMode="auto">
        <a:xfrm>
          <a:off x="75247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46</xdr:row>
      <xdr:rowOff>47625</xdr:rowOff>
    </xdr:from>
    <xdr:to>
      <xdr:col>4</xdr:col>
      <xdr:colOff>0</xdr:colOff>
      <xdr:row>46</xdr:row>
      <xdr:rowOff>161925</xdr:rowOff>
    </xdr:to>
    <xdr:sp macro="" textlink="">
      <xdr:nvSpPr>
        <xdr:cNvPr id="2178" name="Line 9"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SpPr>
          <a:spLocks noChangeShapeType="1"/>
        </xdr:cNvSpPr>
      </xdr:nvSpPr>
      <xdr:spPr bwMode="auto">
        <a:xfrm>
          <a:off x="819150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46</xdr:row>
      <xdr:rowOff>47625</xdr:rowOff>
    </xdr:from>
    <xdr:to>
      <xdr:col>4</xdr:col>
      <xdr:colOff>66675</xdr:colOff>
      <xdr:row>46</xdr:row>
      <xdr:rowOff>161925</xdr:rowOff>
    </xdr:to>
    <xdr:sp macro="" textlink="">
      <xdr:nvSpPr>
        <xdr:cNvPr id="2179" name="Line 10"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SpPr>
          <a:spLocks noChangeShapeType="1"/>
        </xdr:cNvSpPr>
      </xdr:nvSpPr>
      <xdr:spPr bwMode="auto">
        <a:xfrm>
          <a:off x="88582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133350</xdr:colOff>
      <xdr:row>46</xdr:row>
      <xdr:rowOff>47625</xdr:rowOff>
    </xdr:from>
    <xdr:to>
      <xdr:col>4</xdr:col>
      <xdr:colOff>133350</xdr:colOff>
      <xdr:row>46</xdr:row>
      <xdr:rowOff>161925</xdr:rowOff>
    </xdr:to>
    <xdr:sp macro="" textlink="">
      <xdr:nvSpPr>
        <xdr:cNvPr id="2180" name="Line 11"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SpPr>
          <a:spLocks noChangeShapeType="1"/>
        </xdr:cNvSpPr>
      </xdr:nvSpPr>
      <xdr:spPr bwMode="auto">
        <a:xfrm>
          <a:off x="952500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200025</xdr:colOff>
      <xdr:row>46</xdr:row>
      <xdr:rowOff>47625</xdr:rowOff>
    </xdr:from>
    <xdr:to>
      <xdr:col>4</xdr:col>
      <xdr:colOff>200025</xdr:colOff>
      <xdr:row>46</xdr:row>
      <xdr:rowOff>161925</xdr:rowOff>
    </xdr:to>
    <xdr:sp macro="" textlink="">
      <xdr:nvSpPr>
        <xdr:cNvPr id="2181" name="Line 12"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SpPr>
          <a:spLocks noChangeShapeType="1"/>
        </xdr:cNvSpPr>
      </xdr:nvSpPr>
      <xdr:spPr bwMode="auto">
        <a:xfrm>
          <a:off x="101917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46</xdr:row>
      <xdr:rowOff>47625</xdr:rowOff>
    </xdr:from>
    <xdr:to>
      <xdr:col>4</xdr:col>
      <xdr:colOff>266700</xdr:colOff>
      <xdr:row>46</xdr:row>
      <xdr:rowOff>161925</xdr:rowOff>
    </xdr:to>
    <xdr:sp macro="" textlink="">
      <xdr:nvSpPr>
        <xdr:cNvPr id="2182" name="Line 13"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SpPr>
          <a:spLocks noChangeShapeType="1"/>
        </xdr:cNvSpPr>
      </xdr:nvSpPr>
      <xdr:spPr bwMode="auto">
        <a:xfrm>
          <a:off x="1085850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46</xdr:row>
      <xdr:rowOff>47625</xdr:rowOff>
    </xdr:from>
    <xdr:to>
      <xdr:col>5</xdr:col>
      <xdr:colOff>0</xdr:colOff>
      <xdr:row>46</xdr:row>
      <xdr:rowOff>161925</xdr:rowOff>
    </xdr:to>
    <xdr:sp macro="" textlink="">
      <xdr:nvSpPr>
        <xdr:cNvPr id="2183" name="Line 15"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SpPr>
          <a:spLocks noChangeShapeType="1"/>
        </xdr:cNvSpPr>
      </xdr:nvSpPr>
      <xdr:spPr bwMode="auto">
        <a:xfrm>
          <a:off x="1152525" y="7419975"/>
          <a:ext cx="0" cy="1143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 type="stealth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2184" name="Line 21"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SpPr>
          <a:spLocks noChangeShapeType="1"/>
        </xdr:cNvSpPr>
      </xdr:nvSpPr>
      <xdr:spPr bwMode="auto">
        <a:xfrm>
          <a:off x="485775" y="7715250"/>
          <a:ext cx="6667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sm" len="sm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66675</xdr:rowOff>
    </xdr:from>
    <xdr:to>
      <xdr:col>3</xdr:col>
      <xdr:colOff>0</xdr:colOff>
      <xdr:row>48</xdr:row>
      <xdr:rowOff>0</xdr:rowOff>
    </xdr:to>
    <xdr:sp macro="" textlink="">
      <xdr:nvSpPr>
        <xdr:cNvPr id="2185" name="Line 22"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SpPr>
          <a:spLocks noChangeShapeType="1"/>
        </xdr:cNvSpPr>
      </xdr:nvSpPr>
      <xdr:spPr bwMode="auto">
        <a:xfrm>
          <a:off x="485775" y="7610475"/>
          <a:ext cx="0" cy="1047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47</xdr:row>
      <xdr:rowOff>66675</xdr:rowOff>
    </xdr:from>
    <xdr:to>
      <xdr:col>4</xdr:col>
      <xdr:colOff>0</xdr:colOff>
      <xdr:row>48</xdr:row>
      <xdr:rowOff>0</xdr:rowOff>
    </xdr:to>
    <xdr:sp macro="" textlink="">
      <xdr:nvSpPr>
        <xdr:cNvPr id="2186" name="Line 23"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SpPr>
          <a:spLocks noChangeShapeType="1"/>
        </xdr:cNvSpPr>
      </xdr:nvSpPr>
      <xdr:spPr bwMode="auto">
        <a:xfrm>
          <a:off x="819150" y="7610475"/>
          <a:ext cx="0" cy="1047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47</xdr:row>
      <xdr:rowOff>66675</xdr:rowOff>
    </xdr:from>
    <xdr:to>
      <xdr:col>5</xdr:col>
      <xdr:colOff>0</xdr:colOff>
      <xdr:row>48</xdr:row>
      <xdr:rowOff>0</xdr:rowOff>
    </xdr:to>
    <xdr:sp macro="" textlink="">
      <xdr:nvSpPr>
        <xdr:cNvPr id="2187" name="Line 24"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SpPr>
          <a:spLocks noChangeShapeType="1"/>
        </xdr:cNvSpPr>
      </xdr:nvSpPr>
      <xdr:spPr bwMode="auto">
        <a:xfrm>
          <a:off x="1152525" y="7610475"/>
          <a:ext cx="0" cy="104775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</xdr:colOff>
      <xdr:row>47</xdr:row>
      <xdr:rowOff>0</xdr:rowOff>
    </xdr:from>
    <xdr:to>
      <xdr:col>3</xdr:col>
      <xdr:colOff>19050</xdr:colOff>
      <xdr:row>47</xdr:row>
      <xdr:rowOff>38100</xdr:rowOff>
    </xdr:to>
    <xdr:sp macro="" textlink="">
      <xdr:nvSpPr>
        <xdr:cNvPr id="2188" name="AutoShape 26"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SpPr>
          <a:spLocks noChangeArrowheads="1"/>
        </xdr:cNvSpPr>
      </xdr:nvSpPr>
      <xdr:spPr bwMode="auto">
        <a:xfrm>
          <a:off x="466725" y="7543800"/>
          <a:ext cx="38100" cy="38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47</xdr:row>
      <xdr:rowOff>0</xdr:rowOff>
    </xdr:from>
    <xdr:to>
      <xdr:col>4</xdr:col>
      <xdr:colOff>19050</xdr:colOff>
      <xdr:row>47</xdr:row>
      <xdr:rowOff>38100</xdr:rowOff>
    </xdr:to>
    <xdr:sp macro="" textlink="">
      <xdr:nvSpPr>
        <xdr:cNvPr id="2189" name="AutoShape 27"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SpPr>
          <a:spLocks noChangeArrowheads="1"/>
        </xdr:cNvSpPr>
      </xdr:nvSpPr>
      <xdr:spPr bwMode="auto">
        <a:xfrm>
          <a:off x="800100" y="7543800"/>
          <a:ext cx="38100" cy="38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47</xdr:row>
      <xdr:rowOff>0</xdr:rowOff>
    </xdr:from>
    <xdr:to>
      <xdr:col>5</xdr:col>
      <xdr:colOff>19050</xdr:colOff>
      <xdr:row>47</xdr:row>
      <xdr:rowOff>38100</xdr:rowOff>
    </xdr:to>
    <xdr:sp macro="" textlink="">
      <xdr:nvSpPr>
        <xdr:cNvPr id="2190" name="AutoShape 28"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SpPr>
          <a:spLocks noChangeArrowheads="1"/>
        </xdr:cNvSpPr>
      </xdr:nvSpPr>
      <xdr:spPr bwMode="auto">
        <a:xfrm>
          <a:off x="1133475" y="7543800"/>
          <a:ext cx="38100" cy="381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</xdr:colOff>
      <xdr:row>47</xdr:row>
      <xdr:rowOff>152400</xdr:rowOff>
    </xdr:from>
    <xdr:to>
      <xdr:col>3</xdr:col>
      <xdr:colOff>19050</xdr:colOff>
      <xdr:row>48</xdr:row>
      <xdr:rowOff>19050</xdr:rowOff>
    </xdr:to>
    <xdr:sp macro="" textlink="">
      <xdr:nvSpPr>
        <xdr:cNvPr id="2191" name="円/楕円 1"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SpPr>
          <a:spLocks noChangeArrowheads="1"/>
        </xdr:cNvSpPr>
      </xdr:nvSpPr>
      <xdr:spPr bwMode="auto">
        <a:xfrm>
          <a:off x="466725" y="76962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314325</xdr:colOff>
      <xdr:row>47</xdr:row>
      <xdr:rowOff>152400</xdr:rowOff>
    </xdr:from>
    <xdr:to>
      <xdr:col>4</xdr:col>
      <xdr:colOff>19050</xdr:colOff>
      <xdr:row>48</xdr:row>
      <xdr:rowOff>19050</xdr:rowOff>
    </xdr:to>
    <xdr:sp macro="" textlink="">
      <xdr:nvSpPr>
        <xdr:cNvPr id="2192" name="円/楕円 23"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SpPr>
          <a:spLocks noChangeArrowheads="1"/>
        </xdr:cNvSpPr>
      </xdr:nvSpPr>
      <xdr:spPr bwMode="auto">
        <a:xfrm>
          <a:off x="800100" y="76962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314325</xdr:colOff>
      <xdr:row>47</xdr:row>
      <xdr:rowOff>152400</xdr:rowOff>
    </xdr:from>
    <xdr:to>
      <xdr:col>5</xdr:col>
      <xdr:colOff>19050</xdr:colOff>
      <xdr:row>48</xdr:row>
      <xdr:rowOff>19050</xdr:rowOff>
    </xdr:to>
    <xdr:sp macro="" textlink="">
      <xdr:nvSpPr>
        <xdr:cNvPr id="2193" name="円/楕円 24"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SpPr>
          <a:spLocks noChangeArrowheads="1"/>
        </xdr:cNvSpPr>
      </xdr:nvSpPr>
      <xdr:spPr bwMode="auto">
        <a:xfrm>
          <a:off x="1133475" y="7696200"/>
          <a:ext cx="38100" cy="381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2084</xdr:rowOff>
    </xdr:from>
    <xdr:to>
      <xdr:col>4</xdr:col>
      <xdr:colOff>0</xdr:colOff>
      <xdr:row>17</xdr:row>
      <xdr:rowOff>2084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 bwMode="auto">
        <a:xfrm>
          <a:off x="675409" y="2904116"/>
          <a:ext cx="33399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16</xdr:row>
      <xdr:rowOff>118753</xdr:rowOff>
    </xdr:from>
    <xdr:to>
      <xdr:col>4</xdr:col>
      <xdr:colOff>0</xdr:colOff>
      <xdr:row>17</xdr:row>
      <xdr:rowOff>54429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1009403" y="2850078"/>
          <a:ext cx="0" cy="10638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16</xdr:row>
      <xdr:rowOff>7422</xdr:rowOff>
    </xdr:from>
    <xdr:to>
      <xdr:col>3</xdr:col>
      <xdr:colOff>0</xdr:colOff>
      <xdr:row>17</xdr:row>
      <xdr:rowOff>4949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675409" y="2738747"/>
          <a:ext cx="0" cy="16823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stealth" w="sm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17</xdr:row>
      <xdr:rowOff>131124</xdr:rowOff>
    </xdr:from>
    <xdr:to>
      <xdr:col>3</xdr:col>
      <xdr:colOff>0</xdr:colOff>
      <xdr:row>18</xdr:row>
      <xdr:rowOff>168234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675409" y="3033156"/>
          <a:ext cx="0" cy="20781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17</xdr:row>
      <xdr:rowOff>131124</xdr:rowOff>
    </xdr:from>
    <xdr:to>
      <xdr:col>4</xdr:col>
      <xdr:colOff>0</xdr:colOff>
      <xdr:row>18</xdr:row>
      <xdr:rowOff>168234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1009403" y="3033156"/>
          <a:ext cx="0" cy="20781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18</xdr:row>
      <xdr:rowOff>165370</xdr:rowOff>
    </xdr:from>
    <xdr:to>
      <xdr:col>4</xdr:col>
      <xdr:colOff>0</xdr:colOff>
      <xdr:row>18</xdr:row>
      <xdr:rowOff>165370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 bwMode="auto">
        <a:xfrm>
          <a:off x="675409" y="3238110"/>
          <a:ext cx="33399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316675</xdr:colOff>
      <xdr:row>18</xdr:row>
      <xdr:rowOff>148738</xdr:rowOff>
    </xdr:from>
    <xdr:to>
      <xdr:col>3</xdr:col>
      <xdr:colOff>18682</xdr:colOff>
      <xdr:row>19</xdr:row>
      <xdr:rowOff>14030</xdr:rowOff>
    </xdr:to>
    <xdr:sp macro="" textlink="">
      <xdr:nvSpPr>
        <xdr:cNvPr id="15" name="円/楕円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658091" y="3221478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316675</xdr:colOff>
      <xdr:row>18</xdr:row>
      <xdr:rowOff>148738</xdr:rowOff>
    </xdr:from>
    <xdr:to>
      <xdr:col>4</xdr:col>
      <xdr:colOff>18681</xdr:colOff>
      <xdr:row>19</xdr:row>
      <xdr:rowOff>14030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992084" y="3221478"/>
          <a:ext cx="36000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176570</xdr:colOff>
      <xdr:row>25</xdr:row>
      <xdr:rowOff>168934</xdr:rowOff>
    </xdr:from>
    <xdr:to>
      <xdr:col>5</xdr:col>
      <xdr:colOff>176570</xdr:colOff>
      <xdr:row>29</xdr:row>
      <xdr:rowOff>1078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 bwMode="auto">
        <a:xfrm>
          <a:off x="1329095" y="21428734"/>
          <a:ext cx="0" cy="51794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221163</xdr:colOff>
      <xdr:row>26</xdr:row>
      <xdr:rowOff>10785</xdr:rowOff>
    </xdr:from>
    <xdr:to>
      <xdr:col>3</xdr:col>
      <xdr:colOff>221163</xdr:colOff>
      <xdr:row>29</xdr:row>
      <xdr:rowOff>5403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CxnSpPr/>
      </xdr:nvCxnSpPr>
      <xdr:spPr bwMode="auto">
        <a:xfrm>
          <a:off x="706938" y="21442035"/>
          <a:ext cx="0" cy="50896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222849</xdr:colOff>
      <xdr:row>26</xdr:row>
      <xdr:rowOff>3803</xdr:rowOff>
    </xdr:from>
    <xdr:to>
      <xdr:col>4</xdr:col>
      <xdr:colOff>311944</xdr:colOff>
      <xdr:row>26</xdr:row>
      <xdr:rowOff>3803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CxnSpPr/>
      </xdr:nvCxnSpPr>
      <xdr:spPr bwMode="auto">
        <a:xfrm>
          <a:off x="708624" y="21435053"/>
          <a:ext cx="42247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202652</xdr:colOff>
      <xdr:row>25</xdr:row>
      <xdr:rowOff>156937</xdr:rowOff>
    </xdr:from>
    <xdr:to>
      <xdr:col>3</xdr:col>
      <xdr:colOff>238653</xdr:colOff>
      <xdr:row>26</xdr:row>
      <xdr:rowOff>21488</xdr:rowOff>
    </xdr:to>
    <xdr:sp macro="" textlink="">
      <xdr:nvSpPr>
        <xdr:cNvPr id="55" name="円/楕円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 bwMode="auto">
        <a:xfrm flipH="1">
          <a:off x="688427" y="21416737"/>
          <a:ext cx="36001" cy="36001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226443</xdr:colOff>
      <xdr:row>29</xdr:row>
      <xdr:rowOff>207</xdr:rowOff>
    </xdr:from>
    <xdr:to>
      <xdr:col>4</xdr:col>
      <xdr:colOff>304800</xdr:colOff>
      <xdr:row>29</xdr:row>
      <xdr:rowOff>207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 bwMode="auto">
        <a:xfrm>
          <a:off x="712218" y="21945807"/>
          <a:ext cx="41173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202652</xdr:colOff>
      <xdr:row>28</xdr:row>
      <xdr:rowOff>153342</xdr:rowOff>
    </xdr:from>
    <xdr:to>
      <xdr:col>3</xdr:col>
      <xdr:colOff>238653</xdr:colOff>
      <xdr:row>29</xdr:row>
      <xdr:rowOff>17892</xdr:rowOff>
    </xdr:to>
    <xdr:sp macro="" textlink="">
      <xdr:nvSpPr>
        <xdr:cNvPr id="57" name="円/楕円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 bwMode="auto">
        <a:xfrm flipH="1">
          <a:off x="688427" y="21927492"/>
          <a:ext cx="36001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2617</xdr:colOff>
      <xdr:row>28</xdr:row>
      <xdr:rowOff>4814</xdr:rowOff>
    </xdr:from>
    <xdr:to>
      <xdr:col>5</xdr:col>
      <xdr:colOff>170432</xdr:colOff>
      <xdr:row>28</xdr:row>
      <xdr:rowOff>4814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CxnSpPr/>
      </xdr:nvCxnSpPr>
      <xdr:spPr bwMode="auto">
        <a:xfrm>
          <a:off x="1155142" y="21778964"/>
          <a:ext cx="16781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stealth" w="sm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177403</xdr:colOff>
      <xdr:row>25</xdr:row>
      <xdr:rowOff>141353</xdr:rowOff>
    </xdr:from>
    <xdr:to>
      <xdr:col>5</xdr:col>
      <xdr:colOff>223122</xdr:colOff>
      <xdr:row>26</xdr:row>
      <xdr:rowOff>21860</xdr:rowOff>
    </xdr:to>
    <xdr:sp macro="" textlink="">
      <xdr:nvSpPr>
        <xdr:cNvPr id="59" name="二等辺三角形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 bwMode="auto">
        <a:xfrm rot="16200000">
          <a:off x="1326809" y="21404272"/>
          <a:ext cx="51957" cy="45719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177404</xdr:colOff>
      <xdr:row>28</xdr:row>
      <xdr:rowOff>144932</xdr:rowOff>
    </xdr:from>
    <xdr:to>
      <xdr:col>5</xdr:col>
      <xdr:colOff>223123</xdr:colOff>
      <xdr:row>29</xdr:row>
      <xdr:rowOff>25438</xdr:rowOff>
    </xdr:to>
    <xdr:sp macro="" textlink="">
      <xdr:nvSpPr>
        <xdr:cNvPr id="60" name="二等辺三角形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 bwMode="auto">
        <a:xfrm rot="16200000">
          <a:off x="1326811" y="21922200"/>
          <a:ext cx="51956" cy="45719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147375</xdr:colOff>
      <xdr:row>28</xdr:row>
      <xdr:rowOff>2581</xdr:rowOff>
    </xdr:from>
    <xdr:to>
      <xdr:col>4</xdr:col>
      <xdr:colOff>302419</xdr:colOff>
      <xdr:row>28</xdr:row>
      <xdr:rowOff>2581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/>
      </xdr:nvCxnSpPr>
      <xdr:spPr bwMode="auto">
        <a:xfrm>
          <a:off x="966525" y="21776731"/>
          <a:ext cx="15504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129605</xdr:colOff>
      <xdr:row>27</xdr:row>
      <xdr:rowOff>153922</xdr:rowOff>
    </xdr:from>
    <xdr:to>
      <xdr:col>4</xdr:col>
      <xdr:colOff>165606</xdr:colOff>
      <xdr:row>28</xdr:row>
      <xdr:rowOff>22072</xdr:rowOff>
    </xdr:to>
    <xdr:sp macro="" textlink="">
      <xdr:nvSpPr>
        <xdr:cNvPr id="62" name="円/楕円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 bwMode="auto">
        <a:xfrm flipH="1">
          <a:off x="948755" y="21756622"/>
          <a:ext cx="36001" cy="396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145689</xdr:colOff>
      <xdr:row>26</xdr:row>
      <xdr:rowOff>3595</xdr:rowOff>
    </xdr:from>
    <xdr:to>
      <xdr:col>4</xdr:col>
      <xdr:colOff>145689</xdr:colOff>
      <xdr:row>28</xdr:row>
      <xdr:rowOff>170741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CxnSpPr/>
      </xdr:nvCxnSpPr>
      <xdr:spPr bwMode="auto">
        <a:xfrm>
          <a:off x="964839" y="21434845"/>
          <a:ext cx="0" cy="51004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127178</xdr:colOff>
      <xdr:row>25</xdr:row>
      <xdr:rowOff>156937</xdr:rowOff>
    </xdr:from>
    <xdr:to>
      <xdr:col>4</xdr:col>
      <xdr:colOff>163179</xdr:colOff>
      <xdr:row>26</xdr:row>
      <xdr:rowOff>21488</xdr:rowOff>
    </xdr:to>
    <xdr:sp macro="" textlink="">
      <xdr:nvSpPr>
        <xdr:cNvPr id="64" name="円/楕円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 bwMode="auto">
        <a:xfrm flipH="1">
          <a:off x="946328" y="21416737"/>
          <a:ext cx="36001" cy="36001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127178</xdr:colOff>
      <xdr:row>28</xdr:row>
      <xdr:rowOff>153342</xdr:rowOff>
    </xdr:from>
    <xdr:to>
      <xdr:col>4</xdr:col>
      <xdr:colOff>163179</xdr:colOff>
      <xdr:row>29</xdr:row>
      <xdr:rowOff>17892</xdr:rowOff>
    </xdr:to>
    <xdr:sp macro="" textlink="">
      <xdr:nvSpPr>
        <xdr:cNvPr id="65" name="円/楕円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 bwMode="auto">
        <a:xfrm flipH="1">
          <a:off x="946328" y="21927492"/>
          <a:ext cx="36001" cy="36000"/>
        </a:xfrm>
        <a:prstGeom prst="ellipse">
          <a:avLst/>
        </a:prstGeom>
        <a:noFill/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00B050"/>
  </sheetPr>
  <dimension ref="A1:AA211"/>
  <sheetViews>
    <sheetView view="pageBreakPreview" topLeftCell="A43" zoomScaleNormal="115" zoomScaleSheetLayoutView="100" workbookViewId="0">
      <selection activeCell="AA75" sqref="AA75"/>
    </sheetView>
  </sheetViews>
  <sheetFormatPr defaultColWidth="5.77734375" defaultRowHeight="13.5" customHeight="1" x14ac:dyDescent="0.2"/>
  <cols>
    <col min="1" max="3" width="2.77734375" style="173" customWidth="1"/>
    <col min="4" max="21" width="5.77734375" style="173" customWidth="1"/>
    <col min="22" max="22" width="2.77734375" style="173" customWidth="1"/>
    <col min="23" max="16384" width="5.77734375" style="173"/>
  </cols>
  <sheetData>
    <row r="1" spans="1:27" ht="13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7" ht="13.5" customHeight="1" x14ac:dyDescent="0.2">
      <c r="A2" s="17"/>
      <c r="B2" s="51" t="s">
        <v>301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7" ht="13.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7" ht="13.5" customHeight="1" x14ac:dyDescent="0.2">
      <c r="B4" s="173" t="s">
        <v>473</v>
      </c>
    </row>
    <row r="6" spans="1:27" ht="13.5" customHeight="1" x14ac:dyDescent="0.2">
      <c r="B6" s="17" t="s">
        <v>131</v>
      </c>
    </row>
    <row r="7" spans="1:27" ht="13.5" customHeight="1" x14ac:dyDescent="0.2">
      <c r="C7" s="174" t="s">
        <v>386</v>
      </c>
      <c r="D7" s="17"/>
      <c r="E7" s="17"/>
      <c r="F7" s="174" t="s">
        <v>387</v>
      </c>
      <c r="G7" s="174" t="s">
        <v>388</v>
      </c>
      <c r="H7" s="17"/>
      <c r="I7" s="136" t="s">
        <v>389</v>
      </c>
      <c r="J7" s="175">
        <f>IF(G7="SS400",235,325)</f>
        <v>235</v>
      </c>
      <c r="K7" s="176" t="s">
        <v>390</v>
      </c>
      <c r="L7" s="17" t="s">
        <v>391</v>
      </c>
      <c r="M7" s="175">
        <v>120</v>
      </c>
      <c r="N7" s="17"/>
      <c r="O7" s="177" t="s">
        <v>392</v>
      </c>
      <c r="P7" s="98">
        <v>205</v>
      </c>
      <c r="Q7" s="176" t="s">
        <v>393</v>
      </c>
    </row>
    <row r="8" spans="1:27" ht="13.5" customHeight="1" x14ac:dyDescent="0.2">
      <c r="C8" s="17"/>
      <c r="D8" s="17"/>
      <c r="E8" s="17"/>
      <c r="F8" s="17"/>
      <c r="G8" s="174" t="s">
        <v>394</v>
      </c>
      <c r="H8" s="17"/>
      <c r="I8" s="136"/>
      <c r="J8" s="175">
        <f t="shared" ref="J8" si="0">IF(G8="SS400",235,325)</f>
        <v>325</v>
      </c>
      <c r="K8" s="176"/>
      <c r="L8" s="17"/>
      <c r="M8" s="175">
        <v>102</v>
      </c>
      <c r="N8" s="17"/>
      <c r="O8" s="17"/>
      <c r="P8" s="17"/>
      <c r="Q8" s="17"/>
    </row>
    <row r="9" spans="1:27" ht="13.5" customHeight="1" x14ac:dyDescent="0.2">
      <c r="L9" s="17"/>
      <c r="M9" s="17"/>
      <c r="N9" s="17"/>
      <c r="O9" s="17"/>
      <c r="P9" s="17"/>
      <c r="Q9" s="17"/>
    </row>
    <row r="10" spans="1:27" ht="13.5" customHeight="1" x14ac:dyDescent="0.2">
      <c r="F10" s="178" t="s">
        <v>395</v>
      </c>
      <c r="G10" s="178" t="s">
        <v>536</v>
      </c>
      <c r="H10" s="178" t="s">
        <v>541</v>
      </c>
      <c r="I10" s="136" t="s">
        <v>399</v>
      </c>
      <c r="J10" s="45">
        <v>13.6</v>
      </c>
      <c r="K10" s="17" t="s">
        <v>400</v>
      </c>
      <c r="L10" s="136" t="s">
        <v>401</v>
      </c>
      <c r="M10" s="45">
        <v>27.1</v>
      </c>
      <c r="N10" s="17" t="s">
        <v>400</v>
      </c>
      <c r="O10" s="216" t="s">
        <v>639</v>
      </c>
      <c r="P10" s="173">
        <v>54.2</v>
      </c>
      <c r="Q10" s="17" t="s">
        <v>400</v>
      </c>
      <c r="R10" s="216" t="s">
        <v>640</v>
      </c>
      <c r="S10" s="172">
        <v>108</v>
      </c>
      <c r="T10" s="17" t="s">
        <v>400</v>
      </c>
      <c r="X10" s="216"/>
      <c r="Y10" s="217"/>
      <c r="Z10" s="216"/>
      <c r="AA10" s="217"/>
    </row>
    <row r="11" spans="1:27" ht="13.5" customHeight="1" x14ac:dyDescent="0.2">
      <c r="F11" s="178"/>
      <c r="G11" s="178"/>
      <c r="H11" s="178" t="s">
        <v>397</v>
      </c>
      <c r="I11" s="17"/>
      <c r="J11" s="45">
        <v>24.1</v>
      </c>
      <c r="K11" s="17"/>
      <c r="L11" s="17"/>
      <c r="M11" s="45">
        <v>48.2</v>
      </c>
      <c r="N11" s="17"/>
      <c r="O11" s="219"/>
      <c r="P11" s="218">
        <v>96.5</v>
      </c>
      <c r="R11" s="220"/>
      <c r="S11" s="221">
        <v>193</v>
      </c>
      <c r="T11" s="178"/>
      <c r="X11" s="219"/>
      <c r="Y11" s="217"/>
      <c r="Z11" s="220"/>
      <c r="AA11" s="217"/>
    </row>
    <row r="12" spans="1:27" ht="13.5" customHeight="1" x14ac:dyDescent="0.2">
      <c r="H12" s="178" t="s">
        <v>403</v>
      </c>
      <c r="I12" s="17"/>
      <c r="J12" s="45">
        <v>37.700000000000003</v>
      </c>
      <c r="K12" s="17"/>
      <c r="L12" s="17"/>
      <c r="M12" s="45">
        <v>75.400000000000006</v>
      </c>
      <c r="N12" s="17"/>
      <c r="O12" s="219"/>
      <c r="P12" s="218">
        <v>151</v>
      </c>
      <c r="R12" s="220"/>
      <c r="S12" s="221">
        <v>301</v>
      </c>
      <c r="T12" s="181"/>
      <c r="X12" s="219"/>
      <c r="Y12" s="217"/>
      <c r="Z12" s="220"/>
      <c r="AA12" s="217"/>
    </row>
    <row r="13" spans="1:27" ht="13.5" customHeight="1" x14ac:dyDescent="0.2">
      <c r="H13" s="178" t="s">
        <v>404</v>
      </c>
      <c r="I13" s="17"/>
      <c r="J13" s="45">
        <v>45.6</v>
      </c>
      <c r="K13" s="17"/>
      <c r="L13" s="17"/>
      <c r="M13" s="45">
        <v>91.2</v>
      </c>
      <c r="N13" s="17"/>
      <c r="O13" s="219"/>
      <c r="P13" s="218">
        <v>182</v>
      </c>
      <c r="R13" s="220"/>
      <c r="S13" s="221">
        <v>365</v>
      </c>
      <c r="T13" s="181"/>
      <c r="X13" s="219"/>
      <c r="Y13" s="217"/>
      <c r="Z13" s="220"/>
      <c r="AA13" s="217"/>
    </row>
    <row r="15" spans="1:27" ht="13.5" customHeight="1" x14ac:dyDescent="0.2">
      <c r="C15" s="173" t="s">
        <v>405</v>
      </c>
    </row>
    <row r="16" spans="1:27" ht="13.5" customHeight="1" x14ac:dyDescent="0.2">
      <c r="C16" s="173" t="s">
        <v>406</v>
      </c>
      <c r="V16" s="17"/>
    </row>
    <row r="17" spans="3:22" ht="13.5" customHeight="1" x14ac:dyDescent="0.2">
      <c r="D17" s="173" t="s">
        <v>407</v>
      </c>
      <c r="G17" s="224" t="s">
        <v>653</v>
      </c>
      <c r="H17" s="225">
        <v>250</v>
      </c>
      <c r="I17" s="225" t="s">
        <v>654</v>
      </c>
      <c r="J17" s="225"/>
      <c r="K17" s="224" t="s">
        <v>653</v>
      </c>
      <c r="L17" s="225">
        <v>150</v>
      </c>
      <c r="M17" s="225" t="s">
        <v>654</v>
      </c>
      <c r="O17" s="172" t="s">
        <v>653</v>
      </c>
      <c r="P17" s="173">
        <v>50</v>
      </c>
      <c r="Q17" s="173" t="s">
        <v>654</v>
      </c>
      <c r="V17" s="17"/>
    </row>
    <row r="18" spans="3:22" ht="13.5" customHeight="1" x14ac:dyDescent="0.2">
      <c r="D18" s="173" t="s">
        <v>410</v>
      </c>
      <c r="G18" s="224" t="s">
        <v>655</v>
      </c>
      <c r="H18" s="225">
        <v>600</v>
      </c>
      <c r="I18" s="225" t="s">
        <v>656</v>
      </c>
      <c r="J18" s="225"/>
      <c r="K18" s="224" t="s">
        <v>655</v>
      </c>
      <c r="L18" s="225">
        <v>600</v>
      </c>
      <c r="M18" s="225" t="s">
        <v>656</v>
      </c>
      <c r="O18" s="172" t="s">
        <v>655</v>
      </c>
      <c r="P18" s="173">
        <v>600</v>
      </c>
      <c r="Q18" s="173" t="s">
        <v>656</v>
      </c>
    </row>
    <row r="19" spans="3:22" ht="13.5" customHeight="1" x14ac:dyDescent="0.2">
      <c r="D19" s="173" t="s">
        <v>413</v>
      </c>
      <c r="G19" s="224" t="s">
        <v>657</v>
      </c>
      <c r="H19" s="225">
        <v>1600</v>
      </c>
      <c r="I19" s="225" t="s">
        <v>656</v>
      </c>
      <c r="J19" s="225"/>
      <c r="K19" s="224" t="s">
        <v>657</v>
      </c>
      <c r="L19" s="225">
        <v>1600</v>
      </c>
      <c r="M19" s="225" t="s">
        <v>656</v>
      </c>
      <c r="O19" s="172" t="s">
        <v>657</v>
      </c>
      <c r="P19" s="173">
        <v>1600</v>
      </c>
      <c r="Q19" s="173" t="s">
        <v>656</v>
      </c>
    </row>
    <row r="20" spans="3:22" ht="13.5" customHeight="1" x14ac:dyDescent="0.2">
      <c r="G20" s="224" t="s">
        <v>658</v>
      </c>
      <c r="H20" s="225">
        <f>1000*H17/H19</f>
        <v>156.25</v>
      </c>
      <c r="I20" s="225" t="s">
        <v>659</v>
      </c>
      <c r="J20" s="225"/>
      <c r="K20" s="224" t="s">
        <v>658</v>
      </c>
      <c r="L20" s="225">
        <f>1000*L17/L19</f>
        <v>93.75</v>
      </c>
      <c r="M20" s="225" t="s">
        <v>659</v>
      </c>
      <c r="O20" s="172" t="s">
        <v>658</v>
      </c>
      <c r="P20" s="173">
        <f>1000*P17/P19</f>
        <v>31.25</v>
      </c>
      <c r="Q20" s="173" t="s">
        <v>659</v>
      </c>
    </row>
    <row r="21" spans="3:22" ht="13.5" customHeight="1" x14ac:dyDescent="0.2">
      <c r="G21" s="172"/>
      <c r="K21" s="172"/>
      <c r="O21" s="172"/>
    </row>
    <row r="22" spans="3:22" ht="13.5" customHeight="1" x14ac:dyDescent="0.2">
      <c r="C22" s="173" t="s">
        <v>417</v>
      </c>
    </row>
    <row r="23" spans="3:22" ht="13.5" customHeight="1" x14ac:dyDescent="0.2">
      <c r="E23" s="173" t="s">
        <v>418</v>
      </c>
      <c r="H23" s="172" t="s">
        <v>419</v>
      </c>
      <c r="I23" s="183">
        <v>1.5</v>
      </c>
    </row>
    <row r="25" spans="3:22" ht="13.5" customHeight="1" x14ac:dyDescent="0.2">
      <c r="C25" s="173" t="s">
        <v>638</v>
      </c>
    </row>
    <row r="62" spans="2:4" ht="13.5" customHeight="1" x14ac:dyDescent="0.2">
      <c r="B62" s="173" t="s">
        <v>660</v>
      </c>
    </row>
    <row r="63" spans="2:4" ht="13.5" customHeight="1" x14ac:dyDescent="0.2">
      <c r="D63" s="173" t="s">
        <v>538</v>
      </c>
    </row>
    <row r="65" spans="4:22" ht="13.5" customHeight="1" x14ac:dyDescent="0.2">
      <c r="D65" s="173" t="s">
        <v>537</v>
      </c>
      <c r="U65" s="17"/>
      <c r="V65" s="17"/>
    </row>
    <row r="66" spans="4:22" ht="13.5" customHeight="1" x14ac:dyDescent="0.2">
      <c r="E66" s="193"/>
      <c r="H66" s="172" t="s">
        <v>141</v>
      </c>
      <c r="I66" s="184">
        <v>20.87</v>
      </c>
      <c r="J66" s="173" t="s">
        <v>142</v>
      </c>
      <c r="L66" s="173" t="s">
        <v>650</v>
      </c>
      <c r="P66" s="173">
        <f>I66+I67*E71/2000</f>
        <v>25.157</v>
      </c>
      <c r="Q66" s="173" t="s">
        <v>142</v>
      </c>
      <c r="T66" s="17"/>
      <c r="U66" s="17"/>
    </row>
    <row r="67" spans="4:22" ht="13.5" customHeight="1" x14ac:dyDescent="0.2">
      <c r="D67" s="228">
        <v>600</v>
      </c>
      <c r="E67" s="213" t="s">
        <v>539</v>
      </c>
      <c r="H67" s="172" t="s">
        <v>143</v>
      </c>
      <c r="I67" s="184">
        <v>28.58</v>
      </c>
      <c r="J67" s="173" t="s">
        <v>70</v>
      </c>
      <c r="L67" s="173" t="s">
        <v>554</v>
      </c>
      <c r="P67" s="173">
        <f>((1000*I66/D67)^2+I67^2)^0.5</f>
        <v>45.018848028106824</v>
      </c>
      <c r="Q67" s="173" t="s">
        <v>2</v>
      </c>
      <c r="T67" s="17"/>
      <c r="U67" s="17"/>
    </row>
    <row r="68" spans="4:22" ht="13.5" customHeight="1" x14ac:dyDescent="0.2">
      <c r="D68" s="228"/>
      <c r="F68" s="213" t="s">
        <v>544</v>
      </c>
      <c r="T68" s="17"/>
      <c r="U68" s="17"/>
    </row>
    <row r="69" spans="4:22" ht="13.5" customHeight="1" x14ac:dyDescent="0.2">
      <c r="D69" s="223" t="s">
        <v>648</v>
      </c>
      <c r="H69" s="222" t="str">
        <f>"【 P"&amp;FIXED(K69,0)&amp;" 】"</f>
        <v>【 P100 】</v>
      </c>
      <c r="I69" s="196"/>
      <c r="J69" s="197" t="s">
        <v>89</v>
      </c>
      <c r="K69" s="198">
        <v>100</v>
      </c>
      <c r="L69" s="198">
        <v>100</v>
      </c>
      <c r="M69" s="198">
        <v>6</v>
      </c>
      <c r="N69" s="198">
        <v>8</v>
      </c>
      <c r="O69" s="199" t="s">
        <v>423</v>
      </c>
      <c r="P69" s="199" t="s">
        <v>457</v>
      </c>
      <c r="Q69" s="199" t="s">
        <v>424</v>
      </c>
      <c r="R69" s="198">
        <f>IF(RIGHT(P69,3)="400",235,325)</f>
        <v>235</v>
      </c>
      <c r="S69" s="199" t="s">
        <v>60</v>
      </c>
      <c r="T69" s="17"/>
      <c r="U69" s="17"/>
    </row>
    <row r="70" spans="4:22" ht="13.5" customHeight="1" x14ac:dyDescent="0.2">
      <c r="E70" s="173" t="s">
        <v>647</v>
      </c>
      <c r="L70" s="194" t="s">
        <v>425</v>
      </c>
      <c r="M70" s="187">
        <f>IF(J69="BH-",20*O70/K69,VLOOKUP(J69&amp;FIXED(K69,0)&amp;FIXED(L69,0)&amp;FIXED(M69,1)&amp;FIXED(N69,1),マスター!$AG$2:$AR$540,8,0))</f>
        <v>75.599999999999994</v>
      </c>
      <c r="N70" s="173" t="s">
        <v>5</v>
      </c>
      <c r="O70" s="187"/>
      <c r="T70" s="17"/>
      <c r="U70" s="17"/>
    </row>
    <row r="71" spans="4:22" ht="13.5" customHeight="1" x14ac:dyDescent="0.2">
      <c r="D71" s="172" t="s">
        <v>649</v>
      </c>
      <c r="E71" s="173">
        <f>130+20+50+100</f>
        <v>300</v>
      </c>
      <c r="T71" s="17"/>
      <c r="U71" s="17"/>
    </row>
    <row r="72" spans="4:22" ht="13.5" customHeight="1" x14ac:dyDescent="0.2">
      <c r="H72" s="173" t="s">
        <v>470</v>
      </c>
      <c r="L72" s="172" t="s">
        <v>427</v>
      </c>
      <c r="M72" s="184">
        <f>I66/M70*1000</f>
        <v>276.05820105820112</v>
      </c>
      <c r="N72" s="194" t="s">
        <v>136</v>
      </c>
      <c r="U72" s="17"/>
      <c r="V72" s="17"/>
    </row>
    <row r="73" spans="4:22" ht="13.5" customHeight="1" x14ac:dyDescent="0.2">
      <c r="L73" s="172" t="str">
        <f>"σ/("&amp;FIXED($I$23,2,0)&amp;"･F)="</f>
        <v>σ/(1.50･F)=</v>
      </c>
      <c r="M73" s="188">
        <f>M72/($I$23*R69)</f>
        <v>0.78314383278922306</v>
      </c>
      <c r="N73" s="173" t="str">
        <f>IF(M73&lt;1,"  &lt;   1.00","  &gt;   1.00")</f>
        <v xml:space="preserve">  &lt;   1.00</v>
      </c>
      <c r="P73" s="173" t="str">
        <f>IF(M73&lt;1,"(ok)","(ng)")</f>
        <v>(ok)</v>
      </c>
      <c r="U73" s="17"/>
      <c r="V73" s="17"/>
    </row>
    <row r="74" spans="4:22" ht="13.5" customHeight="1" x14ac:dyDescent="0.2">
      <c r="L74" s="172"/>
      <c r="M74" s="188"/>
      <c r="U74" s="17"/>
      <c r="V74" s="17"/>
    </row>
    <row r="75" spans="4:22" ht="13.5" customHeight="1" x14ac:dyDescent="0.2">
      <c r="H75" s="182" t="s">
        <v>428</v>
      </c>
      <c r="I75" s="182"/>
      <c r="J75" s="172" t="s">
        <v>645</v>
      </c>
      <c r="K75" s="189" t="s">
        <v>546</v>
      </c>
      <c r="L75" s="208">
        <f>L77/2</f>
        <v>100</v>
      </c>
      <c r="M75" s="172" t="s">
        <v>429</v>
      </c>
      <c r="N75" s="182" t="str">
        <f>$G$10</f>
        <v>F8T</v>
      </c>
      <c r="R75" s="182"/>
    </row>
    <row r="76" spans="4:22" ht="13.5" customHeight="1" x14ac:dyDescent="0.2">
      <c r="K76" s="172" t="s">
        <v>641</v>
      </c>
      <c r="L76" s="184">
        <f>VLOOKUP(RIGHT(K75,3),$H$10:$S$13,9,0)</f>
        <v>151</v>
      </c>
      <c r="M76" s="173" t="s">
        <v>409</v>
      </c>
      <c r="N76" s="182"/>
      <c r="P76" s="172"/>
      <c r="Q76" s="183"/>
    </row>
    <row r="77" spans="4:22" ht="13.5" customHeight="1" x14ac:dyDescent="0.2">
      <c r="K77" s="172" t="s">
        <v>547</v>
      </c>
      <c r="L77" s="184">
        <v>200</v>
      </c>
      <c r="M77" s="173" t="s">
        <v>644</v>
      </c>
      <c r="N77" s="172" t="s">
        <v>549</v>
      </c>
      <c r="O77" s="183" t="str">
        <f>LEFT(J75,1)</f>
        <v>3</v>
      </c>
      <c r="P77" s="172" t="s">
        <v>548</v>
      </c>
      <c r="Q77" s="173" t="str">
        <f>RIGHT(J75,1)</f>
        <v>1</v>
      </c>
    </row>
    <row r="78" spans="4:22" ht="13.5" customHeight="1" x14ac:dyDescent="0.2">
      <c r="K78" s="185" t="s">
        <v>651</v>
      </c>
      <c r="N78" s="182"/>
      <c r="O78" s="173">
        <f>1000*P66/L77/Q77+P67/Q77/O77</f>
        <v>140.79128267603559</v>
      </c>
      <c r="P78" s="173" t="s">
        <v>2</v>
      </c>
      <c r="Q78" s="183"/>
    </row>
    <row r="79" spans="4:22" ht="13.5" customHeight="1" x14ac:dyDescent="0.2">
      <c r="L79" s="172" t="str">
        <f>"Qd/･Qu="</f>
        <v>Qd/･Qu=</v>
      </c>
      <c r="M79" s="183">
        <f>O78/($I$23*L76)</f>
        <v>0.62159506700236467</v>
      </c>
      <c r="N79" s="173" t="str">
        <f>IF(M79&lt;1,"  &lt;   1.00","  &gt;   1.00")</f>
        <v xml:space="preserve">  &lt;   1.00</v>
      </c>
      <c r="P79" s="173" t="str">
        <f>IF(M79&lt;1,"(ok)","(ng)")</f>
        <v>(ok)</v>
      </c>
    </row>
    <row r="81" spans="4:21" ht="13.5" customHeight="1" x14ac:dyDescent="0.2">
      <c r="J81" s="172" t="s">
        <v>432</v>
      </c>
      <c r="K81" s="173">
        <v>12</v>
      </c>
      <c r="L81" s="190">
        <f>L77+80</f>
        <v>280</v>
      </c>
      <c r="M81" s="182"/>
      <c r="N81" s="172" t="s">
        <v>429</v>
      </c>
      <c r="O81" s="173" t="s">
        <v>134</v>
      </c>
      <c r="P81" s="172" t="s">
        <v>389</v>
      </c>
      <c r="Q81" s="191">
        <f>VLOOKUP(O81,$G$7:$M$8,4,0)</f>
        <v>235</v>
      </c>
      <c r="R81" s="173" t="s">
        <v>3</v>
      </c>
    </row>
    <row r="82" spans="4:21" ht="13.5" customHeight="1" x14ac:dyDescent="0.2">
      <c r="K82" s="172" t="s">
        <v>433</v>
      </c>
      <c r="L82" s="184">
        <f>K81*(L81-LEFT(J75,1)*(MID(K75,3,2)+2))/100</f>
        <v>25.68</v>
      </c>
      <c r="M82" s="190" t="s">
        <v>551</v>
      </c>
      <c r="N82" s="172" t="s">
        <v>550</v>
      </c>
      <c r="O82" s="173">
        <f>K81*L81^2/6000</f>
        <v>156.80000000000001</v>
      </c>
      <c r="P82" s="173" t="s">
        <v>5</v>
      </c>
    </row>
    <row r="83" spans="4:21" ht="13.5" customHeight="1" x14ac:dyDescent="0.2">
      <c r="L83" s="185" t="s">
        <v>652</v>
      </c>
      <c r="O83" s="190">
        <f>P66/O82*1000+P67/L82*10</f>
        <v>177.97075508119741</v>
      </c>
      <c r="P83" s="194" t="s">
        <v>552</v>
      </c>
    </row>
    <row r="84" spans="4:21" ht="13.5" customHeight="1" x14ac:dyDescent="0.2">
      <c r="L84" s="177" t="s">
        <v>642</v>
      </c>
      <c r="M84" s="183">
        <f>O83/(1.5*Q81)</f>
        <v>0.50488157469843242</v>
      </c>
      <c r="N84" s="173" t="str">
        <f>IF(M84&lt;1,"  &lt;   1.00","  &gt;   1.00")</f>
        <v xml:space="preserve">  &lt;   1.00</v>
      </c>
      <c r="P84" s="173" t="str">
        <f>IF(M84&lt;1,"(ok)","(ng)")</f>
        <v>(ok)</v>
      </c>
    </row>
    <row r="85" spans="4:21" ht="13.5" customHeight="1" x14ac:dyDescent="0.2">
      <c r="K85" s="172"/>
      <c r="L85" s="184"/>
      <c r="M85" s="190"/>
      <c r="P85" s="177"/>
      <c r="Q85" s="183"/>
    </row>
    <row r="86" spans="4:21" ht="13.5" customHeight="1" x14ac:dyDescent="0.2">
      <c r="D86" s="173" t="s">
        <v>540</v>
      </c>
    </row>
    <row r="87" spans="4:21" ht="13.5" customHeight="1" x14ac:dyDescent="0.2">
      <c r="H87" s="172" t="s">
        <v>141</v>
      </c>
      <c r="I87" s="184">
        <v>16.32</v>
      </c>
      <c r="J87" s="173" t="s">
        <v>142</v>
      </c>
      <c r="T87" s="17"/>
      <c r="U87" s="17"/>
    </row>
    <row r="88" spans="4:21" ht="13.5" customHeight="1" x14ac:dyDescent="0.2">
      <c r="H88" s="172" t="s">
        <v>143</v>
      </c>
      <c r="I88" s="184">
        <v>25.61</v>
      </c>
      <c r="J88" s="173" t="s">
        <v>70</v>
      </c>
      <c r="T88" s="17"/>
      <c r="U88" s="17"/>
    </row>
    <row r="89" spans="4:21" ht="13.5" customHeight="1" x14ac:dyDescent="0.2">
      <c r="E89" s="186">
        <v>8000</v>
      </c>
      <c r="T89" s="17"/>
      <c r="U89" s="17"/>
    </row>
    <row r="90" spans="4:21" ht="13.5" customHeight="1" x14ac:dyDescent="0.2">
      <c r="H90" s="222" t="str">
        <f>"【 P"&amp;FIXED(K90,0)&amp;" 】"</f>
        <v>【 P100 】</v>
      </c>
      <c r="I90" s="196"/>
      <c r="J90" s="197" t="s">
        <v>89</v>
      </c>
      <c r="K90" s="198">
        <v>100</v>
      </c>
      <c r="L90" s="198">
        <v>100</v>
      </c>
      <c r="M90" s="198">
        <v>6</v>
      </c>
      <c r="N90" s="198">
        <v>8</v>
      </c>
      <c r="O90" s="199" t="s">
        <v>423</v>
      </c>
      <c r="P90" s="199" t="s">
        <v>457</v>
      </c>
      <c r="Q90" s="199" t="s">
        <v>424</v>
      </c>
      <c r="R90" s="198">
        <f>IF(RIGHT(P90,3)="400",235,325)</f>
        <v>235</v>
      </c>
      <c r="S90" s="199" t="s">
        <v>60</v>
      </c>
      <c r="T90" s="17"/>
      <c r="U90" s="17"/>
    </row>
    <row r="91" spans="4:21" ht="13.5" customHeight="1" x14ac:dyDescent="0.2">
      <c r="L91" s="194" t="s">
        <v>425</v>
      </c>
      <c r="M91" s="187">
        <f>IF(J90="BH-",20*O91/K90,VLOOKUP(J90&amp;FIXED(K90,0)&amp;FIXED(L90,0)&amp;FIXED(M90,1)&amp;FIXED(N90,1),マスター!$AG$2:$AR$540,8,0))</f>
        <v>75.599999999999994</v>
      </c>
      <c r="N91" s="173" t="s">
        <v>5</v>
      </c>
      <c r="O91" s="187"/>
      <c r="T91" s="17"/>
      <c r="U91" s="17"/>
    </row>
    <row r="92" spans="4:21" ht="13.5" customHeight="1" x14ac:dyDescent="0.2">
      <c r="D92" s="185"/>
      <c r="E92" s="186"/>
      <c r="T92" s="17"/>
      <c r="U92" s="210"/>
    </row>
    <row r="93" spans="4:21" ht="13.5" customHeight="1" x14ac:dyDescent="0.2">
      <c r="H93" s="173" t="s">
        <v>470</v>
      </c>
      <c r="L93" s="172" t="s">
        <v>427</v>
      </c>
      <c r="M93" s="184">
        <f>I87/M91*1000</f>
        <v>215.87301587301587</v>
      </c>
      <c r="N93" s="194" t="s">
        <v>3</v>
      </c>
      <c r="T93" s="17"/>
    </row>
    <row r="94" spans="4:21" ht="13.5" customHeight="1" x14ac:dyDescent="0.2">
      <c r="L94" s="172" t="str">
        <f>"σ/("&amp;FIXED($I$23,2,0)&amp;"･F)="</f>
        <v>σ/(1.50･F)=</v>
      </c>
      <c r="M94" s="188">
        <f>M93/($I$23*R90)</f>
        <v>0.61240571878869754</v>
      </c>
      <c r="N94" s="173" t="str">
        <f>IF(M94&lt;1,"  &lt;   1.00","  &gt;   1.00")</f>
        <v xml:space="preserve">  &lt;   1.00</v>
      </c>
      <c r="P94" s="173" t="str">
        <f>IF(M94&lt;1,"(ok)","(ng)")</f>
        <v>(ok)</v>
      </c>
      <c r="T94" s="17"/>
      <c r="U94" s="17"/>
    </row>
    <row r="95" spans="4:21" ht="13.5" customHeight="1" x14ac:dyDescent="0.2">
      <c r="L95" s="172"/>
      <c r="M95" s="188"/>
      <c r="N95" s="174"/>
      <c r="P95" s="172"/>
      <c r="Q95" s="188"/>
    </row>
    <row r="96" spans="4:21" ht="13.5" customHeight="1" x14ac:dyDescent="0.2">
      <c r="H96" s="182" t="s">
        <v>428</v>
      </c>
      <c r="I96" s="182"/>
      <c r="J96" s="172" t="s">
        <v>559</v>
      </c>
      <c r="K96" s="189" t="s">
        <v>558</v>
      </c>
      <c r="L96" s="208">
        <v>60</v>
      </c>
      <c r="M96" s="172" t="s">
        <v>429</v>
      </c>
      <c r="N96" s="182" t="str">
        <f>$G$10</f>
        <v>F8T</v>
      </c>
      <c r="R96" s="182"/>
    </row>
    <row r="97" spans="4:21" ht="13.5" customHeight="1" x14ac:dyDescent="0.2">
      <c r="K97" s="172" t="s">
        <v>643</v>
      </c>
      <c r="L97" s="184">
        <f>VLOOKUP(RIGHT(K96,3),$H$10:$S$13,9,0)*RIGHT(J96,1)*LEFT(J96,1)</f>
        <v>193</v>
      </c>
      <c r="M97" s="173" t="s">
        <v>409</v>
      </c>
      <c r="N97" s="182"/>
      <c r="P97" s="172" t="s">
        <v>646</v>
      </c>
      <c r="Q97" s="183">
        <f>I88/L97</f>
        <v>0.13269430051813472</v>
      </c>
      <c r="R97" s="173" t="str">
        <f>IF(Q97&lt;1,"  &lt;   1.00","  &gt;   1.00")</f>
        <v xml:space="preserve">  &lt;   1.00</v>
      </c>
      <c r="T97" s="173" t="str">
        <f>IF(Q97&lt;1,"(ok)","(ng)")</f>
        <v>(ok)</v>
      </c>
    </row>
    <row r="99" spans="4:21" ht="13.5" customHeight="1" x14ac:dyDescent="0.2">
      <c r="J99" s="172" t="s">
        <v>432</v>
      </c>
      <c r="K99" s="173">
        <v>9</v>
      </c>
      <c r="L99" s="190">
        <f>(LEFT(J96,1)-1)*L96+80</f>
        <v>80</v>
      </c>
      <c r="M99" s="182"/>
      <c r="N99" s="172" t="s">
        <v>429</v>
      </c>
      <c r="O99" s="173" t="s">
        <v>388</v>
      </c>
      <c r="P99" s="172" t="s">
        <v>389</v>
      </c>
      <c r="Q99" s="191">
        <f>VLOOKUP(O99,$G$7:$M$8,4,0)</f>
        <v>235</v>
      </c>
      <c r="R99" s="173" t="s">
        <v>390</v>
      </c>
    </row>
    <row r="100" spans="4:21" ht="13.5" customHeight="1" x14ac:dyDescent="0.2">
      <c r="K100" s="172" t="s">
        <v>454</v>
      </c>
      <c r="L100" s="184">
        <f>K99*(L99-MID(K96,3,1)*(RIGHT(K96,2)+1.5))/100</f>
        <v>5.625</v>
      </c>
      <c r="M100" s="190" t="s">
        <v>455</v>
      </c>
      <c r="P100" s="177" t="s">
        <v>456</v>
      </c>
      <c r="Q100" s="183">
        <f>10*I88/(L100*1.5*Q99/SQRT(3))</f>
        <v>0.22371162770982606</v>
      </c>
      <c r="R100" s="173" t="str">
        <f>IF(Q100&lt;1,"  &lt;   1.00","  &gt;   1.00")</f>
        <v xml:space="preserve">  &lt;   1.00</v>
      </c>
      <c r="T100" s="173" t="str">
        <f>IF(Q100&lt;1,"(ok)","(ng)")</f>
        <v>(ok)</v>
      </c>
    </row>
    <row r="101" spans="4:21" ht="13.5" customHeight="1" x14ac:dyDescent="0.2">
      <c r="K101" s="172"/>
      <c r="L101" s="184"/>
      <c r="M101" s="190"/>
      <c r="P101" s="177"/>
      <c r="Q101" s="183"/>
    </row>
    <row r="102" spans="4:21" ht="13.5" customHeight="1" x14ac:dyDescent="0.2">
      <c r="D102" s="173" t="s">
        <v>542</v>
      </c>
    </row>
    <row r="103" spans="4:21" ht="13.5" customHeight="1" x14ac:dyDescent="0.2">
      <c r="H103" s="172" t="s">
        <v>141</v>
      </c>
      <c r="I103" s="184">
        <v>20.87</v>
      </c>
      <c r="J103" s="173" t="s">
        <v>142</v>
      </c>
      <c r="L103" s="173" t="s">
        <v>553</v>
      </c>
      <c r="P103" s="173">
        <f>I103+I104*K106/2000</f>
        <v>24.413920000000001</v>
      </c>
      <c r="Q103" s="173" t="s">
        <v>142</v>
      </c>
      <c r="T103" s="17"/>
      <c r="U103" s="17"/>
    </row>
    <row r="104" spans="4:21" ht="13.5" customHeight="1" x14ac:dyDescent="0.2">
      <c r="D104" s="173" t="s">
        <v>543</v>
      </c>
      <c r="H104" s="172" t="s">
        <v>143</v>
      </c>
      <c r="I104" s="184">
        <v>28.58</v>
      </c>
      <c r="J104" s="173" t="s">
        <v>2</v>
      </c>
      <c r="L104" s="173" t="s">
        <v>554</v>
      </c>
      <c r="P104" s="173">
        <f>((1000*I103/F107)^2+I104^2)^0.5</f>
        <v>29.052344247065502</v>
      </c>
      <c r="Q104" s="173" t="s">
        <v>2</v>
      </c>
      <c r="T104" s="17"/>
      <c r="U104" s="17"/>
    </row>
    <row r="105" spans="4:21" ht="13.5" customHeight="1" x14ac:dyDescent="0.2">
      <c r="E105" s="213" t="s">
        <v>544</v>
      </c>
      <c r="H105" s="172"/>
      <c r="I105" s="184"/>
      <c r="T105" s="17"/>
      <c r="U105" s="17"/>
    </row>
    <row r="106" spans="4:21" ht="13.5" customHeight="1" x14ac:dyDescent="0.2">
      <c r="H106" s="222" t="str">
        <f>"【 P"&amp;FIXED(K106,0)&amp;" 】"</f>
        <v>【 P248 】</v>
      </c>
      <c r="I106" s="196"/>
      <c r="J106" s="197" t="s">
        <v>89</v>
      </c>
      <c r="K106" s="198">
        <v>248</v>
      </c>
      <c r="L106" s="198">
        <v>124</v>
      </c>
      <c r="M106" s="198">
        <v>5</v>
      </c>
      <c r="N106" s="198">
        <v>8</v>
      </c>
      <c r="O106" s="199" t="s">
        <v>423</v>
      </c>
      <c r="P106" s="199" t="s">
        <v>457</v>
      </c>
      <c r="Q106" s="199" t="s">
        <v>424</v>
      </c>
      <c r="R106" s="198">
        <f>IF(RIGHT(P106,3)="400",235,325)</f>
        <v>235</v>
      </c>
      <c r="S106" s="199" t="s">
        <v>3</v>
      </c>
      <c r="T106" s="17"/>
      <c r="U106" s="17"/>
    </row>
    <row r="107" spans="4:21" ht="13.5" customHeight="1" x14ac:dyDescent="0.2">
      <c r="E107" s="172" t="s">
        <v>637</v>
      </c>
      <c r="F107" s="173">
        <v>4000</v>
      </c>
      <c r="L107" s="194" t="s">
        <v>425</v>
      </c>
      <c r="M107" s="187">
        <f>IF(J106="BH-",20*O107/K106,VLOOKUP(J106&amp;FIXED(K106,0)&amp;FIXED(L106,0)&amp;FIXED(M106,1)&amp;FIXED(N106,1),マスター!$AG$2:$AR$540,8,0))</f>
        <v>278</v>
      </c>
      <c r="N107" s="173" t="s">
        <v>5</v>
      </c>
      <c r="O107" s="187"/>
      <c r="T107" s="17"/>
      <c r="U107" s="210"/>
    </row>
    <row r="108" spans="4:21" ht="13.5" customHeight="1" x14ac:dyDescent="0.2">
      <c r="T108" s="17"/>
    </row>
    <row r="109" spans="4:21" ht="13.5" customHeight="1" x14ac:dyDescent="0.2">
      <c r="H109" s="173" t="s">
        <v>470</v>
      </c>
      <c r="L109" s="172" t="s">
        <v>555</v>
      </c>
      <c r="M109" s="184">
        <f>P103/M107*1000</f>
        <v>87.81985611510791</v>
      </c>
      <c r="N109" s="194" t="s">
        <v>136</v>
      </c>
      <c r="T109" s="17"/>
      <c r="U109" s="17"/>
    </row>
    <row r="110" spans="4:21" ht="13.5" customHeight="1" x14ac:dyDescent="0.2">
      <c r="L110" s="172" t="str">
        <f>"σ/("&amp;FIXED($I$23,2,0)&amp;"･F)="</f>
        <v>σ/(1.50･F)=</v>
      </c>
      <c r="M110" s="188">
        <f>M109/($I$23*R106)</f>
        <v>0.24913434358895861</v>
      </c>
      <c r="N110" s="173" t="str">
        <f>IF(M110&lt;1,"  &lt;   1.00","  &gt;   1.00")</f>
        <v xml:space="preserve">  &lt;   1.00</v>
      </c>
      <c r="P110" s="173" t="str">
        <f>IF(M110&lt;1,"(ok)","(ng)")</f>
        <v>(ok)</v>
      </c>
      <c r="T110" s="17"/>
    </row>
    <row r="111" spans="4:21" ht="13.5" customHeight="1" x14ac:dyDescent="0.2">
      <c r="L111" s="172"/>
      <c r="M111" s="188"/>
      <c r="N111" s="194"/>
      <c r="P111" s="172"/>
      <c r="Q111" s="188"/>
    </row>
    <row r="112" spans="4:21" ht="13.5" customHeight="1" x14ac:dyDescent="0.2">
      <c r="H112" s="182" t="s">
        <v>428</v>
      </c>
      <c r="I112" s="182"/>
      <c r="J112" s="172" t="s">
        <v>545</v>
      </c>
      <c r="K112" s="189" t="s">
        <v>546</v>
      </c>
      <c r="L112" s="208">
        <v>120</v>
      </c>
      <c r="M112" s="172" t="s">
        <v>429</v>
      </c>
      <c r="N112" s="182" t="str">
        <f>$G$10</f>
        <v>F8T</v>
      </c>
      <c r="R112" s="182"/>
    </row>
    <row r="113" spans="10:22" ht="13.5" customHeight="1" x14ac:dyDescent="0.2">
      <c r="K113" s="172" t="s">
        <v>641</v>
      </c>
      <c r="L113" s="184">
        <f>VLOOKUP(RIGHT(K112,3),$H$10:$S$13,9,0)</f>
        <v>151</v>
      </c>
      <c r="M113" s="173" t="s">
        <v>409</v>
      </c>
      <c r="N113" s="182"/>
      <c r="P113" s="172"/>
      <c r="Q113" s="183"/>
    </row>
    <row r="114" spans="10:22" ht="13.5" customHeight="1" x14ac:dyDescent="0.2">
      <c r="K114" s="172" t="s">
        <v>547</v>
      </c>
      <c r="L114" s="184">
        <v>130</v>
      </c>
      <c r="M114" s="173" t="s">
        <v>644</v>
      </c>
      <c r="N114" s="172" t="s">
        <v>549</v>
      </c>
      <c r="O114" s="183" t="str">
        <f>LEFT(J112,1)</f>
        <v>2</v>
      </c>
      <c r="P114" s="172" t="s">
        <v>548</v>
      </c>
      <c r="Q114" s="173" t="str">
        <f>RIGHT(J112,1)</f>
        <v>2</v>
      </c>
    </row>
    <row r="115" spans="10:22" ht="13.5" customHeight="1" x14ac:dyDescent="0.2">
      <c r="K115" s="185" t="s">
        <v>556</v>
      </c>
      <c r="N115" s="182"/>
      <c r="O115" s="173">
        <f>1000*P103/L114/Q114+P104/Q114/O114</f>
        <v>101.16277836945869</v>
      </c>
      <c r="P115" s="173" t="s">
        <v>2</v>
      </c>
      <c r="Q115" s="183"/>
    </row>
    <row r="116" spans="10:22" ht="13.5" customHeight="1" x14ac:dyDescent="0.2">
      <c r="L116" s="172" t="str">
        <f>"Qd/･Qu="</f>
        <v>Qd/･Qu=</v>
      </c>
      <c r="M116" s="183">
        <f>O115/($I$23*L113)</f>
        <v>0.44663478308811783</v>
      </c>
      <c r="N116" s="173" t="str">
        <f>IF(M116&lt;1,"  &lt;   1.00","  &gt;   1.00")</f>
        <v xml:space="preserve">  &lt;   1.00</v>
      </c>
      <c r="P116" s="173" t="str">
        <f>IF(M116&lt;1,"(ok)","(ng)")</f>
        <v>(ok)</v>
      </c>
    </row>
    <row r="118" spans="10:22" ht="13.5" customHeight="1" x14ac:dyDescent="0.2">
      <c r="J118" s="172" t="s">
        <v>432</v>
      </c>
      <c r="K118" s="173">
        <v>12</v>
      </c>
      <c r="L118" s="190">
        <v>210</v>
      </c>
      <c r="M118" s="182"/>
      <c r="N118" s="172" t="s">
        <v>429</v>
      </c>
      <c r="O118" s="173" t="s">
        <v>134</v>
      </c>
      <c r="P118" s="172" t="s">
        <v>389</v>
      </c>
      <c r="Q118" s="191">
        <f>VLOOKUP(O118,$G$7:$M$8,4,0)</f>
        <v>235</v>
      </c>
      <c r="R118" s="173" t="s">
        <v>3</v>
      </c>
    </row>
    <row r="119" spans="10:22" ht="13.5" customHeight="1" x14ac:dyDescent="0.2">
      <c r="K119" s="172" t="s">
        <v>433</v>
      </c>
      <c r="L119" s="184">
        <f>K118*(L118-MID(K112,3,1)*(RIGHT(K112,2)+1.5))/100</f>
        <v>20.04</v>
      </c>
      <c r="M119" s="190" t="s">
        <v>551</v>
      </c>
      <c r="N119" s="172" t="s">
        <v>550</v>
      </c>
      <c r="O119" s="173">
        <f>K118*L118^2/6000</f>
        <v>88.2</v>
      </c>
      <c r="P119" s="173" t="s">
        <v>5</v>
      </c>
    </row>
    <row r="120" spans="10:22" ht="13.5" customHeight="1" x14ac:dyDescent="0.2">
      <c r="L120" s="185" t="s">
        <v>557</v>
      </c>
      <c r="O120" s="190">
        <f>P103/O119*1000+P104/L119*10</f>
        <v>291.29899182695368</v>
      </c>
      <c r="P120" s="194" t="s">
        <v>552</v>
      </c>
      <c r="U120" s="17"/>
      <c r="V120" s="17"/>
    </row>
    <row r="121" spans="10:22" ht="13.5" customHeight="1" x14ac:dyDescent="0.2">
      <c r="L121" s="177" t="s">
        <v>642</v>
      </c>
      <c r="M121" s="183">
        <f>O120/(1.5*Q118)</f>
        <v>0.82638011865802463</v>
      </c>
      <c r="N121" s="173" t="str">
        <f>IF(M121&lt;1,"  &lt;   1.00","  &gt;   1.00")</f>
        <v xml:space="preserve">  &lt;   1.00</v>
      </c>
      <c r="P121" s="173" t="str">
        <f>IF(M121&lt;1,"(ok)","(ng)")</f>
        <v>(ok)</v>
      </c>
      <c r="U121" s="17"/>
      <c r="V121" s="17"/>
    </row>
    <row r="122" spans="10:22" ht="13.5" customHeight="1" x14ac:dyDescent="0.2">
      <c r="U122" s="17"/>
      <c r="V122" s="17"/>
    </row>
    <row r="123" spans="10:22" ht="13.5" customHeight="1" x14ac:dyDescent="0.2">
      <c r="U123" s="17"/>
      <c r="V123" s="17"/>
    </row>
    <row r="124" spans="10:22" ht="13.5" customHeight="1" x14ac:dyDescent="0.2">
      <c r="U124" s="17"/>
      <c r="V124" s="17"/>
    </row>
    <row r="125" spans="10:22" ht="13.5" customHeight="1" x14ac:dyDescent="0.2">
      <c r="U125" s="17"/>
      <c r="V125" s="17"/>
    </row>
    <row r="126" spans="10:22" ht="13.5" customHeight="1" x14ac:dyDescent="0.2">
      <c r="U126" s="17"/>
      <c r="V126" s="17"/>
    </row>
    <row r="127" spans="10:22" ht="13.5" customHeight="1" x14ac:dyDescent="0.2">
      <c r="U127" s="17"/>
      <c r="V127" s="17"/>
    </row>
    <row r="128" spans="10:22" ht="13.5" customHeight="1" x14ac:dyDescent="0.2">
      <c r="U128" s="17"/>
      <c r="V128" s="17"/>
    </row>
    <row r="129" spans="4:22" ht="13.5" customHeight="1" x14ac:dyDescent="0.2">
      <c r="U129" s="17"/>
      <c r="V129" s="17"/>
    </row>
    <row r="130" spans="4:22" ht="13.5" customHeight="1" x14ac:dyDescent="0.2">
      <c r="U130" s="17"/>
      <c r="V130" s="17"/>
    </row>
    <row r="131" spans="4:22" ht="13.5" customHeight="1" x14ac:dyDescent="0.2">
      <c r="U131" s="17"/>
      <c r="V131" s="17"/>
    </row>
    <row r="132" spans="4:22" ht="13.5" customHeight="1" x14ac:dyDescent="0.2">
      <c r="U132" s="17"/>
      <c r="V132" s="17"/>
    </row>
    <row r="133" spans="4:22" ht="13.5" customHeight="1" x14ac:dyDescent="0.2">
      <c r="U133" s="17"/>
      <c r="V133" s="17"/>
    </row>
    <row r="134" spans="4:22" ht="13.5" customHeight="1" x14ac:dyDescent="0.2">
      <c r="U134" s="17"/>
      <c r="V134" s="17"/>
    </row>
    <row r="135" spans="4:22" ht="13.5" customHeight="1" x14ac:dyDescent="0.2">
      <c r="U135" s="17"/>
      <c r="V135" s="17"/>
    </row>
    <row r="136" spans="4:22" ht="13.5" customHeight="1" x14ac:dyDescent="0.2">
      <c r="D136" s="173" t="s">
        <v>528</v>
      </c>
      <c r="U136" s="17"/>
      <c r="V136" s="17"/>
    </row>
    <row r="137" spans="4:22" ht="13.5" customHeight="1" x14ac:dyDescent="0.2">
      <c r="H137" s="173" t="s">
        <v>436</v>
      </c>
      <c r="J137" s="172" t="s">
        <v>415</v>
      </c>
      <c r="K137" s="173">
        <f>P20</f>
        <v>31.25</v>
      </c>
      <c r="L137" s="173" t="s">
        <v>416</v>
      </c>
      <c r="M137" s="172" t="s">
        <v>458</v>
      </c>
      <c r="N137" s="173">
        <f>E140</f>
        <v>7200</v>
      </c>
      <c r="O137" s="173" t="s">
        <v>459</v>
      </c>
      <c r="P137" s="172" t="s">
        <v>437</v>
      </c>
      <c r="Q137" s="184">
        <f>Q138*(D139/1000+Q138/2/K137)</f>
        <v>80</v>
      </c>
      <c r="R137" s="173" t="s">
        <v>421</v>
      </c>
      <c r="U137" s="17"/>
      <c r="V137" s="17"/>
    </row>
    <row r="138" spans="4:22" ht="13.5" customHeight="1" x14ac:dyDescent="0.2">
      <c r="P138" s="172" t="s">
        <v>438</v>
      </c>
      <c r="Q138" s="184">
        <f>K137*E139*(E139+2*F139)/2/N137/1000</f>
        <v>25</v>
      </c>
      <c r="R138" s="173" t="s">
        <v>409</v>
      </c>
      <c r="U138" s="17"/>
      <c r="V138" s="17"/>
    </row>
    <row r="139" spans="4:22" ht="13.5" customHeight="1" x14ac:dyDescent="0.2">
      <c r="D139" s="185">
        <f>(E140-E139)/2</f>
        <v>2800</v>
      </c>
      <c r="E139" s="193">
        <f>P19</f>
        <v>1600</v>
      </c>
      <c r="F139" s="173">
        <f>D139</f>
        <v>2800</v>
      </c>
      <c r="H139" s="173" t="s">
        <v>439</v>
      </c>
      <c r="J139" s="172" t="s">
        <v>139</v>
      </c>
      <c r="K139" s="173">
        <f>50*ROUNDUP(VLOOKUP(J142&amp;FIXED(K142,0)&amp;FIXED(L142,0)&amp;FIXED(M142,1)&amp;FIXED(N142,1),マスター!$AG$2:$AR$540,2,0)*7.85/50,0)/1000</f>
        <v>0.2</v>
      </c>
      <c r="L139" s="173" t="s">
        <v>525</v>
      </c>
      <c r="M139" s="172" t="s">
        <v>458</v>
      </c>
      <c r="N139" s="173">
        <f>E140/(P143+1)</f>
        <v>3600</v>
      </c>
      <c r="O139" s="173" t="s">
        <v>459</v>
      </c>
      <c r="P139" s="172" t="s">
        <v>440</v>
      </c>
      <c r="Q139" s="184">
        <f>K139*N139^2/8/10^6</f>
        <v>0.32400000000000001</v>
      </c>
      <c r="R139" s="173" t="s">
        <v>142</v>
      </c>
      <c r="U139" s="17"/>
      <c r="V139" s="17"/>
    </row>
    <row r="140" spans="4:22" ht="13.5" customHeight="1" x14ac:dyDescent="0.2">
      <c r="E140" s="193">
        <v>7200</v>
      </c>
      <c r="P140" s="172" t="s">
        <v>441</v>
      </c>
      <c r="Q140" s="184">
        <f>K139*N139/2/10^3</f>
        <v>0.36</v>
      </c>
      <c r="R140" s="173" t="s">
        <v>70</v>
      </c>
      <c r="U140" s="17"/>
      <c r="V140" s="17"/>
    </row>
    <row r="141" spans="4:22" ht="13.5" customHeight="1" x14ac:dyDescent="0.2">
      <c r="U141" s="17"/>
      <c r="V141" s="210"/>
    </row>
    <row r="142" spans="4:22" ht="13.5" customHeight="1" x14ac:dyDescent="0.2">
      <c r="H142" s="196" t="s">
        <v>474</v>
      </c>
      <c r="I142" s="196"/>
      <c r="J142" s="197" t="s">
        <v>422</v>
      </c>
      <c r="K142" s="198">
        <v>100</v>
      </c>
      <c r="L142" s="198">
        <v>100</v>
      </c>
      <c r="M142" s="198">
        <v>6</v>
      </c>
      <c r="N142" s="198">
        <v>8</v>
      </c>
      <c r="O142" s="199" t="s">
        <v>423</v>
      </c>
      <c r="P142" s="199" t="s">
        <v>137</v>
      </c>
      <c r="Q142" s="199" t="s">
        <v>424</v>
      </c>
      <c r="R142" s="198">
        <f>IF(RIGHT(P142,3)="400",235,325)</f>
        <v>325</v>
      </c>
      <c r="S142" s="199" t="s">
        <v>390</v>
      </c>
      <c r="T142" s="197" t="s">
        <v>442</v>
      </c>
      <c r="U142" s="200">
        <f>VLOOKUP(P142,$G$7:$M$8,7,0)</f>
        <v>102</v>
      </c>
    </row>
    <row r="143" spans="4:22" ht="13.5" customHeight="1" x14ac:dyDescent="0.2">
      <c r="H143" s="194" t="s">
        <v>425</v>
      </c>
      <c r="I143" s="187">
        <f>VLOOKUP(J142&amp;FIXED(K142,0)&amp;FIXED(L142,0)&amp;FIXED(M142,1)&amp;FIXED(N142,1),マスター!$AG$2:$AR$540,8,0)</f>
        <v>75.599999999999994</v>
      </c>
      <c r="J143" s="173" t="s">
        <v>426</v>
      </c>
      <c r="K143" s="194" t="s">
        <v>443</v>
      </c>
      <c r="L143" s="187">
        <f>VLOOKUP(J142&amp;FIXED(K142,0)&amp;FIXED(L142,0)&amp;FIXED(M142,1)&amp;FIXED(N142,1),マスター!$AG$2:$AR$540,9,0)</f>
        <v>26.7</v>
      </c>
      <c r="M143" s="173" t="s">
        <v>426</v>
      </c>
      <c r="N143" s="173" t="s">
        <v>444</v>
      </c>
      <c r="P143" s="173">
        <v>1</v>
      </c>
      <c r="V143" s="17"/>
    </row>
    <row r="144" spans="4:22" ht="13.5" customHeight="1" x14ac:dyDescent="0.2">
      <c r="H144" s="172" t="s">
        <v>445</v>
      </c>
      <c r="I144" s="173">
        <f>E140/IF(P143="",1,P143+1)</f>
        <v>3600</v>
      </c>
      <c r="J144" s="173" t="s">
        <v>412</v>
      </c>
      <c r="K144" s="177" t="s">
        <v>446</v>
      </c>
      <c r="L144" s="167">
        <f>IF(J142="CHN-","",VLOOKUP(J142&amp;FIXED(K142,0)&amp;FIXED(L142,0)&amp;FIXED(M142,1)&amp;FIXED(N142,1),マスター!$AG$2:$AQ$711,7,0)*10)</f>
        <v>27.5</v>
      </c>
      <c r="M144" s="192" t="s">
        <v>412</v>
      </c>
      <c r="N144" s="177" t="s">
        <v>447</v>
      </c>
      <c r="O144" s="98">
        <f>I144/L144</f>
        <v>130.90909090909091</v>
      </c>
      <c r="P144" s="177" t="s">
        <v>448</v>
      </c>
      <c r="Q144" s="98">
        <f>MIN(MAX((2/3-4/15*(O144/U142)^2)*R142,89000*L142*N142/K142/I144),R142/1.5)*1.5</f>
        <v>296.66666666666663</v>
      </c>
      <c r="R144" s="17" t="s">
        <v>449</v>
      </c>
      <c r="S144" s="177" t="s">
        <v>450</v>
      </c>
      <c r="T144" s="184">
        <f>R142</f>
        <v>325</v>
      </c>
      <c r="U144" s="17" t="s">
        <v>449</v>
      </c>
    </row>
    <row r="146" spans="4:22" ht="13.5" customHeight="1" x14ac:dyDescent="0.2">
      <c r="H146" s="173" t="s">
        <v>470</v>
      </c>
      <c r="L146" s="172" t="s">
        <v>451</v>
      </c>
      <c r="M146" s="188">
        <f>1000*Q137/I143/(1.5*Q144)</f>
        <v>2.3779799060697941</v>
      </c>
      <c r="N146" s="194" t="s">
        <v>393</v>
      </c>
    </row>
    <row r="147" spans="4:22" ht="13.5" customHeight="1" x14ac:dyDescent="0.2">
      <c r="L147" s="172" t="s">
        <v>452</v>
      </c>
      <c r="M147" s="188">
        <f>1000*Q139/L143/(1.5*T144)</f>
        <v>2.4891961970613656E-2</v>
      </c>
      <c r="N147" s="194" t="s">
        <v>393</v>
      </c>
      <c r="P147" s="172" t="s">
        <v>453</v>
      </c>
      <c r="Q147" s="188">
        <f>M146+M147</f>
        <v>2.4028718680404078</v>
      </c>
      <c r="R147" s="173" t="str">
        <f>IF(Q147&lt;1,"  &lt;   1.00","  &gt;   1.00")</f>
        <v xml:space="preserve">  &gt;   1.00</v>
      </c>
      <c r="T147" s="173" t="str">
        <f>IF(Q147&lt;1,"(ok)","(ng)")</f>
        <v>(ng)</v>
      </c>
    </row>
    <row r="149" spans="4:22" ht="13.5" customHeight="1" x14ac:dyDescent="0.2">
      <c r="H149" s="182" t="s">
        <v>428</v>
      </c>
      <c r="I149" s="182"/>
      <c r="J149" s="172" t="s">
        <v>661</v>
      </c>
      <c r="K149" s="189" t="s">
        <v>527</v>
      </c>
      <c r="L149" s="208">
        <v>60</v>
      </c>
      <c r="M149" s="172" t="s">
        <v>429</v>
      </c>
      <c r="N149" s="182" t="str">
        <f>$G$10</f>
        <v>F8T</v>
      </c>
      <c r="R149" s="182"/>
    </row>
    <row r="150" spans="4:22" ht="13.5" customHeight="1" x14ac:dyDescent="0.2">
      <c r="K150" s="172" t="s">
        <v>430</v>
      </c>
      <c r="L150" s="184">
        <f>IF(RIGHT(K149,3)="M16",30.2,IF(RIGHT(K149,3)="M20",47.1,IF(RIGHT(K149,3)="M22",57,0)))*1.5</f>
        <v>70.650000000000006</v>
      </c>
      <c r="M150" s="173" t="s">
        <v>409</v>
      </c>
      <c r="N150" s="182"/>
      <c r="P150" s="172" t="s">
        <v>431</v>
      </c>
      <c r="Q150" s="183">
        <f>Q138/(1.5*LEFT(J149,1)*MID(J149,3,1)*L150)</f>
        <v>0.1179523472517103</v>
      </c>
      <c r="R150" s="173" t="str">
        <f>IF(Q150&lt;1,"  &lt;   1.00","  &gt;   1.00")</f>
        <v xml:space="preserve">  &lt;   1.00</v>
      </c>
      <c r="T150" s="173" t="str">
        <f>IF(Q150&lt;1,"(ok)","(ng)")</f>
        <v>(ok)</v>
      </c>
    </row>
    <row r="152" spans="4:22" ht="13.5" customHeight="1" x14ac:dyDescent="0.2">
      <c r="J152" s="172" t="s">
        <v>432</v>
      </c>
      <c r="K152" s="173">
        <v>12</v>
      </c>
      <c r="L152" s="190">
        <f>(LEFT(J149,1)-1)*L149+80</f>
        <v>140</v>
      </c>
      <c r="M152" s="182"/>
      <c r="N152" s="172" t="s">
        <v>429</v>
      </c>
      <c r="O152" s="173" t="s">
        <v>388</v>
      </c>
      <c r="P152" s="172" t="s">
        <v>389</v>
      </c>
      <c r="Q152" s="191">
        <f>VLOOKUP(O152,$G$7:$M$8,4,0)</f>
        <v>235</v>
      </c>
      <c r="R152" s="173" t="s">
        <v>390</v>
      </c>
    </row>
    <row r="153" spans="4:22" ht="13.5" customHeight="1" x14ac:dyDescent="0.2">
      <c r="K153" s="172" t="s">
        <v>454</v>
      </c>
      <c r="L153" s="184">
        <f>K152*(L152-MID(K149,3,1)*(RIGHT(K149,2)+1.5))/100</f>
        <v>11.64</v>
      </c>
      <c r="M153" s="190" t="s">
        <v>455</v>
      </c>
      <c r="P153" s="177" t="s">
        <v>456</v>
      </c>
      <c r="Q153" s="183">
        <f>10*Q138/(L153*1.5*Q152/SQRT(3))</f>
        <v>0.10553306083015751</v>
      </c>
      <c r="R153" s="173" t="str">
        <f>IF(Q153&lt;1,"  &lt;   1.00","  &gt;   1.00")</f>
        <v xml:space="preserve">  &lt;   1.00</v>
      </c>
      <c r="T153" s="173" t="str">
        <f>IF(Q153&lt;1,"(ok)","(ng)")</f>
        <v>(ok)</v>
      </c>
      <c r="V153" s="17"/>
    </row>
    <row r="154" spans="4:22" ht="13.5" customHeight="1" x14ac:dyDescent="0.2">
      <c r="U154" s="17"/>
      <c r="V154" s="17"/>
    </row>
    <row r="155" spans="4:22" ht="13.5" customHeight="1" x14ac:dyDescent="0.2">
      <c r="D155" s="173" t="s">
        <v>529</v>
      </c>
      <c r="U155" s="17"/>
      <c r="V155" s="17"/>
    </row>
    <row r="156" spans="4:22" ht="13.5" customHeight="1" x14ac:dyDescent="0.2">
      <c r="H156" s="173" t="s">
        <v>436</v>
      </c>
      <c r="J156" s="172" t="s">
        <v>139</v>
      </c>
      <c r="K156" s="173" t="e">
        <f>#REF!</f>
        <v>#REF!</v>
      </c>
      <c r="L156" s="173" t="s">
        <v>140</v>
      </c>
      <c r="M156" s="172" t="s">
        <v>458</v>
      </c>
      <c r="N156" s="173">
        <f>E159</f>
        <v>4300</v>
      </c>
      <c r="O156" s="173" t="s">
        <v>459</v>
      </c>
      <c r="P156" s="172" t="s">
        <v>437</v>
      </c>
      <c r="Q156" s="184" t="e">
        <f>Q157*(D158/1000+Q157/2/K156)</f>
        <v>#REF!</v>
      </c>
      <c r="R156" s="173" t="s">
        <v>142</v>
      </c>
      <c r="U156" s="17"/>
      <c r="V156" s="17"/>
    </row>
    <row r="157" spans="4:22" ht="13.5" customHeight="1" x14ac:dyDescent="0.2">
      <c r="P157" s="172" t="s">
        <v>438</v>
      </c>
      <c r="Q157" s="184" t="e">
        <f>K156*E158*(E158+2*F158)/2/N156/1000</f>
        <v>#REF!</v>
      </c>
      <c r="R157" s="173" t="s">
        <v>70</v>
      </c>
      <c r="U157" s="17"/>
      <c r="V157" s="17"/>
    </row>
    <row r="158" spans="4:22" ht="13.5" customHeight="1" x14ac:dyDescent="0.2">
      <c r="D158" s="193" t="e">
        <f>(E159-E158)/2</f>
        <v>#REF!</v>
      </c>
      <c r="E158" s="193" t="e">
        <f>#REF!</f>
        <v>#REF!</v>
      </c>
      <c r="F158" s="193" t="e">
        <f>D158</f>
        <v>#REF!</v>
      </c>
      <c r="H158" s="173" t="s">
        <v>439</v>
      </c>
      <c r="J158" s="172" t="s">
        <v>139</v>
      </c>
      <c r="K158" s="173">
        <f>50*ROUNDUP(VLOOKUP(J161&amp;FIXED(K161,0)&amp;FIXED(L161,0)&amp;FIXED(M161,1)&amp;FIXED(N161,1),マスター!$AG$2:$AR$540,2,0)*7.85/50,0)/1000</f>
        <v>0.45</v>
      </c>
      <c r="L158" s="173" t="s">
        <v>525</v>
      </c>
      <c r="M158" s="172" t="s">
        <v>458</v>
      </c>
      <c r="N158" s="173">
        <f>E159/(P162+1)</f>
        <v>2150</v>
      </c>
      <c r="O158" s="173" t="s">
        <v>459</v>
      </c>
      <c r="P158" s="172" t="s">
        <v>440</v>
      </c>
      <c r="Q158" s="184">
        <f>K158*N158^2/8/10^6</f>
        <v>0.26001562499999997</v>
      </c>
      <c r="R158" s="173" t="s">
        <v>142</v>
      </c>
      <c r="U158" s="17"/>
      <c r="V158" s="17"/>
    </row>
    <row r="159" spans="4:22" ht="13.5" customHeight="1" x14ac:dyDescent="0.2">
      <c r="E159" s="193">
        <v>4300</v>
      </c>
      <c r="P159" s="172" t="s">
        <v>441</v>
      </c>
      <c r="Q159" s="184">
        <f>K158*N158/2/10^3</f>
        <v>0.48375000000000001</v>
      </c>
      <c r="R159" s="173" t="s">
        <v>70</v>
      </c>
      <c r="U159" s="17"/>
      <c r="V159" s="17"/>
    </row>
    <row r="160" spans="4:22" ht="13.5" customHeight="1" x14ac:dyDescent="0.2">
      <c r="U160" s="17"/>
      <c r="V160" s="210"/>
    </row>
    <row r="161" spans="8:22" ht="13.5" customHeight="1" x14ac:dyDescent="0.2">
      <c r="H161" s="196" t="s">
        <v>471</v>
      </c>
      <c r="I161" s="196"/>
      <c r="J161" s="197" t="s">
        <v>89</v>
      </c>
      <c r="K161" s="198">
        <v>346</v>
      </c>
      <c r="L161" s="198">
        <v>174</v>
      </c>
      <c r="M161" s="198">
        <v>6</v>
      </c>
      <c r="N161" s="198">
        <v>9</v>
      </c>
      <c r="O161" s="199" t="s">
        <v>423</v>
      </c>
      <c r="P161" s="199" t="s">
        <v>457</v>
      </c>
      <c r="Q161" s="199" t="s">
        <v>424</v>
      </c>
      <c r="R161" s="198">
        <f>IF(RIGHT(P161,3)="400",235,325)</f>
        <v>235</v>
      </c>
      <c r="S161" s="199" t="s">
        <v>60</v>
      </c>
      <c r="T161" s="197" t="s">
        <v>442</v>
      </c>
      <c r="U161" s="200">
        <f>VLOOKUP(P161,$G$7:$M$8,7,0)</f>
        <v>120</v>
      </c>
    </row>
    <row r="162" spans="8:22" ht="13.5" customHeight="1" x14ac:dyDescent="0.2">
      <c r="H162" s="194" t="s">
        <v>425</v>
      </c>
      <c r="I162" s="187">
        <f>VLOOKUP(J161&amp;FIXED(K161,0)&amp;FIXED(L161,0)&amp;FIXED(M161,1)&amp;FIXED(N161,1),マスター!$AG$2:$AR$540,8,0)</f>
        <v>638</v>
      </c>
      <c r="J162" s="173" t="s">
        <v>5</v>
      </c>
      <c r="K162" s="194" t="s">
        <v>443</v>
      </c>
      <c r="L162" s="187">
        <f>VLOOKUP(J161&amp;FIXED(K161,0)&amp;FIXED(L161,0)&amp;FIXED(M161,1)&amp;FIXED(N161,1),マスター!$AG$2:$AR$540,9,0)</f>
        <v>91</v>
      </c>
      <c r="M162" s="173" t="s">
        <v>5</v>
      </c>
      <c r="N162" s="173" t="s">
        <v>444</v>
      </c>
      <c r="P162" s="173">
        <v>1</v>
      </c>
    </row>
    <row r="163" spans="8:22" ht="13.5" customHeight="1" x14ac:dyDescent="0.2">
      <c r="V163" s="17"/>
    </row>
    <row r="164" spans="8:22" ht="13.5" customHeight="1" x14ac:dyDescent="0.2">
      <c r="H164" s="172" t="s">
        <v>445</v>
      </c>
      <c r="I164" s="173">
        <f>E159/IF(P162="",1,P162+1)</f>
        <v>2150</v>
      </c>
      <c r="J164" s="173" t="s">
        <v>127</v>
      </c>
      <c r="K164" s="177" t="s">
        <v>446</v>
      </c>
      <c r="L164" s="167">
        <f>IF(J161="CHN-","",VLOOKUP(J161&amp;FIXED(K161,0)&amp;FIXED(L161,0)&amp;FIXED(M161,1)&amp;FIXED(N161,1),マスター!$AG$2:$AQ$711,7,0)*10)</f>
        <v>45.300000000000004</v>
      </c>
      <c r="M164" s="192" t="s">
        <v>127</v>
      </c>
      <c r="N164" s="177" t="s">
        <v>447</v>
      </c>
      <c r="O164" s="98">
        <f>I164/L164</f>
        <v>47.46136865342163</v>
      </c>
      <c r="P164" s="177" t="s">
        <v>448</v>
      </c>
      <c r="Q164" s="98">
        <f>MIN(MAX((2/3-4/15*(O164/U161)^2)*R161,89000*L161*N161/K161/I164),R161/1.5)*1.5</f>
        <v>235</v>
      </c>
      <c r="R164" s="17" t="s">
        <v>59</v>
      </c>
      <c r="S164" s="177" t="s">
        <v>450</v>
      </c>
      <c r="T164" s="184">
        <f>R161</f>
        <v>235</v>
      </c>
      <c r="U164" s="17" t="s">
        <v>59</v>
      </c>
    </row>
    <row r="166" spans="8:22" ht="13.5" customHeight="1" x14ac:dyDescent="0.2">
      <c r="H166" s="173" t="s">
        <v>470</v>
      </c>
      <c r="L166" s="172" t="s">
        <v>451</v>
      </c>
      <c r="M166" s="188" t="e">
        <f>1000*Q156/I162/(1.5*Q164)</f>
        <v>#REF!</v>
      </c>
      <c r="N166" s="194" t="s">
        <v>136</v>
      </c>
    </row>
    <row r="167" spans="8:22" ht="13.5" customHeight="1" x14ac:dyDescent="0.2">
      <c r="L167" s="172" t="s">
        <v>452</v>
      </c>
      <c r="M167" s="188">
        <f>1000*Q158/L162/(1.5*T164)</f>
        <v>8.1058569090483971E-3</v>
      </c>
      <c r="N167" s="194" t="s">
        <v>136</v>
      </c>
      <c r="P167" s="172" t="s">
        <v>6</v>
      </c>
      <c r="Q167" s="188" t="e">
        <f>M166+M167</f>
        <v>#REF!</v>
      </c>
      <c r="R167" s="173" t="e">
        <f>IF(Q167&lt;1,"  &lt;   1.00","  &gt;   1.00")</f>
        <v>#REF!</v>
      </c>
      <c r="T167" s="173" t="e">
        <f>IF(Q167&lt;1,"(ok)","(ng)")</f>
        <v>#REF!</v>
      </c>
    </row>
    <row r="169" spans="8:22" ht="13.5" customHeight="1" x14ac:dyDescent="0.2">
      <c r="H169" s="182" t="s">
        <v>428</v>
      </c>
      <c r="J169" s="172" t="s">
        <v>526</v>
      </c>
      <c r="K169" s="189" t="s">
        <v>527</v>
      </c>
      <c r="L169" s="208">
        <v>90</v>
      </c>
      <c r="M169" s="172" t="s">
        <v>429</v>
      </c>
      <c r="N169" s="182" t="str">
        <f>$G$10</f>
        <v>F8T</v>
      </c>
      <c r="R169" s="182"/>
    </row>
    <row r="170" spans="8:22" ht="13.5" customHeight="1" x14ac:dyDescent="0.2">
      <c r="K170" s="172" t="s">
        <v>430</v>
      </c>
      <c r="L170" s="184">
        <f>IF(RIGHT(K169,3)="M16",30.2,IF(RIGHT(K169,3)="M20",47.1,IF(RIGHT(K169,3)="M22",57,0)))*1.5</f>
        <v>70.650000000000006</v>
      </c>
      <c r="M170" s="173" t="s">
        <v>70</v>
      </c>
      <c r="N170" s="182"/>
      <c r="P170" s="172" t="s">
        <v>431</v>
      </c>
      <c r="Q170" s="183" t="e">
        <f>Q157/(1.5*LEFT(J169,1)*MID(J169,3,1)*L170)</f>
        <v>#REF!</v>
      </c>
      <c r="R170" s="173" t="e">
        <f>IF(Q170&lt;1,"  &lt;   1.00","  &gt;   1.00")</f>
        <v>#REF!</v>
      </c>
      <c r="T170" s="173" t="e">
        <f>IF(Q170&lt;1,"(ok)","(ng)")</f>
        <v>#REF!</v>
      </c>
    </row>
    <row r="172" spans="8:22" ht="13.5" customHeight="1" x14ac:dyDescent="0.2">
      <c r="J172" s="172" t="s">
        <v>73</v>
      </c>
      <c r="K172" s="173">
        <v>9</v>
      </c>
      <c r="L172" s="190">
        <f>(LEFT(J169,1)-1)*L169+80</f>
        <v>260</v>
      </c>
      <c r="M172" s="182"/>
      <c r="N172" s="172" t="s">
        <v>429</v>
      </c>
      <c r="O172" s="173" t="s">
        <v>134</v>
      </c>
      <c r="P172" s="172" t="s">
        <v>389</v>
      </c>
      <c r="Q172" s="191">
        <f>VLOOKUP(O172,$G$7:$M$8,4,0)</f>
        <v>235</v>
      </c>
      <c r="R172" s="173" t="s">
        <v>60</v>
      </c>
    </row>
    <row r="173" spans="8:22" ht="13.5" customHeight="1" x14ac:dyDescent="0.2">
      <c r="K173" s="172" t="s">
        <v>433</v>
      </c>
      <c r="L173" s="184">
        <f>K172*(L172-MID(K169,3,1)*(RIGHT(K169,2)+1.5))/100</f>
        <v>19.53</v>
      </c>
      <c r="M173" s="190" t="s">
        <v>150</v>
      </c>
      <c r="P173" s="177" t="s">
        <v>434</v>
      </c>
      <c r="Q173" s="183" t="e">
        <f>10*Q157/(L173*1.5*Q172/SQRT(3))</f>
        <v>#REF!</v>
      </c>
      <c r="R173" s="173" t="e">
        <f>IF(Q173&lt;1,"  &lt;   1.00","  &gt;   1.00")</f>
        <v>#REF!</v>
      </c>
      <c r="T173" s="173" t="e">
        <f>IF(Q173&lt;1,"(ok)","(ng)")</f>
        <v>#REF!</v>
      </c>
      <c r="V173" s="17"/>
    </row>
    <row r="174" spans="8:22" ht="13.5" customHeight="1" x14ac:dyDescent="0.2">
      <c r="U174" s="17"/>
      <c r="V174" s="17"/>
    </row>
    <row r="175" spans="8:22" ht="13.5" customHeight="1" x14ac:dyDescent="0.2">
      <c r="U175" s="17"/>
      <c r="V175" s="17"/>
    </row>
    <row r="176" spans="8:22" ht="13.5" customHeight="1" x14ac:dyDescent="0.2">
      <c r="U176" s="17"/>
      <c r="V176" s="17"/>
    </row>
    <row r="177" spans="4:22" ht="13.5" customHeight="1" x14ac:dyDescent="0.2">
      <c r="U177" s="17"/>
      <c r="V177" s="17"/>
    </row>
    <row r="178" spans="4:22" ht="13.5" customHeight="1" x14ac:dyDescent="0.2">
      <c r="U178" s="17"/>
      <c r="V178" s="17"/>
    </row>
    <row r="179" spans="4:22" ht="13.5" customHeight="1" x14ac:dyDescent="0.2">
      <c r="U179" s="17"/>
      <c r="V179" s="17"/>
    </row>
    <row r="180" spans="4:22" ht="13.5" customHeight="1" x14ac:dyDescent="0.2">
      <c r="U180" s="17"/>
      <c r="V180" s="17"/>
    </row>
    <row r="181" spans="4:22" ht="13.5" customHeight="1" x14ac:dyDescent="0.2">
      <c r="U181" s="17"/>
      <c r="V181" s="17"/>
    </row>
    <row r="182" spans="4:22" ht="13.5" customHeight="1" x14ac:dyDescent="0.2">
      <c r="U182" s="17"/>
      <c r="V182" s="17"/>
    </row>
    <row r="183" spans="4:22" ht="13.5" customHeight="1" x14ac:dyDescent="0.2">
      <c r="U183" s="17"/>
      <c r="V183" s="17"/>
    </row>
    <row r="184" spans="4:22" ht="13.5" customHeight="1" x14ac:dyDescent="0.2">
      <c r="U184" s="17"/>
      <c r="V184" s="17"/>
    </row>
    <row r="185" spans="4:22" ht="13.5" customHeight="1" x14ac:dyDescent="0.2">
      <c r="U185" s="17"/>
      <c r="V185" s="17"/>
    </row>
    <row r="186" spans="4:22" ht="13.5" customHeight="1" x14ac:dyDescent="0.2">
      <c r="U186" s="17"/>
      <c r="V186" s="17"/>
    </row>
    <row r="187" spans="4:22" ht="13.5" customHeight="1" x14ac:dyDescent="0.2">
      <c r="U187" s="17"/>
      <c r="V187" s="17"/>
    </row>
    <row r="188" spans="4:22" ht="13.5" customHeight="1" x14ac:dyDescent="0.2">
      <c r="D188" s="173" t="s">
        <v>475</v>
      </c>
      <c r="U188" s="17"/>
    </row>
    <row r="189" spans="4:22" ht="13.5" customHeight="1" x14ac:dyDescent="0.2">
      <c r="H189" s="173" t="s">
        <v>436</v>
      </c>
      <c r="I189" s="201"/>
      <c r="J189" s="172" t="s">
        <v>476</v>
      </c>
      <c r="K189" s="173">
        <v>50</v>
      </c>
      <c r="L189" s="173" t="s">
        <v>477</v>
      </c>
      <c r="M189" s="172" t="s">
        <v>478</v>
      </c>
      <c r="N189" s="184">
        <f>K189*E192*E190/D190/1000</f>
        <v>29.493749999999999</v>
      </c>
      <c r="O189" s="173" t="s">
        <v>479</v>
      </c>
    </row>
    <row r="190" spans="4:22" ht="13.5" customHeight="1" x14ac:dyDescent="0.2">
      <c r="D190" s="231">
        <v>3200</v>
      </c>
      <c r="E190" s="229">
        <f>D190-E192</f>
        <v>2420</v>
      </c>
      <c r="H190" s="201"/>
      <c r="I190" s="201"/>
      <c r="M190" s="172" t="s">
        <v>480</v>
      </c>
      <c r="N190" s="184">
        <f>K189*MAX(E190:E193)/D190</f>
        <v>37.8125</v>
      </c>
      <c r="O190" s="173" t="s">
        <v>481</v>
      </c>
    </row>
    <row r="191" spans="4:22" ht="13.5" customHeight="1" x14ac:dyDescent="0.2">
      <c r="D191" s="232"/>
      <c r="E191" s="230"/>
      <c r="F191" s="173" t="s">
        <v>435</v>
      </c>
      <c r="N191" s="17"/>
      <c r="O191" s="17"/>
    </row>
    <row r="192" spans="4:22" ht="13.5" customHeight="1" x14ac:dyDescent="0.2">
      <c r="D192" s="232"/>
      <c r="E192" s="229">
        <v>780</v>
      </c>
      <c r="H192" s="173" t="s">
        <v>523</v>
      </c>
      <c r="J192" s="172" t="s">
        <v>482</v>
      </c>
      <c r="K192" s="173">
        <f>50*ROUNDUP(VLOOKUP(I196&amp;FIXED(J196,0)&amp;FIXED(K196,0)&amp;FIXED(L196,1)&amp;FIXED(M196,1),マスター!$AG$2:$AR$540,2,0)*7.85/50,0)/1000</f>
        <v>0.2</v>
      </c>
      <c r="L192" s="173" t="s">
        <v>524</v>
      </c>
      <c r="M192" s="172" t="s">
        <v>483</v>
      </c>
      <c r="N192" s="184">
        <f>K192*D190/10^3</f>
        <v>0.64</v>
      </c>
      <c r="O192" s="173" t="s">
        <v>481</v>
      </c>
    </row>
    <row r="193" spans="5:22" ht="13.5" customHeight="1" x14ac:dyDescent="0.2">
      <c r="E193" s="230"/>
    </row>
    <row r="195" spans="5:22" ht="13.5" customHeight="1" x14ac:dyDescent="0.2">
      <c r="H195" s="185" t="s">
        <v>530</v>
      </c>
      <c r="J195" s="17"/>
    </row>
    <row r="196" spans="5:22" ht="13.5" customHeight="1" x14ac:dyDescent="0.2">
      <c r="I196" s="177" t="s">
        <v>484</v>
      </c>
      <c r="J196" s="175">
        <v>100</v>
      </c>
      <c r="K196" s="175">
        <v>100</v>
      </c>
      <c r="L196" s="175">
        <v>6</v>
      </c>
      <c r="M196" s="175">
        <v>8</v>
      </c>
      <c r="N196" s="194" t="s">
        <v>485</v>
      </c>
      <c r="O196" s="194" t="s">
        <v>522</v>
      </c>
      <c r="P196" s="194" t="s">
        <v>486</v>
      </c>
      <c r="Q196" s="175">
        <f>VLOOKUP(O196,$G$7:$M$9,4,0)</f>
        <v>235</v>
      </c>
      <c r="R196" s="194" t="s">
        <v>487</v>
      </c>
      <c r="S196" s="172" t="s">
        <v>442</v>
      </c>
      <c r="T196" s="173">
        <f>VLOOKUP(O196,$G$7:$M$9,7,0)</f>
        <v>120</v>
      </c>
      <c r="V196" s="17"/>
    </row>
    <row r="197" spans="5:22" ht="13.5" customHeight="1" x14ac:dyDescent="0.2">
      <c r="I197" s="194" t="s">
        <v>488</v>
      </c>
      <c r="J197" s="187">
        <f>IF(I196="BH-",20*M197/J196,VLOOKUP(I196&amp;FIXED(J196,0)&amp;FIXED(K196,0)&amp;FIXED(L196,1)&amp;FIXED(M196,1),マスター!$AG$2:$AR$540,8,0))</f>
        <v>75.599999999999994</v>
      </c>
      <c r="K197" s="173" t="s">
        <v>489</v>
      </c>
      <c r="L197" s="194" t="s">
        <v>490</v>
      </c>
      <c r="M197" s="187">
        <f>IF(I196="BH-",20*M197/J196,VLOOKUP(I196&amp;FIXED(J196,0)&amp;FIXED(K196,0)&amp;FIXED(L196,1)&amp;FIXED(M196,1),マスター!$AG$2:$AR$540,2,0))</f>
        <v>21.59</v>
      </c>
      <c r="N197" s="173" t="s">
        <v>491</v>
      </c>
      <c r="O197" s="173" t="s">
        <v>444</v>
      </c>
      <c r="Q197" s="173">
        <v>0</v>
      </c>
      <c r="S197" s="17"/>
      <c r="U197" s="17"/>
      <c r="V197" s="17"/>
    </row>
    <row r="198" spans="5:22" ht="13.5" customHeight="1" x14ac:dyDescent="0.2">
      <c r="U198" s="17"/>
      <c r="V198" s="17"/>
    </row>
    <row r="199" spans="5:22" ht="13.5" customHeight="1" x14ac:dyDescent="0.2">
      <c r="H199" s="17"/>
      <c r="I199" s="17"/>
      <c r="J199" s="177" t="s">
        <v>492</v>
      </c>
      <c r="K199" s="17">
        <f>D190/IF(Q197="",1,Q197+1)</f>
        <v>3200</v>
      </c>
      <c r="L199" s="17" t="s">
        <v>493</v>
      </c>
      <c r="M199" s="177" t="s">
        <v>494</v>
      </c>
      <c r="N199" s="167">
        <f>IF(I196="CHN-","",VLOOKUP(I196&amp;FIXED(J196,0)&amp;FIXED(K196,0)&amp;FIXED(L196,1)&amp;FIXED(M196,1),マスター!$AG$2:$AQ$711,7,0)*10)</f>
        <v>27.5</v>
      </c>
      <c r="O199" s="192" t="s">
        <v>493</v>
      </c>
      <c r="P199" s="177" t="s">
        <v>495</v>
      </c>
      <c r="Q199" s="98">
        <f>K199/N199</f>
        <v>116.36363636363636</v>
      </c>
      <c r="R199" s="177" t="s">
        <v>496</v>
      </c>
      <c r="S199" s="98">
        <f>MIN(MAX((2/3-4/15*(Q199/T196)^2)*Q196,89000*K196*M196/J196/K199),Q196/1.5)*1.5</f>
        <v>235</v>
      </c>
      <c r="T199" s="17" t="s">
        <v>497</v>
      </c>
      <c r="U199" s="17"/>
      <c r="V199" s="98"/>
    </row>
    <row r="200" spans="5:22" ht="13.5" customHeight="1" x14ac:dyDescent="0.2">
      <c r="H200" s="17"/>
      <c r="I200" s="17"/>
      <c r="J200" s="202" t="s">
        <v>498</v>
      </c>
      <c r="K200" s="203">
        <f>K199</f>
        <v>3200</v>
      </c>
      <c r="L200" s="17" t="s">
        <v>493</v>
      </c>
      <c r="M200" s="177" t="s">
        <v>499</v>
      </c>
      <c r="N200" s="204">
        <f>IF(RIGHT(I196,3)="BH-",SQRT((K196*J196^3-(K196-L196)*(J196-2*M196)^3)/120000)/M197,VLOOKUP(RIGHT(I196,3)&amp;FIXED(J196,0)&amp;FIXED(K196,0)&amp;FIXED(L196,1)&amp;FIXED(M196,1),マスター!$AG$2:$AR$686,5,0))*10</f>
        <v>41.8</v>
      </c>
      <c r="O200" s="192" t="s">
        <v>493</v>
      </c>
      <c r="P200" s="177" t="s">
        <v>500</v>
      </c>
      <c r="Q200" s="204">
        <f>K200/N200</f>
        <v>76.555023923444978</v>
      </c>
      <c r="R200" s="205" t="s">
        <v>501</v>
      </c>
      <c r="S200" s="204">
        <f>IF(T196&lt;Q200,0.277/(Q200/T196)^2,(1-0.4*(Q200/T196)^2)/(1.5+2*(Q200/T196)^2/3))*Q196*1.5</f>
        <v>166.60627366920517</v>
      </c>
      <c r="T200" s="206" t="s">
        <v>502</v>
      </c>
      <c r="U200" s="98"/>
      <c r="V200" s="98"/>
    </row>
    <row r="201" spans="5:22" ht="13.5" customHeight="1" x14ac:dyDescent="0.2">
      <c r="H201" s="17"/>
      <c r="I201" s="17"/>
      <c r="J201" s="207" t="s">
        <v>503</v>
      </c>
      <c r="K201" s="203">
        <f>K199</f>
        <v>3200</v>
      </c>
      <c r="L201" s="17" t="s">
        <v>504</v>
      </c>
      <c r="M201" s="177" t="s">
        <v>505</v>
      </c>
      <c r="N201" s="204">
        <f>IF(RIGHT(I196,3)="BH-",SQRT((2*M196*K196^3+(J196-2*M196)*L196^3)/120000)/P197,VLOOKUP(RIGHT(I196,3)&amp;FIXED(J196,0)&amp;FIXED(K196,0)&amp;FIXED(L196,1)&amp;FIXED(M196,1),マスター!$AG$2:$AR$686,6,0))*10</f>
        <v>24.900000000000002</v>
      </c>
      <c r="O201" s="192" t="s">
        <v>504</v>
      </c>
      <c r="P201" s="177" t="s">
        <v>506</v>
      </c>
      <c r="Q201" s="204">
        <f>K201/N201</f>
        <v>128.51405622489958</v>
      </c>
      <c r="R201" s="205" t="s">
        <v>507</v>
      </c>
      <c r="S201" s="204">
        <f>IF(T196&lt;Q201,0.277/(Q201/T196)^2,(1-0.4*(Q201/T196)^2)/(1.5+2*(Q201/T196)^2/3))*Q196*1.5</f>
        <v>85.133427785156286</v>
      </c>
      <c r="T201" s="206" t="s">
        <v>487</v>
      </c>
      <c r="U201" s="98"/>
    </row>
    <row r="203" spans="5:22" ht="13.5" customHeight="1" x14ac:dyDescent="0.2">
      <c r="L203" s="172" t="s">
        <v>508</v>
      </c>
      <c r="M203" s="188">
        <f>1000*N189/J197/($I$23*Q196)</f>
        <v>1.1067488461105484</v>
      </c>
      <c r="N203" s="194" t="s">
        <v>509</v>
      </c>
    </row>
    <row r="204" spans="5:22" ht="13.5" customHeight="1" x14ac:dyDescent="0.2">
      <c r="L204" s="172" t="s">
        <v>510</v>
      </c>
      <c r="M204" s="188">
        <f>1000*N192/M197/($I$23*MIN(S200:S201))</f>
        <v>0.23213250208572347</v>
      </c>
      <c r="N204" s="194" t="s">
        <v>511</v>
      </c>
      <c r="P204" s="172" t="s">
        <v>512</v>
      </c>
      <c r="Q204" s="188">
        <f>M203+M204</f>
        <v>1.3388813481962718</v>
      </c>
      <c r="R204" s="173" t="str">
        <f>IF(Q204&lt;1,"  &lt;   1.00","  &gt;   1.00")</f>
        <v xml:space="preserve">  &gt;   1.00</v>
      </c>
      <c r="T204" s="173" t="str">
        <f>IF(Q204&lt;1,"(ok)","(ng)")</f>
        <v>(ng)</v>
      </c>
    </row>
    <row r="206" spans="5:22" ht="13.5" customHeight="1" x14ac:dyDescent="0.2">
      <c r="J206" s="182" t="s">
        <v>428</v>
      </c>
      <c r="K206" s="182"/>
      <c r="L206" s="182"/>
      <c r="M206" s="182"/>
      <c r="N206" s="182"/>
      <c r="O206" s="182"/>
      <c r="P206" s="182"/>
      <c r="Q206" s="182"/>
      <c r="R206" s="182"/>
    </row>
    <row r="207" spans="5:22" ht="13.5" customHeight="1" x14ac:dyDescent="0.2">
      <c r="J207" s="172" t="s">
        <v>513</v>
      </c>
      <c r="K207" s="189" t="s">
        <v>527</v>
      </c>
      <c r="L207" s="208">
        <v>60</v>
      </c>
      <c r="M207" s="172" t="s">
        <v>429</v>
      </c>
      <c r="N207" s="182" t="s">
        <v>521</v>
      </c>
      <c r="R207" s="182"/>
    </row>
    <row r="208" spans="5:22" ht="13.5" customHeight="1" x14ac:dyDescent="0.2">
      <c r="K208" s="172" t="s">
        <v>514</v>
      </c>
      <c r="L208" s="184">
        <f>IF(RIGHT(K207,3)="M16",30.2,IF(RIGHT(K207,3)="M20",47.1,IF(RIGHT(K207,3)="M22",57,0)))*1.5</f>
        <v>70.650000000000006</v>
      </c>
      <c r="M208" s="173" t="s">
        <v>515</v>
      </c>
      <c r="N208" s="182"/>
      <c r="P208" s="172" t="s">
        <v>516</v>
      </c>
      <c r="Q208" s="183">
        <f>N190/(1.5*LEFT(J207,1)*MID(J207,3,1)*L208)</f>
        <v>0.17840292521821183</v>
      </c>
      <c r="R208" s="173" t="str">
        <f>IF(Q208&lt;1,"  &lt;   1.00","  &gt;   1.00")</f>
        <v xml:space="preserve">  &lt;   1.00</v>
      </c>
      <c r="T208" s="173" t="str">
        <f>IF(Q208&lt;1,"(ok)","(ng)")</f>
        <v>(ok)</v>
      </c>
    </row>
    <row r="210" spans="10:20" ht="13.5" customHeight="1" x14ac:dyDescent="0.2">
      <c r="J210" s="172" t="s">
        <v>73</v>
      </c>
      <c r="K210" s="173">
        <v>12</v>
      </c>
      <c r="L210" s="190">
        <f>(LEFT(J207,1)-1)*L207+80</f>
        <v>140</v>
      </c>
      <c r="M210" s="182"/>
      <c r="N210" s="172" t="s">
        <v>429</v>
      </c>
      <c r="O210" s="173" t="str">
        <f>O196</f>
        <v>SS400</v>
      </c>
      <c r="P210" s="172" t="s">
        <v>517</v>
      </c>
      <c r="Q210" s="191">
        <f>VLOOKUP(O210,$G$7:$M$9,4,0)</f>
        <v>235</v>
      </c>
      <c r="R210" s="173" t="s">
        <v>3</v>
      </c>
    </row>
    <row r="211" spans="10:20" ht="13.5" customHeight="1" x14ac:dyDescent="0.2">
      <c r="K211" s="172" t="s">
        <v>518</v>
      </c>
      <c r="L211" s="184">
        <f>K210*(L210-MID(K207,3,1)*(RIGHT(K207,2)+1.5))/100</f>
        <v>11.64</v>
      </c>
      <c r="M211" s="190" t="s">
        <v>519</v>
      </c>
      <c r="P211" s="177" t="s">
        <v>520</v>
      </c>
      <c r="Q211" s="183">
        <f>10*N190/(L211*1.5*Q210/SQRT(3))</f>
        <v>0.15961875450561322</v>
      </c>
      <c r="R211" s="173" t="str">
        <f>IF(Q211&lt;1,"  &lt;   1.00","  &gt;   1.00")</f>
        <v xml:space="preserve">  &lt;   1.00</v>
      </c>
      <c r="T211" s="173" t="str">
        <f>IF(Q211&lt;1,"(ok)","(ng)")</f>
        <v>(ok)</v>
      </c>
    </row>
  </sheetData>
  <mergeCells count="4">
    <mergeCell ref="D67:D68"/>
    <mergeCell ref="E192:E193"/>
    <mergeCell ref="E190:E191"/>
    <mergeCell ref="D190:D192"/>
  </mergeCells>
  <phoneticPr fontId="3"/>
  <conditionalFormatting sqref="F12:H13 F11:G11 F10:J10 I11:K13 T11:T13 L10:N13">
    <cfRule type="cellIs" dxfId="6" priority="11" stopIfTrue="1" operator="equal">
      <formula>"(ng)"</formula>
    </cfRule>
  </conditionalFormatting>
  <conditionalFormatting sqref="H11">
    <cfRule type="cellIs" dxfId="5" priority="4" stopIfTrue="1" operator="equal">
      <formula>"(ng)"</formula>
    </cfRule>
  </conditionalFormatting>
  <conditionalFormatting sqref="X10:X13 Z10:Z13 O10 R10:R13">
    <cfRule type="cellIs" dxfId="4" priority="3" stopIfTrue="1" operator="equal">
      <formula>"(ng)"</formula>
    </cfRule>
  </conditionalFormatting>
  <conditionalFormatting sqref="Q10">
    <cfRule type="cellIs" dxfId="3" priority="2" stopIfTrue="1" operator="equal">
      <formula>"(ng)"</formula>
    </cfRule>
  </conditionalFormatting>
  <conditionalFormatting sqref="T10">
    <cfRule type="cellIs" dxfId="2" priority="1" stopIfTrue="1" operator="equal">
      <formula>"(ng)"</formula>
    </cfRule>
  </conditionalFormatting>
  <pageMargins left="0.59055118110236227" right="0.19685039370078741" top="0.78740157480314965" bottom="0.39370078740157483" header="0.31496062992125984" footer="0.31496062992125984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U147"/>
  <sheetViews>
    <sheetView tabSelected="1" showOutlineSymbols="0" defaultGridColor="0" view="pageBreakPreview" topLeftCell="A61" colorId="9" zoomScaleNormal="100" zoomScaleSheetLayoutView="100" workbookViewId="0">
      <selection activeCell="X64" sqref="X64"/>
    </sheetView>
  </sheetViews>
  <sheetFormatPr defaultColWidth="5.77734375" defaultRowHeight="13.5" customHeight="1" x14ac:dyDescent="0.2"/>
  <cols>
    <col min="1" max="1" width="3.77734375" style="5" customWidth="1"/>
    <col min="2" max="3" width="2.77734375" style="5" customWidth="1"/>
    <col min="4" max="21" width="5.77734375" style="5" customWidth="1"/>
    <col min="22" max="22" width="2.6640625" style="5" customWidth="1"/>
    <col min="23" max="16384" width="5.77734375" style="5"/>
  </cols>
  <sheetData>
    <row r="2" spans="2:17" ht="13.5" customHeight="1" x14ac:dyDescent="0.2">
      <c r="B2" s="10" t="s">
        <v>635</v>
      </c>
    </row>
    <row r="3" spans="2:17" ht="13.5" customHeight="1" x14ac:dyDescent="0.2">
      <c r="C3" s="5" t="s">
        <v>636</v>
      </c>
    </row>
    <row r="4" spans="2:17" ht="13.5" customHeight="1" x14ac:dyDescent="0.2">
      <c r="C4" s="10"/>
      <c r="D4" s="10" t="s">
        <v>132</v>
      </c>
      <c r="F4" s="10" t="s">
        <v>560</v>
      </c>
      <c r="G4" s="10" t="s">
        <v>561</v>
      </c>
      <c r="I4" s="3" t="s">
        <v>562</v>
      </c>
      <c r="J4" s="12">
        <f>IF(G4="SS400",235,325)/1.5</f>
        <v>156.66666666666666</v>
      </c>
      <c r="K4" s="1" t="s">
        <v>563</v>
      </c>
      <c r="L4" s="5" t="s">
        <v>564</v>
      </c>
      <c r="M4" s="12">
        <v>120</v>
      </c>
      <c r="O4" s="46" t="s">
        <v>565</v>
      </c>
      <c r="P4" s="45">
        <v>205</v>
      </c>
      <c r="Q4" s="1" t="s">
        <v>566</v>
      </c>
    </row>
    <row r="5" spans="2:17" ht="13.5" customHeight="1" x14ac:dyDescent="0.2">
      <c r="G5" s="10" t="s">
        <v>567</v>
      </c>
      <c r="I5" s="3"/>
      <c r="J5" s="12">
        <f>IF(G5="SS400",235,325)/1.5</f>
        <v>216.66666666666666</v>
      </c>
      <c r="K5" s="1"/>
      <c r="M5" s="12">
        <v>102</v>
      </c>
    </row>
    <row r="6" spans="2:17" ht="13.5" customHeight="1" x14ac:dyDescent="0.2">
      <c r="G6" s="10" t="s">
        <v>568</v>
      </c>
      <c r="H6" s="10"/>
      <c r="I6" s="3"/>
      <c r="J6" s="12">
        <f>IF(G6="SS400",235,325)/1.5</f>
        <v>216.66666666666666</v>
      </c>
      <c r="K6" s="1"/>
      <c r="M6" s="12">
        <v>120</v>
      </c>
    </row>
    <row r="8" spans="2:17" ht="13.5" customHeight="1" x14ac:dyDescent="0.2">
      <c r="C8" s="5" t="s">
        <v>662</v>
      </c>
      <c r="D8" s="10"/>
      <c r="I8" s="10"/>
      <c r="M8" s="10"/>
    </row>
    <row r="9" spans="2:17" ht="13.5" customHeight="1" x14ac:dyDescent="0.2">
      <c r="D9" s="212"/>
      <c r="J9" s="10"/>
      <c r="M9" s="10"/>
    </row>
    <row r="10" spans="2:17" ht="13.5" customHeight="1" x14ac:dyDescent="0.2">
      <c r="D10" s="212"/>
      <c r="J10" s="10"/>
      <c r="M10" s="10"/>
    </row>
    <row r="11" spans="2:17" ht="13.5" customHeight="1" x14ac:dyDescent="0.2">
      <c r="D11" s="234">
        <v>2400</v>
      </c>
      <c r="J11" s="10"/>
      <c r="L11" s="234">
        <v>3200</v>
      </c>
      <c r="M11" s="10"/>
    </row>
    <row r="12" spans="2:17" ht="13.5" customHeight="1" x14ac:dyDescent="0.2">
      <c r="D12" s="234"/>
      <c r="J12" s="10"/>
      <c r="L12" s="234"/>
      <c r="M12" s="10"/>
    </row>
    <row r="13" spans="2:17" ht="13.5" customHeight="1" x14ac:dyDescent="0.2">
      <c r="J13" s="10"/>
      <c r="M13" s="10"/>
    </row>
    <row r="15" spans="2:17" ht="13.5" customHeight="1" x14ac:dyDescent="0.2">
      <c r="F15" s="211">
        <v>1100</v>
      </c>
      <c r="G15" s="233">
        <v>2200</v>
      </c>
      <c r="H15" s="233"/>
      <c r="I15" s="226">
        <v>1100</v>
      </c>
      <c r="N15" s="211">
        <f>F15</f>
        <v>1100</v>
      </c>
      <c r="O15" s="233">
        <f>G15</f>
        <v>2200</v>
      </c>
      <c r="P15" s="233"/>
      <c r="Q15" s="5">
        <f>I15</f>
        <v>1100</v>
      </c>
    </row>
    <row r="16" spans="2:17" ht="13.5" customHeight="1" x14ac:dyDescent="0.2">
      <c r="G16" s="233">
        <f>SUM(F15:I15)</f>
        <v>4400</v>
      </c>
      <c r="H16" s="233"/>
      <c r="O16" s="233">
        <f>G16</f>
        <v>4400</v>
      </c>
      <c r="P16" s="233"/>
    </row>
    <row r="19" spans="4:19" ht="13.5" customHeight="1" x14ac:dyDescent="0.2">
      <c r="D19" s="5" t="s">
        <v>138</v>
      </c>
      <c r="H19" s="46" t="s">
        <v>569</v>
      </c>
      <c r="I19" s="5">
        <v>2500</v>
      </c>
    </row>
    <row r="20" spans="4:19" ht="13.5" customHeight="1" x14ac:dyDescent="0.2">
      <c r="H20" s="46" t="s">
        <v>570</v>
      </c>
      <c r="I20" s="5">
        <v>1800</v>
      </c>
      <c r="J20" s="5">
        <v>1300</v>
      </c>
      <c r="K20" s="5">
        <v>600</v>
      </c>
    </row>
    <row r="21" spans="4:19" ht="13.5" customHeight="1" x14ac:dyDescent="0.2">
      <c r="H21" s="46" t="s">
        <v>571</v>
      </c>
      <c r="I21" s="5">
        <f>I19+I20</f>
        <v>4300</v>
      </c>
      <c r="J21" s="5">
        <f>I19+J20</f>
        <v>3800</v>
      </c>
      <c r="K21" s="5">
        <f>I19+K20</f>
        <v>3100</v>
      </c>
      <c r="L21" s="1" t="s">
        <v>563</v>
      </c>
    </row>
    <row r="23" spans="4:19" ht="13.5" customHeight="1" x14ac:dyDescent="0.2">
      <c r="D23" s="5" t="s">
        <v>572</v>
      </c>
      <c r="H23" s="3" t="s">
        <v>573</v>
      </c>
      <c r="I23" s="19" t="str">
        <f>" "&amp;FIXED(I21/1000,2,TRUE)&amp;" x "&amp;FIXED(F30/1000,2,TRUE)&amp;"    ="</f>
        <v xml:space="preserve"> 4.30 x 0.27    =</v>
      </c>
      <c r="L23" s="19">
        <f>0.000001*I21*F30</f>
        <v>1.161</v>
      </c>
      <c r="M23" s="10" t="s">
        <v>574</v>
      </c>
      <c r="N23" s="3" t="s">
        <v>575</v>
      </c>
      <c r="O23" s="13">
        <f>L23*(E26/1000)^2/8</f>
        <v>0.20898</v>
      </c>
      <c r="P23" s="10" t="s">
        <v>576</v>
      </c>
    </row>
    <row r="24" spans="4:19" ht="13.5" customHeight="1" x14ac:dyDescent="0.2">
      <c r="N24" s="3" t="s">
        <v>577</v>
      </c>
      <c r="O24" s="13">
        <f>L23*E26/2000</f>
        <v>0.6966</v>
      </c>
      <c r="P24" s="10" t="s">
        <v>578</v>
      </c>
    </row>
    <row r="26" spans="4:19" ht="13.5" customHeight="1" x14ac:dyDescent="0.2">
      <c r="E26" s="233">
        <f>D11/2</f>
        <v>1200</v>
      </c>
      <c r="F26" s="233"/>
      <c r="H26" s="3" t="s">
        <v>579</v>
      </c>
      <c r="I26" s="12">
        <v>4.5</v>
      </c>
      <c r="L26" s="5" t="s">
        <v>144</v>
      </c>
      <c r="M26" s="5" t="s">
        <v>580</v>
      </c>
      <c r="N26" s="3" t="s">
        <v>562</v>
      </c>
      <c r="O26" s="12">
        <f>VLOOKUP(M26,$G$4:$J$6,4,0)</f>
        <v>156.66666666666666</v>
      </c>
      <c r="P26" s="1" t="s">
        <v>563</v>
      </c>
    </row>
    <row r="27" spans="4:19" ht="13.5" customHeight="1" x14ac:dyDescent="0.2">
      <c r="I27" s="3" t="s">
        <v>581</v>
      </c>
      <c r="J27" s="13">
        <f>(I26*(D28+D29)^3+(F30-2*I26)*I26^3)/120000</f>
        <v>27.535696874999999</v>
      </c>
      <c r="K27" s="1" t="s">
        <v>582</v>
      </c>
      <c r="L27" s="3" t="s">
        <v>583</v>
      </c>
      <c r="M27" s="13">
        <f>20*J27/MAX(D28,D29)</f>
        <v>12.238087499999999</v>
      </c>
      <c r="N27" s="1" t="s">
        <v>584</v>
      </c>
    </row>
    <row r="28" spans="4:19" ht="13.5" customHeight="1" x14ac:dyDescent="0.2">
      <c r="D28" s="96">
        <v>45</v>
      </c>
    </row>
    <row r="29" spans="4:19" ht="13.5" customHeight="1" x14ac:dyDescent="0.2">
      <c r="D29" s="96">
        <v>45</v>
      </c>
      <c r="I29" s="3" t="s">
        <v>585</v>
      </c>
      <c r="J29" s="13">
        <f>1000*O23/M27/O26</f>
        <v>0.10899700575085948</v>
      </c>
      <c r="K29" s="10" t="str">
        <f>IF(1&lt;J29,"&gt; 1.00 (NG)","&lt; 1.00 (OK)")</f>
        <v>&lt; 1.00 (OK)</v>
      </c>
      <c r="N29" s="3" t="s">
        <v>586</v>
      </c>
      <c r="O29" s="12">
        <f>5*L23*E26^4/384/(1000*$P$4)/(10000*J27)</f>
        <v>0.55532349813446014</v>
      </c>
      <c r="P29" s="10" t="s">
        <v>587</v>
      </c>
      <c r="Q29" s="46" t="s">
        <v>588</v>
      </c>
      <c r="R29" s="11">
        <f>E26/O29</f>
        <v>2160.9026162790697</v>
      </c>
      <c r="S29" s="5" t="s">
        <v>589</v>
      </c>
    </row>
    <row r="30" spans="4:19" ht="13.5" customHeight="1" x14ac:dyDescent="0.2">
      <c r="D30" s="96"/>
      <c r="F30" s="211">
        <v>270</v>
      </c>
    </row>
    <row r="32" spans="4:19" ht="13.5" customHeight="1" x14ac:dyDescent="0.2">
      <c r="D32" s="5" t="s">
        <v>146</v>
      </c>
      <c r="H32" s="3" t="s">
        <v>590</v>
      </c>
      <c r="I32" s="19" t="str">
        <f>" "&amp;FIXED(I21/1000,2,TRUE)&amp;" x 0."&amp;MID(D32,11,2)&amp;" ="</f>
        <v xml:space="preserve"> 4.30 x 0.45 =</v>
      </c>
      <c r="L32" s="19">
        <f>I21*VALUE(MID(D32,11,3))/1000000</f>
        <v>1.9350000000000001</v>
      </c>
      <c r="M32" s="10" t="s">
        <v>591</v>
      </c>
      <c r="N32" s="3" t="s">
        <v>592</v>
      </c>
      <c r="O32" s="13">
        <f>L32*(E35/1000)^2/8</f>
        <v>0.3483</v>
      </c>
      <c r="P32" s="10" t="s">
        <v>593</v>
      </c>
    </row>
    <row r="33" spans="4:19" ht="13.5" customHeight="1" x14ac:dyDescent="0.2">
      <c r="N33" s="3" t="s">
        <v>594</v>
      </c>
      <c r="O33" s="13">
        <f>L32*E35/2000</f>
        <v>1.161</v>
      </c>
      <c r="P33" s="10" t="s">
        <v>595</v>
      </c>
    </row>
    <row r="35" spans="4:19" ht="13.5" customHeight="1" x14ac:dyDescent="0.2">
      <c r="E35" s="233">
        <f>D11/2</f>
        <v>1200</v>
      </c>
      <c r="F35" s="233"/>
      <c r="H35" s="3" t="s">
        <v>596</v>
      </c>
      <c r="I35" s="12">
        <v>6</v>
      </c>
      <c r="J35" s="12">
        <v>50</v>
      </c>
      <c r="L35" s="5" t="s">
        <v>144</v>
      </c>
      <c r="M35" s="5" t="s">
        <v>597</v>
      </c>
      <c r="N35" s="3" t="s">
        <v>598</v>
      </c>
      <c r="O35" s="12">
        <f>VLOOKUP(M35,$G$4:$J$6,4,0)</f>
        <v>156.66666666666666</v>
      </c>
      <c r="P35" s="1" t="s">
        <v>599</v>
      </c>
    </row>
    <row r="36" spans="4:19" ht="13.5" customHeight="1" x14ac:dyDescent="0.2">
      <c r="I36" s="3" t="s">
        <v>600</v>
      </c>
      <c r="J36" s="12">
        <f>I35*J35^3/120000</f>
        <v>6.25</v>
      </c>
      <c r="K36" s="1" t="s">
        <v>582</v>
      </c>
      <c r="L36" s="3" t="s">
        <v>583</v>
      </c>
      <c r="M36" s="12">
        <f>20*J36/J35</f>
        <v>2.5</v>
      </c>
      <c r="N36" s="1" t="s">
        <v>584</v>
      </c>
    </row>
    <row r="37" spans="4:19" ht="13.5" customHeight="1" x14ac:dyDescent="0.2">
      <c r="I37" s="10" t="s">
        <v>585</v>
      </c>
      <c r="J37" s="13">
        <f>1000*O32/M36/O35</f>
        <v>0.88927659574468088</v>
      </c>
      <c r="K37" s="10" t="str">
        <f>IF(1&lt;J37,"&gt; 1.00 (NG)","&lt; 1.00 (OK)")</f>
        <v>&lt; 1.00 (OK)</v>
      </c>
      <c r="N37" s="3" t="s">
        <v>586</v>
      </c>
      <c r="O37" s="12">
        <f>5*L32*E35^4/384/(1000*$P$4)/(10000*J36)</f>
        <v>4.0776585365853659</v>
      </c>
      <c r="P37" s="10" t="s">
        <v>587</v>
      </c>
      <c r="Q37" s="46" t="s">
        <v>588</v>
      </c>
      <c r="R37" s="12">
        <f>E35/O37</f>
        <v>294.28653459661211</v>
      </c>
      <c r="S37" s="5" t="s">
        <v>589</v>
      </c>
    </row>
    <row r="39" spans="4:19" ht="13.5" customHeight="1" x14ac:dyDescent="0.2">
      <c r="D39" s="5" t="s">
        <v>601</v>
      </c>
      <c r="H39" s="3" t="s">
        <v>590</v>
      </c>
      <c r="I39" s="19" t="str">
        <f>" "&amp;FIXED(I21/1000,2,TRUE)&amp;" x 0."&amp;FIXED(D11/4,0)&amp;"  ="</f>
        <v xml:space="preserve"> 4.30 x 0.600  =</v>
      </c>
      <c r="L39" s="19">
        <f>I21*(D11/4)/1000000</f>
        <v>2.58</v>
      </c>
      <c r="M39" s="10" t="s">
        <v>591</v>
      </c>
      <c r="N39" s="3" t="s">
        <v>602</v>
      </c>
      <c r="O39" s="12">
        <f>L39*(E41/1000)^2/8</f>
        <v>6.2436000000000007</v>
      </c>
      <c r="P39" s="10" t="s">
        <v>593</v>
      </c>
    </row>
    <row r="40" spans="4:19" ht="13.5" customHeight="1" x14ac:dyDescent="0.2">
      <c r="N40" s="3" t="s">
        <v>603</v>
      </c>
      <c r="O40" s="12">
        <f>L39*E41/2000</f>
        <v>5.6760000000000002</v>
      </c>
      <c r="P40" s="10" t="s">
        <v>595</v>
      </c>
    </row>
    <row r="41" spans="4:19" ht="13.5" customHeight="1" x14ac:dyDescent="0.2">
      <c r="E41" s="235">
        <v>4400</v>
      </c>
      <c r="F41" s="235"/>
    </row>
    <row r="42" spans="4:19" ht="13.5" customHeight="1" x14ac:dyDescent="0.2">
      <c r="H42" s="3" t="s">
        <v>590</v>
      </c>
      <c r="I42" s="19" t="str">
        <f>" "&amp;FIXED(I21/1000,2,TRUE)&amp;" x 0."&amp;FIXED(D11/4,0)&amp;"  ="</f>
        <v xml:space="preserve"> 4.30 x 0.600  =</v>
      </c>
      <c r="L42" s="19">
        <f>I21*(D11/4)/1000000</f>
        <v>2.58</v>
      </c>
      <c r="M42" s="10" t="s">
        <v>591</v>
      </c>
      <c r="N42" s="3" t="s">
        <v>592</v>
      </c>
      <c r="O42" s="45">
        <f>L39*(E45/1000)^2/2</f>
        <v>1.5609000000000002</v>
      </c>
      <c r="P42" s="10" t="s">
        <v>576</v>
      </c>
    </row>
    <row r="43" spans="4:19" ht="13.5" customHeight="1" x14ac:dyDescent="0.2">
      <c r="N43" s="3" t="s">
        <v>594</v>
      </c>
      <c r="O43" s="45">
        <f>L39*(E45/1000)/2</f>
        <v>1.4190000000000003</v>
      </c>
      <c r="P43" s="10" t="s">
        <v>595</v>
      </c>
    </row>
    <row r="45" spans="4:19" ht="13.5" customHeight="1" x14ac:dyDescent="0.2">
      <c r="E45" s="214">
        <v>1100</v>
      </c>
      <c r="H45" s="3" t="s">
        <v>596</v>
      </c>
      <c r="I45" s="12">
        <v>12</v>
      </c>
      <c r="J45" s="12">
        <v>250</v>
      </c>
      <c r="L45" s="5" t="s">
        <v>144</v>
      </c>
      <c r="M45" s="5" t="s">
        <v>597</v>
      </c>
      <c r="N45" s="3" t="s">
        <v>598</v>
      </c>
      <c r="O45" s="12">
        <f>VLOOKUP(M45,$G$4:$J$6,4,0)</f>
        <v>156.66666666666666</v>
      </c>
      <c r="P45" s="1" t="s">
        <v>599</v>
      </c>
    </row>
    <row r="46" spans="4:19" ht="13.5" customHeight="1" x14ac:dyDescent="0.2">
      <c r="I46" s="3" t="s">
        <v>600</v>
      </c>
      <c r="J46" s="11">
        <f>I45*J45^3/120000</f>
        <v>1562.5</v>
      </c>
      <c r="K46" s="1" t="s">
        <v>582</v>
      </c>
      <c r="L46" s="3" t="s">
        <v>583</v>
      </c>
      <c r="M46" s="12">
        <f>20*J46/J45</f>
        <v>125</v>
      </c>
      <c r="N46" s="1" t="s">
        <v>584</v>
      </c>
    </row>
    <row r="48" spans="4:19" ht="13.5" customHeight="1" x14ac:dyDescent="0.2">
      <c r="I48" s="10" t="s">
        <v>585</v>
      </c>
      <c r="J48" s="13">
        <f>1000*MAX(O39,O42)/M46/O45</f>
        <v>0.31882212765957452</v>
      </c>
      <c r="K48" s="10" t="str">
        <f>IF(1&lt;J48,"&gt; 1.00 (NG)","&lt; 1.00 (OK)")</f>
        <v>&lt; 1.00 (OK)</v>
      </c>
      <c r="N48" s="3" t="s">
        <v>586</v>
      </c>
      <c r="O48" s="12">
        <f>5*L39*E41^4/384/(1000*$P$4)/(10000*J46)</f>
        <v>3.9309299512195119</v>
      </c>
      <c r="P48" s="10" t="s">
        <v>587</v>
      </c>
      <c r="Q48" s="46" t="s">
        <v>588</v>
      </c>
      <c r="R48" s="11">
        <f>E41/O48</f>
        <v>1119.3280100641239</v>
      </c>
      <c r="S48" s="5" t="s">
        <v>589</v>
      </c>
    </row>
    <row r="50" spans="4:19" ht="13.5" customHeight="1" x14ac:dyDescent="0.2">
      <c r="H50" s="3" t="s">
        <v>604</v>
      </c>
      <c r="I50" s="12">
        <f>I45</f>
        <v>12</v>
      </c>
      <c r="J50" s="12">
        <v>140</v>
      </c>
      <c r="K50" s="46" t="s">
        <v>605</v>
      </c>
      <c r="L50" s="5">
        <f>(J50-J51*(RIGHT(K51,2)+1.5))*I50</f>
        <v>1260</v>
      </c>
      <c r="M50" s="1" t="s">
        <v>606</v>
      </c>
      <c r="N50" s="46" t="s">
        <v>607</v>
      </c>
      <c r="O50" s="45">
        <f>L50*O45/SQRT(3)/1000</f>
        <v>113.96894313803213</v>
      </c>
      <c r="P50" s="10" t="s">
        <v>608</v>
      </c>
      <c r="Q50" s="14" t="s">
        <v>609</v>
      </c>
      <c r="R50" s="215">
        <f>MAX(O40,O43)/O50</f>
        <v>4.9803041457755562E-2</v>
      </c>
      <c r="S50" s="10" t="str">
        <f>IF(1&lt;R50,"&gt; 1.00 (NG)","&lt; 1.00 (OK)")</f>
        <v>&lt; 1.00 (OK)</v>
      </c>
    </row>
    <row r="51" spans="4:19" ht="13.5" customHeight="1" x14ac:dyDescent="0.2">
      <c r="H51" s="3"/>
      <c r="I51" s="5" t="s">
        <v>610</v>
      </c>
      <c r="J51" s="5">
        <v>2</v>
      </c>
      <c r="K51" s="53" t="s">
        <v>611</v>
      </c>
      <c r="L51" s="5" t="s">
        <v>612</v>
      </c>
      <c r="O51" s="45">
        <f>IF(L51="(F10T)",IF(K51="-M12",17,IF(K51="-M16",30.2,IF(K51="-M20",47.1,IF(K51="-M22",57,0))))*J51,IF(K51="-M12",17,IF(K51="-M16",24.1,IF(K51="-M20",37.7,IF(K51="-M22",45.6,0))))*J51)</f>
        <v>48.2</v>
      </c>
      <c r="R51" s="215">
        <f>O40/O51</f>
        <v>0.11775933609958505</v>
      </c>
      <c r="S51" s="10" t="str">
        <f>IF(1&lt;R51,"&gt; 1.00 (NG)","&lt; 1.00 (OK)")</f>
        <v>&lt; 1.00 (OK)</v>
      </c>
    </row>
    <row r="52" spans="4:19" ht="13.5" customHeight="1" x14ac:dyDescent="0.2">
      <c r="H52" s="3"/>
      <c r="K52" s="53"/>
      <c r="O52" s="45"/>
      <c r="R52" s="215"/>
      <c r="S52" s="10"/>
    </row>
    <row r="53" spans="4:19" ht="13.5" customHeight="1" x14ac:dyDescent="0.2">
      <c r="D53" s="5" t="s">
        <v>663</v>
      </c>
      <c r="H53" s="3" t="s">
        <v>139</v>
      </c>
      <c r="I53" s="19" t="str">
        <f>" "&amp;FIXED(I21/1000,2,TRUE)&amp;" x "&amp;FIXED(G16/2000,2)&amp;"  ="</f>
        <v xml:space="preserve"> 4.30 x 2.20  =</v>
      </c>
      <c r="L53" s="19">
        <f>I21*(G16/2)/1000000</f>
        <v>9.4600000000000009</v>
      </c>
      <c r="M53" s="10" t="s">
        <v>140</v>
      </c>
      <c r="N53" s="3" t="s">
        <v>602</v>
      </c>
      <c r="O53" s="12">
        <f>L53*(E56/1000)^2/2</f>
        <v>5.7233000000000018</v>
      </c>
      <c r="P53" s="10" t="s">
        <v>142</v>
      </c>
      <c r="R53" s="215"/>
      <c r="S53" s="10"/>
    </row>
    <row r="54" spans="4:19" ht="13.5" customHeight="1" x14ac:dyDescent="0.2">
      <c r="N54" s="3" t="s">
        <v>603</v>
      </c>
      <c r="O54" s="12">
        <f>L53*E56/1000</f>
        <v>10.406000000000002</v>
      </c>
      <c r="P54" s="10" t="s">
        <v>2</v>
      </c>
      <c r="R54" s="215"/>
      <c r="S54" s="10"/>
    </row>
    <row r="55" spans="4:19" ht="13.5" customHeight="1" x14ac:dyDescent="0.2">
      <c r="H55" s="3"/>
      <c r="K55" s="53"/>
      <c r="O55" s="45"/>
      <c r="R55" s="215"/>
      <c r="S55" s="10"/>
    </row>
    <row r="56" spans="4:19" ht="13.5" customHeight="1" x14ac:dyDescent="0.2">
      <c r="E56" s="214">
        <v>1100</v>
      </c>
      <c r="H56" s="3" t="s">
        <v>664</v>
      </c>
      <c r="I56" s="12" t="s">
        <v>665</v>
      </c>
      <c r="J56" s="12"/>
      <c r="K56" s="46"/>
      <c r="L56" s="5" t="s">
        <v>144</v>
      </c>
      <c r="M56" s="5" t="s">
        <v>134</v>
      </c>
      <c r="N56" s="3" t="s">
        <v>562</v>
      </c>
      <c r="O56" s="12">
        <f>VLOOKUP(M56,$G$4:$J$6,4,0)</f>
        <v>156.66666666666666</v>
      </c>
      <c r="P56" s="1" t="s">
        <v>3</v>
      </c>
      <c r="Q56" s="14"/>
      <c r="R56" s="215"/>
      <c r="S56" s="10"/>
    </row>
    <row r="57" spans="4:19" ht="13.5" customHeight="1" x14ac:dyDescent="0.2">
      <c r="H57" s="3"/>
      <c r="I57" s="3" t="s">
        <v>581</v>
      </c>
      <c r="J57" s="11">
        <v>1810</v>
      </c>
      <c r="K57" s="1" t="s">
        <v>582</v>
      </c>
      <c r="L57" s="3" t="s">
        <v>583</v>
      </c>
      <c r="M57" s="12">
        <v>181</v>
      </c>
      <c r="N57" s="1" t="s">
        <v>5</v>
      </c>
      <c r="O57" s="12"/>
      <c r="P57" s="1"/>
      <c r="Q57" s="14"/>
      <c r="R57" s="215"/>
      <c r="S57" s="10"/>
    </row>
    <row r="58" spans="4:19" ht="13.5" customHeight="1" x14ac:dyDescent="0.2">
      <c r="H58" s="3"/>
      <c r="I58" s="10" t="s">
        <v>585</v>
      </c>
      <c r="J58" s="13">
        <f>1000*O53/M57/O56</f>
        <v>0.20183260844010822</v>
      </c>
      <c r="K58" s="10" t="str">
        <f>IF(1&lt;J58,"&gt; 1.00 (NG)","&lt; 1.00 (OK)")</f>
        <v>&lt; 1.00 (OK)</v>
      </c>
      <c r="N58" s="3" t="s">
        <v>586</v>
      </c>
      <c r="O58" s="19">
        <f>L53*E56^4/8/(1000*$P$4)/(10000*J57)</f>
        <v>0.46659432691011998</v>
      </c>
      <c r="P58" s="10" t="s">
        <v>127</v>
      </c>
      <c r="Q58" s="46" t="s">
        <v>588</v>
      </c>
      <c r="R58" s="11">
        <f>E56/O58</f>
        <v>2357.5083033786927</v>
      </c>
      <c r="S58" s="5" t="s">
        <v>589</v>
      </c>
    </row>
    <row r="59" spans="4:19" ht="13.5" customHeight="1" x14ac:dyDescent="0.2">
      <c r="H59" s="3"/>
      <c r="I59" s="10"/>
      <c r="J59" s="13"/>
      <c r="K59" s="10"/>
      <c r="N59" s="3"/>
      <c r="O59" s="19"/>
      <c r="P59" s="10"/>
      <c r="Q59" s="46"/>
      <c r="R59" s="11"/>
    </row>
    <row r="60" spans="4:19" ht="13.5" customHeight="1" x14ac:dyDescent="0.2">
      <c r="H60" s="3"/>
      <c r="I60" s="10"/>
      <c r="J60" s="13"/>
      <c r="K60" s="10"/>
      <c r="N60" s="3"/>
      <c r="O60" s="19"/>
      <c r="P60" s="10"/>
      <c r="Q60" s="46"/>
      <c r="R60" s="11"/>
    </row>
    <row r="61" spans="4:19" ht="13.5" customHeight="1" x14ac:dyDescent="0.2">
      <c r="H61" s="3"/>
      <c r="I61" s="10"/>
      <c r="J61" s="13"/>
      <c r="K61" s="10"/>
      <c r="N61" s="3"/>
      <c r="O61" s="19"/>
      <c r="P61" s="10"/>
      <c r="Q61" s="46"/>
      <c r="R61" s="11"/>
    </row>
    <row r="62" spans="4:19" ht="13.5" customHeight="1" x14ac:dyDescent="0.2">
      <c r="H62" s="3"/>
      <c r="I62" s="10"/>
      <c r="J62" s="13"/>
      <c r="K62" s="10"/>
      <c r="N62" s="3"/>
      <c r="O62" s="19"/>
      <c r="P62" s="10"/>
      <c r="Q62" s="46"/>
      <c r="R62" s="11"/>
    </row>
    <row r="63" spans="4:19" ht="13.5" customHeight="1" x14ac:dyDescent="0.2">
      <c r="H63" s="3"/>
      <c r="I63" s="10"/>
      <c r="J63" s="13"/>
      <c r="K63" s="10"/>
      <c r="N63" s="3"/>
      <c r="O63" s="19"/>
      <c r="P63" s="10"/>
      <c r="Q63" s="46"/>
      <c r="R63" s="11"/>
    </row>
    <row r="64" spans="4:19" ht="13.5" customHeight="1" x14ac:dyDescent="0.2">
      <c r="D64" s="5" t="s">
        <v>675</v>
      </c>
      <c r="H64" s="3" t="s">
        <v>483</v>
      </c>
      <c r="I64" s="19" t="s">
        <v>668</v>
      </c>
      <c r="J64" s="13"/>
      <c r="K64" s="10"/>
      <c r="N64" s="3"/>
      <c r="O64" s="19"/>
      <c r="P64" s="10"/>
      <c r="Q64" s="46"/>
      <c r="R64" s="11"/>
    </row>
    <row r="65" spans="4:18" ht="13.5" customHeight="1" x14ac:dyDescent="0.2">
      <c r="H65" s="3"/>
      <c r="I65" s="10"/>
      <c r="J65" s="13"/>
      <c r="K65" s="10"/>
      <c r="N65" s="3"/>
      <c r="O65" s="19"/>
      <c r="P65" s="10"/>
      <c r="Q65" s="46"/>
      <c r="R65" s="11"/>
    </row>
    <row r="66" spans="4:18" ht="13.5" customHeight="1" x14ac:dyDescent="0.2">
      <c r="H66" s="3" t="s">
        <v>664</v>
      </c>
      <c r="I66" s="12" t="s">
        <v>669</v>
      </c>
      <c r="J66" s="12"/>
      <c r="K66" s="46"/>
      <c r="L66" s="5" t="s">
        <v>144</v>
      </c>
      <c r="M66" s="5" t="s">
        <v>134</v>
      </c>
      <c r="N66" s="3" t="s">
        <v>562</v>
      </c>
      <c r="O66" s="12">
        <f>VLOOKUP(M66,$G$4:$J$6,4,0)</f>
        <v>156.66666666666666</v>
      </c>
      <c r="P66" s="1" t="s">
        <v>3</v>
      </c>
      <c r="Q66" s="46"/>
      <c r="R66" s="11"/>
    </row>
    <row r="67" spans="4:18" ht="13.5" customHeight="1" x14ac:dyDescent="0.2">
      <c r="H67" s="3"/>
      <c r="I67" s="3" t="s">
        <v>505</v>
      </c>
      <c r="J67" s="13">
        <v>3.77</v>
      </c>
      <c r="K67" s="1" t="s">
        <v>631</v>
      </c>
      <c r="L67" s="3" t="s">
        <v>670</v>
      </c>
      <c r="M67" s="12" t="s">
        <v>671</v>
      </c>
      <c r="N67" s="1"/>
      <c r="O67" s="19"/>
      <c r="P67" s="3" t="s">
        <v>501</v>
      </c>
      <c r="Q67" s="12">
        <v>102.2</v>
      </c>
      <c r="R67" s="1" t="s">
        <v>3</v>
      </c>
    </row>
    <row r="68" spans="4:18" ht="13.5" customHeight="1" x14ac:dyDescent="0.2">
      <c r="H68" s="3"/>
      <c r="I68" s="46" t="s">
        <v>672</v>
      </c>
      <c r="J68" s="5">
        <v>39.65</v>
      </c>
      <c r="K68" s="1" t="s">
        <v>491</v>
      </c>
      <c r="L68" s="46" t="s">
        <v>673</v>
      </c>
      <c r="M68" s="11">
        <f>Q67*J68*100/1000</f>
        <v>405.22300000000001</v>
      </c>
      <c r="N68" s="1" t="s">
        <v>49</v>
      </c>
      <c r="O68" s="19"/>
      <c r="P68" s="10"/>
      <c r="Q68" s="46"/>
      <c r="R68" s="11"/>
    </row>
    <row r="69" spans="4:18" ht="13.5" customHeight="1" x14ac:dyDescent="0.2">
      <c r="H69" s="3"/>
      <c r="I69" s="10" t="s">
        <v>674</v>
      </c>
      <c r="J69" s="13">
        <f>40.2/M68</f>
        <v>9.9204635472320182E-2</v>
      </c>
      <c r="K69" s="10" t="str">
        <f>IF(1&lt;J69,"&gt; 1.00 (NG)","&lt; 1.00 (OK)")</f>
        <v>&lt; 1.00 (OK)</v>
      </c>
      <c r="N69" s="3"/>
      <c r="O69" s="19"/>
      <c r="P69" s="10"/>
      <c r="Q69" s="46"/>
      <c r="R69" s="11"/>
    </row>
    <row r="70" spans="4:18" ht="13.5" customHeight="1" x14ac:dyDescent="0.2">
      <c r="D70" s="236">
        <v>500</v>
      </c>
      <c r="J70" s="10"/>
      <c r="N70" s="3"/>
      <c r="O70" s="19"/>
      <c r="P70" s="10"/>
      <c r="Q70" s="46"/>
      <c r="R70" s="11"/>
    </row>
    <row r="71" spans="4:18" ht="13.5" customHeight="1" x14ac:dyDescent="0.2">
      <c r="D71" s="236"/>
      <c r="J71" s="10"/>
      <c r="N71" s="3"/>
      <c r="O71" s="19"/>
      <c r="P71" s="10"/>
      <c r="Q71" s="46"/>
      <c r="R71" s="11"/>
    </row>
    <row r="72" spans="4:18" ht="13.5" customHeight="1" x14ac:dyDescent="0.2">
      <c r="D72" s="234">
        <v>2400</v>
      </c>
      <c r="J72" s="10"/>
      <c r="N72" s="3"/>
      <c r="O72" s="19"/>
      <c r="P72" s="10"/>
      <c r="Q72" s="46"/>
      <c r="R72" s="11"/>
    </row>
    <row r="73" spans="4:18" ht="13.5" customHeight="1" x14ac:dyDescent="0.2">
      <c r="D73" s="234"/>
      <c r="J73" s="46" t="s">
        <v>676</v>
      </c>
      <c r="K73" s="19" t="s">
        <v>677</v>
      </c>
      <c r="N73" s="3"/>
      <c r="O73" s="19"/>
      <c r="P73" s="10"/>
      <c r="Q73" s="46"/>
      <c r="R73" s="11"/>
    </row>
    <row r="74" spans="4:18" ht="13.5" customHeight="1" x14ac:dyDescent="0.2">
      <c r="J74" s="10"/>
      <c r="N74" s="3"/>
      <c r="O74" s="19"/>
      <c r="P74" s="10"/>
      <c r="Q74" s="46"/>
      <c r="R74" s="11"/>
    </row>
    <row r="75" spans="4:18" ht="13.5" customHeight="1" x14ac:dyDescent="0.2">
      <c r="K75" s="5" t="s">
        <v>678</v>
      </c>
      <c r="N75" s="3"/>
      <c r="O75" s="19"/>
      <c r="P75" s="10"/>
      <c r="Q75" s="46"/>
      <c r="R75" s="11"/>
    </row>
    <row r="76" spans="4:18" ht="13.5" customHeight="1" x14ac:dyDescent="0.2">
      <c r="F76" s="227">
        <v>1100</v>
      </c>
      <c r="G76" s="233">
        <v>2200</v>
      </c>
      <c r="H76" s="233"/>
      <c r="I76" s="227">
        <v>1100</v>
      </c>
      <c r="K76" s="5" t="s">
        <v>682</v>
      </c>
      <c r="N76" s="3"/>
      <c r="O76" s="19"/>
      <c r="P76" s="10"/>
      <c r="Q76" s="46"/>
      <c r="R76" s="11"/>
    </row>
    <row r="77" spans="4:18" ht="13.5" customHeight="1" x14ac:dyDescent="0.2">
      <c r="G77" s="233">
        <f>SUM(F76:I76)</f>
        <v>4400</v>
      </c>
      <c r="H77" s="233"/>
      <c r="K77" s="16" t="s">
        <v>683</v>
      </c>
      <c r="N77" s="3"/>
      <c r="O77" s="19"/>
      <c r="P77" s="10"/>
      <c r="Q77" s="46"/>
      <c r="R77" s="11"/>
    </row>
    <row r="78" spans="4:18" ht="13.5" customHeight="1" x14ac:dyDescent="0.2">
      <c r="N78" s="3"/>
      <c r="O78" s="19"/>
      <c r="P78" s="10"/>
      <c r="Q78" s="46"/>
      <c r="R78" s="11"/>
    </row>
    <row r="79" spans="4:18" ht="13.5" customHeight="1" x14ac:dyDescent="0.2">
      <c r="D79" s="5" t="s">
        <v>680</v>
      </c>
      <c r="H79" s="3"/>
      <c r="I79" s="10"/>
      <c r="J79" s="13"/>
      <c r="K79" s="10"/>
      <c r="N79" s="3"/>
      <c r="O79" s="19"/>
      <c r="P79" s="10"/>
      <c r="Q79" s="46"/>
      <c r="R79" s="11"/>
    </row>
    <row r="80" spans="4:18" ht="13.5" customHeight="1" x14ac:dyDescent="0.2">
      <c r="H80" s="3" t="s">
        <v>139</v>
      </c>
      <c r="I80" s="19" t="s">
        <v>679</v>
      </c>
      <c r="L80" s="19"/>
      <c r="M80" s="10"/>
      <c r="N80" s="3"/>
      <c r="O80" s="19"/>
      <c r="P80" s="10"/>
      <c r="Q80" s="46"/>
      <c r="R80" s="11"/>
    </row>
    <row r="81" spans="4:18" ht="13.5" customHeight="1" x14ac:dyDescent="0.2">
      <c r="H81" s="3" t="s">
        <v>141</v>
      </c>
      <c r="I81" s="10" t="s">
        <v>684</v>
      </c>
      <c r="J81" s="13"/>
      <c r="K81" s="10"/>
      <c r="N81" s="3"/>
      <c r="O81" s="19"/>
      <c r="P81" s="10"/>
      <c r="Q81" s="46"/>
      <c r="R81" s="11"/>
    </row>
    <row r="82" spans="4:18" ht="13.5" customHeight="1" x14ac:dyDescent="0.2">
      <c r="H82" s="3"/>
      <c r="I82" s="10"/>
      <c r="J82" s="13"/>
      <c r="K82" s="10"/>
      <c r="N82" s="3"/>
      <c r="O82" s="19"/>
      <c r="P82" s="10"/>
      <c r="Q82" s="46"/>
      <c r="R82" s="11"/>
    </row>
    <row r="83" spans="4:18" ht="13.5" customHeight="1" x14ac:dyDescent="0.2">
      <c r="H83" s="3" t="s">
        <v>664</v>
      </c>
      <c r="I83" s="12" t="s">
        <v>665</v>
      </c>
      <c r="J83" s="12"/>
      <c r="K83" s="46"/>
      <c r="L83" s="5" t="s">
        <v>144</v>
      </c>
      <c r="M83" s="5" t="s">
        <v>134</v>
      </c>
      <c r="N83" s="3" t="s">
        <v>562</v>
      </c>
      <c r="O83" s="12">
        <f>J4*1.5</f>
        <v>235</v>
      </c>
      <c r="P83" s="1" t="s">
        <v>3</v>
      </c>
      <c r="Q83" s="46"/>
      <c r="R83" s="11"/>
    </row>
    <row r="84" spans="4:18" ht="13.5" customHeight="1" x14ac:dyDescent="0.2">
      <c r="H84" s="3"/>
      <c r="I84" s="3" t="s">
        <v>681</v>
      </c>
      <c r="J84" s="12">
        <v>26.7</v>
      </c>
      <c r="K84" s="1" t="s">
        <v>5</v>
      </c>
      <c r="L84" s="3"/>
      <c r="M84" s="12"/>
      <c r="N84" s="3" t="s">
        <v>667</v>
      </c>
      <c r="O84" s="12">
        <f>4100/(J84*1000)*1000</f>
        <v>153.55805243445693</v>
      </c>
      <c r="P84" s="1" t="s">
        <v>3</v>
      </c>
      <c r="Q84" s="46"/>
      <c r="R84" s="11"/>
    </row>
    <row r="85" spans="4:18" ht="13.5" customHeight="1" x14ac:dyDescent="0.2">
      <c r="H85" s="3"/>
      <c r="I85" s="10" t="s">
        <v>585</v>
      </c>
      <c r="J85" s="13">
        <f>O84/O83</f>
        <v>0.65343852099768907</v>
      </c>
      <c r="K85" s="10" t="str">
        <f>IF(1&lt;J85,"&gt; 1.00 (NG)","&lt; 1.00 (OK)")</f>
        <v>&lt; 1.00 (OK)</v>
      </c>
      <c r="N85" s="3"/>
      <c r="O85" s="19"/>
      <c r="P85" s="10"/>
      <c r="Q85" s="46"/>
      <c r="R85" s="11"/>
    </row>
    <row r="86" spans="4:18" ht="13.5" customHeight="1" x14ac:dyDescent="0.2">
      <c r="N86" s="3"/>
      <c r="O86" s="19"/>
      <c r="P86" s="10"/>
      <c r="Q86" s="46"/>
      <c r="R86" s="11"/>
    </row>
    <row r="87" spans="4:18" ht="13.5" customHeight="1" x14ac:dyDescent="0.2">
      <c r="D87" s="5" t="s">
        <v>685</v>
      </c>
      <c r="H87" s="3"/>
      <c r="I87" s="10"/>
      <c r="J87" s="13"/>
      <c r="K87" s="10"/>
      <c r="N87" s="3"/>
      <c r="O87" s="19"/>
      <c r="P87" s="10"/>
      <c r="Q87" s="46"/>
      <c r="R87" s="11"/>
    </row>
    <row r="88" spans="4:18" ht="13.5" customHeight="1" x14ac:dyDescent="0.2">
      <c r="H88" s="3" t="s">
        <v>139</v>
      </c>
      <c r="I88" s="19" t="s">
        <v>679</v>
      </c>
      <c r="L88" s="19"/>
      <c r="M88" s="10"/>
      <c r="N88" s="3"/>
      <c r="O88" s="19"/>
      <c r="P88" s="10"/>
      <c r="Q88" s="46"/>
      <c r="R88" s="11"/>
    </row>
    <row r="89" spans="4:18" ht="13.5" customHeight="1" x14ac:dyDescent="0.2">
      <c r="H89" s="3" t="s">
        <v>575</v>
      </c>
      <c r="I89" s="10" t="s">
        <v>666</v>
      </c>
      <c r="J89" s="13"/>
      <c r="K89" s="10"/>
      <c r="N89" s="3"/>
      <c r="O89" s="19"/>
      <c r="P89" s="10"/>
      <c r="Q89" s="46"/>
      <c r="R89" s="11"/>
    </row>
    <row r="90" spans="4:18" ht="13.5" customHeight="1" x14ac:dyDescent="0.2">
      <c r="H90" s="3"/>
      <c r="I90" s="10"/>
      <c r="J90" s="13"/>
      <c r="K90" s="10"/>
      <c r="N90" s="3"/>
      <c r="O90" s="19"/>
      <c r="P90" s="10"/>
      <c r="Q90" s="46"/>
      <c r="R90" s="11"/>
    </row>
    <row r="91" spans="4:18" ht="13.5" customHeight="1" x14ac:dyDescent="0.2">
      <c r="H91" s="3" t="s">
        <v>604</v>
      </c>
      <c r="I91" s="12">
        <f>12</f>
        <v>12</v>
      </c>
      <c r="J91" s="12">
        <v>140</v>
      </c>
      <c r="K91" s="46" t="s">
        <v>50</v>
      </c>
      <c r="L91" s="5">
        <f>I91^2*J91/6</f>
        <v>3360</v>
      </c>
      <c r="M91" s="1" t="s">
        <v>519</v>
      </c>
      <c r="N91" s="3" t="s">
        <v>562</v>
      </c>
      <c r="O91" s="12">
        <f>J4*1.5</f>
        <v>235</v>
      </c>
      <c r="P91" s="1" t="s">
        <v>3</v>
      </c>
      <c r="Q91" s="46"/>
      <c r="R91" s="11"/>
    </row>
    <row r="92" spans="4:18" ht="13.5" customHeight="1" x14ac:dyDescent="0.2">
      <c r="H92" s="3"/>
      <c r="I92" s="10"/>
      <c r="J92" s="13"/>
      <c r="K92" s="10"/>
      <c r="N92" s="3" t="s">
        <v>667</v>
      </c>
      <c r="O92" s="12">
        <f>410/L91*1000</f>
        <v>122.02380952380952</v>
      </c>
      <c r="P92" s="1" t="s">
        <v>3</v>
      </c>
      <c r="Q92" s="46"/>
      <c r="R92" s="11"/>
    </row>
    <row r="93" spans="4:18" ht="13.5" customHeight="1" x14ac:dyDescent="0.2">
      <c r="H93" s="3"/>
      <c r="I93" s="10" t="s">
        <v>585</v>
      </c>
      <c r="J93" s="13">
        <f>O92/O91</f>
        <v>0.5192502532928065</v>
      </c>
      <c r="K93" s="10" t="str">
        <f>IF(1&lt;J93,"&gt; 1.00 (NG)","&lt; 1.00 (OK)")</f>
        <v>&lt; 1.00 (OK)</v>
      </c>
      <c r="N93" s="3"/>
      <c r="O93" s="19"/>
      <c r="P93" s="10"/>
      <c r="Q93" s="46"/>
      <c r="R93" s="11"/>
    </row>
    <row r="94" spans="4:18" ht="13.5" customHeight="1" x14ac:dyDescent="0.2">
      <c r="H94" s="3"/>
      <c r="I94" s="10"/>
      <c r="J94" s="13"/>
      <c r="K94" s="10"/>
      <c r="N94" s="3"/>
      <c r="O94" s="19"/>
      <c r="P94" s="10"/>
      <c r="Q94" s="46"/>
      <c r="R94" s="11"/>
    </row>
    <row r="95" spans="4:18" ht="13.5" customHeight="1" x14ac:dyDescent="0.2">
      <c r="H95" s="3"/>
      <c r="I95" s="19"/>
      <c r="J95" s="13"/>
      <c r="K95" s="10"/>
      <c r="N95" s="3"/>
      <c r="O95" s="19"/>
      <c r="P95" s="10"/>
      <c r="Q95" s="46"/>
      <c r="R95" s="11"/>
    </row>
    <row r="96" spans="4:18" ht="13.5" customHeight="1" x14ac:dyDescent="0.2">
      <c r="H96" s="3"/>
      <c r="I96" s="10"/>
      <c r="J96" s="13"/>
      <c r="K96" s="10"/>
      <c r="N96" s="3"/>
      <c r="O96" s="19"/>
      <c r="P96" s="10"/>
      <c r="Q96" s="46"/>
      <c r="R96" s="11"/>
    </row>
    <row r="97" spans="3:20" ht="13.5" customHeight="1" x14ac:dyDescent="0.2">
      <c r="H97" s="3"/>
      <c r="I97" s="12"/>
      <c r="J97" s="12"/>
      <c r="K97" s="46"/>
      <c r="N97" s="3"/>
      <c r="O97" s="12"/>
      <c r="P97" s="1"/>
      <c r="Q97" s="46"/>
      <c r="R97" s="11"/>
      <c r="T97" s="10"/>
    </row>
    <row r="98" spans="3:20" ht="13.5" customHeight="1" x14ac:dyDescent="0.2">
      <c r="H98" s="3"/>
      <c r="I98" s="10"/>
      <c r="J98" s="13"/>
      <c r="K98" s="10"/>
      <c r="N98" s="3"/>
      <c r="O98" s="19"/>
      <c r="P98" s="10"/>
      <c r="Q98" s="46"/>
      <c r="R98" s="11"/>
      <c r="T98" s="10"/>
    </row>
    <row r="99" spans="3:20" ht="13.5" customHeight="1" x14ac:dyDescent="0.2">
      <c r="T99" s="10"/>
    </row>
    <row r="100" spans="3:20" ht="13.5" customHeight="1" x14ac:dyDescent="0.2">
      <c r="K100" s="53"/>
      <c r="P100" s="45"/>
      <c r="S100" s="215"/>
    </row>
    <row r="101" spans="3:20" ht="13.5" customHeight="1" x14ac:dyDescent="0.2">
      <c r="C101" s="5" t="s">
        <v>147</v>
      </c>
      <c r="K101" s="53"/>
      <c r="P101" s="45"/>
      <c r="S101" s="215"/>
    </row>
    <row r="102" spans="3:20" ht="13.5" customHeight="1" x14ac:dyDescent="0.2">
      <c r="K102" s="53"/>
      <c r="P102" s="45"/>
      <c r="S102" s="215"/>
    </row>
    <row r="103" spans="3:20" ht="13.5" customHeight="1" x14ac:dyDescent="0.2">
      <c r="K103" s="53"/>
      <c r="P103" s="45"/>
      <c r="S103" s="215"/>
    </row>
    <row r="104" spans="3:20" ht="13.5" customHeight="1" x14ac:dyDescent="0.2">
      <c r="K104" s="53"/>
      <c r="P104" s="45"/>
      <c r="S104" s="215"/>
    </row>
    <row r="105" spans="3:20" ht="13.5" customHeight="1" x14ac:dyDescent="0.2">
      <c r="K105" s="53"/>
      <c r="P105" s="45"/>
      <c r="S105" s="215"/>
    </row>
    <row r="106" spans="3:20" ht="13.5" customHeight="1" x14ac:dyDescent="0.2">
      <c r="K106" s="53"/>
      <c r="P106" s="45"/>
      <c r="S106" s="215"/>
    </row>
    <row r="117" spans="4:12" ht="13.5" customHeight="1" x14ac:dyDescent="0.2">
      <c r="H117" s="10"/>
    </row>
    <row r="118" spans="4:12" ht="13.5" customHeight="1" x14ac:dyDescent="0.2">
      <c r="H118" s="10"/>
    </row>
    <row r="119" spans="4:12" ht="13.5" customHeight="1" x14ac:dyDescent="0.2">
      <c r="D119" s="233">
        <v>1200</v>
      </c>
      <c r="E119" s="233"/>
      <c r="F119" s="97">
        <v>500</v>
      </c>
      <c r="H119" s="10"/>
    </row>
    <row r="120" spans="4:12" ht="13.5" customHeight="1" x14ac:dyDescent="0.2">
      <c r="H120" s="10"/>
    </row>
    <row r="121" spans="4:12" ht="13.5" customHeight="1" x14ac:dyDescent="0.2">
      <c r="H121" s="10"/>
    </row>
    <row r="122" spans="4:12" ht="13.5" customHeight="1" x14ac:dyDescent="0.2">
      <c r="D122" s="5" t="s">
        <v>138</v>
      </c>
    </row>
    <row r="126" spans="4:12" ht="13.5" customHeight="1" x14ac:dyDescent="0.2">
      <c r="H126" s="46" t="s">
        <v>613</v>
      </c>
      <c r="I126" s="5">
        <v>2100</v>
      </c>
    </row>
    <row r="127" spans="4:12" ht="13.5" customHeight="1" x14ac:dyDescent="0.2">
      <c r="D127" s="5" t="s">
        <v>614</v>
      </c>
      <c r="H127" s="46" t="s">
        <v>615</v>
      </c>
      <c r="I127" s="5">
        <v>2900</v>
      </c>
      <c r="J127" s="5">
        <v>2600</v>
      </c>
      <c r="K127" s="5">
        <v>1600</v>
      </c>
    </row>
    <row r="128" spans="4:12" ht="13.5" customHeight="1" x14ac:dyDescent="0.2">
      <c r="H128" s="46" t="s">
        <v>616</v>
      </c>
      <c r="I128" s="5">
        <f>I126+I127</f>
        <v>5000</v>
      </c>
      <c r="J128" s="5">
        <f>I126+J127</f>
        <v>4700</v>
      </c>
      <c r="K128" s="5">
        <f>I126+K127</f>
        <v>3700</v>
      </c>
      <c r="L128" s="1" t="s">
        <v>599</v>
      </c>
    </row>
    <row r="130" spans="4:21" ht="13.5" customHeight="1" x14ac:dyDescent="0.2">
      <c r="E130" s="233">
        <f>D119+F119</f>
        <v>1700</v>
      </c>
      <c r="F130" s="233"/>
    </row>
    <row r="131" spans="4:21" ht="13.5" customHeight="1" x14ac:dyDescent="0.2">
      <c r="H131" s="3" t="s">
        <v>590</v>
      </c>
      <c r="I131" s="19" t="str">
        <f>" "&amp;FIXED(I128/1000,2,TRUE)&amp;" x "&amp;FIXED(F134/1000,2,TRUE)&amp;"    ="</f>
        <v xml:space="preserve"> 5.00 x 0.27    =</v>
      </c>
      <c r="L131" s="19">
        <f>0.000001*I128*F134</f>
        <v>1.35</v>
      </c>
      <c r="M131" s="10" t="s">
        <v>591</v>
      </c>
      <c r="N131" s="3" t="s">
        <v>592</v>
      </c>
      <c r="O131" s="13">
        <f>L131*(E130/1000)^2/2</f>
        <v>1.95075</v>
      </c>
      <c r="P131" s="10" t="s">
        <v>593</v>
      </c>
    </row>
    <row r="132" spans="4:21" ht="13.5" customHeight="1" x14ac:dyDescent="0.2">
      <c r="D132" s="234">
        <v>200</v>
      </c>
      <c r="N132" s="3" t="s">
        <v>594</v>
      </c>
      <c r="O132" s="13">
        <f>L131*E130/1000</f>
        <v>2.2949999999999999</v>
      </c>
      <c r="P132" s="10" t="s">
        <v>595</v>
      </c>
    </row>
    <row r="133" spans="4:21" ht="13.5" customHeight="1" x14ac:dyDescent="0.2">
      <c r="D133" s="234"/>
    </row>
    <row r="134" spans="4:21" ht="13.5" customHeight="1" x14ac:dyDescent="0.2">
      <c r="D134" s="234"/>
      <c r="F134" s="211">
        <v>270</v>
      </c>
      <c r="H134" s="3" t="s">
        <v>596</v>
      </c>
      <c r="I134" s="12">
        <v>12</v>
      </c>
      <c r="J134" s="5">
        <f>D132</f>
        <v>200</v>
      </c>
      <c r="L134" s="5" t="s">
        <v>144</v>
      </c>
      <c r="M134" s="5" t="s">
        <v>580</v>
      </c>
      <c r="N134" s="3" t="s">
        <v>562</v>
      </c>
      <c r="O134" s="12">
        <f>VLOOKUP(M134,$G$4:$J$6,4,0)</f>
        <v>156.66666666666666</v>
      </c>
      <c r="P134" s="1" t="s">
        <v>563</v>
      </c>
    </row>
    <row r="135" spans="4:21" ht="13.5" customHeight="1" x14ac:dyDescent="0.2">
      <c r="I135" s="3" t="s">
        <v>581</v>
      </c>
      <c r="J135" s="11">
        <f>I134*J134^3/12/10^4</f>
        <v>800</v>
      </c>
      <c r="K135" s="1" t="s">
        <v>617</v>
      </c>
      <c r="L135" s="3" t="s">
        <v>618</v>
      </c>
      <c r="M135" s="13">
        <f>20*J135/J134</f>
        <v>80</v>
      </c>
      <c r="N135" s="1" t="s">
        <v>619</v>
      </c>
    </row>
    <row r="136" spans="4:21" ht="13.5" customHeight="1" x14ac:dyDescent="0.2">
      <c r="T136" s="12"/>
      <c r="U136" s="12"/>
    </row>
    <row r="137" spans="4:21" ht="13.5" customHeight="1" x14ac:dyDescent="0.2">
      <c r="D137" s="5" t="s">
        <v>148</v>
      </c>
      <c r="I137" s="3" t="s">
        <v>620</v>
      </c>
      <c r="J137" s="19">
        <f>1000*O131/M135/O134</f>
        <v>0.15564494680851063</v>
      </c>
      <c r="K137" s="10" t="str">
        <f>IF(1&lt;J137,"&gt; 1.00 (NG)","&lt; 1.00 (OK)")</f>
        <v>&lt; 1.00 (OK)</v>
      </c>
    </row>
    <row r="138" spans="4:21" ht="13.5" customHeight="1" x14ac:dyDescent="0.2">
      <c r="I138" s="3" t="s">
        <v>621</v>
      </c>
      <c r="J138" s="13">
        <f>L131*E130^4/8/(1000*$P$4)/(10000*J135)</f>
        <v>0.85940053353658541</v>
      </c>
      <c r="K138" s="10" t="s">
        <v>622</v>
      </c>
      <c r="L138" s="46" t="s">
        <v>623</v>
      </c>
      <c r="M138" s="11">
        <f>E130/J138</f>
        <v>1978.1230446811558</v>
      </c>
      <c r="N138" s="5" t="s">
        <v>624</v>
      </c>
      <c r="T138" s="10"/>
      <c r="U138" s="10"/>
    </row>
    <row r="141" spans="4:21" ht="13.5" customHeight="1" x14ac:dyDescent="0.2">
      <c r="H141" s="3" t="s">
        <v>625</v>
      </c>
      <c r="I141" s="19" t="str">
        <f>" 1.5 x "&amp;FIXED(I128/1000,2,TRUE)&amp;" x "&amp;FIXED(E130/1000,2,TRUE)&amp;"^2 x π  ="</f>
        <v xml:space="preserve"> 1.5 x 5.00 x 1.70^2 x π  =</v>
      </c>
      <c r="N141" s="12">
        <f>1.5*PI()*I128*E130^2/10^9</f>
        <v>68.094020766558771</v>
      </c>
      <c r="O141" s="10" t="s">
        <v>578</v>
      </c>
      <c r="P141" s="10"/>
    </row>
    <row r="143" spans="4:21" ht="13.5" customHeight="1" x14ac:dyDescent="0.2">
      <c r="H143" s="46" t="s">
        <v>626</v>
      </c>
      <c r="I143" s="5">
        <v>609.6</v>
      </c>
      <c r="J143" s="45">
        <v>9</v>
      </c>
      <c r="L143" s="5" t="s">
        <v>144</v>
      </c>
      <c r="M143" s="5" t="s">
        <v>627</v>
      </c>
      <c r="O143" s="3" t="s">
        <v>562</v>
      </c>
      <c r="P143" s="12">
        <f>VLOOKUP(M143,$G$4:$J$6,4,0)</f>
        <v>216.66666666666666</v>
      </c>
      <c r="Q143" s="1" t="s">
        <v>563</v>
      </c>
      <c r="R143" s="5" t="s">
        <v>564</v>
      </c>
      <c r="S143" s="12">
        <f>VLOOKUP(M143,$G$4:$M$6,7,0)</f>
        <v>120</v>
      </c>
    </row>
    <row r="144" spans="4:21" ht="13.5" customHeight="1" x14ac:dyDescent="0.2">
      <c r="I144" s="46" t="s">
        <v>628</v>
      </c>
      <c r="J144" s="5">
        <f>PI()*(I143^2-(I143-2*J143)^2)/400</f>
        <v>169.81564929714247</v>
      </c>
      <c r="K144" s="1" t="s">
        <v>629</v>
      </c>
    </row>
    <row r="145" spans="9:19" ht="13.5" customHeight="1" x14ac:dyDescent="0.2">
      <c r="I145" s="46" t="s">
        <v>630</v>
      </c>
      <c r="J145" s="5">
        <f>SQRT(PI()*(I143^4-(I143-2*J143)^4)/640000/J144)</f>
        <v>21.236800606494391</v>
      </c>
      <c r="K145" s="1" t="s">
        <v>631</v>
      </c>
      <c r="L145" s="10" t="s">
        <v>632</v>
      </c>
      <c r="M145" s="12">
        <v>450</v>
      </c>
      <c r="N145" s="14" t="s">
        <v>631</v>
      </c>
      <c r="O145" s="10" t="s">
        <v>633</v>
      </c>
      <c r="P145" s="12">
        <f>M145/J145</f>
        <v>21.189632484583683</v>
      </c>
      <c r="Q145" s="10" t="s">
        <v>634</v>
      </c>
      <c r="R145" s="12">
        <f>IF(S143&lt;P145,0.277/(P145/S143)^2,(1-0.4*(P145/S143)^2)/(1.5+2*(P145/S143)^2/3))*P143</f>
        <v>140.69316746115979</v>
      </c>
      <c r="S145" s="10" t="s">
        <v>599</v>
      </c>
    </row>
    <row r="147" spans="9:19" ht="13.5" customHeight="1" x14ac:dyDescent="0.2">
      <c r="I147" s="10" t="s">
        <v>585</v>
      </c>
      <c r="J147" s="19">
        <f>10*N141/J144/R145</f>
        <v>2.8500879482907332E-2</v>
      </c>
      <c r="K147" s="10" t="str">
        <f>IF(1&lt;J147,"&gt; 1.00 (NG)","&lt; 1.00 (OK)")</f>
        <v>&lt; 1.00 (OK)</v>
      </c>
      <c r="M147" s="12"/>
      <c r="N147" s="8"/>
      <c r="O147" s="10"/>
      <c r="P147" s="12"/>
      <c r="Q147" s="10"/>
    </row>
  </sheetData>
  <mergeCells count="16">
    <mergeCell ref="D11:D12"/>
    <mergeCell ref="L11:L12"/>
    <mergeCell ref="G15:H15"/>
    <mergeCell ref="O15:P15"/>
    <mergeCell ref="G16:H16"/>
    <mergeCell ref="O16:P16"/>
    <mergeCell ref="D132:D134"/>
    <mergeCell ref="E26:F26"/>
    <mergeCell ref="E35:F35"/>
    <mergeCell ref="E41:F41"/>
    <mergeCell ref="D119:E119"/>
    <mergeCell ref="E130:F130"/>
    <mergeCell ref="D72:D73"/>
    <mergeCell ref="G76:H76"/>
    <mergeCell ref="G77:H77"/>
    <mergeCell ref="D70:D71"/>
  </mergeCells>
  <phoneticPr fontId="4"/>
  <pageMargins left="0.59055118110236227" right="0.19685039370078741" top="0.78740157480314965" bottom="0.39370078740157483" header="0.31496062992125984" footer="0.31496062992125984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B1:AR769"/>
  <sheetViews>
    <sheetView topLeftCell="Q31" zoomScaleNormal="100" workbookViewId="0">
      <selection activeCell="J17" sqref="J17"/>
    </sheetView>
  </sheetViews>
  <sheetFormatPr defaultColWidth="8.44140625" defaultRowHeight="13.5" customHeight="1" x14ac:dyDescent="0.2"/>
  <cols>
    <col min="1" max="1" width="3.44140625" style="54" customWidth="1"/>
    <col min="2" max="3" width="13" style="56" customWidth="1"/>
    <col min="4" max="4" width="10.77734375" style="58" customWidth="1"/>
    <col min="5" max="6" width="6.77734375" style="58" customWidth="1"/>
    <col min="7" max="7" width="6.77734375" style="54" customWidth="1"/>
    <col min="8" max="19" width="6.77734375" style="57" customWidth="1"/>
    <col min="20" max="26" width="8.77734375" style="57" customWidth="1"/>
    <col min="27" max="27" width="3.77734375" style="57" customWidth="1"/>
    <col min="28" max="31" width="5.77734375" style="57" customWidth="1"/>
    <col min="32" max="32" width="4.77734375" style="54" customWidth="1"/>
    <col min="33" max="33" width="18.77734375" style="54" customWidth="1"/>
    <col min="34" max="16384" width="8.44140625" style="54"/>
  </cols>
  <sheetData>
    <row r="1" spans="2:44" ht="13.5" customHeight="1" x14ac:dyDescent="0.2">
      <c r="B1" s="54"/>
      <c r="C1" s="54"/>
      <c r="D1" s="54"/>
      <c r="E1" s="54"/>
      <c r="F1" s="54"/>
      <c r="I1" s="99" t="s">
        <v>199</v>
      </c>
      <c r="J1" s="127"/>
      <c r="K1" s="99"/>
      <c r="L1" s="99"/>
      <c r="M1" s="99"/>
      <c r="N1" s="99"/>
      <c r="O1" s="99"/>
      <c r="P1" s="100"/>
      <c r="Q1" t="s">
        <v>200</v>
      </c>
      <c r="R1" t="s">
        <v>201</v>
      </c>
      <c r="S1" t="s">
        <v>202</v>
      </c>
      <c r="AA1" s="99"/>
      <c r="AB1" s="100"/>
      <c r="AC1" s="100"/>
      <c r="AD1" s="101"/>
      <c r="AE1" s="101"/>
      <c r="AF1" s="101"/>
      <c r="AG1" s="102" t="s">
        <v>74</v>
      </c>
      <c r="AH1" s="103" t="s">
        <v>75</v>
      </c>
      <c r="AI1" s="104" t="s">
        <v>154</v>
      </c>
      <c r="AJ1" s="104" t="s">
        <v>155</v>
      </c>
      <c r="AK1" s="104" t="s">
        <v>156</v>
      </c>
      <c r="AL1" s="104" t="s">
        <v>157</v>
      </c>
      <c r="AM1" s="105" t="s">
        <v>158</v>
      </c>
      <c r="AN1" s="105" t="s">
        <v>159</v>
      </c>
      <c r="AO1" s="105" t="s">
        <v>160</v>
      </c>
      <c r="AP1" s="105" t="s">
        <v>161</v>
      </c>
      <c r="AQ1" s="105" t="s">
        <v>162</v>
      </c>
      <c r="AR1" s="59" t="s">
        <v>163</v>
      </c>
    </row>
    <row r="2" spans="2:44" ht="13.5" customHeight="1" x14ac:dyDescent="0.2">
      <c r="B2" t="s">
        <v>90</v>
      </c>
      <c r="C2" s="54"/>
      <c r="D2" s="54"/>
      <c r="E2" s="54"/>
      <c r="F2" s="54"/>
      <c r="H2" s="54"/>
      <c r="I2" s="99"/>
      <c r="J2" s="128">
        <v>0</v>
      </c>
      <c r="K2" s="128">
        <v>1</v>
      </c>
      <c r="L2" s="128">
        <v>2</v>
      </c>
      <c r="M2" s="128">
        <v>3</v>
      </c>
      <c r="N2" s="99"/>
      <c r="O2" s="99"/>
      <c r="P2" s="99" t="s">
        <v>203</v>
      </c>
      <c r="Q2" s="99">
        <v>71</v>
      </c>
      <c r="R2" s="99">
        <v>30</v>
      </c>
      <c r="S2" s="129">
        <v>11</v>
      </c>
      <c r="T2" s="54"/>
      <c r="U2" s="54"/>
      <c r="V2" s="54"/>
      <c r="W2" s="54"/>
      <c r="X2" s="54"/>
      <c r="Y2" s="54"/>
      <c r="Z2" s="54"/>
      <c r="AA2" s="106" t="s">
        <v>164</v>
      </c>
      <c r="AB2" s="56">
        <v>100</v>
      </c>
      <c r="AC2" s="56">
        <v>100</v>
      </c>
      <c r="AD2" s="58">
        <v>6</v>
      </c>
      <c r="AE2" s="58">
        <v>8</v>
      </c>
      <c r="AF2" s="58"/>
      <c r="AG2" s="55" t="str">
        <f t="shared" ref="AG2:AG65" si="0">AA2&amp;FIXED(AB2,0)&amp;FIXED(AC2,0)&amp;FIXED(AD2,1)&amp;FIXED(AE2,1)</f>
        <v>H -1001006.08.0</v>
      </c>
      <c r="AH2" s="58">
        <v>21.59</v>
      </c>
      <c r="AI2" s="107">
        <v>378</v>
      </c>
      <c r="AJ2" s="107">
        <v>134</v>
      </c>
      <c r="AK2" s="57">
        <v>4.18</v>
      </c>
      <c r="AL2" s="57">
        <v>2.4900000000000002</v>
      </c>
      <c r="AM2" s="57">
        <v>2.75</v>
      </c>
      <c r="AN2" s="108">
        <v>75.599999999999994</v>
      </c>
      <c r="AO2" s="108">
        <v>26.7</v>
      </c>
      <c r="AP2" s="108">
        <v>86.4</v>
      </c>
      <c r="AQ2" s="108">
        <v>41</v>
      </c>
      <c r="AR2" s="99"/>
    </row>
    <row r="3" spans="2:44" ht="13.5" customHeight="1" x14ac:dyDescent="0.2">
      <c r="B3" s="67"/>
      <c r="C3" s="68" t="s">
        <v>92</v>
      </c>
      <c r="D3" s="68" t="s">
        <v>91</v>
      </c>
      <c r="E3" s="68" t="s">
        <v>202</v>
      </c>
      <c r="F3" s="54"/>
      <c r="H3" s="56"/>
      <c r="I3" s="130">
        <v>1.6</v>
      </c>
      <c r="J3" s="131">
        <v>6</v>
      </c>
      <c r="K3" s="131">
        <v>6</v>
      </c>
      <c r="L3" s="128">
        <v>9</v>
      </c>
      <c r="M3" s="131">
        <v>12</v>
      </c>
      <c r="N3" s="99"/>
      <c r="O3" s="99"/>
      <c r="P3" s="100" t="s">
        <v>204</v>
      </c>
      <c r="Q3" s="100">
        <f>(Q2+Q4)/2</f>
        <v>99</v>
      </c>
      <c r="R3" s="100">
        <f>(R2+R4)/2</f>
        <v>35</v>
      </c>
      <c r="S3" s="129">
        <v>14</v>
      </c>
      <c r="T3" s="56"/>
      <c r="U3" s="56"/>
      <c r="V3" s="56"/>
      <c r="W3" s="56"/>
      <c r="X3" s="56"/>
      <c r="Y3" s="56"/>
      <c r="Z3" s="56"/>
      <c r="AA3" s="106" t="s">
        <v>164</v>
      </c>
      <c r="AB3" s="56">
        <v>125</v>
      </c>
      <c r="AC3" s="56">
        <v>125</v>
      </c>
      <c r="AD3" s="58">
        <v>6.5</v>
      </c>
      <c r="AE3" s="58">
        <v>9</v>
      </c>
      <c r="AF3" s="58"/>
      <c r="AG3" s="55" t="str">
        <f t="shared" si="0"/>
        <v>H -1251256.59.0</v>
      </c>
      <c r="AH3" s="58">
        <v>30</v>
      </c>
      <c r="AI3" s="107">
        <v>839</v>
      </c>
      <c r="AJ3" s="107">
        <v>293</v>
      </c>
      <c r="AK3" s="57">
        <v>5.29</v>
      </c>
      <c r="AL3" s="57">
        <v>3.13</v>
      </c>
      <c r="AM3" s="57">
        <v>3.45</v>
      </c>
      <c r="AN3" s="108">
        <v>134</v>
      </c>
      <c r="AO3" s="108">
        <v>46.9</v>
      </c>
      <c r="AP3" s="108">
        <v>152</v>
      </c>
      <c r="AQ3" s="108">
        <v>71.7</v>
      </c>
      <c r="AR3" s="99"/>
    </row>
    <row r="4" spans="2:44" ht="13.5" customHeight="1" x14ac:dyDescent="0.2">
      <c r="B4" s="66" t="s">
        <v>76</v>
      </c>
      <c r="C4" s="66">
        <v>71</v>
      </c>
      <c r="D4" s="66">
        <v>30</v>
      </c>
      <c r="E4" s="132">
        <v>11</v>
      </c>
      <c r="F4" s="54"/>
      <c r="H4" s="54"/>
      <c r="I4" s="101">
        <v>2.2999999999999998</v>
      </c>
      <c r="J4" s="131">
        <v>6</v>
      </c>
      <c r="K4" s="131">
        <v>6</v>
      </c>
      <c r="L4" s="128">
        <v>9</v>
      </c>
      <c r="M4" s="131">
        <v>12</v>
      </c>
      <c r="N4" s="99"/>
      <c r="O4" s="99"/>
      <c r="P4" s="99" t="s">
        <v>205</v>
      </c>
      <c r="Q4" s="99">
        <v>127</v>
      </c>
      <c r="R4" s="99">
        <v>40</v>
      </c>
      <c r="S4" s="128">
        <v>14</v>
      </c>
      <c r="T4" s="54"/>
      <c r="U4" s="54"/>
      <c r="V4" s="54"/>
      <c r="W4" s="54"/>
      <c r="X4" s="54"/>
      <c r="Y4" s="54"/>
      <c r="Z4" s="54"/>
      <c r="AA4" s="106" t="s">
        <v>164</v>
      </c>
      <c r="AB4" s="56">
        <v>150</v>
      </c>
      <c r="AC4" s="56">
        <v>150</v>
      </c>
      <c r="AD4" s="58">
        <v>7</v>
      </c>
      <c r="AE4" s="58">
        <v>10</v>
      </c>
      <c r="AF4" s="58"/>
      <c r="AG4" s="55" t="str">
        <f t="shared" si="0"/>
        <v>H -1501507.010.0</v>
      </c>
      <c r="AH4" s="58">
        <v>39.65</v>
      </c>
      <c r="AI4" s="107">
        <v>1620</v>
      </c>
      <c r="AJ4" s="107">
        <v>563</v>
      </c>
      <c r="AK4" s="57">
        <v>6.4</v>
      </c>
      <c r="AL4" s="57">
        <v>3.77</v>
      </c>
      <c r="AM4" s="57">
        <v>4.1500000000000004</v>
      </c>
      <c r="AN4" s="108">
        <v>216</v>
      </c>
      <c r="AO4" s="108">
        <v>75.099999999999994</v>
      </c>
      <c r="AP4" s="108">
        <v>243</v>
      </c>
      <c r="AQ4" s="108">
        <v>114</v>
      </c>
      <c r="AR4" s="99"/>
    </row>
    <row r="5" spans="2:44" ht="13.5" customHeight="1" x14ac:dyDescent="0.2">
      <c r="B5" s="63" t="s">
        <v>77</v>
      </c>
      <c r="C5" s="63">
        <f>(C4+C6)/2</f>
        <v>99</v>
      </c>
      <c r="D5" s="63">
        <f>(D4+D6)/2</f>
        <v>35</v>
      </c>
      <c r="E5" s="133">
        <v>14</v>
      </c>
      <c r="F5" s="54"/>
      <c r="H5" s="56"/>
      <c r="I5" s="101">
        <v>3.2</v>
      </c>
      <c r="J5" s="131">
        <v>6</v>
      </c>
      <c r="K5" s="131">
        <v>6</v>
      </c>
      <c r="L5" s="128">
        <v>9</v>
      </c>
      <c r="M5" s="131">
        <v>12</v>
      </c>
      <c r="N5" s="99"/>
      <c r="O5" s="99"/>
      <c r="P5" s="100" t="s">
        <v>206</v>
      </c>
      <c r="Q5" s="100">
        <f>(Q4+Q6)/2</f>
        <v>163</v>
      </c>
      <c r="R5" s="100">
        <f>(R4+R6)/2</f>
        <v>45</v>
      </c>
      <c r="S5" s="129">
        <v>18</v>
      </c>
      <c r="T5" s="56"/>
      <c r="U5" s="56"/>
      <c r="V5" s="56"/>
      <c r="W5" s="56"/>
      <c r="X5" s="56"/>
      <c r="Y5" s="56"/>
      <c r="Z5" s="56"/>
      <c r="AA5" s="106" t="s">
        <v>164</v>
      </c>
      <c r="AB5" s="56">
        <v>175</v>
      </c>
      <c r="AC5" s="56">
        <v>175</v>
      </c>
      <c r="AD5" s="58">
        <v>7.5</v>
      </c>
      <c r="AE5" s="58">
        <v>11</v>
      </c>
      <c r="AF5" s="58"/>
      <c r="AG5" s="55" t="str">
        <f t="shared" si="0"/>
        <v>H -1751757.511.0</v>
      </c>
      <c r="AH5" s="58">
        <v>51.42</v>
      </c>
      <c r="AI5" s="107">
        <v>2900</v>
      </c>
      <c r="AJ5" s="107">
        <v>984</v>
      </c>
      <c r="AK5" s="57">
        <v>7.5</v>
      </c>
      <c r="AL5" s="57">
        <v>4.37</v>
      </c>
      <c r="AM5" s="57">
        <v>4.8</v>
      </c>
      <c r="AN5" s="108">
        <v>331</v>
      </c>
      <c r="AO5" s="108">
        <v>112</v>
      </c>
      <c r="AP5" s="108">
        <v>370</v>
      </c>
      <c r="AQ5" s="108">
        <v>172</v>
      </c>
      <c r="AR5" s="99"/>
    </row>
    <row r="6" spans="2:44" ht="13.5" customHeight="1" x14ac:dyDescent="0.2">
      <c r="B6" s="62" t="s">
        <v>78</v>
      </c>
      <c r="C6" s="62">
        <v>127</v>
      </c>
      <c r="D6" s="62">
        <v>40</v>
      </c>
      <c r="E6" s="134">
        <v>14</v>
      </c>
      <c r="F6" s="54"/>
      <c r="H6" s="54"/>
      <c r="I6" s="130">
        <v>4</v>
      </c>
      <c r="J6" s="131">
        <v>6</v>
      </c>
      <c r="K6" s="131">
        <v>6</v>
      </c>
      <c r="L6" s="128">
        <v>9</v>
      </c>
      <c r="M6" s="131">
        <v>12</v>
      </c>
      <c r="N6" s="99"/>
      <c r="O6" s="99"/>
      <c r="P6" s="99" t="s">
        <v>207</v>
      </c>
      <c r="Q6" s="99">
        <v>199</v>
      </c>
      <c r="R6" s="99">
        <v>50</v>
      </c>
      <c r="S6" s="128">
        <v>18</v>
      </c>
      <c r="T6" s="54"/>
      <c r="U6" s="54"/>
      <c r="V6" s="54"/>
      <c r="W6" s="54"/>
      <c r="X6" s="54"/>
      <c r="Y6" s="54"/>
      <c r="Z6" s="54"/>
      <c r="AA6" s="106" t="s">
        <v>164</v>
      </c>
      <c r="AB6" s="56">
        <v>200</v>
      </c>
      <c r="AC6" s="56">
        <v>200</v>
      </c>
      <c r="AD6" s="58">
        <v>8</v>
      </c>
      <c r="AE6" s="58">
        <v>12</v>
      </c>
      <c r="AF6" s="58"/>
      <c r="AG6" s="55" t="str">
        <f t="shared" si="0"/>
        <v>H -2002008.012.0</v>
      </c>
      <c r="AH6" s="58">
        <v>63.53</v>
      </c>
      <c r="AI6" s="107">
        <v>4720</v>
      </c>
      <c r="AJ6" s="107">
        <v>1600</v>
      </c>
      <c r="AK6" s="57">
        <v>8.6199999999999992</v>
      </c>
      <c r="AL6" s="57">
        <v>5.0199999999999996</v>
      </c>
      <c r="AM6" s="57">
        <v>5.5</v>
      </c>
      <c r="AN6" s="108">
        <v>472</v>
      </c>
      <c r="AO6" s="108">
        <v>160</v>
      </c>
      <c r="AP6" s="108">
        <v>525</v>
      </c>
      <c r="AQ6" s="108">
        <v>244</v>
      </c>
      <c r="AR6" s="99"/>
    </row>
    <row r="7" spans="2:44" ht="13.5" customHeight="1" x14ac:dyDescent="0.2">
      <c r="B7" s="63" t="s">
        <v>79</v>
      </c>
      <c r="C7" s="63">
        <f>(C6+C8)/2</f>
        <v>163</v>
      </c>
      <c r="D7" s="63">
        <f>(D6+D8)/2</f>
        <v>45</v>
      </c>
      <c r="E7" s="133">
        <v>18</v>
      </c>
      <c r="F7" s="54"/>
      <c r="H7" s="54"/>
      <c r="I7" s="130">
        <v>4.5</v>
      </c>
      <c r="J7" s="131">
        <v>6</v>
      </c>
      <c r="K7" s="131">
        <v>6</v>
      </c>
      <c r="L7" s="128">
        <v>9</v>
      </c>
      <c r="M7" s="131">
        <v>12</v>
      </c>
      <c r="N7" s="99"/>
      <c r="O7" s="99"/>
      <c r="P7" s="100" t="s">
        <v>208</v>
      </c>
      <c r="Q7" s="100">
        <f>(Q6+Q8)/2</f>
        <v>243</v>
      </c>
      <c r="R7" s="100">
        <f>(R6+R8)/2</f>
        <v>55</v>
      </c>
      <c r="S7" s="129">
        <v>21</v>
      </c>
      <c r="T7" s="54"/>
      <c r="U7" s="54"/>
      <c r="V7" s="54"/>
      <c r="W7" s="54"/>
      <c r="X7" s="54"/>
      <c r="Y7" s="54"/>
      <c r="Z7" s="54"/>
      <c r="AA7" s="106" t="s">
        <v>164</v>
      </c>
      <c r="AB7" s="56">
        <v>200</v>
      </c>
      <c r="AC7" s="56">
        <v>204</v>
      </c>
      <c r="AD7" s="58">
        <v>12</v>
      </c>
      <c r="AE7" s="58">
        <v>12</v>
      </c>
      <c r="AF7" s="58"/>
      <c r="AG7" s="55" t="str">
        <f t="shared" si="0"/>
        <v>H -20020412.012.0</v>
      </c>
      <c r="AH7" s="58">
        <v>71.58</v>
      </c>
      <c r="AI7" s="107">
        <v>4980</v>
      </c>
      <c r="AJ7" s="107">
        <v>1700</v>
      </c>
      <c r="AK7" s="57">
        <v>8.35</v>
      </c>
      <c r="AL7" s="57">
        <v>4.88</v>
      </c>
      <c r="AM7" s="57">
        <v>5.53</v>
      </c>
      <c r="AN7" s="108">
        <v>498</v>
      </c>
      <c r="AO7" s="108">
        <v>167</v>
      </c>
      <c r="AP7" s="108">
        <v>565</v>
      </c>
      <c r="AQ7" s="108">
        <v>257</v>
      </c>
      <c r="AR7" s="99"/>
    </row>
    <row r="8" spans="2:44" ht="13.5" customHeight="1" x14ac:dyDescent="0.2">
      <c r="B8" s="62" t="s">
        <v>80</v>
      </c>
      <c r="C8" s="62">
        <v>199</v>
      </c>
      <c r="D8" s="62">
        <v>50</v>
      </c>
      <c r="E8" s="134">
        <v>18</v>
      </c>
      <c r="F8" s="54"/>
      <c r="H8" s="54"/>
      <c r="I8" s="130">
        <v>5</v>
      </c>
      <c r="J8" s="131">
        <v>9</v>
      </c>
      <c r="K8" s="131">
        <v>9</v>
      </c>
      <c r="L8" s="128">
        <v>12</v>
      </c>
      <c r="M8" s="131">
        <v>16</v>
      </c>
      <c r="N8" s="99"/>
      <c r="O8" s="99"/>
      <c r="P8" s="99" t="s">
        <v>209</v>
      </c>
      <c r="Q8" s="99">
        <v>287</v>
      </c>
      <c r="R8" s="99">
        <v>60</v>
      </c>
      <c r="S8" s="128">
        <v>21</v>
      </c>
      <c r="T8" s="54"/>
      <c r="U8" s="54"/>
      <c r="V8" s="54"/>
      <c r="W8" s="54"/>
      <c r="X8" s="54"/>
      <c r="Y8" s="54"/>
      <c r="Z8" s="54"/>
      <c r="AA8" s="106" t="s">
        <v>164</v>
      </c>
      <c r="AB8" s="56">
        <v>208</v>
      </c>
      <c r="AC8" s="56">
        <v>202</v>
      </c>
      <c r="AD8" s="58">
        <v>10</v>
      </c>
      <c r="AE8" s="58">
        <v>16</v>
      </c>
      <c r="AF8" s="58"/>
      <c r="AG8" s="55" t="str">
        <f t="shared" si="0"/>
        <v>H -20820210.016.0</v>
      </c>
      <c r="AH8" s="58">
        <v>83.69</v>
      </c>
      <c r="AI8" s="107">
        <v>6530</v>
      </c>
      <c r="AJ8" s="107">
        <v>2200</v>
      </c>
      <c r="AK8" s="57">
        <v>8.83</v>
      </c>
      <c r="AL8" s="57">
        <v>5.13</v>
      </c>
      <c r="AM8" s="57">
        <v>5.61</v>
      </c>
      <c r="AN8" s="108">
        <v>628</v>
      </c>
      <c r="AO8" s="108">
        <v>218</v>
      </c>
      <c r="AP8" s="108">
        <v>710</v>
      </c>
      <c r="AQ8" s="108">
        <v>332</v>
      </c>
      <c r="AR8" s="99"/>
    </row>
    <row r="9" spans="2:44" ht="13.5" customHeight="1" x14ac:dyDescent="0.2">
      <c r="B9" s="62" t="s">
        <v>81</v>
      </c>
      <c r="C9" s="62">
        <v>287</v>
      </c>
      <c r="D9" s="62">
        <v>60</v>
      </c>
      <c r="E9" s="133">
        <v>21</v>
      </c>
      <c r="F9" s="54"/>
      <c r="H9" s="54"/>
      <c r="I9" s="130">
        <v>5.5</v>
      </c>
      <c r="J9" s="131">
        <v>9</v>
      </c>
      <c r="K9" s="131">
        <v>9</v>
      </c>
      <c r="L9" s="131">
        <v>12</v>
      </c>
      <c r="M9" s="131">
        <v>16</v>
      </c>
      <c r="N9" s="99"/>
      <c r="O9" s="99"/>
      <c r="P9" s="100" t="s">
        <v>210</v>
      </c>
      <c r="Q9" s="100">
        <f>(Q8+Q10)/2</f>
        <v>337</v>
      </c>
      <c r="R9" s="100">
        <f>(R8+R10)/2</f>
        <v>65</v>
      </c>
      <c r="S9" s="129">
        <v>25</v>
      </c>
      <c r="T9" s="54"/>
      <c r="U9" s="54"/>
      <c r="V9" s="54"/>
      <c r="W9" s="54"/>
      <c r="X9" s="54"/>
      <c r="Y9" s="54"/>
      <c r="Z9" s="54"/>
      <c r="AA9" s="106" t="s">
        <v>164</v>
      </c>
      <c r="AB9" s="56">
        <v>244</v>
      </c>
      <c r="AC9" s="56">
        <v>252</v>
      </c>
      <c r="AD9" s="58">
        <v>11</v>
      </c>
      <c r="AE9" s="58">
        <v>11</v>
      </c>
      <c r="AF9" s="58"/>
      <c r="AG9" s="55" t="str">
        <f t="shared" si="0"/>
        <v>H -24425211.011.0</v>
      </c>
      <c r="AH9" s="58">
        <v>81.31</v>
      </c>
      <c r="AI9" s="107">
        <v>8700</v>
      </c>
      <c r="AJ9" s="107">
        <v>2940</v>
      </c>
      <c r="AK9" s="57">
        <v>10.3</v>
      </c>
      <c r="AL9" s="57">
        <v>6.01</v>
      </c>
      <c r="AM9" s="57">
        <v>6.8</v>
      </c>
      <c r="AN9" s="108">
        <v>713</v>
      </c>
      <c r="AO9" s="108">
        <v>233</v>
      </c>
      <c r="AP9" s="108">
        <v>797</v>
      </c>
      <c r="AQ9" s="108">
        <v>357</v>
      </c>
      <c r="AR9" s="99"/>
    </row>
    <row r="10" spans="2:44" ht="13.5" customHeight="1" x14ac:dyDescent="0.2">
      <c r="B10" s="62" t="s">
        <v>82</v>
      </c>
      <c r="C10" s="62">
        <v>387</v>
      </c>
      <c r="D10" s="62">
        <v>70</v>
      </c>
      <c r="E10" s="134">
        <v>25</v>
      </c>
      <c r="F10" s="54"/>
      <c r="H10" s="54"/>
      <c r="I10" s="130">
        <v>6</v>
      </c>
      <c r="J10" s="131">
        <v>9</v>
      </c>
      <c r="K10" s="131">
        <v>9</v>
      </c>
      <c r="L10" s="131">
        <v>12</v>
      </c>
      <c r="M10" s="131">
        <v>16</v>
      </c>
      <c r="N10" s="99"/>
      <c r="O10" s="99"/>
      <c r="P10" s="99" t="s">
        <v>211</v>
      </c>
      <c r="Q10" s="99">
        <v>387</v>
      </c>
      <c r="R10" s="99">
        <v>70</v>
      </c>
      <c r="S10" s="128">
        <v>25</v>
      </c>
      <c r="T10" s="54"/>
      <c r="U10" s="54"/>
      <c r="V10" s="54"/>
      <c r="W10" s="54"/>
      <c r="X10" s="54"/>
      <c r="Y10" s="54"/>
      <c r="Z10" s="54"/>
      <c r="AA10" s="106" t="s">
        <v>164</v>
      </c>
      <c r="AB10" s="56">
        <v>248</v>
      </c>
      <c r="AC10" s="56">
        <v>249</v>
      </c>
      <c r="AD10" s="58">
        <v>8</v>
      </c>
      <c r="AE10" s="58">
        <v>13</v>
      </c>
      <c r="AF10" s="58"/>
      <c r="AG10" s="55" t="str">
        <f t="shared" si="0"/>
        <v>H -2482498.013.0</v>
      </c>
      <c r="AH10" s="58">
        <v>83.95</v>
      </c>
      <c r="AI10" s="107">
        <v>9850</v>
      </c>
      <c r="AJ10" s="107">
        <v>3350</v>
      </c>
      <c r="AK10" s="57">
        <v>10.8</v>
      </c>
      <c r="AL10" s="57">
        <v>6.31</v>
      </c>
      <c r="AM10" s="57">
        <v>6.88</v>
      </c>
      <c r="AN10" s="108">
        <v>794</v>
      </c>
      <c r="AO10" s="108">
        <v>269</v>
      </c>
      <c r="AP10" s="108">
        <v>875</v>
      </c>
      <c r="AQ10" s="108">
        <v>408</v>
      </c>
      <c r="AR10" s="99"/>
    </row>
    <row r="11" spans="2:44" ht="13.5" customHeight="1" x14ac:dyDescent="0.2">
      <c r="B11" s="62" t="s">
        <v>83</v>
      </c>
      <c r="C11" s="62">
        <v>507</v>
      </c>
      <c r="D11" s="62">
        <v>80</v>
      </c>
      <c r="E11" s="133">
        <v>28</v>
      </c>
      <c r="F11" s="54"/>
      <c r="H11" s="54"/>
      <c r="I11" s="130">
        <v>6.5</v>
      </c>
      <c r="J11" s="131">
        <v>9</v>
      </c>
      <c r="K11" s="131">
        <v>12</v>
      </c>
      <c r="L11" s="131">
        <v>12</v>
      </c>
      <c r="M11" s="131">
        <v>16</v>
      </c>
      <c r="N11" s="99"/>
      <c r="O11" s="99"/>
      <c r="P11" s="100" t="s">
        <v>212</v>
      </c>
      <c r="Q11" s="100">
        <f>(Q10+Q12)/2</f>
        <v>447</v>
      </c>
      <c r="R11" s="100">
        <f>(R10+R12)/2</f>
        <v>75</v>
      </c>
      <c r="S11" s="129">
        <v>28</v>
      </c>
      <c r="T11" s="54"/>
      <c r="U11" s="54"/>
      <c r="V11" s="54"/>
      <c r="W11" s="54"/>
      <c r="X11" s="54"/>
      <c r="Y11" s="54"/>
      <c r="Z11" s="54"/>
      <c r="AA11" s="106" t="s">
        <v>164</v>
      </c>
      <c r="AB11" s="56">
        <v>250</v>
      </c>
      <c r="AC11" s="56">
        <v>250</v>
      </c>
      <c r="AD11" s="58">
        <v>9</v>
      </c>
      <c r="AE11" s="58">
        <v>14</v>
      </c>
      <c r="AF11" s="58"/>
      <c r="AG11" s="55" t="str">
        <f t="shared" si="0"/>
        <v>H -2502509.014.0</v>
      </c>
      <c r="AH11" s="58">
        <v>91.43</v>
      </c>
      <c r="AI11" s="107">
        <v>10700</v>
      </c>
      <c r="AJ11" s="107">
        <v>3650</v>
      </c>
      <c r="AK11" s="57">
        <v>10.8</v>
      </c>
      <c r="AL11" s="57">
        <v>6.32</v>
      </c>
      <c r="AM11" s="57">
        <v>6.91</v>
      </c>
      <c r="AN11" s="108">
        <v>860</v>
      </c>
      <c r="AO11" s="108">
        <v>292</v>
      </c>
      <c r="AP11" s="108">
        <v>953</v>
      </c>
      <c r="AQ11" s="108">
        <v>443</v>
      </c>
      <c r="AR11" s="99"/>
    </row>
    <row r="12" spans="2:44" ht="13.5" customHeight="1" x14ac:dyDescent="0.2">
      <c r="B12" s="62" t="s">
        <v>84</v>
      </c>
      <c r="C12" s="62">
        <v>642</v>
      </c>
      <c r="D12" s="62">
        <v>90</v>
      </c>
      <c r="E12" s="134">
        <v>33</v>
      </c>
      <c r="F12" s="54"/>
      <c r="H12" s="54"/>
      <c r="I12" s="101">
        <v>7</v>
      </c>
      <c r="J12" s="128">
        <v>9</v>
      </c>
      <c r="K12" s="128">
        <v>12</v>
      </c>
      <c r="L12" s="128">
        <v>16</v>
      </c>
      <c r="M12" s="131">
        <v>19</v>
      </c>
      <c r="N12" s="99"/>
      <c r="O12" s="99"/>
      <c r="P12" s="99" t="s">
        <v>213</v>
      </c>
      <c r="Q12" s="99">
        <v>507</v>
      </c>
      <c r="R12" s="99">
        <v>80</v>
      </c>
      <c r="S12" s="128">
        <v>28</v>
      </c>
      <c r="T12" s="54"/>
      <c r="U12" s="54"/>
      <c r="V12" s="54"/>
      <c r="W12" s="54"/>
      <c r="X12" s="54"/>
      <c r="Y12" s="54"/>
      <c r="Z12" s="54"/>
      <c r="AA12" s="106" t="s">
        <v>164</v>
      </c>
      <c r="AB12" s="56">
        <v>250</v>
      </c>
      <c r="AC12" s="56">
        <v>255</v>
      </c>
      <c r="AD12" s="58">
        <v>14</v>
      </c>
      <c r="AE12" s="58">
        <v>14</v>
      </c>
      <c r="AF12" s="58"/>
      <c r="AG12" s="55" t="str">
        <f t="shared" si="0"/>
        <v>H -25025514.014.0</v>
      </c>
      <c r="AH12" s="58">
        <v>103.9</v>
      </c>
      <c r="AI12" s="107">
        <v>11400</v>
      </c>
      <c r="AJ12" s="107">
        <v>3880</v>
      </c>
      <c r="AK12" s="57">
        <v>10.5</v>
      </c>
      <c r="AL12" s="57">
        <v>6.11</v>
      </c>
      <c r="AM12" s="57">
        <v>6.93</v>
      </c>
      <c r="AN12" s="108">
        <v>912</v>
      </c>
      <c r="AO12" s="108">
        <v>304</v>
      </c>
      <c r="AP12" s="108">
        <v>1030</v>
      </c>
      <c r="AQ12" s="108">
        <v>467</v>
      </c>
      <c r="AR12" s="99"/>
    </row>
    <row r="13" spans="2:44" ht="13.5" customHeight="1" x14ac:dyDescent="0.2">
      <c r="B13" s="62" t="s">
        <v>85</v>
      </c>
      <c r="C13" s="62">
        <v>794</v>
      </c>
      <c r="D13" s="62">
        <v>100</v>
      </c>
      <c r="E13" s="133">
        <v>36</v>
      </c>
      <c r="F13" s="54"/>
      <c r="H13" s="54"/>
      <c r="I13" s="130">
        <v>8</v>
      </c>
      <c r="J13" s="131">
        <v>9</v>
      </c>
      <c r="K13" s="131">
        <v>12</v>
      </c>
      <c r="L13" s="131">
        <v>16</v>
      </c>
      <c r="M13" s="131">
        <v>19</v>
      </c>
      <c r="N13" s="99"/>
      <c r="O13" s="99"/>
      <c r="P13" s="99" t="s">
        <v>214</v>
      </c>
      <c r="Q13" s="99">
        <v>642</v>
      </c>
      <c r="R13" s="99">
        <v>90</v>
      </c>
      <c r="S13" s="129">
        <v>33</v>
      </c>
      <c r="T13" s="54"/>
      <c r="U13" s="54"/>
      <c r="V13" s="54"/>
      <c r="W13" s="54"/>
      <c r="X13" s="54"/>
      <c r="Y13" s="54"/>
      <c r="Z13" s="54"/>
      <c r="AA13" s="106" t="s">
        <v>164</v>
      </c>
      <c r="AB13" s="56">
        <v>294</v>
      </c>
      <c r="AC13" s="56">
        <v>302</v>
      </c>
      <c r="AD13" s="58">
        <v>12</v>
      </c>
      <c r="AE13" s="58">
        <v>12</v>
      </c>
      <c r="AF13" s="58"/>
      <c r="AG13" s="55" t="str">
        <f t="shared" si="0"/>
        <v>H -29430212.012.0</v>
      </c>
      <c r="AH13" s="58">
        <v>106.3</v>
      </c>
      <c r="AI13" s="107">
        <v>16600</v>
      </c>
      <c r="AJ13" s="107">
        <v>5510</v>
      </c>
      <c r="AK13" s="57">
        <v>12.5</v>
      </c>
      <c r="AL13" s="57">
        <v>7.2</v>
      </c>
      <c r="AM13" s="57">
        <v>8.16</v>
      </c>
      <c r="AN13" s="108">
        <v>1130</v>
      </c>
      <c r="AO13" s="108">
        <v>365</v>
      </c>
      <c r="AP13" s="108">
        <v>1260</v>
      </c>
      <c r="AQ13" s="108">
        <v>558</v>
      </c>
      <c r="AR13" s="99"/>
    </row>
    <row r="14" spans="2:44" ht="13.5" customHeight="1" x14ac:dyDescent="0.2">
      <c r="B14" s="62" t="s">
        <v>86</v>
      </c>
      <c r="C14" s="62">
        <v>957</v>
      </c>
      <c r="D14" s="62">
        <v>110</v>
      </c>
      <c r="E14" s="134">
        <v>40</v>
      </c>
      <c r="F14" s="54"/>
      <c r="H14" s="54"/>
      <c r="I14" s="130">
        <v>9</v>
      </c>
      <c r="J14" s="131">
        <v>9</v>
      </c>
      <c r="K14" s="131">
        <v>12</v>
      </c>
      <c r="L14" s="131">
        <v>16</v>
      </c>
      <c r="M14" s="131">
        <v>19</v>
      </c>
      <c r="N14" s="99"/>
      <c r="O14" s="99"/>
      <c r="P14" s="99" t="s">
        <v>215</v>
      </c>
      <c r="Q14" s="99">
        <v>794</v>
      </c>
      <c r="R14" s="99">
        <v>100</v>
      </c>
      <c r="S14" s="129">
        <v>36</v>
      </c>
      <c r="T14" s="54"/>
      <c r="U14" s="54"/>
      <c r="V14" s="54"/>
      <c r="W14" s="54"/>
      <c r="X14" s="54"/>
      <c r="Y14" s="54"/>
      <c r="Z14" s="54"/>
      <c r="AA14" s="106" t="s">
        <v>164</v>
      </c>
      <c r="AB14" s="56">
        <v>298</v>
      </c>
      <c r="AC14" s="56">
        <v>299</v>
      </c>
      <c r="AD14" s="58">
        <v>9</v>
      </c>
      <c r="AE14" s="58">
        <v>14</v>
      </c>
      <c r="AF14" s="58"/>
      <c r="AG14" s="55" t="str">
        <f t="shared" si="0"/>
        <v>H -2982999.014.0</v>
      </c>
      <c r="AH14" s="58">
        <v>109.5</v>
      </c>
      <c r="AI14" s="107">
        <v>18600</v>
      </c>
      <c r="AJ14" s="107">
        <v>6240</v>
      </c>
      <c r="AK14" s="57">
        <v>13</v>
      </c>
      <c r="AL14" s="57">
        <v>7.55</v>
      </c>
      <c r="AM14" s="57">
        <v>8.25</v>
      </c>
      <c r="AN14" s="108">
        <v>1250</v>
      </c>
      <c r="AO14" s="108">
        <v>417</v>
      </c>
      <c r="AP14" s="108">
        <v>1370</v>
      </c>
      <c r="AQ14" s="108">
        <v>632</v>
      </c>
      <c r="AR14" s="99"/>
    </row>
    <row r="15" spans="2:44" ht="13.5" customHeight="1" x14ac:dyDescent="0.2">
      <c r="B15" s="62" t="s">
        <v>87</v>
      </c>
      <c r="C15" s="62">
        <v>1140</v>
      </c>
      <c r="D15" s="62">
        <v>120</v>
      </c>
      <c r="E15" s="133">
        <v>43</v>
      </c>
      <c r="F15" s="54"/>
      <c r="I15" s="130">
        <v>10</v>
      </c>
      <c r="J15" s="131">
        <v>12</v>
      </c>
      <c r="K15" s="131">
        <v>16</v>
      </c>
      <c r="L15" s="131">
        <v>19</v>
      </c>
      <c r="M15" s="131">
        <v>22</v>
      </c>
      <c r="N15" s="99"/>
      <c r="O15" s="99"/>
      <c r="P15" s="99" t="s">
        <v>216</v>
      </c>
      <c r="Q15" s="99">
        <v>957</v>
      </c>
      <c r="R15" s="99">
        <v>110</v>
      </c>
      <c r="S15" s="129">
        <v>40</v>
      </c>
      <c r="AA15" s="106" t="s">
        <v>164</v>
      </c>
      <c r="AB15" s="56">
        <v>300</v>
      </c>
      <c r="AC15" s="56">
        <v>300</v>
      </c>
      <c r="AD15" s="58">
        <v>10</v>
      </c>
      <c r="AE15" s="58">
        <v>15</v>
      </c>
      <c r="AF15" s="58"/>
      <c r="AG15" s="55" t="str">
        <f t="shared" si="0"/>
        <v>H -30030010.015.0</v>
      </c>
      <c r="AH15" s="58">
        <v>118.4</v>
      </c>
      <c r="AI15" s="107">
        <v>20200</v>
      </c>
      <c r="AJ15" s="107">
        <v>6750</v>
      </c>
      <c r="AK15" s="57">
        <v>13.1</v>
      </c>
      <c r="AL15" s="57">
        <v>7.55</v>
      </c>
      <c r="AM15" s="57">
        <v>8.2799999999999994</v>
      </c>
      <c r="AN15" s="108">
        <v>1350</v>
      </c>
      <c r="AO15" s="108">
        <v>450</v>
      </c>
      <c r="AP15" s="108">
        <v>1480</v>
      </c>
      <c r="AQ15" s="108">
        <v>683</v>
      </c>
      <c r="AR15" s="99"/>
    </row>
    <row r="16" spans="2:44" ht="13.5" customHeight="1" x14ac:dyDescent="0.2">
      <c r="B16" s="62" t="s">
        <v>88</v>
      </c>
      <c r="C16" s="62">
        <v>1340</v>
      </c>
      <c r="D16" s="62">
        <v>130</v>
      </c>
      <c r="E16" s="133"/>
      <c r="F16" s="54"/>
      <c r="I16" s="130">
        <v>11</v>
      </c>
      <c r="J16" s="131">
        <v>12</v>
      </c>
      <c r="K16" s="131">
        <v>16</v>
      </c>
      <c r="L16" s="131">
        <v>19</v>
      </c>
      <c r="M16" s="131">
        <v>22</v>
      </c>
      <c r="N16" s="99"/>
      <c r="O16" s="99"/>
      <c r="P16" s="99" t="s">
        <v>217</v>
      </c>
      <c r="Q16" s="99">
        <v>1140</v>
      </c>
      <c r="R16" s="99">
        <v>120</v>
      </c>
      <c r="S16" s="129">
        <v>43</v>
      </c>
      <c r="AA16" s="106" t="s">
        <v>164</v>
      </c>
      <c r="AB16" s="56">
        <v>300</v>
      </c>
      <c r="AC16" s="56">
        <v>305</v>
      </c>
      <c r="AD16" s="58">
        <v>15</v>
      </c>
      <c r="AE16" s="58">
        <v>15</v>
      </c>
      <c r="AF16" s="58"/>
      <c r="AG16" s="55" t="str">
        <f t="shared" si="0"/>
        <v>H -30030515.015.0</v>
      </c>
      <c r="AH16" s="58">
        <v>133.4</v>
      </c>
      <c r="AI16" s="107">
        <v>21300</v>
      </c>
      <c r="AJ16" s="107">
        <v>7100</v>
      </c>
      <c r="AK16" s="57">
        <v>12.6</v>
      </c>
      <c r="AL16" s="57">
        <v>7.3</v>
      </c>
      <c r="AM16" s="57">
        <v>8.2799999999999994</v>
      </c>
      <c r="AN16" s="108">
        <v>1420</v>
      </c>
      <c r="AO16" s="108">
        <v>466</v>
      </c>
      <c r="AP16" s="108">
        <v>1600</v>
      </c>
      <c r="AQ16" s="108">
        <v>714</v>
      </c>
      <c r="AR16" s="99"/>
    </row>
    <row r="17" spans="2:44" ht="13.5" customHeight="1" x14ac:dyDescent="0.2">
      <c r="B17" s="62"/>
      <c r="C17" s="62"/>
      <c r="D17" s="62"/>
      <c r="E17" s="133"/>
      <c r="F17" s="54"/>
      <c r="I17" s="101">
        <v>12</v>
      </c>
      <c r="J17" s="128">
        <v>12</v>
      </c>
      <c r="K17" s="128">
        <v>16</v>
      </c>
      <c r="L17" s="131">
        <v>19</v>
      </c>
      <c r="M17" s="131">
        <v>22</v>
      </c>
      <c r="N17" s="99"/>
      <c r="O17" s="99"/>
      <c r="P17" s="99" t="s">
        <v>218</v>
      </c>
      <c r="Q17" s="99">
        <v>1340</v>
      </c>
      <c r="R17" s="99">
        <v>130</v>
      </c>
      <c r="S17" s="99"/>
      <c r="AA17" s="106" t="s">
        <v>164</v>
      </c>
      <c r="AB17" s="56">
        <v>304</v>
      </c>
      <c r="AC17" s="56">
        <v>301</v>
      </c>
      <c r="AD17" s="58">
        <v>11</v>
      </c>
      <c r="AE17" s="58">
        <v>17</v>
      </c>
      <c r="AF17" s="58"/>
      <c r="AG17" s="55" t="str">
        <f t="shared" si="0"/>
        <v>H -30430111.017.0</v>
      </c>
      <c r="AH17" s="58">
        <v>133.5</v>
      </c>
      <c r="AI17" s="107">
        <v>23200</v>
      </c>
      <c r="AJ17" s="107">
        <v>7730</v>
      </c>
      <c r="AK17" s="57">
        <v>13.2</v>
      </c>
      <c r="AL17" s="57">
        <v>7.61</v>
      </c>
      <c r="AM17" s="57">
        <v>8.34</v>
      </c>
      <c r="AN17" s="108">
        <v>1520</v>
      </c>
      <c r="AO17" s="108">
        <v>514</v>
      </c>
      <c r="AP17" s="108">
        <v>1690</v>
      </c>
      <c r="AQ17" s="108">
        <v>779</v>
      </c>
      <c r="AR17" s="99"/>
    </row>
    <row r="18" spans="2:44" ht="13.5" customHeight="1" x14ac:dyDescent="0.2">
      <c r="B18" s="62"/>
      <c r="C18" s="62"/>
      <c r="D18" s="62"/>
      <c r="E18" s="133"/>
      <c r="F18" s="54"/>
      <c r="I18" s="130">
        <v>13</v>
      </c>
      <c r="J18" s="100">
        <v>16</v>
      </c>
      <c r="K18" s="131">
        <v>19</v>
      </c>
      <c r="L18" s="131">
        <v>22</v>
      </c>
      <c r="M18" s="131">
        <v>25</v>
      </c>
      <c r="N18" s="99"/>
      <c r="O18" s="99"/>
      <c r="P18" s="99"/>
      <c r="Q18" s="109"/>
      <c r="R18" s="109"/>
      <c r="S18" s="109"/>
      <c r="AA18" s="106" t="s">
        <v>164</v>
      </c>
      <c r="AB18" s="56">
        <v>338</v>
      </c>
      <c r="AC18" s="56">
        <v>351</v>
      </c>
      <c r="AD18" s="58">
        <v>13</v>
      </c>
      <c r="AE18" s="58">
        <v>13</v>
      </c>
      <c r="AF18" s="58"/>
      <c r="AG18" s="55" t="str">
        <f t="shared" si="0"/>
        <v>H -33835113.013.0</v>
      </c>
      <c r="AH18" s="58">
        <v>133.30000000000001</v>
      </c>
      <c r="AI18" s="107">
        <v>27700</v>
      </c>
      <c r="AJ18" s="107">
        <v>9380</v>
      </c>
      <c r="AK18" s="57">
        <v>14.4</v>
      </c>
      <c r="AL18" s="57">
        <v>8.39</v>
      </c>
      <c r="AM18" s="57">
        <v>9.49</v>
      </c>
      <c r="AN18" s="108">
        <v>1640</v>
      </c>
      <c r="AO18" s="108">
        <v>534</v>
      </c>
      <c r="AP18" s="108">
        <v>1820</v>
      </c>
      <c r="AQ18" s="108">
        <v>815</v>
      </c>
      <c r="AR18" s="99"/>
    </row>
    <row r="19" spans="2:44" ht="13.5" customHeight="1" x14ac:dyDescent="0.2">
      <c r="B19" s="63"/>
      <c r="C19" s="63"/>
      <c r="D19" s="64"/>
      <c r="E19" s="64"/>
      <c r="F19" s="54"/>
      <c r="I19" s="130">
        <v>14</v>
      </c>
      <c r="J19" s="100">
        <v>16</v>
      </c>
      <c r="K19" s="131">
        <v>19</v>
      </c>
      <c r="L19" s="131">
        <v>22</v>
      </c>
      <c r="M19" s="131">
        <v>25</v>
      </c>
      <c r="N19" s="99"/>
      <c r="O19" s="99"/>
      <c r="P19" s="99"/>
      <c r="Q19" s="109"/>
      <c r="R19" s="109"/>
      <c r="S19" s="109"/>
      <c r="AA19" s="106" t="s">
        <v>164</v>
      </c>
      <c r="AB19" s="56">
        <v>344</v>
      </c>
      <c r="AC19" s="56">
        <v>348</v>
      </c>
      <c r="AD19" s="58">
        <v>10</v>
      </c>
      <c r="AE19" s="58">
        <v>16</v>
      </c>
      <c r="AF19" s="58"/>
      <c r="AG19" s="55" t="str">
        <f t="shared" si="0"/>
        <v>H -34434810.016.0</v>
      </c>
      <c r="AH19" s="58">
        <v>144</v>
      </c>
      <c r="AI19" s="107">
        <v>32800</v>
      </c>
      <c r="AJ19" s="107">
        <v>11200</v>
      </c>
      <c r="AK19" s="57">
        <v>15.1</v>
      </c>
      <c r="AL19" s="57">
        <v>8.84</v>
      </c>
      <c r="AM19" s="57">
        <v>9.64</v>
      </c>
      <c r="AN19" s="108">
        <v>1910</v>
      </c>
      <c r="AO19" s="108">
        <v>646</v>
      </c>
      <c r="AP19" s="108">
        <v>2090</v>
      </c>
      <c r="AQ19" s="108">
        <v>978</v>
      </c>
      <c r="AR19" s="109"/>
    </row>
    <row r="20" spans="2:44" ht="13.5" customHeight="1" x14ac:dyDescent="0.2">
      <c r="B20" s="63"/>
      <c r="C20" s="63"/>
      <c r="D20" s="64"/>
      <c r="E20" s="64"/>
      <c r="F20" s="54"/>
      <c r="I20" s="101">
        <v>15</v>
      </c>
      <c r="J20" s="100">
        <v>16</v>
      </c>
      <c r="K20" s="131">
        <v>19</v>
      </c>
      <c r="L20" s="131">
        <v>22</v>
      </c>
      <c r="M20" s="131">
        <v>25</v>
      </c>
      <c r="N20" s="99"/>
      <c r="O20" s="99"/>
      <c r="P20" s="99" t="s">
        <v>219</v>
      </c>
      <c r="Q20" s="109">
        <v>13</v>
      </c>
      <c r="R20" s="109">
        <v>12.6</v>
      </c>
      <c r="S20" s="109"/>
      <c r="AA20" s="106" t="s">
        <v>164</v>
      </c>
      <c r="AB20" s="56">
        <v>344</v>
      </c>
      <c r="AC20" s="56">
        <v>354</v>
      </c>
      <c r="AD20" s="58">
        <v>16</v>
      </c>
      <c r="AE20" s="58">
        <v>16</v>
      </c>
      <c r="AF20" s="58"/>
      <c r="AG20" s="55" t="str">
        <f t="shared" si="0"/>
        <v>H -34435416.016.0</v>
      </c>
      <c r="AH20" s="58">
        <v>164.6</v>
      </c>
      <c r="AI20" s="107">
        <v>34900</v>
      </c>
      <c r="AJ20" s="107">
        <v>11800</v>
      </c>
      <c r="AK20" s="57">
        <v>14.6</v>
      </c>
      <c r="AL20" s="57">
        <v>8.48</v>
      </c>
      <c r="AM20" s="57">
        <v>9.6199999999999992</v>
      </c>
      <c r="AN20" s="108">
        <v>2030</v>
      </c>
      <c r="AO20" s="108">
        <v>669</v>
      </c>
      <c r="AP20" s="108">
        <v>2270</v>
      </c>
      <c r="AQ20" s="108">
        <v>1020</v>
      </c>
      <c r="AR20" s="109"/>
    </row>
    <row r="21" spans="2:44" ht="13.5" customHeight="1" x14ac:dyDescent="0.2">
      <c r="B21" s="62"/>
      <c r="C21" s="62"/>
      <c r="D21" s="62"/>
      <c r="E21" s="62"/>
      <c r="F21" s="54"/>
      <c r="I21" s="130">
        <v>16</v>
      </c>
      <c r="J21" s="100">
        <v>16</v>
      </c>
      <c r="K21" s="131">
        <v>19</v>
      </c>
      <c r="L21" s="131">
        <v>22</v>
      </c>
      <c r="M21" s="131">
        <v>25</v>
      </c>
      <c r="N21" s="99"/>
      <c r="O21" s="99"/>
      <c r="P21" s="99" t="s">
        <v>220</v>
      </c>
      <c r="Q21" s="109">
        <v>20</v>
      </c>
      <c r="R21" s="109">
        <v>15.7</v>
      </c>
      <c r="S21" s="109"/>
      <c r="AA21" s="106" t="s">
        <v>164</v>
      </c>
      <c r="AB21" s="56">
        <v>350</v>
      </c>
      <c r="AC21" s="56">
        <v>350</v>
      </c>
      <c r="AD21" s="58">
        <v>12</v>
      </c>
      <c r="AE21" s="58">
        <v>19</v>
      </c>
      <c r="AF21" s="58"/>
      <c r="AG21" s="55" t="str">
        <f t="shared" si="0"/>
        <v>H -35035012.019.0</v>
      </c>
      <c r="AH21" s="58">
        <v>171.9</v>
      </c>
      <c r="AI21" s="107">
        <v>39800</v>
      </c>
      <c r="AJ21" s="107">
        <v>13600</v>
      </c>
      <c r="AK21" s="57">
        <v>15.2</v>
      </c>
      <c r="AL21" s="57">
        <v>8.89</v>
      </c>
      <c r="AM21" s="57">
        <v>9.7100000000000009</v>
      </c>
      <c r="AN21" s="108">
        <v>2280</v>
      </c>
      <c r="AO21" s="108">
        <v>776</v>
      </c>
      <c r="AP21" s="108">
        <v>2520</v>
      </c>
      <c r="AQ21" s="108">
        <v>1180</v>
      </c>
      <c r="AR21" s="109"/>
    </row>
    <row r="22" spans="2:44" ht="13.5" customHeight="1" x14ac:dyDescent="0.2">
      <c r="B22" s="62"/>
      <c r="C22" s="62"/>
      <c r="D22" s="62"/>
      <c r="E22" s="62"/>
      <c r="F22" s="54"/>
      <c r="I22" s="130">
        <v>17</v>
      </c>
      <c r="J22" s="131">
        <v>19</v>
      </c>
      <c r="K22" s="131">
        <v>22</v>
      </c>
      <c r="L22" s="131">
        <v>25</v>
      </c>
      <c r="M22" s="131">
        <v>28</v>
      </c>
      <c r="N22" s="99"/>
      <c r="O22" s="99"/>
      <c r="P22" s="99" t="s">
        <v>221</v>
      </c>
      <c r="Q22" s="109">
        <v>28</v>
      </c>
      <c r="R22" s="109">
        <v>18.8</v>
      </c>
      <c r="S22" s="109"/>
      <c r="AA22" s="106" t="s">
        <v>164</v>
      </c>
      <c r="AB22" s="56">
        <v>350</v>
      </c>
      <c r="AC22" s="56">
        <v>357</v>
      </c>
      <c r="AD22" s="58">
        <v>19</v>
      </c>
      <c r="AE22" s="58">
        <v>19</v>
      </c>
      <c r="AF22" s="58"/>
      <c r="AG22" s="55" t="str">
        <f t="shared" si="0"/>
        <v>H -35035719.019.0</v>
      </c>
      <c r="AH22" s="58">
        <v>196.4</v>
      </c>
      <c r="AI22" s="107">
        <v>42300</v>
      </c>
      <c r="AJ22" s="107">
        <v>14400</v>
      </c>
      <c r="AK22" s="57">
        <v>14.7</v>
      </c>
      <c r="AL22" s="57">
        <v>8.57</v>
      </c>
      <c r="AM22" s="57">
        <v>9.74</v>
      </c>
      <c r="AN22" s="108">
        <v>2420</v>
      </c>
      <c r="AO22" s="108">
        <v>808</v>
      </c>
      <c r="AP22" s="108">
        <v>2730</v>
      </c>
      <c r="AQ22" s="108">
        <v>1240</v>
      </c>
      <c r="AR22" s="109"/>
    </row>
    <row r="23" spans="2:44" ht="13.5" customHeight="1" x14ac:dyDescent="0.2">
      <c r="B23" s="62"/>
      <c r="C23" s="62"/>
      <c r="D23" s="62"/>
      <c r="E23" s="62"/>
      <c r="F23" s="54"/>
      <c r="I23" s="100"/>
      <c r="J23" s="100"/>
      <c r="K23" s="101"/>
      <c r="L23" s="99"/>
      <c r="M23" s="99"/>
      <c r="N23" s="99"/>
      <c r="O23" s="99"/>
      <c r="P23" s="99" t="s">
        <v>222</v>
      </c>
      <c r="Q23" s="109">
        <v>38</v>
      </c>
      <c r="R23" s="109">
        <v>22</v>
      </c>
      <c r="S23" s="109"/>
      <c r="AA23" s="106" t="s">
        <v>164</v>
      </c>
      <c r="AB23" s="56">
        <v>356</v>
      </c>
      <c r="AC23" s="56">
        <v>352</v>
      </c>
      <c r="AD23" s="58">
        <v>14</v>
      </c>
      <c r="AE23" s="58">
        <v>22</v>
      </c>
      <c r="AF23" s="58"/>
      <c r="AG23" s="55" t="str">
        <f t="shared" si="0"/>
        <v>H -35635214.022.0</v>
      </c>
      <c r="AH23" s="58">
        <v>200</v>
      </c>
      <c r="AI23" s="107">
        <v>47100</v>
      </c>
      <c r="AJ23" s="107">
        <v>16000</v>
      </c>
      <c r="AK23" s="57">
        <v>15.4</v>
      </c>
      <c r="AL23" s="57">
        <v>8.94</v>
      </c>
      <c r="AM23" s="57">
        <v>9.7899999999999991</v>
      </c>
      <c r="AN23" s="108">
        <v>2650</v>
      </c>
      <c r="AO23" s="108">
        <v>909</v>
      </c>
      <c r="AP23" s="108">
        <v>2950</v>
      </c>
      <c r="AQ23" s="108">
        <v>1380</v>
      </c>
      <c r="AR23" s="109"/>
    </row>
    <row r="24" spans="2:44" ht="13.5" customHeight="1" x14ac:dyDescent="0.2">
      <c r="B24" s="65"/>
      <c r="C24" s="65"/>
      <c r="D24" s="65"/>
      <c r="E24" s="65"/>
      <c r="F24" s="54"/>
      <c r="I24" s="99"/>
      <c r="J24" s="99"/>
      <c r="K24" s="99"/>
      <c r="L24" s="99"/>
      <c r="M24" s="99"/>
      <c r="N24" s="99"/>
      <c r="O24" s="99"/>
      <c r="P24" s="99" t="s">
        <v>223</v>
      </c>
      <c r="Q24" s="109">
        <v>50</v>
      </c>
      <c r="R24" s="109">
        <v>25.1</v>
      </c>
      <c r="S24" s="109"/>
      <c r="AA24" s="106" t="s">
        <v>164</v>
      </c>
      <c r="AB24" s="56">
        <v>388</v>
      </c>
      <c r="AC24" s="56">
        <v>402</v>
      </c>
      <c r="AD24" s="58">
        <v>15</v>
      </c>
      <c r="AE24" s="58">
        <v>15</v>
      </c>
      <c r="AF24" s="58"/>
      <c r="AG24" s="55" t="str">
        <f t="shared" si="0"/>
        <v>H -38840215.015.0</v>
      </c>
      <c r="AH24" s="58">
        <v>178.5</v>
      </c>
      <c r="AI24" s="107">
        <v>49000</v>
      </c>
      <c r="AJ24" s="107">
        <v>16300</v>
      </c>
      <c r="AK24" s="57">
        <v>16.600000000000001</v>
      </c>
      <c r="AL24" s="57">
        <v>9.5500000000000007</v>
      </c>
      <c r="AM24" s="57">
        <v>10.8</v>
      </c>
      <c r="AN24" s="108">
        <v>2520</v>
      </c>
      <c r="AO24" s="108">
        <v>809</v>
      </c>
      <c r="AP24" s="108">
        <v>2800</v>
      </c>
      <c r="AQ24" s="108">
        <v>1240</v>
      </c>
      <c r="AR24" s="109"/>
    </row>
    <row r="25" spans="2:44" ht="13.5" customHeight="1" x14ac:dyDescent="0.2">
      <c r="B25" s="54"/>
      <c r="C25" s="54"/>
      <c r="D25" s="54"/>
      <c r="E25" s="54"/>
      <c r="F25" s="54"/>
      <c r="I25" s="100"/>
      <c r="J25" s="100"/>
      <c r="K25" s="101"/>
      <c r="L25" s="101"/>
      <c r="M25" s="101"/>
      <c r="N25" s="99"/>
      <c r="O25" s="100"/>
      <c r="P25" s="99" t="s">
        <v>224</v>
      </c>
      <c r="Q25" s="109">
        <v>64</v>
      </c>
      <c r="R25" s="109">
        <v>28.3</v>
      </c>
      <c r="S25" s="109"/>
      <c r="AA25" s="106" t="s">
        <v>164</v>
      </c>
      <c r="AB25" s="56">
        <v>394</v>
      </c>
      <c r="AC25" s="56">
        <v>398</v>
      </c>
      <c r="AD25" s="58">
        <v>11</v>
      </c>
      <c r="AE25" s="58">
        <v>18</v>
      </c>
      <c r="AF25" s="58"/>
      <c r="AG25" s="55" t="str">
        <f t="shared" si="0"/>
        <v>H -39439811.018.0</v>
      </c>
      <c r="AH25" s="58">
        <v>186.8</v>
      </c>
      <c r="AI25" s="107">
        <v>56100</v>
      </c>
      <c r="AJ25" s="107">
        <v>18900</v>
      </c>
      <c r="AK25" s="57">
        <v>17.3</v>
      </c>
      <c r="AL25" s="57">
        <v>10.1</v>
      </c>
      <c r="AM25" s="57">
        <v>10.9</v>
      </c>
      <c r="AN25" s="108">
        <v>2850</v>
      </c>
      <c r="AO25" s="108">
        <v>951</v>
      </c>
      <c r="AP25" s="108">
        <v>3120</v>
      </c>
      <c r="AQ25" s="108">
        <v>1440</v>
      </c>
      <c r="AR25" s="109"/>
    </row>
    <row r="26" spans="2:44" ht="13.5" customHeight="1" x14ac:dyDescent="0.2">
      <c r="B26" s="54"/>
      <c r="C26" s="54"/>
      <c r="D26" s="54"/>
      <c r="E26" s="54"/>
      <c r="F26" s="54"/>
      <c r="I26" s="100"/>
      <c r="J26" s="100"/>
      <c r="K26" s="101"/>
      <c r="L26" s="101"/>
      <c r="M26" s="101"/>
      <c r="N26" s="99"/>
      <c r="O26" s="100"/>
      <c r="P26" s="99" t="s">
        <v>225</v>
      </c>
      <c r="Q26" s="109">
        <v>113</v>
      </c>
      <c r="R26" s="109">
        <v>37.700000000000003</v>
      </c>
      <c r="S26" s="109"/>
      <c r="AA26" s="106" t="s">
        <v>164</v>
      </c>
      <c r="AB26" s="56">
        <v>394</v>
      </c>
      <c r="AC26" s="56">
        <v>405</v>
      </c>
      <c r="AD26" s="58">
        <v>18</v>
      </c>
      <c r="AE26" s="58">
        <v>18</v>
      </c>
      <c r="AF26" s="58"/>
      <c r="AG26" s="55" t="str">
        <f t="shared" si="0"/>
        <v>H -39440518.018.0</v>
      </c>
      <c r="AH26" s="58">
        <v>214.4</v>
      </c>
      <c r="AI26" s="107">
        <v>59700</v>
      </c>
      <c r="AJ26" s="107">
        <v>20000</v>
      </c>
      <c r="AK26" s="57">
        <v>16.7</v>
      </c>
      <c r="AL26" s="57">
        <v>9.65</v>
      </c>
      <c r="AM26" s="57">
        <v>10.9</v>
      </c>
      <c r="AN26" s="108">
        <v>3030</v>
      </c>
      <c r="AO26" s="108">
        <v>985</v>
      </c>
      <c r="AP26" s="108">
        <v>3390</v>
      </c>
      <c r="AQ26" s="108">
        <v>1510</v>
      </c>
      <c r="AR26" s="109"/>
    </row>
    <row r="27" spans="2:44" ht="13.5" customHeight="1" x14ac:dyDescent="0.2">
      <c r="B27" s="54"/>
      <c r="C27" s="54"/>
      <c r="D27" s="54"/>
      <c r="E27" s="54"/>
      <c r="F27" s="54"/>
      <c r="I27" s="100"/>
      <c r="J27" s="100"/>
      <c r="K27" s="101"/>
      <c r="L27" s="101"/>
      <c r="M27" s="101"/>
      <c r="N27" s="99"/>
      <c r="O27" s="100"/>
      <c r="P27" s="99" t="s">
        <v>226</v>
      </c>
      <c r="Q27" s="109">
        <v>133</v>
      </c>
      <c r="R27" s="109">
        <v>40.799999999999997</v>
      </c>
      <c r="S27" s="109"/>
      <c r="AA27" s="106" t="s">
        <v>164</v>
      </c>
      <c r="AB27" s="56">
        <v>400</v>
      </c>
      <c r="AC27" s="56">
        <v>400</v>
      </c>
      <c r="AD27" s="58">
        <v>13</v>
      </c>
      <c r="AE27" s="58">
        <v>21</v>
      </c>
      <c r="AF27" s="58"/>
      <c r="AG27" s="55" t="str">
        <f t="shared" si="0"/>
        <v>H -40040013.021.0</v>
      </c>
      <c r="AH27" s="58">
        <v>218.7</v>
      </c>
      <c r="AI27" s="107">
        <v>66600</v>
      </c>
      <c r="AJ27" s="107">
        <v>22400</v>
      </c>
      <c r="AK27" s="57">
        <v>17.5</v>
      </c>
      <c r="AL27" s="57">
        <v>10.1</v>
      </c>
      <c r="AM27" s="57">
        <v>11</v>
      </c>
      <c r="AN27" s="108">
        <v>3330</v>
      </c>
      <c r="AO27" s="108">
        <v>1120</v>
      </c>
      <c r="AP27" s="108">
        <v>3670</v>
      </c>
      <c r="AQ27" s="108">
        <v>1700</v>
      </c>
      <c r="AR27" s="109"/>
    </row>
    <row r="28" spans="2:44" ht="13.5" customHeight="1" x14ac:dyDescent="0.2">
      <c r="B28" t="s">
        <v>93</v>
      </c>
      <c r="C28" s="54"/>
      <c r="D28" s="54"/>
      <c r="E28" s="54"/>
      <c r="F28" s="54"/>
      <c r="AA28" s="106" t="s">
        <v>164</v>
      </c>
      <c r="AB28" s="56">
        <v>400</v>
      </c>
      <c r="AC28" s="56">
        <v>408</v>
      </c>
      <c r="AD28" s="58">
        <v>21</v>
      </c>
      <c r="AE28" s="58">
        <v>21</v>
      </c>
      <c r="AF28" s="58"/>
      <c r="AG28" s="55" t="str">
        <f t="shared" si="0"/>
        <v>H -40040821.021.0</v>
      </c>
      <c r="AH28" s="58">
        <v>250.7</v>
      </c>
      <c r="AI28" s="107">
        <v>70900</v>
      </c>
      <c r="AJ28" s="107">
        <v>23800</v>
      </c>
      <c r="AK28" s="57">
        <v>16.8</v>
      </c>
      <c r="AL28" s="57">
        <v>9.75</v>
      </c>
      <c r="AM28" s="57">
        <v>11.1</v>
      </c>
      <c r="AN28" s="108">
        <v>3540</v>
      </c>
      <c r="AO28" s="108">
        <v>1170</v>
      </c>
      <c r="AP28" s="108">
        <v>3990</v>
      </c>
      <c r="AQ28" s="108">
        <v>1790</v>
      </c>
      <c r="AR28" s="109"/>
    </row>
    <row r="29" spans="2:44" ht="13.5" customHeight="1" x14ac:dyDescent="0.2">
      <c r="B29" t="s">
        <v>94</v>
      </c>
      <c r="C29" s="55">
        <v>0</v>
      </c>
      <c r="D29" s="54"/>
      <c r="E29" s="54"/>
      <c r="F29" s="54"/>
      <c r="AA29" s="106" t="s">
        <v>164</v>
      </c>
      <c r="AB29" s="56">
        <v>406</v>
      </c>
      <c r="AC29" s="56">
        <v>403</v>
      </c>
      <c r="AD29" s="58">
        <v>16</v>
      </c>
      <c r="AE29" s="58">
        <v>24</v>
      </c>
      <c r="AF29" s="58"/>
      <c r="AG29" s="55" t="str">
        <f t="shared" si="0"/>
        <v>H -40640316.024.0</v>
      </c>
      <c r="AH29" s="58">
        <v>254.9</v>
      </c>
      <c r="AI29" s="107">
        <v>78000</v>
      </c>
      <c r="AJ29" s="107">
        <v>26200</v>
      </c>
      <c r="AK29" s="57">
        <v>17.5</v>
      </c>
      <c r="AL29" s="57">
        <v>10.1</v>
      </c>
      <c r="AM29" s="57">
        <v>11.1</v>
      </c>
      <c r="AN29" s="108">
        <v>3840</v>
      </c>
      <c r="AO29" s="108">
        <v>1300</v>
      </c>
      <c r="AP29" s="108">
        <v>4280</v>
      </c>
      <c r="AQ29" s="108">
        <v>1980</v>
      </c>
      <c r="AR29" s="109"/>
    </row>
    <row r="30" spans="2:44" ht="13.5" customHeight="1" x14ac:dyDescent="0.2">
      <c r="B30" s="68" t="s">
        <v>95</v>
      </c>
      <c r="C30" s="77">
        <v>0</v>
      </c>
      <c r="D30" s="77">
        <v>1</v>
      </c>
      <c r="E30" s="77">
        <v>2</v>
      </c>
      <c r="F30" s="77">
        <v>3</v>
      </c>
      <c r="AA30" s="106" t="s">
        <v>164</v>
      </c>
      <c r="AB30" s="56">
        <v>414</v>
      </c>
      <c r="AC30" s="56">
        <v>405</v>
      </c>
      <c r="AD30" s="58">
        <v>18</v>
      </c>
      <c r="AE30" s="58">
        <v>28</v>
      </c>
      <c r="AF30" s="58"/>
      <c r="AG30" s="55" t="str">
        <f t="shared" si="0"/>
        <v>H -41440518.028.0</v>
      </c>
      <c r="AH30" s="58">
        <v>295.39999999999998</v>
      </c>
      <c r="AI30" s="107">
        <v>92800</v>
      </c>
      <c r="AJ30" s="107">
        <v>31000</v>
      </c>
      <c r="AK30" s="57">
        <v>17.7</v>
      </c>
      <c r="AL30" s="57">
        <v>10.199999999999999</v>
      </c>
      <c r="AM30" s="57">
        <v>11.2</v>
      </c>
      <c r="AN30" s="108">
        <v>4480</v>
      </c>
      <c r="AO30" s="108">
        <v>1530</v>
      </c>
      <c r="AP30" s="108">
        <v>5030</v>
      </c>
      <c r="AQ30" s="108">
        <v>2330</v>
      </c>
      <c r="AR30" s="109"/>
    </row>
    <row r="31" spans="2:44" ht="13.5" customHeight="1" x14ac:dyDescent="0.2">
      <c r="B31" s="74">
        <v>1.6</v>
      </c>
      <c r="C31" s="75">
        <v>6</v>
      </c>
      <c r="D31" s="75">
        <v>9</v>
      </c>
      <c r="E31" s="76">
        <v>9</v>
      </c>
      <c r="F31" s="75">
        <v>12</v>
      </c>
      <c r="AA31" s="106" t="s">
        <v>164</v>
      </c>
      <c r="AB31" s="56">
        <v>428</v>
      </c>
      <c r="AC31" s="56">
        <v>407</v>
      </c>
      <c r="AD31" s="58">
        <v>20</v>
      </c>
      <c r="AE31" s="58">
        <v>35</v>
      </c>
      <c r="AF31" s="58"/>
      <c r="AG31" s="55" t="str">
        <f t="shared" si="0"/>
        <v>H -42840720.035.0</v>
      </c>
      <c r="AH31" s="58">
        <v>360.7</v>
      </c>
      <c r="AI31" s="107">
        <v>119000</v>
      </c>
      <c r="AJ31" s="107">
        <v>39400</v>
      </c>
      <c r="AK31" s="57">
        <v>18.2</v>
      </c>
      <c r="AL31" s="57">
        <v>10.4</v>
      </c>
      <c r="AM31" s="57">
        <v>11.4</v>
      </c>
      <c r="AN31" s="108">
        <v>5570</v>
      </c>
      <c r="AO31" s="108">
        <v>1930</v>
      </c>
      <c r="AP31" s="108">
        <v>6310</v>
      </c>
      <c r="AQ31" s="108">
        <v>2940</v>
      </c>
      <c r="AR31" s="109"/>
    </row>
    <row r="32" spans="2:44" ht="13.5" customHeight="1" x14ac:dyDescent="0.2">
      <c r="B32" s="64">
        <v>2.2999999999999998</v>
      </c>
      <c r="C32" s="70">
        <v>6</v>
      </c>
      <c r="D32" s="70">
        <v>9</v>
      </c>
      <c r="E32" s="71">
        <v>9</v>
      </c>
      <c r="F32" s="70">
        <v>12</v>
      </c>
      <c r="AA32" s="106" t="s">
        <v>164</v>
      </c>
      <c r="AB32" s="56">
        <v>458</v>
      </c>
      <c r="AC32" s="56">
        <v>417</v>
      </c>
      <c r="AD32" s="58">
        <v>30</v>
      </c>
      <c r="AE32" s="58">
        <v>50</v>
      </c>
      <c r="AF32" s="58"/>
      <c r="AG32" s="55" t="str">
        <f t="shared" si="0"/>
        <v>H -45841730.050.0</v>
      </c>
      <c r="AH32" s="58">
        <v>528.6</v>
      </c>
      <c r="AI32" s="107">
        <v>187000</v>
      </c>
      <c r="AJ32" s="107">
        <v>60500</v>
      </c>
      <c r="AK32" s="57">
        <v>18.8</v>
      </c>
      <c r="AL32" s="57">
        <v>10.7</v>
      </c>
      <c r="AM32" s="57">
        <v>11.8</v>
      </c>
      <c r="AN32" s="108">
        <v>8170</v>
      </c>
      <c r="AO32" s="108">
        <v>2900</v>
      </c>
      <c r="AP32" s="108">
        <v>9540</v>
      </c>
      <c r="AQ32" s="108">
        <v>4440</v>
      </c>
      <c r="AR32" s="109"/>
    </row>
    <row r="33" spans="2:44" ht="13.5" customHeight="1" x14ac:dyDescent="0.2">
      <c r="B33" s="64">
        <v>3.2</v>
      </c>
      <c r="C33" s="70">
        <v>6</v>
      </c>
      <c r="D33" s="70">
        <v>9</v>
      </c>
      <c r="E33" s="71">
        <v>9</v>
      </c>
      <c r="F33" s="70">
        <v>12</v>
      </c>
      <c r="AA33" s="106" t="s">
        <v>164</v>
      </c>
      <c r="AB33" s="56">
        <v>498</v>
      </c>
      <c r="AC33" s="56">
        <v>432</v>
      </c>
      <c r="AD33" s="58">
        <v>45</v>
      </c>
      <c r="AE33" s="58">
        <v>70</v>
      </c>
      <c r="AF33" s="58"/>
      <c r="AG33" s="55" t="str">
        <f t="shared" si="0"/>
        <v>H -49843245.070.0</v>
      </c>
      <c r="AH33" s="58">
        <v>770.1</v>
      </c>
      <c r="AI33" s="107">
        <v>298000</v>
      </c>
      <c r="AJ33" s="107">
        <v>94400</v>
      </c>
      <c r="AK33" s="57">
        <v>19.7</v>
      </c>
      <c r="AL33" s="57">
        <v>11.1</v>
      </c>
      <c r="AM33" s="57">
        <v>12.3</v>
      </c>
      <c r="AN33" s="108">
        <v>12000</v>
      </c>
      <c r="AO33" s="108">
        <v>4370</v>
      </c>
      <c r="AP33" s="108">
        <v>14500</v>
      </c>
      <c r="AQ33" s="108">
        <v>6720</v>
      </c>
      <c r="AR33" s="109"/>
    </row>
    <row r="34" spans="2:44" ht="13.5" customHeight="1" x14ac:dyDescent="0.2">
      <c r="B34" s="69">
        <v>4</v>
      </c>
      <c r="C34" s="70">
        <v>6</v>
      </c>
      <c r="D34" s="70">
        <v>9</v>
      </c>
      <c r="E34" s="71">
        <v>9</v>
      </c>
      <c r="F34" s="70">
        <v>12</v>
      </c>
      <c r="AA34" s="106" t="s">
        <v>164</v>
      </c>
      <c r="AB34" s="60">
        <v>148</v>
      </c>
      <c r="AC34" s="56">
        <v>100</v>
      </c>
      <c r="AD34" s="58">
        <v>6</v>
      </c>
      <c r="AE34" s="58">
        <v>9</v>
      </c>
      <c r="AF34" s="58"/>
      <c r="AG34" s="55" t="str">
        <f t="shared" si="0"/>
        <v>H -1481006.09.0</v>
      </c>
      <c r="AH34" s="110">
        <v>26.35</v>
      </c>
      <c r="AI34" s="111">
        <v>1000</v>
      </c>
      <c r="AJ34" s="111">
        <v>150</v>
      </c>
      <c r="AK34" s="61">
        <v>6.17</v>
      </c>
      <c r="AL34" s="61">
        <v>2.39</v>
      </c>
      <c r="AM34" s="57">
        <v>2.71</v>
      </c>
      <c r="AN34" s="108">
        <v>135</v>
      </c>
      <c r="AO34" s="108">
        <v>30.1</v>
      </c>
      <c r="AP34" s="108">
        <v>154</v>
      </c>
      <c r="AQ34" s="108">
        <v>46.4</v>
      </c>
      <c r="AR34" s="109"/>
    </row>
    <row r="35" spans="2:44" ht="13.5" customHeight="1" x14ac:dyDescent="0.2">
      <c r="B35" s="69">
        <v>4.5</v>
      </c>
      <c r="C35" s="70">
        <v>6</v>
      </c>
      <c r="D35" s="70">
        <v>9</v>
      </c>
      <c r="E35" s="71">
        <v>9</v>
      </c>
      <c r="F35" s="70">
        <v>12</v>
      </c>
      <c r="AA35" s="106" t="s">
        <v>164</v>
      </c>
      <c r="AB35" s="60">
        <v>194</v>
      </c>
      <c r="AC35" s="56">
        <v>150</v>
      </c>
      <c r="AD35" s="58">
        <v>6</v>
      </c>
      <c r="AE35" s="58">
        <v>9</v>
      </c>
      <c r="AF35" s="58"/>
      <c r="AG35" s="55" t="str">
        <f t="shared" si="0"/>
        <v>H -1941506.09.0</v>
      </c>
      <c r="AH35" s="110">
        <v>38.11</v>
      </c>
      <c r="AI35" s="111">
        <v>2630</v>
      </c>
      <c r="AJ35" s="111">
        <v>507</v>
      </c>
      <c r="AK35" s="61">
        <v>8.3000000000000007</v>
      </c>
      <c r="AL35" s="61">
        <v>3.65</v>
      </c>
      <c r="AM35" s="57">
        <v>4.09</v>
      </c>
      <c r="AN35" s="108">
        <v>271</v>
      </c>
      <c r="AO35" s="108">
        <v>67.599999999999994</v>
      </c>
      <c r="AP35" s="108">
        <v>301</v>
      </c>
      <c r="AQ35" s="108">
        <v>103</v>
      </c>
      <c r="AR35" s="109"/>
    </row>
    <row r="36" spans="2:44" ht="13.5" customHeight="1" x14ac:dyDescent="0.2">
      <c r="B36" s="69">
        <v>5</v>
      </c>
      <c r="C36" s="70">
        <v>6</v>
      </c>
      <c r="D36" s="70">
        <v>9</v>
      </c>
      <c r="E36" s="71">
        <v>9</v>
      </c>
      <c r="F36" s="70">
        <v>12</v>
      </c>
      <c r="AA36" s="106" t="s">
        <v>164</v>
      </c>
      <c r="AB36" s="60">
        <v>244</v>
      </c>
      <c r="AC36" s="56">
        <v>175</v>
      </c>
      <c r="AD36" s="58">
        <v>7</v>
      </c>
      <c r="AE36" s="58">
        <v>11</v>
      </c>
      <c r="AF36" s="58"/>
      <c r="AG36" s="55" t="str">
        <f t="shared" si="0"/>
        <v>H -2441757.011.0</v>
      </c>
      <c r="AH36" s="110">
        <v>55.49</v>
      </c>
      <c r="AI36" s="111">
        <v>6040</v>
      </c>
      <c r="AJ36" s="111">
        <v>984</v>
      </c>
      <c r="AK36" s="61">
        <v>10.4</v>
      </c>
      <c r="AL36" s="61">
        <v>4.21</v>
      </c>
      <c r="AM36" s="57">
        <v>4.72</v>
      </c>
      <c r="AN36" s="108">
        <v>495</v>
      </c>
      <c r="AO36" s="108">
        <v>112</v>
      </c>
      <c r="AP36" s="108">
        <v>550</v>
      </c>
      <c r="AQ36" s="108">
        <v>172</v>
      </c>
      <c r="AR36" s="109"/>
    </row>
    <row r="37" spans="2:44" ht="13.5" customHeight="1" x14ac:dyDescent="0.2">
      <c r="B37" s="69">
        <v>5.5</v>
      </c>
      <c r="C37" s="70">
        <v>6</v>
      </c>
      <c r="D37" s="70">
        <v>9</v>
      </c>
      <c r="E37" s="70">
        <v>12</v>
      </c>
      <c r="F37" s="70">
        <v>16</v>
      </c>
      <c r="AA37" s="106" t="s">
        <v>164</v>
      </c>
      <c r="AB37" s="60">
        <v>294</v>
      </c>
      <c r="AC37" s="56">
        <v>200</v>
      </c>
      <c r="AD37" s="58">
        <v>8</v>
      </c>
      <c r="AE37" s="58">
        <v>12</v>
      </c>
      <c r="AF37" s="58"/>
      <c r="AG37" s="55" t="str">
        <f t="shared" si="0"/>
        <v>H -2942008.012.0</v>
      </c>
      <c r="AH37" s="110">
        <v>71.05</v>
      </c>
      <c r="AI37" s="111">
        <v>11100</v>
      </c>
      <c r="AJ37" s="111">
        <v>1600</v>
      </c>
      <c r="AK37" s="61">
        <v>12.5</v>
      </c>
      <c r="AL37" s="61">
        <v>4.75</v>
      </c>
      <c r="AM37" s="57">
        <v>5.38</v>
      </c>
      <c r="AN37" s="108">
        <v>756</v>
      </c>
      <c r="AO37" s="108">
        <v>160</v>
      </c>
      <c r="AP37" s="108">
        <v>842</v>
      </c>
      <c r="AQ37" s="108">
        <v>245</v>
      </c>
      <c r="AR37" s="109"/>
    </row>
    <row r="38" spans="2:44" ht="13.5" customHeight="1" x14ac:dyDescent="0.2">
      <c r="B38" s="69">
        <v>6</v>
      </c>
      <c r="C38" s="70">
        <v>6</v>
      </c>
      <c r="D38" s="70">
        <v>9</v>
      </c>
      <c r="E38" s="70">
        <v>12</v>
      </c>
      <c r="F38" s="70">
        <v>16</v>
      </c>
      <c r="AA38" s="106" t="s">
        <v>164</v>
      </c>
      <c r="AB38" s="60">
        <v>298</v>
      </c>
      <c r="AC38" s="56">
        <v>201</v>
      </c>
      <c r="AD38" s="58">
        <v>9</v>
      </c>
      <c r="AE38" s="58">
        <v>14</v>
      </c>
      <c r="AF38" s="58"/>
      <c r="AG38" s="55" t="str">
        <f t="shared" si="0"/>
        <v>H -2982019.014.0</v>
      </c>
      <c r="AH38" s="110">
        <v>82.03</v>
      </c>
      <c r="AI38" s="111">
        <v>13100</v>
      </c>
      <c r="AJ38" s="111">
        <v>1900</v>
      </c>
      <c r="AK38" s="61">
        <v>12.6</v>
      </c>
      <c r="AL38" s="61">
        <v>4.8099999999999996</v>
      </c>
      <c r="AM38" s="57">
        <v>5.44</v>
      </c>
      <c r="AN38" s="108">
        <v>878</v>
      </c>
      <c r="AO38" s="108">
        <v>189</v>
      </c>
      <c r="AP38" s="108">
        <v>982</v>
      </c>
      <c r="AQ38" s="108">
        <v>289</v>
      </c>
      <c r="AR38" s="109"/>
    </row>
    <row r="39" spans="2:44" ht="13.5" customHeight="1" x14ac:dyDescent="0.2">
      <c r="B39" s="69">
        <v>6.5</v>
      </c>
      <c r="C39" s="70">
        <v>6</v>
      </c>
      <c r="D39" s="70">
        <v>9</v>
      </c>
      <c r="E39" s="70">
        <v>12</v>
      </c>
      <c r="F39" s="70">
        <v>16</v>
      </c>
      <c r="AA39" s="106" t="s">
        <v>164</v>
      </c>
      <c r="AB39" s="56">
        <v>336</v>
      </c>
      <c r="AC39" s="56">
        <v>249</v>
      </c>
      <c r="AD39" s="58">
        <v>8</v>
      </c>
      <c r="AE39" s="58">
        <v>12</v>
      </c>
      <c r="AF39" s="58"/>
      <c r="AG39" s="55" t="str">
        <f t="shared" si="0"/>
        <v>H -3362498.012.0</v>
      </c>
      <c r="AH39" s="58">
        <v>86.17</v>
      </c>
      <c r="AI39" s="107">
        <v>18100</v>
      </c>
      <c r="AJ39" s="107">
        <v>30900</v>
      </c>
      <c r="AK39" s="57">
        <v>14.5</v>
      </c>
      <c r="AL39" s="57">
        <v>5.99</v>
      </c>
      <c r="AM39" s="57">
        <v>6.73</v>
      </c>
      <c r="AN39" s="108">
        <v>1070</v>
      </c>
      <c r="AO39" s="108">
        <v>248</v>
      </c>
      <c r="AP39" s="108">
        <v>1190</v>
      </c>
      <c r="AQ39" s="108">
        <v>378</v>
      </c>
      <c r="AR39" s="109"/>
    </row>
    <row r="40" spans="2:44" ht="13.5" customHeight="1" x14ac:dyDescent="0.2">
      <c r="B40" s="64">
        <v>7</v>
      </c>
      <c r="C40" s="71">
        <v>9</v>
      </c>
      <c r="D40" s="71">
        <v>12</v>
      </c>
      <c r="E40" s="71">
        <v>16</v>
      </c>
      <c r="F40" s="70">
        <v>19</v>
      </c>
      <c r="AA40" s="106" t="s">
        <v>164</v>
      </c>
      <c r="AB40" s="56">
        <v>340</v>
      </c>
      <c r="AC40" s="56">
        <v>250</v>
      </c>
      <c r="AD40" s="58">
        <v>9</v>
      </c>
      <c r="AE40" s="58">
        <v>14</v>
      </c>
      <c r="AF40" s="58"/>
      <c r="AG40" s="55" t="str">
        <f t="shared" si="0"/>
        <v>H -3402509.014.0</v>
      </c>
      <c r="AH40" s="58">
        <v>99.53</v>
      </c>
      <c r="AI40" s="107">
        <v>21200</v>
      </c>
      <c r="AJ40" s="107">
        <v>3650</v>
      </c>
      <c r="AK40" s="57">
        <v>14.6</v>
      </c>
      <c r="AL40" s="57">
        <v>6.05</v>
      </c>
      <c r="AM40" s="57">
        <v>6.79</v>
      </c>
      <c r="AN40" s="108">
        <v>1250</v>
      </c>
      <c r="AO40" s="108">
        <v>292</v>
      </c>
      <c r="AP40" s="108">
        <v>1380</v>
      </c>
      <c r="AQ40" s="108">
        <v>445</v>
      </c>
      <c r="AR40" s="109"/>
    </row>
    <row r="41" spans="2:44" ht="13.5" customHeight="1" x14ac:dyDescent="0.2">
      <c r="B41" s="69">
        <v>8</v>
      </c>
      <c r="C41" s="70">
        <v>9</v>
      </c>
      <c r="D41" s="70">
        <v>12</v>
      </c>
      <c r="E41" s="70">
        <v>16</v>
      </c>
      <c r="F41" s="70">
        <v>19</v>
      </c>
      <c r="AA41" s="106" t="s">
        <v>164</v>
      </c>
      <c r="AB41" s="60">
        <v>386</v>
      </c>
      <c r="AC41" s="56">
        <v>299</v>
      </c>
      <c r="AD41" s="58">
        <v>9</v>
      </c>
      <c r="AE41" s="58">
        <v>14</v>
      </c>
      <c r="AF41" s="58"/>
      <c r="AG41" s="55" t="str">
        <f t="shared" si="0"/>
        <v>H -3862999.014.0</v>
      </c>
      <c r="AH41" s="110">
        <v>117.4</v>
      </c>
      <c r="AI41" s="111">
        <v>32900</v>
      </c>
      <c r="AJ41" s="111">
        <v>6240</v>
      </c>
      <c r="AK41" s="61">
        <v>16.7</v>
      </c>
      <c r="AL41" s="61">
        <v>7.29</v>
      </c>
      <c r="AM41" s="57">
        <v>8.14</v>
      </c>
      <c r="AN41" s="108">
        <v>1700</v>
      </c>
      <c r="AO41" s="108">
        <v>417</v>
      </c>
      <c r="AP41" s="108">
        <v>1870</v>
      </c>
      <c r="AQ41" s="108">
        <v>634</v>
      </c>
      <c r="AR41" s="109"/>
    </row>
    <row r="42" spans="2:44" ht="13.5" customHeight="1" x14ac:dyDescent="0.2">
      <c r="B42" s="69">
        <v>9</v>
      </c>
      <c r="C42" s="70">
        <v>9</v>
      </c>
      <c r="D42" s="70">
        <v>12</v>
      </c>
      <c r="E42" s="70">
        <v>16</v>
      </c>
      <c r="F42" s="70">
        <v>19</v>
      </c>
      <c r="AA42" s="106" t="s">
        <v>164</v>
      </c>
      <c r="AB42" s="56">
        <v>390</v>
      </c>
      <c r="AC42" s="56">
        <v>300</v>
      </c>
      <c r="AD42" s="58">
        <v>10</v>
      </c>
      <c r="AE42" s="58">
        <v>16</v>
      </c>
      <c r="AF42" s="58"/>
      <c r="AG42" s="55" t="str">
        <f t="shared" si="0"/>
        <v>H -39030010.016.0</v>
      </c>
      <c r="AH42" s="58">
        <v>133.19999999999999</v>
      </c>
      <c r="AI42" s="107">
        <v>37900</v>
      </c>
      <c r="AJ42" s="107">
        <v>7200</v>
      </c>
      <c r="AK42" s="57">
        <v>16.899999999999999</v>
      </c>
      <c r="AL42" s="57">
        <v>7.35</v>
      </c>
      <c r="AM42" s="57">
        <v>8.19</v>
      </c>
      <c r="AN42" s="108">
        <v>1940</v>
      </c>
      <c r="AO42" s="108">
        <v>480</v>
      </c>
      <c r="AP42" s="108">
        <v>2140</v>
      </c>
      <c r="AQ42" s="108">
        <v>730</v>
      </c>
      <c r="AR42" s="109"/>
    </row>
    <row r="43" spans="2:44" ht="13.5" customHeight="1" x14ac:dyDescent="0.2">
      <c r="B43" s="69">
        <v>10</v>
      </c>
      <c r="C43" s="70">
        <v>12</v>
      </c>
      <c r="D43" s="70">
        <v>16</v>
      </c>
      <c r="E43" s="70">
        <v>19</v>
      </c>
      <c r="F43" s="70">
        <v>22</v>
      </c>
      <c r="AA43" s="106" t="s">
        <v>164</v>
      </c>
      <c r="AB43" s="60">
        <v>434</v>
      </c>
      <c r="AC43" s="56">
        <v>299</v>
      </c>
      <c r="AD43" s="58">
        <v>10</v>
      </c>
      <c r="AE43" s="58">
        <v>15</v>
      </c>
      <c r="AF43" s="58"/>
      <c r="AG43" s="55" t="str">
        <f t="shared" si="0"/>
        <v>H -43429910.015.0</v>
      </c>
      <c r="AH43" s="110">
        <v>131.6</v>
      </c>
      <c r="AI43" s="111">
        <v>45500</v>
      </c>
      <c r="AJ43" s="111">
        <v>6890</v>
      </c>
      <c r="AK43" s="61">
        <v>18.600000000000001</v>
      </c>
      <c r="AL43" s="61">
        <v>7.13</v>
      </c>
      <c r="AM43" s="57">
        <v>8.07</v>
      </c>
      <c r="AN43" s="108">
        <v>2090</v>
      </c>
      <c r="AO43" s="108">
        <v>447</v>
      </c>
      <c r="AP43" s="108">
        <v>2320</v>
      </c>
      <c r="AQ43" s="108">
        <v>682</v>
      </c>
      <c r="AR43" s="109"/>
    </row>
    <row r="44" spans="2:44" ht="13.5" customHeight="1" x14ac:dyDescent="0.2">
      <c r="B44" s="69">
        <v>11</v>
      </c>
      <c r="C44" s="70">
        <v>12</v>
      </c>
      <c r="D44" s="70">
        <v>16</v>
      </c>
      <c r="E44" s="70">
        <v>19</v>
      </c>
      <c r="F44" s="70">
        <v>22</v>
      </c>
      <c r="AA44" s="106" t="s">
        <v>164</v>
      </c>
      <c r="AB44" s="56">
        <v>440</v>
      </c>
      <c r="AC44" s="56">
        <v>300</v>
      </c>
      <c r="AD44" s="58">
        <v>11</v>
      </c>
      <c r="AE44" s="58">
        <v>18</v>
      </c>
      <c r="AF44" s="58"/>
      <c r="AG44" s="55" t="str">
        <f t="shared" si="0"/>
        <v>H -44030011.018.0</v>
      </c>
      <c r="AH44" s="58">
        <v>153.9</v>
      </c>
      <c r="AI44" s="107">
        <v>54700</v>
      </c>
      <c r="AJ44" s="107">
        <v>8110</v>
      </c>
      <c r="AK44" s="57">
        <v>18.899999999999999</v>
      </c>
      <c r="AL44" s="57">
        <v>7.26</v>
      </c>
      <c r="AM44" s="57">
        <v>8.16</v>
      </c>
      <c r="AN44" s="108">
        <v>2490</v>
      </c>
      <c r="AO44" s="108">
        <v>540</v>
      </c>
      <c r="AP44" s="108">
        <v>2760</v>
      </c>
      <c r="AQ44" s="108">
        <v>823</v>
      </c>
      <c r="AR44" s="109"/>
    </row>
    <row r="45" spans="2:44" ht="13.5" customHeight="1" x14ac:dyDescent="0.2">
      <c r="B45" s="64">
        <v>12</v>
      </c>
      <c r="C45" s="71">
        <v>12</v>
      </c>
      <c r="D45" s="71">
        <v>16</v>
      </c>
      <c r="E45" s="70">
        <v>19</v>
      </c>
      <c r="F45" s="70">
        <v>22</v>
      </c>
      <c r="AA45" s="106" t="s">
        <v>164</v>
      </c>
      <c r="AB45" s="56">
        <v>446</v>
      </c>
      <c r="AC45" s="56">
        <v>302</v>
      </c>
      <c r="AD45" s="58">
        <v>13</v>
      </c>
      <c r="AE45" s="58">
        <v>21</v>
      </c>
      <c r="AF45" s="58"/>
      <c r="AG45" s="55" t="str">
        <f t="shared" si="0"/>
        <v>H -44630213.021.0</v>
      </c>
      <c r="AH45" s="58">
        <v>180.8</v>
      </c>
      <c r="AI45" s="107">
        <v>65000</v>
      </c>
      <c r="AJ45" s="107">
        <v>9850</v>
      </c>
      <c r="AK45" s="57">
        <v>19</v>
      </c>
      <c r="AL45" s="57">
        <v>7.31</v>
      </c>
      <c r="AM45" s="57">
        <v>8.24</v>
      </c>
      <c r="AN45" s="108">
        <v>2920</v>
      </c>
      <c r="AO45" s="108">
        <v>639</v>
      </c>
      <c r="AP45" s="108">
        <v>3250</v>
      </c>
      <c r="AQ45" s="108">
        <v>976</v>
      </c>
      <c r="AR45" s="109"/>
    </row>
    <row r="46" spans="2:44" ht="13.5" customHeight="1" x14ac:dyDescent="0.2">
      <c r="B46" s="69">
        <v>13</v>
      </c>
      <c r="C46" s="70">
        <v>16</v>
      </c>
      <c r="D46" s="70">
        <v>19</v>
      </c>
      <c r="E46" s="70">
        <v>22</v>
      </c>
      <c r="F46" s="70">
        <v>25</v>
      </c>
      <c r="AA46" s="106" t="s">
        <v>164</v>
      </c>
      <c r="AB46" s="60">
        <v>482</v>
      </c>
      <c r="AC46" s="56">
        <v>300</v>
      </c>
      <c r="AD46" s="58">
        <v>11</v>
      </c>
      <c r="AE46" s="58">
        <v>15</v>
      </c>
      <c r="AF46" s="58"/>
      <c r="AG46" s="55" t="str">
        <f t="shared" si="0"/>
        <v>H -48230011.015.0</v>
      </c>
      <c r="AH46" s="110">
        <v>141.19999999999999</v>
      </c>
      <c r="AI46" s="111">
        <v>58300</v>
      </c>
      <c r="AJ46" s="111">
        <v>6760</v>
      </c>
      <c r="AK46" s="61">
        <v>20.3</v>
      </c>
      <c r="AL46" s="61">
        <v>6.92</v>
      </c>
      <c r="AM46" s="57">
        <v>7.99</v>
      </c>
      <c r="AN46" s="108">
        <v>2420</v>
      </c>
      <c r="AO46" s="108">
        <v>450</v>
      </c>
      <c r="AP46" s="108">
        <v>2700</v>
      </c>
      <c r="AQ46" s="108">
        <v>690</v>
      </c>
      <c r="AR46" s="109"/>
    </row>
    <row r="47" spans="2:44" ht="13.5" customHeight="1" x14ac:dyDescent="0.2">
      <c r="B47" s="63"/>
      <c r="C47" s="63"/>
      <c r="D47" s="64"/>
      <c r="E47" s="64"/>
      <c r="F47" s="64"/>
      <c r="AA47" s="106" t="s">
        <v>164</v>
      </c>
      <c r="AB47" s="60">
        <v>488</v>
      </c>
      <c r="AC47" s="56">
        <v>300</v>
      </c>
      <c r="AD47" s="58">
        <v>11</v>
      </c>
      <c r="AE47" s="58">
        <v>18</v>
      </c>
      <c r="AF47" s="58"/>
      <c r="AG47" s="55" t="str">
        <f t="shared" si="0"/>
        <v>H -48830011.018.0</v>
      </c>
      <c r="AH47" s="110">
        <v>159.19999999999999</v>
      </c>
      <c r="AI47" s="111">
        <v>68900</v>
      </c>
      <c r="AJ47" s="111">
        <v>8110</v>
      </c>
      <c r="AK47" s="61">
        <v>20.8</v>
      </c>
      <c r="AL47" s="61">
        <v>7.14</v>
      </c>
      <c r="AM47" s="57">
        <v>8.1</v>
      </c>
      <c r="AN47" s="108">
        <v>2820</v>
      </c>
      <c r="AO47" s="108">
        <v>540</v>
      </c>
      <c r="AP47" s="108">
        <v>3130</v>
      </c>
      <c r="AQ47" s="108">
        <v>825</v>
      </c>
      <c r="AR47" s="109"/>
    </row>
    <row r="48" spans="2:44" ht="13.5" customHeight="1" x14ac:dyDescent="0.2">
      <c r="B48" s="63"/>
      <c r="C48" s="63"/>
      <c r="D48" s="64"/>
      <c r="E48" s="64"/>
      <c r="F48" s="64"/>
      <c r="AA48" s="106" t="s">
        <v>164</v>
      </c>
      <c r="AB48" s="60">
        <v>494</v>
      </c>
      <c r="AC48" s="56">
        <v>302</v>
      </c>
      <c r="AD48" s="58">
        <v>13</v>
      </c>
      <c r="AE48" s="58">
        <v>21</v>
      </c>
      <c r="AF48" s="58"/>
      <c r="AG48" s="55" t="str">
        <f t="shared" si="0"/>
        <v>H -49430213.021.0</v>
      </c>
      <c r="AH48" s="110">
        <v>187</v>
      </c>
      <c r="AI48" s="111">
        <v>81700</v>
      </c>
      <c r="AJ48" s="111">
        <v>9650</v>
      </c>
      <c r="AK48" s="61">
        <v>20.9</v>
      </c>
      <c r="AL48" s="61">
        <v>7.18</v>
      </c>
      <c r="AM48" s="57">
        <v>8.18</v>
      </c>
      <c r="AN48" s="108">
        <v>3310</v>
      </c>
      <c r="AO48" s="108">
        <v>639</v>
      </c>
      <c r="AP48" s="108">
        <v>3700</v>
      </c>
      <c r="AQ48" s="108">
        <v>978</v>
      </c>
      <c r="AR48" s="109"/>
    </row>
    <row r="49" spans="2:44" ht="13.5" customHeight="1" x14ac:dyDescent="0.2">
      <c r="B49" s="63"/>
      <c r="C49" s="63"/>
      <c r="D49" s="64"/>
      <c r="E49" s="64"/>
      <c r="F49" s="64"/>
      <c r="AA49" s="106" t="s">
        <v>164</v>
      </c>
      <c r="AB49" s="60">
        <v>582</v>
      </c>
      <c r="AC49" s="56">
        <v>300</v>
      </c>
      <c r="AD49" s="58">
        <v>12</v>
      </c>
      <c r="AE49" s="58">
        <v>17</v>
      </c>
      <c r="AF49" s="58"/>
      <c r="AG49" s="55" t="str">
        <f t="shared" si="0"/>
        <v>H -58230012.017.0</v>
      </c>
      <c r="AH49" s="110">
        <v>169.2</v>
      </c>
      <c r="AI49" s="111">
        <v>98900</v>
      </c>
      <c r="AJ49" s="111">
        <v>7660</v>
      </c>
      <c r="AK49" s="61">
        <v>24.2</v>
      </c>
      <c r="AL49" s="61">
        <v>6.73</v>
      </c>
      <c r="AM49" s="57">
        <v>7.9</v>
      </c>
      <c r="AN49" s="108">
        <v>3400</v>
      </c>
      <c r="AO49" s="108">
        <v>511</v>
      </c>
      <c r="AP49" s="108">
        <v>3820</v>
      </c>
      <c r="AQ49" s="108">
        <v>786</v>
      </c>
      <c r="AR49" s="109"/>
    </row>
    <row r="50" spans="2:44" ht="13.5" customHeight="1" x14ac:dyDescent="0.2">
      <c r="B50" s="63"/>
      <c r="C50" s="63"/>
      <c r="D50" s="64"/>
      <c r="E50" s="64"/>
      <c r="F50" s="64"/>
      <c r="AA50" s="106" t="s">
        <v>164</v>
      </c>
      <c r="AB50" s="60">
        <v>588</v>
      </c>
      <c r="AC50" s="56">
        <v>300</v>
      </c>
      <c r="AD50" s="58">
        <v>12</v>
      </c>
      <c r="AE50" s="58">
        <v>20</v>
      </c>
      <c r="AF50" s="58"/>
      <c r="AG50" s="55" t="str">
        <f t="shared" si="0"/>
        <v>H -58830012.020.0</v>
      </c>
      <c r="AH50" s="110">
        <v>187.2</v>
      </c>
      <c r="AI50" s="111">
        <v>114000</v>
      </c>
      <c r="AJ50" s="111">
        <v>9010</v>
      </c>
      <c r="AK50" s="61">
        <v>24.7</v>
      </c>
      <c r="AL50" s="61">
        <v>6.94</v>
      </c>
      <c r="AM50" s="57">
        <v>8.01</v>
      </c>
      <c r="AN50" s="108">
        <v>3890</v>
      </c>
      <c r="AO50" s="108">
        <v>601</v>
      </c>
      <c r="AP50" s="108">
        <v>4350</v>
      </c>
      <c r="AQ50" s="108">
        <v>921</v>
      </c>
      <c r="AR50" s="109"/>
    </row>
    <row r="51" spans="2:44" ht="13.5" customHeight="1" x14ac:dyDescent="0.2">
      <c r="B51" s="63"/>
      <c r="C51" s="63"/>
      <c r="D51" s="64"/>
      <c r="E51" s="64"/>
      <c r="F51" s="64"/>
      <c r="AA51" s="106" t="s">
        <v>164</v>
      </c>
      <c r="AB51" s="60">
        <v>594</v>
      </c>
      <c r="AC51" s="56">
        <v>302</v>
      </c>
      <c r="AD51" s="58">
        <v>14</v>
      </c>
      <c r="AE51" s="58">
        <v>23</v>
      </c>
      <c r="AF51" s="58"/>
      <c r="AG51" s="55" t="str">
        <f t="shared" si="0"/>
        <v>H -59430214.023.0</v>
      </c>
      <c r="AH51" s="110">
        <v>217.1</v>
      </c>
      <c r="AI51" s="111">
        <v>134000</v>
      </c>
      <c r="AJ51" s="111">
        <v>10600</v>
      </c>
      <c r="AK51" s="61">
        <v>24.8</v>
      </c>
      <c r="AL51" s="61">
        <v>6.98</v>
      </c>
      <c r="AM51" s="57">
        <v>8.08</v>
      </c>
      <c r="AN51" s="108">
        <v>4500</v>
      </c>
      <c r="AO51" s="108">
        <v>700</v>
      </c>
      <c r="AP51" s="108">
        <v>5060</v>
      </c>
      <c r="AQ51" s="108">
        <v>1080</v>
      </c>
      <c r="AR51" s="109"/>
    </row>
    <row r="52" spans="2:44" ht="13.5" customHeight="1" x14ac:dyDescent="0.2">
      <c r="B52" s="63"/>
      <c r="C52" s="63"/>
      <c r="D52" s="64"/>
      <c r="E52" s="64"/>
      <c r="F52" s="64"/>
      <c r="AA52" s="106" t="s">
        <v>164</v>
      </c>
      <c r="AB52" s="56">
        <v>692</v>
      </c>
      <c r="AC52" s="56">
        <v>300</v>
      </c>
      <c r="AD52" s="58">
        <v>13</v>
      </c>
      <c r="AE52" s="58">
        <v>20</v>
      </c>
      <c r="AF52" s="58"/>
      <c r="AG52" s="55" t="str">
        <f t="shared" si="0"/>
        <v>H -69230013.020.0</v>
      </c>
      <c r="AH52" s="58">
        <v>207.5</v>
      </c>
      <c r="AI52" s="107">
        <v>168000</v>
      </c>
      <c r="AJ52" s="107">
        <v>9020</v>
      </c>
      <c r="AK52" s="57">
        <v>28.5</v>
      </c>
      <c r="AL52" s="57">
        <v>6.59</v>
      </c>
      <c r="AM52" s="57">
        <v>7.81</v>
      </c>
      <c r="AN52" s="108">
        <v>4870</v>
      </c>
      <c r="AO52" s="108">
        <v>601</v>
      </c>
      <c r="AP52" s="108">
        <v>5500</v>
      </c>
      <c r="AQ52" s="108">
        <v>930</v>
      </c>
      <c r="AR52" s="109"/>
    </row>
    <row r="53" spans="2:44" ht="13.5" customHeight="1" x14ac:dyDescent="0.2">
      <c r="B53" s="63"/>
      <c r="C53" s="63"/>
      <c r="D53" s="64"/>
      <c r="E53" s="64"/>
      <c r="F53" s="64"/>
      <c r="AA53" s="106" t="s">
        <v>164</v>
      </c>
      <c r="AB53" s="56">
        <v>700</v>
      </c>
      <c r="AC53" s="56">
        <v>300</v>
      </c>
      <c r="AD53" s="58">
        <v>13</v>
      </c>
      <c r="AE53" s="58">
        <v>24</v>
      </c>
      <c r="AF53" s="58"/>
      <c r="AG53" s="55" t="str">
        <f t="shared" si="0"/>
        <v>H -70030013.024.0</v>
      </c>
      <c r="AH53" s="58">
        <v>231.5</v>
      </c>
      <c r="AI53" s="107">
        <v>197000</v>
      </c>
      <c r="AJ53" s="107">
        <v>10800</v>
      </c>
      <c r="AK53" s="57">
        <v>29.2</v>
      </c>
      <c r="AL53" s="57">
        <v>6.83</v>
      </c>
      <c r="AM53" s="57">
        <v>7.95</v>
      </c>
      <c r="AN53" s="108">
        <v>5640</v>
      </c>
      <c r="AO53" s="108">
        <v>721</v>
      </c>
      <c r="AP53" s="108">
        <v>6340</v>
      </c>
      <c r="AQ53" s="108">
        <v>1110</v>
      </c>
      <c r="AR53" s="109"/>
    </row>
    <row r="54" spans="2:44" ht="13.5" customHeight="1" x14ac:dyDescent="0.2">
      <c r="B54" s="63"/>
      <c r="C54" s="63"/>
      <c r="D54" s="64"/>
      <c r="E54" s="64"/>
      <c r="F54" s="64"/>
      <c r="AA54" s="106" t="s">
        <v>164</v>
      </c>
      <c r="AB54" s="56">
        <v>708</v>
      </c>
      <c r="AC54" s="56">
        <v>302</v>
      </c>
      <c r="AD54" s="58">
        <v>15</v>
      </c>
      <c r="AE54" s="58">
        <v>28</v>
      </c>
      <c r="AF54" s="58"/>
      <c r="AG54" s="55" t="str">
        <f t="shared" si="0"/>
        <v>H -70830215.028.0</v>
      </c>
      <c r="AH54" s="58">
        <v>269.7</v>
      </c>
      <c r="AI54" s="107">
        <v>233000</v>
      </c>
      <c r="AJ54" s="107">
        <v>12900</v>
      </c>
      <c r="AK54" s="57">
        <v>29.4</v>
      </c>
      <c r="AL54" s="57">
        <v>6.91</v>
      </c>
      <c r="AM54" s="57">
        <v>8.0399999999999991</v>
      </c>
      <c r="AN54" s="108">
        <v>6590</v>
      </c>
      <c r="AO54" s="108">
        <v>853</v>
      </c>
      <c r="AP54" s="108">
        <v>7430</v>
      </c>
      <c r="AQ54" s="108">
        <v>1320</v>
      </c>
      <c r="AR54" s="109"/>
    </row>
    <row r="55" spans="2:44" ht="13.5" customHeight="1" x14ac:dyDescent="0.2">
      <c r="B55" s="63"/>
      <c r="C55" s="63"/>
      <c r="D55" s="64"/>
      <c r="E55" s="64"/>
      <c r="F55" s="64"/>
      <c r="AA55" s="106" t="s">
        <v>164</v>
      </c>
      <c r="AB55" s="56">
        <v>792</v>
      </c>
      <c r="AC55" s="56">
        <v>300</v>
      </c>
      <c r="AD55" s="58">
        <v>14</v>
      </c>
      <c r="AE55" s="58">
        <v>22</v>
      </c>
      <c r="AF55" s="58"/>
      <c r="AG55" s="55" t="str">
        <f t="shared" si="0"/>
        <v>H -79230014.022.0</v>
      </c>
      <c r="AH55" s="58">
        <v>239.5</v>
      </c>
      <c r="AI55" s="107">
        <v>248000</v>
      </c>
      <c r="AJ55" s="107">
        <v>9920</v>
      </c>
      <c r="AK55" s="57">
        <v>32.200000000000003</v>
      </c>
      <c r="AL55" s="57">
        <v>6.44</v>
      </c>
      <c r="AM55" s="57">
        <v>7.74</v>
      </c>
      <c r="AN55" s="108">
        <v>6270</v>
      </c>
      <c r="AO55" s="108">
        <v>661</v>
      </c>
      <c r="AP55" s="108">
        <v>7140</v>
      </c>
      <c r="AQ55" s="108">
        <v>1030</v>
      </c>
      <c r="AR55" s="109"/>
    </row>
    <row r="56" spans="2:44" ht="13.5" customHeight="1" x14ac:dyDescent="0.2">
      <c r="B56" s="72"/>
      <c r="C56" s="72"/>
      <c r="D56" s="73"/>
      <c r="E56" s="73"/>
      <c r="F56" s="73"/>
      <c r="AA56" s="106" t="s">
        <v>164</v>
      </c>
      <c r="AB56" s="56">
        <v>800</v>
      </c>
      <c r="AC56" s="56">
        <v>300</v>
      </c>
      <c r="AD56" s="58">
        <v>14</v>
      </c>
      <c r="AE56" s="58">
        <v>26</v>
      </c>
      <c r="AF56" s="58"/>
      <c r="AG56" s="55" t="str">
        <f t="shared" si="0"/>
        <v>H -80030014.026.0</v>
      </c>
      <c r="AH56" s="58">
        <v>263.5</v>
      </c>
      <c r="AI56" s="107">
        <v>286000</v>
      </c>
      <c r="AJ56" s="107">
        <v>11700</v>
      </c>
      <c r="AK56" s="57">
        <v>33</v>
      </c>
      <c r="AL56" s="57">
        <v>6.67</v>
      </c>
      <c r="AM56" s="57">
        <v>7.87</v>
      </c>
      <c r="AN56" s="108">
        <v>7160</v>
      </c>
      <c r="AO56" s="108">
        <v>781</v>
      </c>
      <c r="AP56" s="108">
        <v>8100</v>
      </c>
      <c r="AQ56" s="108">
        <v>1210</v>
      </c>
      <c r="AR56" s="109"/>
    </row>
    <row r="57" spans="2:44" ht="13.5" customHeight="1" x14ac:dyDescent="0.2">
      <c r="AA57" s="106" t="s">
        <v>164</v>
      </c>
      <c r="AB57" s="56">
        <v>808</v>
      </c>
      <c r="AC57" s="56">
        <v>302</v>
      </c>
      <c r="AD57" s="58">
        <v>16</v>
      </c>
      <c r="AE57" s="58">
        <v>30</v>
      </c>
      <c r="AF57" s="58"/>
      <c r="AG57" s="55" t="str">
        <f t="shared" si="0"/>
        <v>H -80830216.030.0</v>
      </c>
      <c r="AH57" s="58">
        <v>303.7</v>
      </c>
      <c r="AI57" s="107">
        <v>334000</v>
      </c>
      <c r="AJ57" s="107">
        <v>13800</v>
      </c>
      <c r="AK57" s="57">
        <v>33.200000000000003</v>
      </c>
      <c r="AL57" s="57">
        <v>6.74</v>
      </c>
      <c r="AM57" s="57">
        <v>7.96</v>
      </c>
      <c r="AN57" s="108">
        <v>8270</v>
      </c>
      <c r="AO57" s="108">
        <v>914</v>
      </c>
      <c r="AP57" s="108">
        <v>9390</v>
      </c>
      <c r="AQ57" s="112">
        <v>1420</v>
      </c>
      <c r="AR57" s="109"/>
    </row>
    <row r="58" spans="2:44" ht="13.5" customHeight="1" x14ac:dyDescent="0.2">
      <c r="AA58" s="106" t="s">
        <v>164</v>
      </c>
      <c r="AB58" s="56">
        <v>816</v>
      </c>
      <c r="AC58" s="56">
        <v>303</v>
      </c>
      <c r="AD58" s="58">
        <v>17</v>
      </c>
      <c r="AE58" s="58">
        <v>34</v>
      </c>
      <c r="AF58" s="58"/>
      <c r="AG58" s="55" t="str">
        <f t="shared" si="0"/>
        <v>H -81630317.034.0</v>
      </c>
      <c r="AH58" s="58">
        <v>336</v>
      </c>
      <c r="AI58" s="107">
        <v>378000</v>
      </c>
      <c r="AJ58" s="107">
        <v>15800</v>
      </c>
      <c r="AK58" s="57">
        <v>33.5</v>
      </c>
      <c r="AL58" s="57">
        <v>6.86</v>
      </c>
      <c r="AM58" s="57">
        <v>8.0500000000000007</v>
      </c>
      <c r="AN58" s="108">
        <v>9270</v>
      </c>
      <c r="AO58" s="108">
        <v>1040</v>
      </c>
      <c r="AP58" s="108">
        <v>10500</v>
      </c>
      <c r="AQ58" s="107">
        <v>1620</v>
      </c>
      <c r="AR58" s="109"/>
    </row>
    <row r="59" spans="2:44" ht="13.5" customHeight="1" x14ac:dyDescent="0.2">
      <c r="AA59" s="106" t="s">
        <v>164</v>
      </c>
      <c r="AB59" s="56">
        <v>890</v>
      </c>
      <c r="AC59" s="56">
        <v>299</v>
      </c>
      <c r="AD59" s="58">
        <v>15</v>
      </c>
      <c r="AE59" s="58">
        <v>23</v>
      </c>
      <c r="AF59" s="58"/>
      <c r="AG59" s="55" t="str">
        <f t="shared" si="0"/>
        <v>H -89029915.023.0</v>
      </c>
      <c r="AH59" s="58">
        <v>266.89999999999998</v>
      </c>
      <c r="AI59" s="107">
        <v>339000</v>
      </c>
      <c r="AJ59" s="107">
        <v>10300</v>
      </c>
      <c r="AK59" s="57">
        <v>35.6</v>
      </c>
      <c r="AL59" s="57">
        <v>6.2</v>
      </c>
      <c r="AM59" s="57">
        <v>7.59</v>
      </c>
      <c r="AN59" s="108">
        <v>7610</v>
      </c>
      <c r="AO59" s="108">
        <v>687</v>
      </c>
      <c r="AP59" s="108">
        <v>8750</v>
      </c>
      <c r="AQ59" s="107">
        <v>1080</v>
      </c>
      <c r="AR59" s="109"/>
    </row>
    <row r="60" spans="2:44" ht="13.5" customHeight="1" x14ac:dyDescent="0.2">
      <c r="B60" t="s">
        <v>96</v>
      </c>
      <c r="C60"/>
      <c r="D60"/>
      <c r="E60" s="54"/>
      <c r="F60" s="54"/>
      <c r="N60" s="57" t="s">
        <v>299</v>
      </c>
      <c r="AA60" s="106" t="s">
        <v>164</v>
      </c>
      <c r="AB60" s="56">
        <v>900</v>
      </c>
      <c r="AC60" s="56">
        <v>300</v>
      </c>
      <c r="AD60" s="58">
        <v>16</v>
      </c>
      <c r="AE60" s="58">
        <v>28</v>
      </c>
      <c r="AF60" s="58"/>
      <c r="AG60" s="55" t="str">
        <f t="shared" si="0"/>
        <v>H -90030016.028.0</v>
      </c>
      <c r="AH60" s="58">
        <v>305.8</v>
      </c>
      <c r="AI60" s="107">
        <v>404000</v>
      </c>
      <c r="AJ60" s="107">
        <v>12600</v>
      </c>
      <c r="AK60" s="57">
        <v>36.4</v>
      </c>
      <c r="AL60" s="57">
        <v>6.43</v>
      </c>
      <c r="AM60" s="57">
        <v>7.75</v>
      </c>
      <c r="AN60" s="108">
        <v>8990</v>
      </c>
      <c r="AO60" s="108">
        <v>842</v>
      </c>
      <c r="AP60" s="108">
        <v>10300</v>
      </c>
      <c r="AQ60" s="107">
        <v>1320</v>
      </c>
      <c r="AR60" s="109"/>
    </row>
    <row r="61" spans="2:44" ht="13.5" customHeight="1" x14ac:dyDescent="0.2">
      <c r="B61" s="140"/>
      <c r="C61" s="141"/>
      <c r="D61" s="142"/>
      <c r="E61" s="241" t="s">
        <v>252</v>
      </c>
      <c r="F61" s="242"/>
      <c r="G61" s="239" t="s">
        <v>253</v>
      </c>
      <c r="H61" s="240"/>
      <c r="I61" s="237" t="s">
        <v>254</v>
      </c>
      <c r="J61" s="238"/>
      <c r="K61" s="148" t="s">
        <v>285</v>
      </c>
      <c r="N61" s="149"/>
      <c r="O61" s="150" t="s">
        <v>287</v>
      </c>
      <c r="P61" s="150" t="s">
        <v>288</v>
      </c>
      <c r="Q61" s="150" t="s">
        <v>289</v>
      </c>
      <c r="R61" s="149"/>
      <c r="S61" s="152" t="s">
        <v>300</v>
      </c>
      <c r="T61" s="151">
        <v>30</v>
      </c>
      <c r="U61" s="151">
        <v>1400</v>
      </c>
      <c r="V61" s="151"/>
      <c r="W61" s="151"/>
      <c r="X61" s="151"/>
      <c r="AA61" s="106" t="s">
        <v>164</v>
      </c>
      <c r="AB61" s="56">
        <v>912</v>
      </c>
      <c r="AC61" s="56">
        <v>302</v>
      </c>
      <c r="AD61" s="58">
        <v>18</v>
      </c>
      <c r="AE61" s="58">
        <v>34</v>
      </c>
      <c r="AF61" s="58"/>
      <c r="AG61" s="55" t="str">
        <f t="shared" si="0"/>
        <v>H -91230218.034.0</v>
      </c>
      <c r="AH61" s="58">
        <v>360.1</v>
      </c>
      <c r="AI61" s="107">
        <v>491000</v>
      </c>
      <c r="AJ61" s="107">
        <v>15700</v>
      </c>
      <c r="AK61" s="57">
        <v>36.9</v>
      </c>
      <c r="AL61" s="57">
        <v>6.59</v>
      </c>
      <c r="AM61" s="57">
        <v>7.9</v>
      </c>
      <c r="AN61" s="108">
        <v>10800</v>
      </c>
      <c r="AO61" s="108">
        <v>1040</v>
      </c>
      <c r="AP61" s="108">
        <v>12300</v>
      </c>
      <c r="AQ61" s="107">
        <v>1620</v>
      </c>
      <c r="AR61" s="109"/>
    </row>
    <row r="62" spans="2:44" ht="13.5" customHeight="1" x14ac:dyDescent="0.2">
      <c r="B62" s="143"/>
      <c r="C62" s="144"/>
      <c r="D62" s="145"/>
      <c r="E62" s="68" t="s">
        <v>97</v>
      </c>
      <c r="F62" s="68" t="s">
        <v>98</v>
      </c>
      <c r="G62" s="68" t="s">
        <v>97</v>
      </c>
      <c r="H62" s="68" t="s">
        <v>98</v>
      </c>
      <c r="I62" s="68" t="s">
        <v>97</v>
      </c>
      <c r="J62" s="68" t="s">
        <v>98</v>
      </c>
      <c r="K62" s="147"/>
      <c r="N62" s="152" t="s">
        <v>290</v>
      </c>
      <c r="O62" s="153">
        <v>0.18099999999999999</v>
      </c>
      <c r="P62" s="153">
        <v>0.17100000000000001</v>
      </c>
      <c r="Q62" s="154">
        <v>18.100000000000001</v>
      </c>
      <c r="R62" s="151">
        <f>9.80665*Q62</f>
        <v>177.50036500000002</v>
      </c>
      <c r="S62" s="151">
        <v>3500</v>
      </c>
      <c r="T62" s="151">
        <f>(R62+S62)*$T$61/1000/1000</f>
        <v>0.11032501095</v>
      </c>
      <c r="U62" s="151">
        <f>T62*$U$61^2/8/(O62*1000)</f>
        <v>149.33495957320443</v>
      </c>
      <c r="V62" s="151" t="str">
        <f>IF(U62&lt;235/1.5,"(ok)","(ng)")</f>
        <v>(ok)</v>
      </c>
      <c r="W62" s="151">
        <f>T62*$U$61^4*5/384/205000/(P62*10000)</f>
        <v>15.742544530675007</v>
      </c>
      <c r="X62" s="151">
        <f>$U$61/W62</f>
        <v>88.930985538712719</v>
      </c>
      <c r="Y62" s="151" t="str">
        <f>IF(250&lt;X62,"(ok)","(ng)")</f>
        <v>(ng)</v>
      </c>
      <c r="AA62" s="106" t="s">
        <v>164</v>
      </c>
      <c r="AB62" s="56">
        <v>918</v>
      </c>
      <c r="AC62" s="56">
        <v>303</v>
      </c>
      <c r="AD62" s="58">
        <v>19</v>
      </c>
      <c r="AE62" s="58">
        <v>37</v>
      </c>
      <c r="AF62" s="58"/>
      <c r="AG62" s="55" t="str">
        <f t="shared" si="0"/>
        <v>H -91830319.037.0</v>
      </c>
      <c r="AH62" s="58">
        <v>387.4</v>
      </c>
      <c r="AI62" s="107">
        <v>535000</v>
      </c>
      <c r="AJ62" s="107">
        <v>17200</v>
      </c>
      <c r="AK62" s="57">
        <v>37.200000000000003</v>
      </c>
      <c r="AL62" s="57">
        <v>6.67</v>
      </c>
      <c r="AM62" s="57">
        <v>7.96</v>
      </c>
      <c r="AN62" s="108">
        <v>11700</v>
      </c>
      <c r="AO62" s="108">
        <v>1140</v>
      </c>
      <c r="AP62" s="108">
        <v>13400</v>
      </c>
      <c r="AQ62" s="107">
        <v>1780</v>
      </c>
      <c r="AR62" s="109"/>
    </row>
    <row r="63" spans="2:44" ht="13.5" customHeight="1" x14ac:dyDescent="0.2">
      <c r="B63" s="7" t="s">
        <v>280</v>
      </c>
      <c r="C63" s="4"/>
      <c r="D63" s="6"/>
      <c r="E63" s="92">
        <f t="shared" ref="E63:F64" si="1">MIN(G63,I63)</f>
        <v>434.5</v>
      </c>
      <c r="F63" s="92">
        <f t="shared" si="1"/>
        <v>41.35</v>
      </c>
      <c r="G63" s="92">
        <v>462.5</v>
      </c>
      <c r="H63" s="92">
        <v>47.15</v>
      </c>
      <c r="I63" s="92">
        <v>434.5</v>
      </c>
      <c r="J63" s="92">
        <v>41.35</v>
      </c>
      <c r="K63" s="137">
        <v>12.07</v>
      </c>
      <c r="N63" s="152" t="s">
        <v>291</v>
      </c>
      <c r="O63" s="153">
        <v>0.27100000000000002</v>
      </c>
      <c r="P63" s="153">
        <v>0.25700000000000001</v>
      </c>
      <c r="Q63" s="154">
        <v>26.9</v>
      </c>
      <c r="R63" s="151">
        <f t="shared" ref="R63:R70" si="2">9.80665*Q63</f>
        <v>263.79888499999998</v>
      </c>
      <c r="S63" s="151">
        <f>S62</f>
        <v>3500</v>
      </c>
      <c r="T63" s="151">
        <f t="shared" ref="T63:T70" si="3">(R63+S63)*$T$61/1000/1000</f>
        <v>0.11291396655000001</v>
      </c>
      <c r="U63" s="151">
        <f t="shared" ref="U63:U70" si="4">T63*$U$61^2/8/(O63*1000)</f>
        <v>102.0808922684502</v>
      </c>
      <c r="V63" s="151" t="str">
        <f t="shared" ref="V63:V70" si="5">IF(U63&lt;235/1.5,"(ok)","(ng)")</f>
        <v>(ok)</v>
      </c>
      <c r="W63" s="151">
        <f t="shared" ref="W63:W70" si="6">T63*$U$61^4*5/384/205000/(P63*10000)</f>
        <v>10.720415112087169</v>
      </c>
      <c r="X63" s="151">
        <f t="shared" ref="X63:X70" si="7">$U$61/W63</f>
        <v>130.59195799437961</v>
      </c>
      <c r="Y63" s="151" t="str">
        <f t="shared" ref="Y63:Y70" si="8">IF(250&lt;X63,"(ok)","(ng)")</f>
        <v>(ng)</v>
      </c>
      <c r="AA63" s="106" t="s">
        <v>164</v>
      </c>
      <c r="AB63" s="60">
        <v>150</v>
      </c>
      <c r="AC63" s="56">
        <v>75</v>
      </c>
      <c r="AD63" s="58">
        <v>5</v>
      </c>
      <c r="AE63" s="58">
        <v>7</v>
      </c>
      <c r="AF63" s="58"/>
      <c r="AG63" s="55" t="str">
        <f t="shared" si="0"/>
        <v>H -150755.07.0</v>
      </c>
      <c r="AH63" s="110">
        <v>17.850000000000001</v>
      </c>
      <c r="AI63" s="111">
        <v>666</v>
      </c>
      <c r="AJ63" s="111">
        <v>49.5</v>
      </c>
      <c r="AK63" s="61">
        <v>6.11</v>
      </c>
      <c r="AL63" s="61">
        <v>1.66</v>
      </c>
      <c r="AM63" s="57">
        <v>1.96</v>
      </c>
      <c r="AN63" s="108">
        <v>88.8</v>
      </c>
      <c r="AO63" s="108">
        <v>13.2</v>
      </c>
      <c r="AP63" s="108">
        <v>102</v>
      </c>
      <c r="AQ63" s="112">
        <v>20.8</v>
      </c>
      <c r="AR63" s="109"/>
    </row>
    <row r="64" spans="2:44" ht="13.5" customHeight="1" x14ac:dyDescent="0.2">
      <c r="B64" s="86" t="s">
        <v>270</v>
      </c>
      <c r="C64" s="81"/>
      <c r="D64" s="82"/>
      <c r="E64" s="64">
        <f t="shared" si="1"/>
        <v>568.5</v>
      </c>
      <c r="F64" s="64">
        <f t="shared" si="1"/>
        <v>56.65</v>
      </c>
      <c r="G64" s="64">
        <v>607.5</v>
      </c>
      <c r="H64" s="64">
        <v>60.7</v>
      </c>
      <c r="I64" s="64">
        <v>568.5</v>
      </c>
      <c r="J64" s="64">
        <v>56.65</v>
      </c>
      <c r="K64" s="138">
        <v>14.92</v>
      </c>
      <c r="N64" s="152" t="s">
        <v>292</v>
      </c>
      <c r="O64" s="153">
        <v>0.313</v>
      </c>
      <c r="P64" s="153">
        <v>0.39100000000000001</v>
      </c>
      <c r="Q64" s="154">
        <v>23.1</v>
      </c>
      <c r="R64" s="151">
        <f t="shared" si="2"/>
        <v>226.533615</v>
      </c>
      <c r="S64" s="151">
        <f t="shared" ref="S64:S70" si="9">S63</f>
        <v>3500</v>
      </c>
      <c r="T64" s="151">
        <f t="shared" si="3"/>
        <v>0.11179600844999998</v>
      </c>
      <c r="U64" s="151">
        <f t="shared" si="4"/>
        <v>87.508057732428099</v>
      </c>
      <c r="V64" s="151" t="str">
        <f t="shared" si="5"/>
        <v>(ok)</v>
      </c>
      <c r="W64" s="151">
        <f t="shared" si="6"/>
        <v>6.9766446335342458</v>
      </c>
      <c r="X64" s="151">
        <f t="shared" si="7"/>
        <v>200.66953005900552</v>
      </c>
      <c r="Y64" s="151" t="str">
        <f t="shared" si="8"/>
        <v>(ng)</v>
      </c>
      <c r="AA64" s="106" t="s">
        <v>164</v>
      </c>
      <c r="AB64" s="60">
        <v>175</v>
      </c>
      <c r="AC64" s="56">
        <v>90</v>
      </c>
      <c r="AD64" s="58">
        <v>5</v>
      </c>
      <c r="AE64" s="58">
        <v>8</v>
      </c>
      <c r="AF64" s="58"/>
      <c r="AG64" s="55" t="str">
        <f t="shared" si="0"/>
        <v>H -175905.08.0</v>
      </c>
      <c r="AH64" s="110">
        <v>22.9</v>
      </c>
      <c r="AI64" s="111">
        <v>1210</v>
      </c>
      <c r="AJ64" s="111">
        <v>97.5</v>
      </c>
      <c r="AK64" s="61">
        <v>7.26</v>
      </c>
      <c r="AL64" s="61">
        <v>2.06</v>
      </c>
      <c r="AM64" s="57">
        <v>2.39</v>
      </c>
      <c r="AN64" s="108">
        <v>138</v>
      </c>
      <c r="AO64" s="108">
        <v>21.7</v>
      </c>
      <c r="AP64" s="108">
        <v>156</v>
      </c>
      <c r="AQ64" s="107">
        <v>33.6</v>
      </c>
      <c r="AR64" s="109"/>
    </row>
    <row r="65" spans="2:44" ht="13.5" customHeight="1" x14ac:dyDescent="0.2">
      <c r="B65" s="86" t="s">
        <v>271</v>
      </c>
      <c r="C65" s="84"/>
      <c r="D65" s="85"/>
      <c r="E65" s="64">
        <f>MIN(G65,I65)</f>
        <v>339</v>
      </c>
      <c r="F65" s="64">
        <f>MIN(H65,J65)</f>
        <v>32</v>
      </c>
      <c r="G65" s="64">
        <v>339</v>
      </c>
      <c r="H65" s="64">
        <v>32</v>
      </c>
      <c r="I65" s="64"/>
      <c r="J65" s="64"/>
      <c r="K65" s="138">
        <v>10.4</v>
      </c>
      <c r="N65" s="152" t="s">
        <v>293</v>
      </c>
      <c r="O65" s="153">
        <v>0.46899999999999997</v>
      </c>
      <c r="P65" s="153">
        <v>0.58599999999999997</v>
      </c>
      <c r="Q65" s="154">
        <v>34.4</v>
      </c>
      <c r="R65" s="151">
        <f t="shared" si="2"/>
        <v>337.34875999999997</v>
      </c>
      <c r="S65" s="151">
        <f t="shared" si="9"/>
        <v>3500</v>
      </c>
      <c r="T65" s="151">
        <f t="shared" si="3"/>
        <v>0.1151204628</v>
      </c>
      <c r="U65" s="151">
        <f t="shared" si="4"/>
        <v>60.137555194029858</v>
      </c>
      <c r="V65" s="151" t="str">
        <f t="shared" si="5"/>
        <v>(ok)</v>
      </c>
      <c r="W65" s="151">
        <f t="shared" si="6"/>
        <v>4.7934916198909523</v>
      </c>
      <c r="X65" s="151">
        <f t="shared" si="7"/>
        <v>292.06267810933377</v>
      </c>
      <c r="Y65" s="151" t="str">
        <f t="shared" si="8"/>
        <v>(ok)</v>
      </c>
      <c r="AA65" s="106" t="s">
        <v>164</v>
      </c>
      <c r="AB65" s="60">
        <v>198</v>
      </c>
      <c r="AC65" s="56">
        <v>99</v>
      </c>
      <c r="AD65" s="58">
        <v>4.5</v>
      </c>
      <c r="AE65" s="58">
        <v>7</v>
      </c>
      <c r="AF65" s="58"/>
      <c r="AG65" s="55" t="str">
        <f t="shared" si="0"/>
        <v>H -198994.57.0</v>
      </c>
      <c r="AH65" s="110">
        <v>22.69</v>
      </c>
      <c r="AI65" s="111">
        <v>1540</v>
      </c>
      <c r="AJ65" s="111">
        <v>113</v>
      </c>
      <c r="AK65" s="61">
        <v>8.25</v>
      </c>
      <c r="AL65" s="61">
        <v>2.2400000000000002</v>
      </c>
      <c r="AM65" s="57">
        <v>2.6</v>
      </c>
      <c r="AN65" s="108">
        <v>156</v>
      </c>
      <c r="AO65" s="108">
        <v>22.9</v>
      </c>
      <c r="AP65" s="108">
        <v>175</v>
      </c>
      <c r="AQ65" s="107">
        <v>35.5</v>
      </c>
      <c r="AR65" s="109"/>
    </row>
    <row r="66" spans="2:44" ht="13.5" customHeight="1" x14ac:dyDescent="0.2">
      <c r="B66" s="86" t="s">
        <v>272</v>
      </c>
      <c r="C66" s="87"/>
      <c r="D66" s="88"/>
      <c r="E66" s="64">
        <f>MIN(G66,I66)</f>
        <v>506</v>
      </c>
      <c r="F66" s="64">
        <f>MIN(H66,J66)</f>
        <v>50.8</v>
      </c>
      <c r="G66" s="64">
        <v>506</v>
      </c>
      <c r="H66" s="64">
        <v>50.8</v>
      </c>
      <c r="I66" s="64"/>
      <c r="J66" s="64"/>
      <c r="K66" s="138">
        <v>12.89</v>
      </c>
      <c r="N66" s="152" t="s">
        <v>294</v>
      </c>
      <c r="O66" s="153">
        <v>0.51200000000000001</v>
      </c>
      <c r="P66" s="153">
        <v>0.81899999999999995</v>
      </c>
      <c r="Q66" s="154">
        <v>29</v>
      </c>
      <c r="R66" s="151">
        <f t="shared" si="2"/>
        <v>284.39285000000001</v>
      </c>
      <c r="S66" s="151">
        <f t="shared" si="9"/>
        <v>3500</v>
      </c>
      <c r="T66" s="151">
        <f t="shared" si="3"/>
        <v>0.1135317855</v>
      </c>
      <c r="U66" s="151">
        <f t="shared" si="4"/>
        <v>54.326733295898435</v>
      </c>
      <c r="V66" s="151" t="str">
        <f t="shared" si="5"/>
        <v>(ok)</v>
      </c>
      <c r="W66" s="151">
        <f t="shared" si="6"/>
        <v>3.3824440993068587</v>
      </c>
      <c r="X66" s="151">
        <f t="shared" si="7"/>
        <v>413.90188836731772</v>
      </c>
      <c r="Y66" s="151" t="str">
        <f t="shared" si="8"/>
        <v>(ok)</v>
      </c>
      <c r="AA66" s="106" t="s">
        <v>164</v>
      </c>
      <c r="AB66" s="60">
        <v>200</v>
      </c>
      <c r="AC66" s="56">
        <v>100</v>
      </c>
      <c r="AD66" s="58">
        <v>5.5</v>
      </c>
      <c r="AE66" s="58">
        <v>8</v>
      </c>
      <c r="AF66" s="58"/>
      <c r="AG66" s="55" t="str">
        <f t="shared" ref="AG66:AG129" si="10">AA66&amp;FIXED(AB66,0)&amp;FIXED(AC66,0)&amp;FIXED(AD66,1)&amp;FIXED(AE66,1)</f>
        <v>H -2001005.58.0</v>
      </c>
      <c r="AH66" s="110">
        <v>26.67</v>
      </c>
      <c r="AI66" s="111">
        <v>1810</v>
      </c>
      <c r="AJ66" s="111">
        <v>134</v>
      </c>
      <c r="AK66" s="61">
        <v>8.23</v>
      </c>
      <c r="AL66" s="61">
        <v>2.2400000000000002</v>
      </c>
      <c r="AM66" s="57">
        <v>2.63</v>
      </c>
      <c r="AN66" s="108">
        <v>181</v>
      </c>
      <c r="AO66" s="108">
        <v>26.7</v>
      </c>
      <c r="AP66" s="108">
        <v>205</v>
      </c>
      <c r="AQ66" s="112">
        <v>41.6</v>
      </c>
      <c r="AR66" s="109"/>
    </row>
    <row r="67" spans="2:44" ht="13.5" customHeight="1" x14ac:dyDescent="0.2">
      <c r="B67" s="86"/>
      <c r="C67" s="84"/>
      <c r="D67" s="85"/>
      <c r="E67" s="64"/>
      <c r="F67" s="64"/>
      <c r="G67" s="64"/>
      <c r="H67" s="64"/>
      <c r="I67" s="64"/>
      <c r="J67" s="64"/>
      <c r="K67" s="138"/>
      <c r="N67" s="152" t="s">
        <v>295</v>
      </c>
      <c r="O67" s="153">
        <v>0.78200000000000003</v>
      </c>
      <c r="P67" s="153">
        <v>1.25</v>
      </c>
      <c r="Q67" s="154">
        <v>37.4</v>
      </c>
      <c r="R67" s="151">
        <f t="shared" si="2"/>
        <v>366.76870999999994</v>
      </c>
      <c r="S67" s="151">
        <f t="shared" si="9"/>
        <v>3500</v>
      </c>
      <c r="T67" s="151">
        <f t="shared" si="3"/>
        <v>0.1160030613</v>
      </c>
      <c r="U67" s="151">
        <f t="shared" si="4"/>
        <v>36.343670100383633</v>
      </c>
      <c r="V67" s="151" t="str">
        <f t="shared" si="5"/>
        <v>(ok)</v>
      </c>
      <c r="W67" s="151">
        <f t="shared" si="6"/>
        <v>2.2644174811487803</v>
      </c>
      <c r="X67" s="151">
        <f t="shared" si="7"/>
        <v>618.26055118146962</v>
      </c>
      <c r="Y67" s="151" t="str">
        <f t="shared" si="8"/>
        <v>(ok)</v>
      </c>
      <c r="AA67" s="106" t="s">
        <v>164</v>
      </c>
      <c r="AB67" s="60">
        <v>248</v>
      </c>
      <c r="AC67" s="56">
        <v>124</v>
      </c>
      <c r="AD67" s="58">
        <v>5</v>
      </c>
      <c r="AE67" s="58">
        <v>8</v>
      </c>
      <c r="AF67" s="58"/>
      <c r="AG67" s="55" t="str">
        <f t="shared" si="10"/>
        <v>H -2481245.08.0</v>
      </c>
      <c r="AH67" s="110">
        <v>31.99</v>
      </c>
      <c r="AI67" s="111">
        <v>3450</v>
      </c>
      <c r="AJ67" s="111">
        <v>255</v>
      </c>
      <c r="AK67" s="61">
        <v>10.4</v>
      </c>
      <c r="AL67" s="61">
        <v>2.82</v>
      </c>
      <c r="AM67" s="57">
        <v>3.27</v>
      </c>
      <c r="AN67" s="108">
        <v>278</v>
      </c>
      <c r="AO67" s="108">
        <v>41.1</v>
      </c>
      <c r="AP67" s="108">
        <v>312</v>
      </c>
      <c r="AQ67" s="112">
        <v>63.2</v>
      </c>
      <c r="AR67" s="109"/>
    </row>
    <row r="68" spans="2:44" ht="13.5" customHeight="1" x14ac:dyDescent="0.2">
      <c r="B68" s="86" t="s">
        <v>273</v>
      </c>
      <c r="C68" s="84"/>
      <c r="D68" s="85"/>
      <c r="E68" s="64">
        <f t="shared" ref="E68:F71" si="11">MIN(G68,I68)</f>
        <v>59.45</v>
      </c>
      <c r="F68" s="64">
        <f t="shared" si="11"/>
        <v>12.22</v>
      </c>
      <c r="G68" s="64">
        <v>59.45</v>
      </c>
      <c r="H68" s="64">
        <v>12.22</v>
      </c>
      <c r="I68" s="64"/>
      <c r="J68" s="64"/>
      <c r="K68" s="138">
        <v>6.45</v>
      </c>
      <c r="N68" s="152" t="s">
        <v>296</v>
      </c>
      <c r="O68" s="153">
        <v>0.72199999999999998</v>
      </c>
      <c r="P68" s="153">
        <v>1.37</v>
      </c>
      <c r="Q68" s="154">
        <v>34.200000000000003</v>
      </c>
      <c r="R68" s="151">
        <f t="shared" si="2"/>
        <v>335.38742999999999</v>
      </c>
      <c r="S68" s="151">
        <f t="shared" si="9"/>
        <v>3500</v>
      </c>
      <c r="T68" s="151">
        <f t="shared" si="3"/>
        <v>0.11506162289999999</v>
      </c>
      <c r="U68" s="151">
        <f t="shared" si="4"/>
        <v>39.044456524238221</v>
      </c>
      <c r="V68" s="151" t="str">
        <f t="shared" si="5"/>
        <v>(ok)</v>
      </c>
      <c r="W68" s="151">
        <f t="shared" si="6"/>
        <v>2.0493068407134585</v>
      </c>
      <c r="X68" s="151">
        <f t="shared" si="7"/>
        <v>683.15782301912157</v>
      </c>
      <c r="Y68" s="151" t="str">
        <f t="shared" si="8"/>
        <v>(ok)</v>
      </c>
      <c r="AA68" s="106" t="s">
        <v>164</v>
      </c>
      <c r="AB68" s="60">
        <v>250</v>
      </c>
      <c r="AC68" s="56">
        <v>125</v>
      </c>
      <c r="AD68" s="58">
        <v>6</v>
      </c>
      <c r="AE68" s="58">
        <v>9</v>
      </c>
      <c r="AF68" s="58"/>
      <c r="AG68" s="55" t="str">
        <f t="shared" si="10"/>
        <v>H -2501256.09.0</v>
      </c>
      <c r="AH68" s="110">
        <v>36.97</v>
      </c>
      <c r="AI68" s="111">
        <v>3960</v>
      </c>
      <c r="AJ68" s="111">
        <v>294</v>
      </c>
      <c r="AK68" s="61">
        <v>10.4</v>
      </c>
      <c r="AL68" s="61">
        <v>2.82</v>
      </c>
      <c r="AM68" s="57">
        <v>3.3</v>
      </c>
      <c r="AN68" s="108">
        <v>317</v>
      </c>
      <c r="AO68" s="108">
        <v>47</v>
      </c>
      <c r="AP68" s="108">
        <v>358</v>
      </c>
      <c r="AQ68" s="112">
        <v>72.7</v>
      </c>
      <c r="AR68" s="109"/>
    </row>
    <row r="69" spans="2:44" ht="13.5" customHeight="1" x14ac:dyDescent="0.2">
      <c r="B69" s="86" t="s">
        <v>274</v>
      </c>
      <c r="C69" s="84"/>
      <c r="D69" s="85"/>
      <c r="E69" s="64">
        <f t="shared" si="11"/>
        <v>77.650000000000006</v>
      </c>
      <c r="F69" s="64">
        <f t="shared" si="11"/>
        <v>15.72</v>
      </c>
      <c r="G69" s="64">
        <v>77.650000000000006</v>
      </c>
      <c r="H69" s="64">
        <v>15.72</v>
      </c>
      <c r="I69" s="64"/>
      <c r="J69" s="64"/>
      <c r="K69" s="138">
        <v>7.63</v>
      </c>
      <c r="N69" s="152" t="s">
        <v>297</v>
      </c>
      <c r="O69" s="153">
        <v>1.1000000000000001</v>
      </c>
      <c r="P69" s="153">
        <v>2.08</v>
      </c>
      <c r="Q69" s="154">
        <v>43.8</v>
      </c>
      <c r="R69" s="151">
        <f t="shared" si="2"/>
        <v>429.53126999999995</v>
      </c>
      <c r="S69" s="151">
        <f t="shared" si="9"/>
        <v>3500</v>
      </c>
      <c r="T69" s="151">
        <f t="shared" si="3"/>
        <v>0.1178859381</v>
      </c>
      <c r="U69" s="151">
        <f t="shared" si="4"/>
        <v>26.256413485909093</v>
      </c>
      <c r="V69" s="151" t="str">
        <f t="shared" si="5"/>
        <v>(ok)</v>
      </c>
      <c r="W69" s="151">
        <f t="shared" si="6"/>
        <v>1.3829157744005043</v>
      </c>
      <c r="X69" s="151">
        <f t="shared" si="7"/>
        <v>1012.3537715859101</v>
      </c>
      <c r="Y69" s="151" t="str">
        <f t="shared" si="8"/>
        <v>(ok)</v>
      </c>
      <c r="AA69" s="106" t="s">
        <v>164</v>
      </c>
      <c r="AB69" s="60">
        <v>298</v>
      </c>
      <c r="AC69" s="56">
        <v>149</v>
      </c>
      <c r="AD69" s="58">
        <v>5.5</v>
      </c>
      <c r="AE69" s="58">
        <v>8</v>
      </c>
      <c r="AF69" s="58"/>
      <c r="AG69" s="55" t="str">
        <f t="shared" si="10"/>
        <v>H -2981495.58.0</v>
      </c>
      <c r="AH69" s="110">
        <v>40.799999999999997</v>
      </c>
      <c r="AI69" s="111">
        <v>6320</v>
      </c>
      <c r="AJ69" s="111">
        <v>442</v>
      </c>
      <c r="AK69" s="61">
        <v>12.4</v>
      </c>
      <c r="AL69" s="61">
        <v>3.29</v>
      </c>
      <c r="AM69" s="57">
        <v>3.85</v>
      </c>
      <c r="AN69" s="108">
        <v>424</v>
      </c>
      <c r="AO69" s="108">
        <v>59.3</v>
      </c>
      <c r="AP69" s="108">
        <v>475</v>
      </c>
      <c r="AQ69" s="112">
        <v>91.8</v>
      </c>
      <c r="AR69" s="109"/>
    </row>
    <row r="70" spans="2:44" ht="13.5" customHeight="1" x14ac:dyDescent="0.2">
      <c r="B70" s="86" t="s">
        <v>275</v>
      </c>
      <c r="C70" s="84"/>
      <c r="D70" s="85"/>
      <c r="E70" s="64">
        <f t="shared" si="11"/>
        <v>111.53</v>
      </c>
      <c r="F70" s="64">
        <f t="shared" si="11"/>
        <v>23.53</v>
      </c>
      <c r="G70" s="64">
        <v>111.53</v>
      </c>
      <c r="H70" s="64">
        <v>23.53</v>
      </c>
      <c r="I70" s="64"/>
      <c r="J70" s="64"/>
      <c r="K70" s="138">
        <v>10.029999999999999</v>
      </c>
      <c r="N70" s="152" t="s">
        <v>298</v>
      </c>
      <c r="O70" s="153">
        <v>1.46</v>
      </c>
      <c r="P70" s="153">
        <v>3.22</v>
      </c>
      <c r="Q70" s="154">
        <v>50</v>
      </c>
      <c r="R70" s="151">
        <f t="shared" si="2"/>
        <v>490.33249999999998</v>
      </c>
      <c r="S70" s="151">
        <f t="shared" si="9"/>
        <v>3500</v>
      </c>
      <c r="T70" s="151">
        <f t="shared" si="3"/>
        <v>0.119709975</v>
      </c>
      <c r="U70" s="151">
        <f t="shared" si="4"/>
        <v>20.088317722602742</v>
      </c>
      <c r="V70" s="151" t="str">
        <f t="shared" si="5"/>
        <v>(ok)</v>
      </c>
      <c r="W70" s="151">
        <f t="shared" si="6"/>
        <v>0.90713417782343575</v>
      </c>
      <c r="X70" s="151">
        <f t="shared" si="7"/>
        <v>1543.3218527375291</v>
      </c>
      <c r="Y70" s="151" t="str">
        <f t="shared" si="8"/>
        <v>(ok)</v>
      </c>
      <c r="AA70" s="106" t="s">
        <v>164</v>
      </c>
      <c r="AB70" s="60">
        <v>300</v>
      </c>
      <c r="AC70" s="56">
        <v>150</v>
      </c>
      <c r="AD70" s="58">
        <v>6.5</v>
      </c>
      <c r="AE70" s="58">
        <v>9</v>
      </c>
      <c r="AF70" s="58"/>
      <c r="AG70" s="55" t="str">
        <f t="shared" si="10"/>
        <v>H -3001506.59.0</v>
      </c>
      <c r="AH70" s="110">
        <v>46.78</v>
      </c>
      <c r="AI70" s="111">
        <v>7210</v>
      </c>
      <c r="AJ70" s="111">
        <v>508</v>
      </c>
      <c r="AK70" s="61">
        <v>12.4</v>
      </c>
      <c r="AL70" s="61">
        <v>3.29</v>
      </c>
      <c r="AM70" s="57">
        <v>3.87</v>
      </c>
      <c r="AN70" s="108">
        <v>481</v>
      </c>
      <c r="AO70" s="108">
        <v>67.7</v>
      </c>
      <c r="AP70" s="108">
        <v>542</v>
      </c>
      <c r="AQ70" s="112">
        <v>105</v>
      </c>
      <c r="AR70" s="109"/>
    </row>
    <row r="71" spans="2:44" ht="13.5" customHeight="1" x14ac:dyDescent="0.2">
      <c r="B71" s="86" t="s">
        <v>276</v>
      </c>
      <c r="C71" s="84"/>
      <c r="D71" s="85"/>
      <c r="E71" s="64">
        <f t="shared" si="11"/>
        <v>139.72</v>
      </c>
      <c r="F71" s="64">
        <f t="shared" si="11"/>
        <v>31.88</v>
      </c>
      <c r="G71" s="64">
        <v>139.72</v>
      </c>
      <c r="H71" s="64">
        <v>31.88</v>
      </c>
      <c r="I71" s="64"/>
      <c r="J71" s="64"/>
      <c r="K71" s="138">
        <v>12.42</v>
      </c>
      <c r="AA71" s="106" t="s">
        <v>164</v>
      </c>
      <c r="AB71" s="60">
        <v>346</v>
      </c>
      <c r="AC71" s="56">
        <v>174</v>
      </c>
      <c r="AD71" s="58">
        <v>6</v>
      </c>
      <c r="AE71" s="58">
        <v>9</v>
      </c>
      <c r="AF71" s="58"/>
      <c r="AG71" s="55" t="str">
        <f t="shared" si="10"/>
        <v>H -3461746.09.0</v>
      </c>
      <c r="AH71" s="110">
        <v>52.45</v>
      </c>
      <c r="AI71" s="111">
        <v>11000</v>
      </c>
      <c r="AJ71" s="111">
        <v>791</v>
      </c>
      <c r="AK71" s="61">
        <v>14.5</v>
      </c>
      <c r="AL71" s="61">
        <v>3.88</v>
      </c>
      <c r="AM71" s="57">
        <v>4.53</v>
      </c>
      <c r="AN71" s="108">
        <v>638</v>
      </c>
      <c r="AO71" s="108">
        <v>91</v>
      </c>
      <c r="AP71" s="108">
        <v>712</v>
      </c>
      <c r="AQ71" s="112">
        <v>140</v>
      </c>
      <c r="AR71" s="109"/>
    </row>
    <row r="72" spans="2:44" ht="13.5" customHeight="1" x14ac:dyDescent="0.2">
      <c r="B72" s="83"/>
      <c r="C72" s="84"/>
      <c r="D72" s="85"/>
      <c r="E72" s="64"/>
      <c r="F72" s="64"/>
      <c r="G72" s="64"/>
      <c r="H72" s="64"/>
      <c r="I72" s="64"/>
      <c r="J72" s="64"/>
      <c r="K72" s="138"/>
      <c r="AA72" s="106" t="s">
        <v>164</v>
      </c>
      <c r="AB72" s="60">
        <v>350</v>
      </c>
      <c r="AC72" s="56">
        <v>175</v>
      </c>
      <c r="AD72" s="58">
        <v>7</v>
      </c>
      <c r="AE72" s="58">
        <v>11</v>
      </c>
      <c r="AF72" s="58"/>
      <c r="AG72" s="55" t="str">
        <f t="shared" si="10"/>
        <v>H -3501757.011.0</v>
      </c>
      <c r="AH72" s="110">
        <v>62.91</v>
      </c>
      <c r="AI72" s="111">
        <v>13500</v>
      </c>
      <c r="AJ72" s="111">
        <v>984</v>
      </c>
      <c r="AK72" s="61">
        <v>14.6</v>
      </c>
      <c r="AL72" s="61">
        <v>3.96</v>
      </c>
      <c r="AM72" s="57">
        <v>4.5999999999999996</v>
      </c>
      <c r="AN72" s="108">
        <v>771</v>
      </c>
      <c r="AO72" s="108">
        <v>112</v>
      </c>
      <c r="AP72" s="108">
        <v>864</v>
      </c>
      <c r="AQ72" s="112">
        <v>173</v>
      </c>
      <c r="AR72" s="109"/>
    </row>
    <row r="73" spans="2:44" ht="13.5" customHeight="1" x14ac:dyDescent="0.2">
      <c r="B73" s="83" t="s">
        <v>266</v>
      </c>
      <c r="C73" s="84"/>
      <c r="D73" s="85" t="s">
        <v>260</v>
      </c>
      <c r="E73" s="64">
        <f t="shared" ref="E73:F76" si="12">MIN(G73,I73)</f>
        <v>603</v>
      </c>
      <c r="F73" s="64">
        <f t="shared" si="12"/>
        <v>59.1</v>
      </c>
      <c r="G73" s="64">
        <v>603</v>
      </c>
      <c r="H73" s="64">
        <v>59.1</v>
      </c>
      <c r="I73" s="64">
        <v>603</v>
      </c>
      <c r="J73" s="64">
        <v>59.1</v>
      </c>
      <c r="K73" s="138">
        <v>11.9</v>
      </c>
      <c r="AA73" s="106" t="s">
        <v>164</v>
      </c>
      <c r="AB73" s="60">
        <v>354</v>
      </c>
      <c r="AC73" s="56">
        <v>176</v>
      </c>
      <c r="AD73" s="58">
        <v>8</v>
      </c>
      <c r="AE73" s="58">
        <v>13</v>
      </c>
      <c r="AF73" s="58"/>
      <c r="AG73" s="55" t="str">
        <f t="shared" si="10"/>
        <v>H -3541768.013.0</v>
      </c>
      <c r="AH73" s="110">
        <v>73.45</v>
      </c>
      <c r="AI73" s="111">
        <v>16000</v>
      </c>
      <c r="AJ73" s="111">
        <v>1180</v>
      </c>
      <c r="AK73" s="61">
        <v>14.8</v>
      </c>
      <c r="AL73" s="61">
        <v>4.01</v>
      </c>
      <c r="AM73" s="57">
        <v>4.63</v>
      </c>
      <c r="AN73" s="108">
        <v>906</v>
      </c>
      <c r="AO73" s="108">
        <v>134</v>
      </c>
      <c r="AP73" s="108">
        <v>1020</v>
      </c>
      <c r="AQ73" s="112">
        <v>208</v>
      </c>
      <c r="AR73" s="109"/>
    </row>
    <row r="74" spans="2:44" ht="13.5" customHeight="1" x14ac:dyDescent="0.2">
      <c r="B74" s="83" t="s">
        <v>267</v>
      </c>
      <c r="C74" s="84"/>
      <c r="D74" s="85" t="s">
        <v>261</v>
      </c>
      <c r="E74" s="64">
        <f t="shared" si="12"/>
        <v>754</v>
      </c>
      <c r="F74" s="64">
        <f t="shared" si="12"/>
        <v>73.900000000000006</v>
      </c>
      <c r="G74" s="64">
        <v>754</v>
      </c>
      <c r="H74" s="64">
        <v>73.900000000000006</v>
      </c>
      <c r="I74" s="64">
        <v>754</v>
      </c>
      <c r="J74" s="64">
        <v>73.900000000000006</v>
      </c>
      <c r="K74" s="138">
        <v>14.78</v>
      </c>
      <c r="AA74" s="106" t="s">
        <v>164</v>
      </c>
      <c r="AB74" s="60">
        <v>396</v>
      </c>
      <c r="AC74" s="56">
        <v>199</v>
      </c>
      <c r="AD74" s="58">
        <v>7</v>
      </c>
      <c r="AE74" s="58">
        <v>11</v>
      </c>
      <c r="AF74" s="58"/>
      <c r="AG74" s="55" t="str">
        <f t="shared" si="10"/>
        <v>H -3961997.011.0</v>
      </c>
      <c r="AH74" s="110">
        <v>71.41</v>
      </c>
      <c r="AI74" s="111">
        <v>19800</v>
      </c>
      <c r="AJ74" s="111">
        <v>1450</v>
      </c>
      <c r="AK74" s="61">
        <v>16.600000000000001</v>
      </c>
      <c r="AL74" s="61">
        <v>4.5</v>
      </c>
      <c r="AM74" s="57">
        <v>5.23</v>
      </c>
      <c r="AN74" s="108">
        <v>999</v>
      </c>
      <c r="AO74" s="108">
        <v>145</v>
      </c>
      <c r="AP74" s="108">
        <v>1110</v>
      </c>
      <c r="AQ74" s="112">
        <v>223</v>
      </c>
      <c r="AR74" s="109"/>
    </row>
    <row r="75" spans="2:44" ht="13.5" customHeight="1" x14ac:dyDescent="0.2">
      <c r="B75" s="83" t="s">
        <v>268</v>
      </c>
      <c r="C75" s="84"/>
      <c r="D75" s="85" t="s">
        <v>262</v>
      </c>
      <c r="E75" s="64">
        <f t="shared" si="12"/>
        <v>280</v>
      </c>
      <c r="F75" s="64">
        <f t="shared" si="12"/>
        <v>35.1</v>
      </c>
      <c r="G75" s="64">
        <v>280</v>
      </c>
      <c r="H75" s="64">
        <v>35.1</v>
      </c>
      <c r="I75" s="64">
        <v>280</v>
      </c>
      <c r="J75" s="64">
        <v>35.1</v>
      </c>
      <c r="K75" s="138">
        <v>9.8800000000000008</v>
      </c>
      <c r="AA75" s="106" t="s">
        <v>164</v>
      </c>
      <c r="AB75" s="60">
        <v>400</v>
      </c>
      <c r="AC75" s="56">
        <v>200</v>
      </c>
      <c r="AD75" s="58">
        <v>8</v>
      </c>
      <c r="AE75" s="58">
        <v>13</v>
      </c>
      <c r="AF75" s="58"/>
      <c r="AG75" s="55" t="str">
        <f t="shared" si="10"/>
        <v>H -4002008.013.0</v>
      </c>
      <c r="AH75" s="110">
        <v>83.37</v>
      </c>
      <c r="AI75" s="111">
        <v>23500</v>
      </c>
      <c r="AJ75" s="111">
        <v>1740</v>
      </c>
      <c r="AK75" s="61">
        <v>16.8</v>
      </c>
      <c r="AL75" s="61">
        <v>4.5599999999999996</v>
      </c>
      <c r="AM75" s="57">
        <v>5.29</v>
      </c>
      <c r="AN75" s="108">
        <v>1170</v>
      </c>
      <c r="AO75" s="108">
        <v>174</v>
      </c>
      <c r="AP75" s="108">
        <v>1310</v>
      </c>
      <c r="AQ75" s="112">
        <v>267</v>
      </c>
      <c r="AR75" s="109"/>
    </row>
    <row r="76" spans="2:44" ht="13.5" customHeight="1" x14ac:dyDescent="0.2">
      <c r="B76" s="83" t="s">
        <v>269</v>
      </c>
      <c r="C76" s="84"/>
      <c r="D76" s="85" t="s">
        <v>261</v>
      </c>
      <c r="E76" s="64">
        <f t="shared" si="12"/>
        <v>350</v>
      </c>
      <c r="F76" s="64">
        <f t="shared" si="12"/>
        <v>43.9</v>
      </c>
      <c r="G76" s="64">
        <v>350</v>
      </c>
      <c r="H76" s="64">
        <v>43.9</v>
      </c>
      <c r="I76" s="64">
        <v>350</v>
      </c>
      <c r="J76" s="64">
        <v>43.9</v>
      </c>
      <c r="K76" s="138">
        <v>12.28</v>
      </c>
      <c r="AA76" s="106" t="s">
        <v>164</v>
      </c>
      <c r="AB76" s="60">
        <v>404</v>
      </c>
      <c r="AC76" s="56">
        <v>201</v>
      </c>
      <c r="AD76" s="58">
        <v>9</v>
      </c>
      <c r="AE76" s="58">
        <v>15</v>
      </c>
      <c r="AF76" s="58"/>
      <c r="AG76" s="55" t="str">
        <f t="shared" si="10"/>
        <v>H -4042019.015.0</v>
      </c>
      <c r="AH76" s="110">
        <v>95.41</v>
      </c>
      <c r="AI76" s="111">
        <v>27200</v>
      </c>
      <c r="AJ76" s="111">
        <v>2030</v>
      </c>
      <c r="AK76" s="61">
        <v>16.899999999999999</v>
      </c>
      <c r="AL76" s="61">
        <v>4.62</v>
      </c>
      <c r="AM76" s="57">
        <v>5.34</v>
      </c>
      <c r="AN76" s="108">
        <v>1350</v>
      </c>
      <c r="AO76" s="108">
        <v>202</v>
      </c>
      <c r="AP76" s="108">
        <v>1510</v>
      </c>
      <c r="AQ76" s="112">
        <v>312</v>
      </c>
      <c r="AR76" s="109"/>
    </row>
    <row r="77" spans="2:44" ht="13.5" customHeight="1" x14ac:dyDescent="0.2">
      <c r="B77" s="83"/>
      <c r="C77" s="84"/>
      <c r="D77" s="85"/>
      <c r="E77" s="64"/>
      <c r="F77" s="64"/>
      <c r="G77" s="64"/>
      <c r="H77" s="64"/>
      <c r="I77" s="64"/>
      <c r="J77" s="64"/>
      <c r="K77" s="138"/>
      <c r="AA77" s="106" t="s">
        <v>164</v>
      </c>
      <c r="AB77" s="60">
        <v>446</v>
      </c>
      <c r="AC77" s="56">
        <v>199</v>
      </c>
      <c r="AD77" s="58">
        <v>8</v>
      </c>
      <c r="AE77" s="58">
        <v>12</v>
      </c>
      <c r="AF77" s="58"/>
      <c r="AG77" s="55" t="str">
        <f t="shared" si="10"/>
        <v>H -4461998.012.0</v>
      </c>
      <c r="AH77" s="110">
        <v>82.97</v>
      </c>
      <c r="AI77" s="111">
        <v>28100</v>
      </c>
      <c r="AJ77" s="111">
        <v>1580</v>
      </c>
      <c r="AK77" s="61">
        <v>18.399999999999999</v>
      </c>
      <c r="AL77" s="61">
        <v>4.3600000000000003</v>
      </c>
      <c r="AM77" s="57">
        <v>5.16</v>
      </c>
      <c r="AN77" s="108">
        <v>1260</v>
      </c>
      <c r="AO77" s="108">
        <v>159</v>
      </c>
      <c r="AP77" s="108">
        <v>1420</v>
      </c>
      <c r="AQ77" s="112">
        <v>245</v>
      </c>
      <c r="AR77" s="109"/>
    </row>
    <row r="78" spans="2:44" ht="13.5" customHeight="1" x14ac:dyDescent="0.2">
      <c r="B78" s="83" t="s">
        <v>263</v>
      </c>
      <c r="C78" s="84"/>
      <c r="D78" s="85"/>
      <c r="E78" s="64">
        <f>MIN(G78,I78)</f>
        <v>76.3</v>
      </c>
      <c r="F78" s="64">
        <f>MIN(H78,J78)</f>
        <v>17.5</v>
      </c>
      <c r="G78" s="64">
        <v>85.8</v>
      </c>
      <c r="H78" s="64">
        <v>19.5</v>
      </c>
      <c r="I78" s="64">
        <v>76.3</v>
      </c>
      <c r="J78" s="64">
        <v>17.5</v>
      </c>
      <c r="K78" s="138">
        <v>7.49</v>
      </c>
      <c r="AA78" s="106" t="s">
        <v>164</v>
      </c>
      <c r="AB78" s="60">
        <v>450</v>
      </c>
      <c r="AC78" s="56">
        <v>200</v>
      </c>
      <c r="AD78" s="58">
        <v>9</v>
      </c>
      <c r="AE78" s="58">
        <v>14</v>
      </c>
      <c r="AF78" s="58"/>
      <c r="AG78" s="55" t="str">
        <f t="shared" si="10"/>
        <v>H -4502009.014.0</v>
      </c>
      <c r="AH78" s="110">
        <v>95.43</v>
      </c>
      <c r="AI78" s="111">
        <v>32900</v>
      </c>
      <c r="AJ78" s="111">
        <v>1870</v>
      </c>
      <c r="AK78" s="61">
        <v>18.600000000000001</v>
      </c>
      <c r="AL78" s="61">
        <v>4.43</v>
      </c>
      <c r="AM78" s="57">
        <v>5.23</v>
      </c>
      <c r="AN78" s="108">
        <v>1460</v>
      </c>
      <c r="AO78" s="108">
        <v>187</v>
      </c>
      <c r="AP78" s="108">
        <v>1650</v>
      </c>
      <c r="AQ78" s="112">
        <v>290</v>
      </c>
      <c r="AR78" s="109"/>
    </row>
    <row r="79" spans="2:44" ht="13.5" customHeight="1" x14ac:dyDescent="0.2">
      <c r="B79" s="83" t="s">
        <v>264</v>
      </c>
      <c r="C79" s="84"/>
      <c r="D79" s="85"/>
      <c r="E79" s="64">
        <f t="shared" ref="E79:E80" si="13">MIN(G79,I79)</f>
        <v>92.1</v>
      </c>
      <c r="F79" s="64">
        <f t="shared" ref="F79:F80" si="14">MIN(H79,J79)</f>
        <v>21.2</v>
      </c>
      <c r="G79" s="64">
        <v>92.1</v>
      </c>
      <c r="H79" s="64">
        <v>21.2</v>
      </c>
      <c r="I79" s="64">
        <v>108</v>
      </c>
      <c r="J79" s="64">
        <v>24.7</v>
      </c>
      <c r="K79" s="138">
        <v>9.89</v>
      </c>
      <c r="AA79" s="106" t="s">
        <v>164</v>
      </c>
      <c r="AB79" s="60">
        <v>456</v>
      </c>
      <c r="AC79" s="56">
        <v>201</v>
      </c>
      <c r="AD79" s="58">
        <v>10</v>
      </c>
      <c r="AE79" s="58">
        <v>17</v>
      </c>
      <c r="AF79" s="58"/>
      <c r="AG79" s="55" t="str">
        <f t="shared" si="10"/>
        <v>H -45620110.017.0</v>
      </c>
      <c r="AH79" s="110">
        <v>112</v>
      </c>
      <c r="AI79" s="111">
        <v>38800</v>
      </c>
      <c r="AJ79" s="111">
        <v>2310</v>
      </c>
      <c r="AK79" s="61">
        <v>18.899999999999999</v>
      </c>
      <c r="AL79" s="61">
        <v>4.54</v>
      </c>
      <c r="AM79" s="57">
        <v>5.31</v>
      </c>
      <c r="AN79" s="108">
        <v>1750</v>
      </c>
      <c r="AO79" s="108">
        <v>229</v>
      </c>
      <c r="AP79" s="108">
        <v>1980</v>
      </c>
      <c r="AQ79" s="112">
        <v>355</v>
      </c>
      <c r="AR79" s="109"/>
    </row>
    <row r="80" spans="2:44" ht="13.5" customHeight="1" x14ac:dyDescent="0.2">
      <c r="B80" s="83" t="s">
        <v>265</v>
      </c>
      <c r="C80" s="84"/>
      <c r="D80" s="85"/>
      <c r="E80" s="64">
        <f t="shared" si="13"/>
        <v>143</v>
      </c>
      <c r="F80" s="64">
        <f t="shared" si="14"/>
        <v>32.299999999999997</v>
      </c>
      <c r="G80" s="64">
        <v>143</v>
      </c>
      <c r="H80" s="64">
        <v>32.299999999999997</v>
      </c>
      <c r="I80" s="64">
        <v>144</v>
      </c>
      <c r="J80" s="64">
        <v>33.1</v>
      </c>
      <c r="K80" s="138">
        <v>12.27</v>
      </c>
      <c r="AA80" s="106" t="s">
        <v>164</v>
      </c>
      <c r="AB80" s="60">
        <v>496</v>
      </c>
      <c r="AC80" s="56">
        <v>199</v>
      </c>
      <c r="AD80" s="58">
        <v>9</v>
      </c>
      <c r="AE80" s="58">
        <v>14</v>
      </c>
      <c r="AF80" s="58"/>
      <c r="AG80" s="55" t="str">
        <f t="shared" si="10"/>
        <v>H -4961999.014.0</v>
      </c>
      <c r="AH80" s="110">
        <v>99.29</v>
      </c>
      <c r="AI80" s="111">
        <v>40800</v>
      </c>
      <c r="AJ80" s="111">
        <v>1840</v>
      </c>
      <c r="AK80" s="61">
        <v>20.3</v>
      </c>
      <c r="AL80" s="61">
        <v>4.3099999999999996</v>
      </c>
      <c r="AM80" s="57">
        <v>5.14</v>
      </c>
      <c r="AN80" s="108">
        <v>1650</v>
      </c>
      <c r="AO80" s="108">
        <v>185</v>
      </c>
      <c r="AP80" s="108">
        <v>1870</v>
      </c>
      <c r="AQ80" s="112">
        <v>288</v>
      </c>
      <c r="AR80" s="109"/>
    </row>
    <row r="81" spans="2:44" ht="13.5" customHeight="1" x14ac:dyDescent="0.2">
      <c r="B81" s="83"/>
      <c r="C81" s="84"/>
      <c r="D81" s="85"/>
      <c r="E81" s="64"/>
      <c r="F81" s="64"/>
      <c r="G81" s="64"/>
      <c r="H81" s="64"/>
      <c r="I81" s="64"/>
      <c r="J81" s="64"/>
      <c r="K81" s="138"/>
      <c r="AA81" s="106" t="s">
        <v>164</v>
      </c>
      <c r="AB81" s="60">
        <v>500</v>
      </c>
      <c r="AC81" s="56">
        <v>200</v>
      </c>
      <c r="AD81" s="58">
        <v>10</v>
      </c>
      <c r="AE81" s="58">
        <v>16</v>
      </c>
      <c r="AF81" s="58"/>
      <c r="AG81" s="55" t="str">
        <f t="shared" si="10"/>
        <v>H -50020010.016.0</v>
      </c>
      <c r="AH81" s="110">
        <v>112.2</v>
      </c>
      <c r="AI81" s="111">
        <v>46800</v>
      </c>
      <c r="AJ81" s="111">
        <v>2140</v>
      </c>
      <c r="AK81" s="61">
        <v>20.399999999999999</v>
      </c>
      <c r="AL81" s="61">
        <v>4.3600000000000003</v>
      </c>
      <c r="AM81" s="57">
        <v>5.2</v>
      </c>
      <c r="AN81" s="108">
        <v>1870</v>
      </c>
      <c r="AO81" s="108">
        <v>214</v>
      </c>
      <c r="AP81" s="108">
        <v>2130</v>
      </c>
      <c r="AQ81" s="112">
        <v>333</v>
      </c>
      <c r="AR81" s="109"/>
    </row>
    <row r="82" spans="2:44" ht="13.5" customHeight="1" x14ac:dyDescent="0.2">
      <c r="B82" s="83" t="s">
        <v>255</v>
      </c>
      <c r="C82" s="84"/>
      <c r="D82" s="85" t="s">
        <v>262</v>
      </c>
      <c r="E82" s="64">
        <f>MIN(G82,I82)</f>
        <v>155</v>
      </c>
      <c r="F82" s="64">
        <f>MIN(H82,J82)</f>
        <v>17.600000000000001</v>
      </c>
      <c r="G82" s="64">
        <v>319</v>
      </c>
      <c r="H82" s="64">
        <v>38</v>
      </c>
      <c r="I82" s="64">
        <v>155</v>
      </c>
      <c r="J82" s="64">
        <v>17.600000000000001</v>
      </c>
      <c r="K82" s="138">
        <v>7.64</v>
      </c>
      <c r="AA82" s="106" t="s">
        <v>164</v>
      </c>
      <c r="AB82" s="60">
        <v>506</v>
      </c>
      <c r="AC82" s="56">
        <v>201</v>
      </c>
      <c r="AD82" s="58">
        <v>11</v>
      </c>
      <c r="AE82" s="58">
        <v>19</v>
      </c>
      <c r="AF82" s="58"/>
      <c r="AG82" s="55" t="str">
        <f t="shared" si="10"/>
        <v>H -50620111.019.0</v>
      </c>
      <c r="AH82" s="110">
        <v>129.30000000000001</v>
      </c>
      <c r="AI82" s="111">
        <v>55500</v>
      </c>
      <c r="AJ82" s="111">
        <v>2580</v>
      </c>
      <c r="AK82" s="61">
        <v>20.7</v>
      </c>
      <c r="AL82" s="61">
        <v>4.46</v>
      </c>
      <c r="AM82" s="57">
        <v>5.28</v>
      </c>
      <c r="AN82" s="108">
        <v>2190</v>
      </c>
      <c r="AO82" s="108">
        <v>256</v>
      </c>
      <c r="AP82" s="108">
        <v>2500</v>
      </c>
      <c r="AQ82" s="112">
        <v>399</v>
      </c>
      <c r="AR82" s="109"/>
    </row>
    <row r="83" spans="2:44" ht="13.5" customHeight="1" x14ac:dyDescent="0.2">
      <c r="B83" s="83" t="s">
        <v>346</v>
      </c>
      <c r="C83" s="84"/>
      <c r="D83" s="85" t="s">
        <v>261</v>
      </c>
      <c r="E83" s="64">
        <f t="shared" ref="E83:E84" si="15">MIN(G83,I83)</f>
        <v>292.67</v>
      </c>
      <c r="F83" s="64">
        <f t="shared" ref="F83:F84" si="16">MIN(H83,J83)</f>
        <v>35.270000000000003</v>
      </c>
      <c r="G83" s="64">
        <v>500.4</v>
      </c>
      <c r="H83" s="64">
        <v>57.8</v>
      </c>
      <c r="I83" s="64">
        <v>292.67</v>
      </c>
      <c r="J83" s="64">
        <v>35.270000000000003</v>
      </c>
      <c r="K83" s="138">
        <v>10.039999999999999</v>
      </c>
      <c r="AA83" s="106" t="s">
        <v>164</v>
      </c>
      <c r="AB83" s="60">
        <v>596</v>
      </c>
      <c r="AC83" s="56">
        <v>199</v>
      </c>
      <c r="AD83" s="58">
        <v>10</v>
      </c>
      <c r="AE83" s="58">
        <v>15</v>
      </c>
      <c r="AF83" s="58"/>
      <c r="AG83" s="55" t="str">
        <f t="shared" si="10"/>
        <v>H -59619910.015.0</v>
      </c>
      <c r="AH83" s="110">
        <v>117.8</v>
      </c>
      <c r="AI83" s="111">
        <v>66600</v>
      </c>
      <c r="AJ83" s="111">
        <v>1980</v>
      </c>
      <c r="AK83" s="61">
        <v>23.8</v>
      </c>
      <c r="AL83" s="61">
        <v>4.0999999999999996</v>
      </c>
      <c r="AM83" s="57">
        <v>5.03</v>
      </c>
      <c r="AN83" s="108">
        <v>2240</v>
      </c>
      <c r="AO83" s="108">
        <v>199</v>
      </c>
      <c r="AP83" s="108">
        <v>2580</v>
      </c>
      <c r="AQ83" s="112">
        <v>312</v>
      </c>
      <c r="AR83" s="109"/>
    </row>
    <row r="84" spans="2:44" ht="13.5" customHeight="1" x14ac:dyDescent="0.2">
      <c r="B84" s="83" t="s">
        <v>256</v>
      </c>
      <c r="C84" s="84"/>
      <c r="D84" s="85" t="s">
        <v>261</v>
      </c>
      <c r="E84" s="64">
        <f t="shared" si="15"/>
        <v>356.84</v>
      </c>
      <c r="F84" s="64">
        <f t="shared" si="16"/>
        <v>44.09</v>
      </c>
      <c r="G84" s="64">
        <v>625.5</v>
      </c>
      <c r="H84" s="64">
        <v>72.25</v>
      </c>
      <c r="I84" s="64">
        <v>356.84</v>
      </c>
      <c r="J84" s="64">
        <v>44.09</v>
      </c>
      <c r="K84" s="138">
        <v>12.42</v>
      </c>
      <c r="AA84" s="106" t="s">
        <v>164</v>
      </c>
      <c r="AB84" s="60">
        <v>600</v>
      </c>
      <c r="AC84" s="56">
        <v>200</v>
      </c>
      <c r="AD84" s="58">
        <v>11</v>
      </c>
      <c r="AE84" s="58">
        <v>17</v>
      </c>
      <c r="AF84" s="58"/>
      <c r="AG84" s="55" t="str">
        <f t="shared" si="10"/>
        <v>H -60020011.017.0</v>
      </c>
      <c r="AH84" s="110">
        <v>131.69999999999999</v>
      </c>
      <c r="AI84" s="111">
        <v>75600</v>
      </c>
      <c r="AJ84" s="111">
        <v>2270</v>
      </c>
      <c r="AK84" s="61">
        <v>24</v>
      </c>
      <c r="AL84" s="61">
        <v>4.16</v>
      </c>
      <c r="AM84" s="57">
        <v>5.09</v>
      </c>
      <c r="AN84" s="108">
        <v>2520</v>
      </c>
      <c r="AO84" s="108">
        <v>227</v>
      </c>
      <c r="AP84" s="108">
        <v>2900</v>
      </c>
      <c r="AQ84" s="112">
        <v>358</v>
      </c>
      <c r="AR84" s="109"/>
    </row>
    <row r="85" spans="2:44" ht="13.5" customHeight="1" x14ac:dyDescent="0.2">
      <c r="B85" s="83"/>
      <c r="C85" s="84"/>
      <c r="D85" s="85"/>
      <c r="E85" s="64"/>
      <c r="F85" s="64"/>
      <c r="G85" s="64"/>
      <c r="H85" s="64"/>
      <c r="I85" s="64"/>
      <c r="J85" s="64"/>
      <c r="K85" s="138"/>
      <c r="AA85" s="106" t="s">
        <v>164</v>
      </c>
      <c r="AB85" s="60">
        <v>606</v>
      </c>
      <c r="AC85" s="56">
        <v>201</v>
      </c>
      <c r="AD85" s="58">
        <v>12</v>
      </c>
      <c r="AE85" s="58">
        <v>20</v>
      </c>
      <c r="AF85" s="58"/>
      <c r="AG85" s="55" t="str">
        <f t="shared" si="10"/>
        <v>H -60620112.020.0</v>
      </c>
      <c r="AH85" s="110">
        <v>149.80000000000001</v>
      </c>
      <c r="AI85" s="111">
        <v>88300</v>
      </c>
      <c r="AJ85" s="111">
        <v>2720</v>
      </c>
      <c r="AK85" s="61">
        <v>24.3</v>
      </c>
      <c r="AL85" s="61">
        <v>4.26</v>
      </c>
      <c r="AM85" s="57">
        <v>5.17</v>
      </c>
      <c r="AN85" s="108">
        <v>2910</v>
      </c>
      <c r="AO85" s="108">
        <v>270</v>
      </c>
      <c r="AP85" s="108">
        <v>3360</v>
      </c>
      <c r="AQ85" s="112">
        <v>426</v>
      </c>
      <c r="AR85" s="109"/>
    </row>
    <row r="86" spans="2:44" ht="13.5" customHeight="1" x14ac:dyDescent="0.2">
      <c r="B86" s="83" t="s">
        <v>286</v>
      </c>
      <c r="C86" s="84"/>
      <c r="D86" s="85"/>
      <c r="E86" s="64">
        <f>MIN(G86,I86)</f>
        <v>61.89</v>
      </c>
      <c r="F86" s="64">
        <f>MIN(H86,J86)</f>
        <v>14.07</v>
      </c>
      <c r="G86" s="64">
        <v>61.89</v>
      </c>
      <c r="H86" s="64">
        <v>14.07</v>
      </c>
      <c r="I86" s="64"/>
      <c r="J86" s="64"/>
      <c r="K86" s="138">
        <v>6.45</v>
      </c>
      <c r="AA86" s="106" t="s">
        <v>164</v>
      </c>
      <c r="AB86" s="60">
        <v>612</v>
      </c>
      <c r="AC86" s="56">
        <v>202</v>
      </c>
      <c r="AD86" s="58">
        <v>13</v>
      </c>
      <c r="AE86" s="58">
        <v>23</v>
      </c>
      <c r="AF86" s="58"/>
      <c r="AG86" s="55" t="str">
        <f t="shared" si="10"/>
        <v>H -61220213.023.0</v>
      </c>
      <c r="AH86" s="58">
        <v>168</v>
      </c>
      <c r="AI86" s="107">
        <v>101000</v>
      </c>
      <c r="AJ86" s="107">
        <v>3170</v>
      </c>
      <c r="AK86" s="57">
        <v>24.6</v>
      </c>
      <c r="AL86" s="57">
        <v>4.3499999999999996</v>
      </c>
      <c r="AM86" s="57">
        <v>5.25</v>
      </c>
      <c r="AN86" s="108">
        <v>3310</v>
      </c>
      <c r="AO86" s="108">
        <v>314</v>
      </c>
      <c r="AP86" s="108">
        <v>3820</v>
      </c>
      <c r="AQ86" s="107">
        <v>495</v>
      </c>
      <c r="AR86" s="109"/>
    </row>
    <row r="87" spans="2:44" ht="13.5" customHeight="1" x14ac:dyDescent="0.2">
      <c r="B87" s="83" t="s">
        <v>257</v>
      </c>
      <c r="C87" s="84"/>
      <c r="D87" s="85"/>
      <c r="E87" s="64">
        <f>MIN(G87,I87)</f>
        <v>74.180000000000007</v>
      </c>
      <c r="F87" s="64">
        <f>MIN(H87,J87)</f>
        <v>16.86</v>
      </c>
      <c r="G87" s="64">
        <v>74.180000000000007</v>
      </c>
      <c r="H87" s="64">
        <v>16.86</v>
      </c>
      <c r="I87" s="64"/>
      <c r="J87" s="64"/>
      <c r="K87" s="138">
        <v>7.63</v>
      </c>
      <c r="AA87" s="106"/>
      <c r="AB87" s="99"/>
      <c r="AC87" s="99"/>
      <c r="AD87" s="99"/>
      <c r="AE87" s="99"/>
      <c r="AF87" s="99"/>
      <c r="AG87" s="99"/>
      <c r="AH87" s="101"/>
      <c r="AI87" s="108"/>
      <c r="AJ87" s="108"/>
      <c r="AK87" s="109"/>
      <c r="AL87" s="109"/>
      <c r="AM87" s="109"/>
      <c r="AN87" s="108"/>
      <c r="AO87" s="108"/>
      <c r="AP87" s="108"/>
      <c r="AQ87" s="107"/>
      <c r="AR87" s="109"/>
    </row>
    <row r="88" spans="2:44" ht="13.5" customHeight="1" x14ac:dyDescent="0.2">
      <c r="B88" s="83" t="s">
        <v>347</v>
      </c>
      <c r="C88" s="84"/>
      <c r="D88" s="85"/>
      <c r="E88" s="64">
        <f t="shared" ref="E88:E90" si="17">MIN(G88,I88)</f>
        <v>98.66</v>
      </c>
      <c r="F88" s="64">
        <f t="shared" ref="F88:F90" si="18">MIN(H88,J88)</f>
        <v>22.42</v>
      </c>
      <c r="G88" s="64">
        <v>98.66</v>
      </c>
      <c r="H88" s="64">
        <v>22.42</v>
      </c>
      <c r="I88" s="64"/>
      <c r="J88" s="64"/>
      <c r="K88" s="138">
        <v>10.029999999999999</v>
      </c>
      <c r="AA88" s="106" t="s">
        <v>165</v>
      </c>
      <c r="AB88" s="113">
        <v>400</v>
      </c>
      <c r="AC88" s="113">
        <v>200</v>
      </c>
      <c r="AD88" s="113">
        <v>9</v>
      </c>
      <c r="AE88" s="113">
        <v>12</v>
      </c>
      <c r="AF88" s="113"/>
      <c r="AG88" s="55" t="str">
        <f t="shared" si="10"/>
        <v>Hy-4002009.012.0</v>
      </c>
      <c r="AH88" s="58">
        <v>83.29</v>
      </c>
      <c r="AI88" s="107">
        <v>22600</v>
      </c>
      <c r="AJ88" s="107">
        <v>1600</v>
      </c>
      <c r="AK88" s="114">
        <v>16.5</v>
      </c>
      <c r="AL88" s="114">
        <v>4.3899999999999997</v>
      </c>
      <c r="AM88" s="114">
        <v>5.2</v>
      </c>
      <c r="AN88" s="115">
        <v>1130</v>
      </c>
      <c r="AO88" s="108">
        <v>160</v>
      </c>
      <c r="AP88" s="115">
        <v>1280</v>
      </c>
      <c r="AQ88" s="107">
        <v>249</v>
      </c>
      <c r="AR88" s="109"/>
    </row>
    <row r="89" spans="2:44" ht="13.5" customHeight="1" x14ac:dyDescent="0.2">
      <c r="B89" s="83" t="s">
        <v>258</v>
      </c>
      <c r="C89" s="84"/>
      <c r="D89" s="85"/>
      <c r="E89" s="64">
        <f t="shared" si="17"/>
        <v>123.02</v>
      </c>
      <c r="F89" s="64">
        <f t="shared" si="18"/>
        <v>27.96</v>
      </c>
      <c r="G89" s="64">
        <v>123.02</v>
      </c>
      <c r="H89" s="64">
        <v>27.96</v>
      </c>
      <c r="I89" s="64"/>
      <c r="J89" s="64"/>
      <c r="K89" s="138">
        <v>12.42</v>
      </c>
      <c r="AA89" s="106" t="s">
        <v>165</v>
      </c>
      <c r="AB89" s="113">
        <v>400</v>
      </c>
      <c r="AC89" s="113">
        <v>200</v>
      </c>
      <c r="AD89" s="113">
        <v>9</v>
      </c>
      <c r="AE89" s="113">
        <v>16</v>
      </c>
      <c r="AF89" s="113"/>
      <c r="AG89" s="55" t="str">
        <f t="shared" si="10"/>
        <v>Hy-4002009.016.0</v>
      </c>
      <c r="AH89" s="58">
        <v>98.57</v>
      </c>
      <c r="AI89" s="107">
        <v>27800</v>
      </c>
      <c r="AJ89" s="107">
        <v>2140</v>
      </c>
      <c r="AK89" s="114">
        <v>16.8</v>
      </c>
      <c r="AL89" s="114">
        <v>4.66</v>
      </c>
      <c r="AM89" s="114">
        <v>5.35</v>
      </c>
      <c r="AN89" s="115">
        <v>1390</v>
      </c>
      <c r="AO89" s="108">
        <v>214</v>
      </c>
      <c r="AP89" s="115">
        <v>1560</v>
      </c>
      <c r="AQ89" s="107">
        <v>329</v>
      </c>
      <c r="AR89" s="109"/>
    </row>
    <row r="90" spans="2:44" ht="13.5" customHeight="1" x14ac:dyDescent="0.2">
      <c r="B90" s="83" t="s">
        <v>259</v>
      </c>
      <c r="C90" s="84"/>
      <c r="D90" s="85"/>
      <c r="E90" s="64">
        <f t="shared" si="17"/>
        <v>147.26</v>
      </c>
      <c r="F90" s="64">
        <f t="shared" si="18"/>
        <v>33.47</v>
      </c>
      <c r="G90" s="64">
        <v>147.26</v>
      </c>
      <c r="H90" s="64">
        <v>33.47</v>
      </c>
      <c r="I90" s="64"/>
      <c r="J90" s="64"/>
      <c r="K90" s="138">
        <v>14.93</v>
      </c>
      <c r="AA90" s="106" t="s">
        <v>165</v>
      </c>
      <c r="AB90" s="113">
        <v>400</v>
      </c>
      <c r="AC90" s="113">
        <v>200</v>
      </c>
      <c r="AD90" s="113">
        <v>9</v>
      </c>
      <c r="AE90" s="113">
        <v>19</v>
      </c>
      <c r="AF90" s="113"/>
      <c r="AG90" s="55" t="str">
        <f t="shared" si="10"/>
        <v>Hy-4002009.019.0</v>
      </c>
      <c r="AH90" s="58">
        <v>110</v>
      </c>
      <c r="AI90" s="107">
        <v>31600</v>
      </c>
      <c r="AJ90" s="107">
        <v>2540</v>
      </c>
      <c r="AK90" s="114">
        <v>17</v>
      </c>
      <c r="AL90" s="114">
        <v>4.8</v>
      </c>
      <c r="AM90" s="114">
        <v>5.43</v>
      </c>
      <c r="AN90" s="115">
        <v>1580</v>
      </c>
      <c r="AO90" s="108">
        <v>254</v>
      </c>
      <c r="AP90" s="115">
        <v>1770</v>
      </c>
      <c r="AQ90" s="107">
        <v>388</v>
      </c>
      <c r="AR90" s="109"/>
    </row>
    <row r="91" spans="2:44" ht="13.5" customHeight="1" x14ac:dyDescent="0.2">
      <c r="B91" s="83"/>
      <c r="C91" s="84"/>
      <c r="D91" s="85"/>
      <c r="E91" s="64"/>
      <c r="F91" s="64"/>
      <c r="G91" s="64"/>
      <c r="H91" s="64"/>
      <c r="I91" s="64"/>
      <c r="J91" s="64"/>
      <c r="K91" s="138"/>
      <c r="AA91" s="106" t="s">
        <v>165</v>
      </c>
      <c r="AB91" s="113">
        <v>400</v>
      </c>
      <c r="AC91" s="113">
        <v>200</v>
      </c>
      <c r="AD91" s="113">
        <v>9</v>
      </c>
      <c r="AE91" s="113">
        <v>22</v>
      </c>
      <c r="AF91" s="113"/>
      <c r="AG91" s="55" t="str">
        <f t="shared" si="10"/>
        <v>Hy-4002009.022.0</v>
      </c>
      <c r="AH91" s="58">
        <v>121.5</v>
      </c>
      <c r="AI91" s="107">
        <v>35300</v>
      </c>
      <c r="AJ91" s="107">
        <v>2940</v>
      </c>
      <c r="AK91" s="114">
        <v>17</v>
      </c>
      <c r="AL91" s="114">
        <v>4.92</v>
      </c>
      <c r="AM91" s="114">
        <v>5.49</v>
      </c>
      <c r="AN91" s="115">
        <v>1760</v>
      </c>
      <c r="AO91" s="108">
        <v>294</v>
      </c>
      <c r="AP91" s="115">
        <v>1970</v>
      </c>
      <c r="AQ91" s="107">
        <v>448</v>
      </c>
      <c r="AR91" s="109"/>
    </row>
    <row r="92" spans="2:44" ht="13.5" customHeight="1" x14ac:dyDescent="0.2">
      <c r="B92" s="83" t="s">
        <v>345</v>
      </c>
      <c r="C92" s="84"/>
      <c r="D92" s="85"/>
      <c r="E92" s="64">
        <f t="shared" ref="E92:E94" si="19">MIN(G92,I92)</f>
        <v>38.9</v>
      </c>
      <c r="F92" s="64">
        <f t="shared" ref="F92:F94" si="20">MIN(H92,J92)</f>
        <v>8.9</v>
      </c>
      <c r="G92" s="64">
        <v>128.69999999999999</v>
      </c>
      <c r="H92" s="64">
        <v>24.2</v>
      </c>
      <c r="I92" s="64">
        <v>38.9</v>
      </c>
      <c r="J92" s="64">
        <v>8.9</v>
      </c>
      <c r="K92" s="138">
        <v>6.45</v>
      </c>
      <c r="AA92" s="106" t="s">
        <v>165</v>
      </c>
      <c r="AB92" s="113">
        <v>400</v>
      </c>
      <c r="AC92" s="113">
        <v>200</v>
      </c>
      <c r="AD92" s="113">
        <v>12</v>
      </c>
      <c r="AE92" s="113">
        <v>22</v>
      </c>
      <c r="AF92" s="113"/>
      <c r="AG92" s="55" t="str">
        <f t="shared" si="10"/>
        <v>Hy-40020012.022.0</v>
      </c>
      <c r="AH92" s="58">
        <v>132.19999999999999</v>
      </c>
      <c r="AI92" s="107">
        <v>36400</v>
      </c>
      <c r="AJ92" s="107">
        <v>2940</v>
      </c>
      <c r="AK92" s="114">
        <v>16.600000000000001</v>
      </c>
      <c r="AL92" s="114">
        <v>4.72</v>
      </c>
      <c r="AM92" s="114">
        <v>5.41</v>
      </c>
      <c r="AN92" s="115">
        <v>1820</v>
      </c>
      <c r="AO92" s="108">
        <v>294</v>
      </c>
      <c r="AP92" s="115">
        <v>2070</v>
      </c>
      <c r="AQ92" s="107">
        <v>454</v>
      </c>
      <c r="AR92" s="109"/>
    </row>
    <row r="93" spans="2:44" ht="13.5" customHeight="1" x14ac:dyDescent="0.2">
      <c r="B93" s="83" t="s">
        <v>343</v>
      </c>
      <c r="C93" s="84"/>
      <c r="D93" s="85"/>
      <c r="E93" s="64">
        <f t="shared" si="19"/>
        <v>56.2</v>
      </c>
      <c r="F93" s="64">
        <f t="shared" si="20"/>
        <v>10.199999999999999</v>
      </c>
      <c r="G93" s="64">
        <v>170.4</v>
      </c>
      <c r="H93" s="64">
        <v>31.4</v>
      </c>
      <c r="I93" s="64">
        <v>56.2</v>
      </c>
      <c r="J93" s="64">
        <v>10.199999999999999</v>
      </c>
      <c r="K93" s="138">
        <v>7.63</v>
      </c>
      <c r="AA93" s="106" t="s">
        <v>165</v>
      </c>
      <c r="AB93" s="113">
        <v>450</v>
      </c>
      <c r="AC93" s="113">
        <v>200</v>
      </c>
      <c r="AD93" s="113">
        <v>9</v>
      </c>
      <c r="AE93" s="113">
        <v>12</v>
      </c>
      <c r="AF93" s="113"/>
      <c r="AG93" s="55" t="str">
        <f t="shared" si="10"/>
        <v>Hy-4502009.012.0</v>
      </c>
      <c r="AH93" s="58">
        <v>87.79</v>
      </c>
      <c r="AI93" s="107">
        <v>29500</v>
      </c>
      <c r="AJ93" s="107">
        <v>1600</v>
      </c>
      <c r="AK93" s="114">
        <v>18.3</v>
      </c>
      <c r="AL93" s="114">
        <v>4.2699999999999996</v>
      </c>
      <c r="AM93" s="114">
        <v>5.13</v>
      </c>
      <c r="AN93" s="115">
        <v>1310</v>
      </c>
      <c r="AO93" s="108">
        <v>160</v>
      </c>
      <c r="AP93" s="115">
        <v>1490</v>
      </c>
      <c r="AQ93" s="107">
        <v>250</v>
      </c>
      <c r="AR93" s="109"/>
    </row>
    <row r="94" spans="2:44" ht="13.5" customHeight="1" x14ac:dyDescent="0.2">
      <c r="B94" s="83" t="s">
        <v>344</v>
      </c>
      <c r="C94" s="84"/>
      <c r="D94" s="85"/>
      <c r="E94" s="64">
        <f t="shared" si="19"/>
        <v>78.900000000000006</v>
      </c>
      <c r="F94" s="64">
        <f t="shared" si="20"/>
        <v>14.1</v>
      </c>
      <c r="G94" s="64">
        <v>215.8</v>
      </c>
      <c r="H94" s="64">
        <v>39.200000000000003</v>
      </c>
      <c r="I94" s="64">
        <v>78.900000000000006</v>
      </c>
      <c r="J94" s="64">
        <v>14.1</v>
      </c>
      <c r="K94" s="138">
        <v>10.02</v>
      </c>
      <c r="AA94" s="106" t="s">
        <v>165</v>
      </c>
      <c r="AB94" s="113">
        <v>450</v>
      </c>
      <c r="AC94" s="113">
        <v>200</v>
      </c>
      <c r="AD94" s="113">
        <v>9</v>
      </c>
      <c r="AE94" s="113">
        <v>16</v>
      </c>
      <c r="AF94" s="113"/>
      <c r="AG94" s="55" t="str">
        <f t="shared" si="10"/>
        <v>Hy-4502009.016.0</v>
      </c>
      <c r="AH94" s="58">
        <v>103.1</v>
      </c>
      <c r="AI94" s="107">
        <v>36200</v>
      </c>
      <c r="AJ94" s="107">
        <v>2140</v>
      </c>
      <c r="AK94" s="114">
        <v>18.8</v>
      </c>
      <c r="AL94" s="114">
        <v>4.55</v>
      </c>
      <c r="AM94" s="114">
        <v>5.3</v>
      </c>
      <c r="AN94" s="115">
        <v>1610</v>
      </c>
      <c r="AO94" s="108">
        <v>214</v>
      </c>
      <c r="AP94" s="115">
        <v>1810</v>
      </c>
      <c r="AQ94" s="107">
        <v>330</v>
      </c>
      <c r="AR94" s="109"/>
    </row>
    <row r="95" spans="2:44" ht="13.5" customHeight="1" x14ac:dyDescent="0.2">
      <c r="B95" s="83"/>
      <c r="C95" s="84"/>
      <c r="D95" s="85"/>
      <c r="E95" s="64"/>
      <c r="F95" s="64"/>
      <c r="G95" s="64"/>
      <c r="H95" s="64"/>
      <c r="I95" s="64"/>
      <c r="J95" s="64"/>
      <c r="K95" s="138"/>
      <c r="AA95" s="106" t="s">
        <v>165</v>
      </c>
      <c r="AB95" s="113">
        <v>450</v>
      </c>
      <c r="AC95" s="113">
        <v>200</v>
      </c>
      <c r="AD95" s="113">
        <v>9</v>
      </c>
      <c r="AE95" s="113">
        <v>19</v>
      </c>
      <c r="AF95" s="113"/>
      <c r="AG95" s="55" t="str">
        <f t="shared" si="10"/>
        <v>Hy-4502009.019.0</v>
      </c>
      <c r="AH95" s="58">
        <v>114.5</v>
      </c>
      <c r="AI95" s="107">
        <v>41200</v>
      </c>
      <c r="AJ95" s="107">
        <v>2540</v>
      </c>
      <c r="AK95" s="114">
        <v>19</v>
      </c>
      <c r="AL95" s="114">
        <v>4.71</v>
      </c>
      <c r="AM95" s="114">
        <v>5.38</v>
      </c>
      <c r="AN95" s="115">
        <v>1830</v>
      </c>
      <c r="AO95" s="108">
        <v>254</v>
      </c>
      <c r="AP95" s="115">
        <v>2050</v>
      </c>
      <c r="AQ95" s="107">
        <v>389</v>
      </c>
      <c r="AR95" s="109"/>
    </row>
    <row r="96" spans="2:44" ht="13.5" customHeight="1" x14ac:dyDescent="0.2">
      <c r="B96" s="83"/>
      <c r="C96" s="84"/>
      <c r="D96" s="85"/>
      <c r="E96" s="64"/>
      <c r="F96" s="64"/>
      <c r="G96" s="64"/>
      <c r="H96" s="64"/>
      <c r="I96" s="64"/>
      <c r="J96" s="64"/>
      <c r="K96" s="138"/>
      <c r="AA96" s="106" t="s">
        <v>165</v>
      </c>
      <c r="AB96" s="113">
        <v>450</v>
      </c>
      <c r="AC96" s="113">
        <v>200</v>
      </c>
      <c r="AD96" s="113">
        <v>9</v>
      </c>
      <c r="AE96" s="113">
        <v>22</v>
      </c>
      <c r="AF96" s="113"/>
      <c r="AG96" s="55" t="str">
        <f t="shared" si="10"/>
        <v>Hy-4502009.022.0</v>
      </c>
      <c r="AH96" s="58">
        <v>126</v>
      </c>
      <c r="AI96" s="107">
        <v>45900</v>
      </c>
      <c r="AJ96" s="107">
        <v>2940</v>
      </c>
      <c r="AK96" s="114">
        <v>19.100000000000001</v>
      </c>
      <c r="AL96" s="114">
        <v>4.83</v>
      </c>
      <c r="AM96" s="114">
        <v>5.44</v>
      </c>
      <c r="AN96" s="115">
        <v>2040</v>
      </c>
      <c r="AO96" s="108">
        <v>294</v>
      </c>
      <c r="AP96" s="115">
        <v>2280</v>
      </c>
      <c r="AQ96" s="107">
        <v>449</v>
      </c>
      <c r="AR96" s="109"/>
    </row>
    <row r="97" spans="2:44" ht="13.5" customHeight="1" x14ac:dyDescent="0.2">
      <c r="B97" s="83"/>
      <c r="C97" s="84"/>
      <c r="D97" s="85"/>
      <c r="E97" s="64"/>
      <c r="F97" s="64"/>
      <c r="G97" s="64"/>
      <c r="H97" s="64"/>
      <c r="I97" s="64"/>
      <c r="J97" s="64"/>
      <c r="K97" s="138"/>
      <c r="AA97" s="106" t="s">
        <v>165</v>
      </c>
      <c r="AB97" s="113">
        <v>450</v>
      </c>
      <c r="AC97" s="113">
        <v>200</v>
      </c>
      <c r="AD97" s="113">
        <v>12</v>
      </c>
      <c r="AE97" s="113">
        <v>19</v>
      </c>
      <c r="AF97" s="113"/>
      <c r="AG97" s="55" t="str">
        <f t="shared" si="10"/>
        <v>Hy-45020012.019.0</v>
      </c>
      <c r="AH97" s="58">
        <v>126.9</v>
      </c>
      <c r="AI97" s="107">
        <v>42900</v>
      </c>
      <c r="AJ97" s="107">
        <v>2540</v>
      </c>
      <c r="AK97" s="114">
        <v>18.399999999999999</v>
      </c>
      <c r="AL97" s="114">
        <v>4.47</v>
      </c>
      <c r="AM97" s="114">
        <v>5.28</v>
      </c>
      <c r="AN97" s="115">
        <v>1910</v>
      </c>
      <c r="AO97" s="108">
        <v>254</v>
      </c>
      <c r="AP97" s="115">
        <v>2180</v>
      </c>
      <c r="AQ97" s="107">
        <v>396</v>
      </c>
      <c r="AR97" s="109"/>
    </row>
    <row r="98" spans="2:44" ht="13.5" customHeight="1" x14ac:dyDescent="0.2">
      <c r="B98" s="89"/>
      <c r="C98" s="90"/>
      <c r="D98" s="91"/>
      <c r="E98" s="73"/>
      <c r="F98" s="73"/>
      <c r="G98" s="73"/>
      <c r="H98" s="73"/>
      <c r="I98" s="73"/>
      <c r="J98" s="73"/>
      <c r="K98" s="139"/>
      <c r="AA98" s="106" t="s">
        <v>165</v>
      </c>
      <c r="AB98" s="113">
        <v>450</v>
      </c>
      <c r="AC98" s="113">
        <v>200</v>
      </c>
      <c r="AD98" s="113">
        <v>12</v>
      </c>
      <c r="AE98" s="113">
        <v>22</v>
      </c>
      <c r="AF98" s="113"/>
      <c r="AG98" s="55" t="str">
        <f t="shared" si="10"/>
        <v>Hy-45020012.022.0</v>
      </c>
      <c r="AH98" s="58">
        <v>138.19999999999999</v>
      </c>
      <c r="AI98" s="107">
        <v>47600</v>
      </c>
      <c r="AJ98" s="107">
        <v>2940</v>
      </c>
      <c r="AK98" s="114">
        <v>18.600000000000001</v>
      </c>
      <c r="AL98" s="114">
        <v>4.6100000000000003</v>
      </c>
      <c r="AM98" s="114">
        <v>5.36</v>
      </c>
      <c r="AN98" s="115">
        <v>2120</v>
      </c>
      <c r="AO98" s="108">
        <v>294</v>
      </c>
      <c r="AP98" s="115">
        <v>2410</v>
      </c>
      <c r="AQ98" s="107">
        <v>456</v>
      </c>
      <c r="AR98" s="109"/>
    </row>
    <row r="99" spans="2:44" ht="13.5" customHeight="1" x14ac:dyDescent="0.2">
      <c r="AA99" s="106" t="s">
        <v>165</v>
      </c>
      <c r="AB99" s="113">
        <v>450</v>
      </c>
      <c r="AC99" s="113">
        <v>200</v>
      </c>
      <c r="AD99" s="113">
        <v>12</v>
      </c>
      <c r="AE99" s="113">
        <v>25</v>
      </c>
      <c r="AF99" s="113"/>
      <c r="AG99" s="55" t="str">
        <f t="shared" si="10"/>
        <v>Hy-45020012.025.0</v>
      </c>
      <c r="AH99" s="58">
        <v>149.4</v>
      </c>
      <c r="AI99" s="107">
        <v>52200</v>
      </c>
      <c r="AJ99" s="107">
        <v>3340</v>
      </c>
      <c r="AK99" s="114">
        <v>18.7</v>
      </c>
      <c r="AL99" s="114">
        <v>4.7300000000000004</v>
      </c>
      <c r="AM99" s="114">
        <v>5.42</v>
      </c>
      <c r="AN99" s="115">
        <v>2320</v>
      </c>
      <c r="AO99" s="108">
        <v>334</v>
      </c>
      <c r="AP99" s="115">
        <v>2630</v>
      </c>
      <c r="AQ99" s="107">
        <v>516</v>
      </c>
      <c r="AR99" s="109"/>
    </row>
    <row r="100" spans="2:44" ht="13.5" customHeight="1" x14ac:dyDescent="0.2">
      <c r="AA100" s="106" t="s">
        <v>165</v>
      </c>
      <c r="AB100" s="113">
        <v>450</v>
      </c>
      <c r="AC100" s="113">
        <v>250</v>
      </c>
      <c r="AD100" s="113">
        <v>9</v>
      </c>
      <c r="AE100" s="113">
        <v>16</v>
      </c>
      <c r="AF100" s="113"/>
      <c r="AG100" s="55" t="str">
        <f t="shared" si="10"/>
        <v>Hy-4502509.016.0</v>
      </c>
      <c r="AH100" s="58">
        <v>119.1</v>
      </c>
      <c r="AI100" s="107">
        <v>43800</v>
      </c>
      <c r="AJ100" s="107">
        <v>4170</v>
      </c>
      <c r="AK100" s="114">
        <v>19.2</v>
      </c>
      <c r="AL100" s="114">
        <v>5.92</v>
      </c>
      <c r="AM100" s="114">
        <v>6.73</v>
      </c>
      <c r="AN100" s="115">
        <v>1950</v>
      </c>
      <c r="AO100" s="108">
        <v>334</v>
      </c>
      <c r="AP100" s="115">
        <v>2160</v>
      </c>
      <c r="AQ100" s="107">
        <v>510</v>
      </c>
      <c r="AR100" s="109"/>
    </row>
    <row r="101" spans="2:44" ht="13.5" customHeight="1" x14ac:dyDescent="0.2">
      <c r="AA101" s="106" t="s">
        <v>165</v>
      </c>
      <c r="AB101" s="113">
        <v>450</v>
      </c>
      <c r="AC101" s="113">
        <v>250</v>
      </c>
      <c r="AD101" s="113">
        <v>9</v>
      </c>
      <c r="AE101" s="113">
        <v>19</v>
      </c>
      <c r="AF101" s="113"/>
      <c r="AG101" s="55" t="str">
        <f t="shared" si="10"/>
        <v>Hy-4502509.019.0</v>
      </c>
      <c r="AH101" s="58">
        <v>133.5</v>
      </c>
      <c r="AI101" s="107">
        <v>50000</v>
      </c>
      <c r="AJ101" s="107">
        <v>4950</v>
      </c>
      <c r="AK101" s="114">
        <v>19.3</v>
      </c>
      <c r="AL101" s="114">
        <v>6.09</v>
      </c>
      <c r="AM101" s="114">
        <v>6.82</v>
      </c>
      <c r="AN101" s="115">
        <v>2220</v>
      </c>
      <c r="AO101" s="108">
        <v>396</v>
      </c>
      <c r="AP101" s="115">
        <v>2460</v>
      </c>
      <c r="AQ101" s="107">
        <v>603</v>
      </c>
      <c r="AR101" s="109"/>
    </row>
    <row r="102" spans="2:44" ht="13.5" customHeight="1" x14ac:dyDescent="0.2">
      <c r="AA102" s="106" t="s">
        <v>165</v>
      </c>
      <c r="AB102" s="113">
        <v>450</v>
      </c>
      <c r="AC102" s="113">
        <v>250</v>
      </c>
      <c r="AD102" s="113">
        <v>9</v>
      </c>
      <c r="AE102" s="113">
        <v>22</v>
      </c>
      <c r="AF102" s="113"/>
      <c r="AG102" s="55" t="str">
        <f t="shared" si="10"/>
        <v>Hy-4502509.022.0</v>
      </c>
      <c r="AH102" s="58">
        <v>148</v>
      </c>
      <c r="AI102" s="107">
        <v>56000</v>
      </c>
      <c r="AJ102" s="107">
        <v>5730</v>
      </c>
      <c r="AK102" s="114">
        <v>19.5</v>
      </c>
      <c r="AL102" s="114">
        <v>6.22</v>
      </c>
      <c r="AM102" s="114">
        <v>6.88</v>
      </c>
      <c r="AN102" s="115">
        <v>2490</v>
      </c>
      <c r="AO102" s="108">
        <v>459</v>
      </c>
      <c r="AP102" s="115">
        <v>2750</v>
      </c>
      <c r="AQ102" s="107">
        <v>697</v>
      </c>
      <c r="AR102" s="109"/>
    </row>
    <row r="103" spans="2:44" ht="13.5" customHeight="1" x14ac:dyDescent="0.2">
      <c r="B103" t="s">
        <v>99</v>
      </c>
      <c r="C103"/>
      <c r="D103"/>
      <c r="E103" s="54"/>
      <c r="F103" s="54"/>
      <c r="AA103" s="106" t="s">
        <v>165</v>
      </c>
      <c r="AB103" s="113">
        <v>450</v>
      </c>
      <c r="AC103" s="113">
        <v>250</v>
      </c>
      <c r="AD103" s="113">
        <v>12</v>
      </c>
      <c r="AE103" s="113">
        <v>22</v>
      </c>
      <c r="AF103" s="113"/>
      <c r="AG103" s="55" t="str">
        <f t="shared" si="10"/>
        <v>Hy-45025012.022.0</v>
      </c>
      <c r="AH103" s="58">
        <v>160.19999999999999</v>
      </c>
      <c r="AI103" s="107">
        <v>57700</v>
      </c>
      <c r="AJ103" s="107">
        <v>5740</v>
      </c>
      <c r="AK103" s="114">
        <v>19</v>
      </c>
      <c r="AL103" s="114">
        <v>5.98</v>
      </c>
      <c r="AM103" s="114">
        <v>6.79</v>
      </c>
      <c r="AN103" s="115">
        <v>2560</v>
      </c>
      <c r="AO103" s="108">
        <v>459</v>
      </c>
      <c r="AP103" s="115">
        <v>2880</v>
      </c>
      <c r="AQ103" s="107">
        <v>703</v>
      </c>
      <c r="AR103" s="109"/>
    </row>
    <row r="104" spans="2:44" ht="13.5" customHeight="1" x14ac:dyDescent="0.2">
      <c r="B104" s="78"/>
      <c r="C104" s="79"/>
      <c r="D104" s="80"/>
      <c r="E104" s="68" t="s">
        <v>97</v>
      </c>
      <c r="F104" s="68" t="s">
        <v>98</v>
      </c>
      <c r="G104" s="67" t="s">
        <v>284</v>
      </c>
      <c r="AA104" s="106" t="s">
        <v>165</v>
      </c>
      <c r="AB104" s="116">
        <v>450</v>
      </c>
      <c r="AC104" s="116">
        <v>250</v>
      </c>
      <c r="AD104" s="116">
        <v>12</v>
      </c>
      <c r="AE104" s="116">
        <v>25</v>
      </c>
      <c r="AF104" s="116"/>
      <c r="AG104" s="55" t="str">
        <f t="shared" si="10"/>
        <v>Hy-45025012.025.0</v>
      </c>
      <c r="AH104" s="58">
        <v>174.4</v>
      </c>
      <c r="AI104" s="107">
        <v>63500</v>
      </c>
      <c r="AJ104" s="107">
        <v>6520</v>
      </c>
      <c r="AK104" s="117">
        <v>19.100000000000001</v>
      </c>
      <c r="AL104" s="117">
        <v>6.11</v>
      </c>
      <c r="AM104" s="117">
        <v>6.86</v>
      </c>
      <c r="AN104" s="118">
        <v>2820</v>
      </c>
      <c r="AO104" s="108">
        <v>521</v>
      </c>
      <c r="AP104" s="118">
        <v>3160</v>
      </c>
      <c r="AQ104" s="107">
        <v>797</v>
      </c>
      <c r="AR104" s="109"/>
    </row>
    <row r="105" spans="2:44" ht="13.5" customHeight="1" x14ac:dyDescent="0.2">
      <c r="B105" s="7" t="s">
        <v>227</v>
      </c>
      <c r="C105" s="4"/>
      <c r="D105" s="6" t="s">
        <v>245</v>
      </c>
      <c r="E105" s="137">
        <v>2.86</v>
      </c>
      <c r="F105" s="137">
        <v>1.63</v>
      </c>
      <c r="G105" s="66">
        <v>4.22</v>
      </c>
      <c r="AA105" s="106" t="s">
        <v>165</v>
      </c>
      <c r="AB105" s="113">
        <v>450</v>
      </c>
      <c r="AC105" s="113">
        <v>250</v>
      </c>
      <c r="AD105" s="113">
        <v>12</v>
      </c>
      <c r="AE105" s="113">
        <v>28</v>
      </c>
      <c r="AF105" s="113"/>
      <c r="AG105" s="55" t="str">
        <f t="shared" si="10"/>
        <v>Hy-45025012.028.0</v>
      </c>
      <c r="AH105" s="58">
        <v>188.7</v>
      </c>
      <c r="AI105" s="107">
        <v>69100</v>
      </c>
      <c r="AJ105" s="107">
        <v>7300</v>
      </c>
      <c r="AK105" s="114">
        <v>19.100000000000001</v>
      </c>
      <c r="AL105" s="114">
        <v>6.22</v>
      </c>
      <c r="AM105" s="114">
        <v>6.91</v>
      </c>
      <c r="AN105" s="115">
        <v>3070</v>
      </c>
      <c r="AO105" s="108">
        <v>584</v>
      </c>
      <c r="AP105" s="115">
        <v>3450</v>
      </c>
      <c r="AQ105" s="107">
        <v>890</v>
      </c>
      <c r="AR105" s="109"/>
    </row>
    <row r="106" spans="2:44" ht="13.5" customHeight="1" x14ac:dyDescent="0.2">
      <c r="B106" s="86" t="s">
        <v>228</v>
      </c>
      <c r="C106" s="81"/>
      <c r="D106" s="82"/>
      <c r="E106" s="138">
        <v>3.55</v>
      </c>
      <c r="F106" s="138">
        <v>2.0299999999999998</v>
      </c>
      <c r="G106" s="62">
        <v>5.16</v>
      </c>
      <c r="AA106" s="106" t="s">
        <v>165</v>
      </c>
      <c r="AB106" s="113">
        <v>500</v>
      </c>
      <c r="AC106" s="113">
        <v>200</v>
      </c>
      <c r="AD106" s="113">
        <v>9</v>
      </c>
      <c r="AE106" s="113">
        <v>12</v>
      </c>
      <c r="AF106" s="113"/>
      <c r="AG106" s="55" t="str">
        <f t="shared" si="10"/>
        <v>Hy-5002009.012.0</v>
      </c>
      <c r="AH106" s="58">
        <v>92.29</v>
      </c>
      <c r="AI106" s="107">
        <v>37500</v>
      </c>
      <c r="AJ106" s="107">
        <v>1600</v>
      </c>
      <c r="AK106" s="114">
        <v>20.2</v>
      </c>
      <c r="AL106" s="114">
        <v>4.17</v>
      </c>
      <c r="AM106" s="114">
        <v>5.07</v>
      </c>
      <c r="AN106" s="115">
        <v>1500</v>
      </c>
      <c r="AO106" s="108">
        <v>160</v>
      </c>
      <c r="AP106" s="115">
        <v>1720</v>
      </c>
      <c r="AQ106" s="107">
        <v>251</v>
      </c>
      <c r="AR106" s="109"/>
    </row>
    <row r="107" spans="2:44" ht="13.5" customHeight="1" x14ac:dyDescent="0.2">
      <c r="B107" s="86" t="s">
        <v>229</v>
      </c>
      <c r="C107" s="84"/>
      <c r="D107" s="85"/>
      <c r="E107" s="138">
        <v>4.22</v>
      </c>
      <c r="F107" s="138">
        <v>2.41</v>
      </c>
      <c r="G107" s="62">
        <v>6.11</v>
      </c>
      <c r="AA107" s="106" t="s">
        <v>165</v>
      </c>
      <c r="AB107" s="113">
        <v>500</v>
      </c>
      <c r="AC107" s="113">
        <v>200</v>
      </c>
      <c r="AD107" s="113">
        <v>9</v>
      </c>
      <c r="AE107" s="113">
        <v>16</v>
      </c>
      <c r="AF107" s="113"/>
      <c r="AG107" s="55" t="str">
        <f t="shared" si="10"/>
        <v>Hy-5002009.016.0</v>
      </c>
      <c r="AH107" s="58">
        <v>107.6</v>
      </c>
      <c r="AI107" s="107">
        <v>46000</v>
      </c>
      <c r="AJ107" s="107">
        <v>2140</v>
      </c>
      <c r="AK107" s="114">
        <v>20.7</v>
      </c>
      <c r="AL107" s="114">
        <v>4.46</v>
      </c>
      <c r="AM107" s="114">
        <v>5.25</v>
      </c>
      <c r="AN107" s="115">
        <v>1840</v>
      </c>
      <c r="AO107" s="108">
        <v>214</v>
      </c>
      <c r="AP107" s="115">
        <v>2080</v>
      </c>
      <c r="AQ107" s="107">
        <v>331</v>
      </c>
      <c r="AR107" s="109"/>
    </row>
    <row r="108" spans="2:44" ht="13.5" customHeight="1" x14ac:dyDescent="0.2">
      <c r="B108" s="86" t="s">
        <v>230</v>
      </c>
      <c r="C108" s="87"/>
      <c r="D108" s="88" t="s">
        <v>246</v>
      </c>
      <c r="E108" s="138">
        <v>6.09</v>
      </c>
      <c r="F108" s="138">
        <v>2.89</v>
      </c>
      <c r="G108" s="146">
        <v>5.16</v>
      </c>
      <c r="AA108" s="106" t="s">
        <v>165</v>
      </c>
      <c r="AB108" s="113">
        <v>500</v>
      </c>
      <c r="AC108" s="113">
        <v>200</v>
      </c>
      <c r="AD108" s="113">
        <v>9</v>
      </c>
      <c r="AE108" s="113">
        <v>19</v>
      </c>
      <c r="AF108" s="113"/>
      <c r="AG108" s="55" t="str">
        <f t="shared" si="10"/>
        <v>Hy-5002009.019.0</v>
      </c>
      <c r="AH108" s="58">
        <v>119</v>
      </c>
      <c r="AI108" s="107">
        <v>52100</v>
      </c>
      <c r="AJ108" s="107">
        <v>2540</v>
      </c>
      <c r="AK108" s="114">
        <v>20.9</v>
      </c>
      <c r="AL108" s="114">
        <v>4.62</v>
      </c>
      <c r="AM108" s="114">
        <v>5.34</v>
      </c>
      <c r="AN108" s="115">
        <v>2090</v>
      </c>
      <c r="AO108" s="108">
        <v>254</v>
      </c>
      <c r="AP108" s="115">
        <v>2340</v>
      </c>
      <c r="AQ108" s="107">
        <v>390</v>
      </c>
      <c r="AR108" s="109"/>
    </row>
    <row r="109" spans="2:44" ht="13.5" customHeight="1" x14ac:dyDescent="0.2">
      <c r="B109" s="86" t="s">
        <v>231</v>
      </c>
      <c r="C109" s="84"/>
      <c r="D109" s="85"/>
      <c r="E109" s="138">
        <v>7.27</v>
      </c>
      <c r="F109" s="138">
        <v>3.45</v>
      </c>
      <c r="G109" s="146">
        <v>6.11</v>
      </c>
      <c r="AA109" s="106" t="s">
        <v>165</v>
      </c>
      <c r="AB109" s="113">
        <v>500</v>
      </c>
      <c r="AC109" s="113">
        <v>200</v>
      </c>
      <c r="AD109" s="113">
        <v>9</v>
      </c>
      <c r="AE109" s="113">
        <v>22</v>
      </c>
      <c r="AF109" s="113"/>
      <c r="AG109" s="55" t="str">
        <f t="shared" si="10"/>
        <v>Hy-5002009.022.0</v>
      </c>
      <c r="AH109" s="58">
        <v>130.5</v>
      </c>
      <c r="AI109" s="107">
        <v>58100</v>
      </c>
      <c r="AJ109" s="107">
        <v>2940</v>
      </c>
      <c r="AK109" s="114">
        <v>21.1</v>
      </c>
      <c r="AL109" s="114">
        <v>4.74</v>
      </c>
      <c r="AM109" s="114">
        <v>5.4</v>
      </c>
      <c r="AN109" s="115">
        <v>2330</v>
      </c>
      <c r="AO109" s="108">
        <v>294</v>
      </c>
      <c r="AP109" s="115">
        <v>2600</v>
      </c>
      <c r="AQ109" s="107">
        <v>450</v>
      </c>
      <c r="AR109" s="109"/>
    </row>
    <row r="110" spans="2:44" ht="13.5" customHeight="1" x14ac:dyDescent="0.2">
      <c r="B110" s="86" t="s">
        <v>232</v>
      </c>
      <c r="C110" s="84"/>
      <c r="D110" s="85" t="s">
        <v>247</v>
      </c>
      <c r="E110" s="138">
        <v>2.2599999999999998</v>
      </c>
      <c r="F110" s="138">
        <v>2.2599999999999998</v>
      </c>
      <c r="G110" s="146">
        <v>4.22</v>
      </c>
      <c r="AA110" s="106" t="s">
        <v>165</v>
      </c>
      <c r="AB110" s="113">
        <v>500</v>
      </c>
      <c r="AC110" s="113">
        <v>200</v>
      </c>
      <c r="AD110" s="113">
        <v>12</v>
      </c>
      <c r="AE110" s="113">
        <v>19</v>
      </c>
      <c r="AF110" s="113"/>
      <c r="AG110" s="55" t="str">
        <f t="shared" si="10"/>
        <v>Hy-50020012.019.0</v>
      </c>
      <c r="AH110" s="58">
        <v>132.9</v>
      </c>
      <c r="AI110" s="107">
        <v>54600</v>
      </c>
      <c r="AJ110" s="107">
        <v>2540</v>
      </c>
      <c r="AK110" s="114">
        <v>20.3</v>
      </c>
      <c r="AL110" s="114">
        <v>4.37</v>
      </c>
      <c r="AM110" s="114">
        <v>5.23</v>
      </c>
      <c r="AN110" s="115">
        <v>2180</v>
      </c>
      <c r="AO110" s="108">
        <v>254</v>
      </c>
      <c r="AP110" s="115">
        <v>2500</v>
      </c>
      <c r="AQ110" s="107">
        <v>398</v>
      </c>
      <c r="AR110" s="109"/>
    </row>
    <row r="111" spans="2:44" ht="13.5" customHeight="1" x14ac:dyDescent="0.2">
      <c r="B111" s="86" t="s">
        <v>234</v>
      </c>
      <c r="C111" s="84"/>
      <c r="D111" s="85"/>
      <c r="E111" s="138">
        <v>2.8</v>
      </c>
      <c r="F111" s="138">
        <v>2.8</v>
      </c>
      <c r="G111" s="146">
        <v>5.16</v>
      </c>
      <c r="AA111" s="106" t="s">
        <v>165</v>
      </c>
      <c r="AB111" s="113">
        <v>500</v>
      </c>
      <c r="AC111" s="113">
        <v>200</v>
      </c>
      <c r="AD111" s="113">
        <v>12</v>
      </c>
      <c r="AE111" s="113">
        <v>22</v>
      </c>
      <c r="AF111" s="113"/>
      <c r="AG111" s="55" t="str">
        <f t="shared" si="10"/>
        <v>Hy-50020012.022.0</v>
      </c>
      <c r="AH111" s="58">
        <v>144.19999999999999</v>
      </c>
      <c r="AI111" s="107">
        <v>60500</v>
      </c>
      <c r="AJ111" s="107">
        <v>2940</v>
      </c>
      <c r="AK111" s="114">
        <v>20.5</v>
      </c>
      <c r="AL111" s="114">
        <v>4.5199999999999996</v>
      </c>
      <c r="AM111" s="114">
        <v>5.31</v>
      </c>
      <c r="AN111" s="115">
        <v>2420</v>
      </c>
      <c r="AO111" s="108">
        <v>294</v>
      </c>
      <c r="AP111" s="115">
        <v>2760</v>
      </c>
      <c r="AQ111" s="107">
        <v>458</v>
      </c>
      <c r="AR111" s="109"/>
    </row>
    <row r="112" spans="2:44" ht="13.5" customHeight="1" x14ac:dyDescent="0.2">
      <c r="B112" s="86" t="s">
        <v>233</v>
      </c>
      <c r="C112" s="84"/>
      <c r="D112" s="85"/>
      <c r="E112" s="138">
        <v>3.33</v>
      </c>
      <c r="F112" s="138">
        <v>3.33</v>
      </c>
      <c r="G112" s="146">
        <v>6.11</v>
      </c>
      <c r="AA112" s="106" t="s">
        <v>165</v>
      </c>
      <c r="AB112" s="113">
        <v>500</v>
      </c>
      <c r="AC112" s="113">
        <v>200</v>
      </c>
      <c r="AD112" s="113">
        <v>12</v>
      </c>
      <c r="AE112" s="113">
        <v>25</v>
      </c>
      <c r="AF112" s="113"/>
      <c r="AG112" s="55" t="str">
        <f t="shared" si="10"/>
        <v>Hy-50020012.025.0</v>
      </c>
      <c r="AH112" s="58">
        <v>155.4</v>
      </c>
      <c r="AI112" s="107">
        <v>66300</v>
      </c>
      <c r="AJ112" s="107">
        <v>3340</v>
      </c>
      <c r="AK112" s="114">
        <v>20.6</v>
      </c>
      <c r="AL112" s="114">
        <v>4.6399999999999997</v>
      </c>
      <c r="AM112" s="114">
        <v>5.38</v>
      </c>
      <c r="AN112" s="115">
        <v>2650</v>
      </c>
      <c r="AO112" s="108">
        <v>334</v>
      </c>
      <c r="AP112" s="115">
        <v>3010</v>
      </c>
      <c r="AQ112" s="107">
        <v>517</v>
      </c>
      <c r="AR112" s="109"/>
    </row>
    <row r="113" spans="2:44" ht="13.5" customHeight="1" x14ac:dyDescent="0.2">
      <c r="B113" s="86" t="s">
        <v>235</v>
      </c>
      <c r="C113" s="84"/>
      <c r="D113" s="85" t="s">
        <v>248</v>
      </c>
      <c r="E113" s="138">
        <v>7.18</v>
      </c>
      <c r="F113" s="138">
        <v>2.63</v>
      </c>
      <c r="G113" s="146">
        <v>4.22</v>
      </c>
      <c r="AA113" s="106" t="s">
        <v>165</v>
      </c>
      <c r="AB113" s="113">
        <v>500</v>
      </c>
      <c r="AC113" s="113">
        <v>250</v>
      </c>
      <c r="AD113" s="113">
        <v>9</v>
      </c>
      <c r="AE113" s="113">
        <v>16</v>
      </c>
      <c r="AF113" s="113"/>
      <c r="AG113" s="55" t="str">
        <f t="shared" si="10"/>
        <v>Hy-5002509.016.0</v>
      </c>
      <c r="AH113" s="58">
        <v>123.6</v>
      </c>
      <c r="AI113" s="107">
        <v>55300</v>
      </c>
      <c r="AJ113" s="107">
        <v>4170</v>
      </c>
      <c r="AK113" s="114">
        <v>21.2</v>
      </c>
      <c r="AL113" s="114">
        <v>5.81</v>
      </c>
      <c r="AM113" s="114">
        <v>6.67</v>
      </c>
      <c r="AN113" s="115">
        <v>2210</v>
      </c>
      <c r="AO113" s="108">
        <v>334</v>
      </c>
      <c r="AP113" s="115">
        <v>2460</v>
      </c>
      <c r="AQ113" s="107">
        <v>511</v>
      </c>
      <c r="AR113" s="109"/>
    </row>
    <row r="114" spans="2:44" ht="13.5" customHeight="1" x14ac:dyDescent="0.2">
      <c r="B114" s="86" t="s">
        <v>236</v>
      </c>
      <c r="C114" s="84"/>
      <c r="D114" s="85"/>
      <c r="E114" s="138">
        <v>8.93</v>
      </c>
      <c r="F114" s="138">
        <v>3.27</v>
      </c>
      <c r="G114" s="146">
        <v>5.16</v>
      </c>
      <c r="AA114" s="106" t="s">
        <v>165</v>
      </c>
      <c r="AB114" s="116">
        <v>500</v>
      </c>
      <c r="AC114" s="116">
        <v>250</v>
      </c>
      <c r="AD114" s="116">
        <v>9</v>
      </c>
      <c r="AE114" s="116">
        <v>19</v>
      </c>
      <c r="AF114" s="116"/>
      <c r="AG114" s="55" t="str">
        <f t="shared" si="10"/>
        <v>Hy-5002509.019.0</v>
      </c>
      <c r="AH114" s="58">
        <v>138</v>
      </c>
      <c r="AI114" s="107">
        <v>63100</v>
      </c>
      <c r="AJ114" s="107">
        <v>4950</v>
      </c>
      <c r="AK114" s="117">
        <v>21.4</v>
      </c>
      <c r="AL114" s="117">
        <v>5.99</v>
      </c>
      <c r="AM114" s="117">
        <v>6.77</v>
      </c>
      <c r="AN114" s="118">
        <v>2530</v>
      </c>
      <c r="AO114" s="108">
        <v>396</v>
      </c>
      <c r="AP114" s="118">
        <v>2800</v>
      </c>
      <c r="AQ114" s="107">
        <v>604</v>
      </c>
      <c r="AR114" s="109"/>
    </row>
    <row r="115" spans="2:44" ht="13.5" customHeight="1" x14ac:dyDescent="0.2">
      <c r="B115" s="86" t="s">
        <v>237</v>
      </c>
      <c r="C115" s="84"/>
      <c r="D115" s="85"/>
      <c r="E115" s="138">
        <v>10.67</v>
      </c>
      <c r="F115" s="138">
        <v>3.91</v>
      </c>
      <c r="G115" s="146">
        <v>6.11</v>
      </c>
      <c r="AA115" s="106" t="s">
        <v>165</v>
      </c>
      <c r="AB115" s="113">
        <v>500</v>
      </c>
      <c r="AC115" s="113">
        <v>250</v>
      </c>
      <c r="AD115" s="113">
        <v>9</v>
      </c>
      <c r="AE115" s="113">
        <v>22</v>
      </c>
      <c r="AF115" s="113"/>
      <c r="AG115" s="55" t="str">
        <f t="shared" si="10"/>
        <v>Hy-5002509.022.0</v>
      </c>
      <c r="AH115" s="58">
        <v>152.5</v>
      </c>
      <c r="AI115" s="107">
        <v>70700</v>
      </c>
      <c r="AJ115" s="107">
        <v>5730</v>
      </c>
      <c r="AK115" s="114">
        <v>21.5</v>
      </c>
      <c r="AL115" s="114">
        <v>6.13</v>
      </c>
      <c r="AM115" s="114">
        <v>6.84</v>
      </c>
      <c r="AN115" s="115">
        <v>2830</v>
      </c>
      <c r="AO115" s="108">
        <v>459</v>
      </c>
      <c r="AP115" s="115">
        <v>3130</v>
      </c>
      <c r="AQ115" s="107">
        <v>698</v>
      </c>
      <c r="AR115" s="109"/>
    </row>
    <row r="116" spans="2:44" ht="13.5" customHeight="1" x14ac:dyDescent="0.2">
      <c r="B116" s="86" t="s">
        <v>238</v>
      </c>
      <c r="C116" s="84"/>
      <c r="D116" s="85"/>
      <c r="E116" s="138">
        <v>14.1</v>
      </c>
      <c r="F116" s="138">
        <v>5.17</v>
      </c>
      <c r="G116" s="146">
        <v>8.0299999999999994</v>
      </c>
      <c r="AA116" s="106" t="s">
        <v>165</v>
      </c>
      <c r="AB116" s="113">
        <v>500</v>
      </c>
      <c r="AC116" s="113">
        <v>250</v>
      </c>
      <c r="AD116" s="113">
        <v>12</v>
      </c>
      <c r="AE116" s="113">
        <v>22</v>
      </c>
      <c r="AF116" s="113"/>
      <c r="AG116" s="55" t="str">
        <f t="shared" si="10"/>
        <v>Hy-50025012.022.0</v>
      </c>
      <c r="AH116" s="58">
        <v>166.2</v>
      </c>
      <c r="AI116" s="107">
        <v>73100</v>
      </c>
      <c r="AJ116" s="107">
        <v>5740</v>
      </c>
      <c r="AK116" s="114">
        <v>21</v>
      </c>
      <c r="AL116" s="114">
        <v>5.88</v>
      </c>
      <c r="AM116" s="114">
        <v>6.74</v>
      </c>
      <c r="AN116" s="115">
        <v>2920</v>
      </c>
      <c r="AO116" s="108">
        <v>459</v>
      </c>
      <c r="AP116" s="115">
        <v>3290</v>
      </c>
      <c r="AQ116" s="107">
        <v>705</v>
      </c>
      <c r="AR116" s="109"/>
    </row>
    <row r="117" spans="2:44" ht="13.5" customHeight="1" x14ac:dyDescent="0.2">
      <c r="B117" s="86" t="s">
        <v>239</v>
      </c>
      <c r="C117" s="84"/>
      <c r="D117" s="85" t="s">
        <v>249</v>
      </c>
      <c r="E117" s="138">
        <v>1.1299999999999999</v>
      </c>
      <c r="F117" s="138">
        <v>1.1100000000000001</v>
      </c>
      <c r="G117" s="146">
        <v>3.49</v>
      </c>
      <c r="M117" s="57" t="s">
        <v>277</v>
      </c>
      <c r="AA117" s="106" t="s">
        <v>165</v>
      </c>
      <c r="AB117" s="113">
        <v>500</v>
      </c>
      <c r="AC117" s="113">
        <v>250</v>
      </c>
      <c r="AD117" s="113">
        <v>12</v>
      </c>
      <c r="AE117" s="113">
        <v>25</v>
      </c>
      <c r="AF117" s="113"/>
      <c r="AG117" s="55" t="str">
        <f t="shared" si="10"/>
        <v>Hy-50025012.025.0</v>
      </c>
      <c r="AH117" s="58">
        <v>180.4</v>
      </c>
      <c r="AI117" s="107">
        <v>80400</v>
      </c>
      <c r="AJ117" s="107">
        <v>6520</v>
      </c>
      <c r="AK117" s="114">
        <v>21.1</v>
      </c>
      <c r="AL117" s="114">
        <v>6.01</v>
      </c>
      <c r="AM117" s="114">
        <v>6.81</v>
      </c>
      <c r="AN117" s="115">
        <v>3220</v>
      </c>
      <c r="AO117" s="108">
        <v>521</v>
      </c>
      <c r="AP117" s="115">
        <v>3610</v>
      </c>
      <c r="AQ117" s="107">
        <v>799</v>
      </c>
      <c r="AR117" s="109"/>
    </row>
    <row r="118" spans="2:44" ht="13.5" customHeight="1" x14ac:dyDescent="0.2">
      <c r="B118" s="86" t="s">
        <v>240</v>
      </c>
      <c r="C118" s="84"/>
      <c r="D118" s="85"/>
      <c r="E118" s="138">
        <v>1.28</v>
      </c>
      <c r="F118" s="138">
        <v>2.2599999999999998</v>
      </c>
      <c r="G118" s="146">
        <v>3.94</v>
      </c>
      <c r="N118" s="57" t="s">
        <v>279</v>
      </c>
      <c r="Q118" s="57" t="s">
        <v>278</v>
      </c>
      <c r="AA118" s="106" t="s">
        <v>165</v>
      </c>
      <c r="AB118" s="113">
        <v>500</v>
      </c>
      <c r="AC118" s="113">
        <v>250</v>
      </c>
      <c r="AD118" s="113">
        <v>12</v>
      </c>
      <c r="AE118" s="113">
        <v>28</v>
      </c>
      <c r="AF118" s="113"/>
      <c r="AG118" s="55" t="str">
        <f t="shared" si="10"/>
        <v>Hy-50025012.028.0</v>
      </c>
      <c r="AH118" s="58">
        <v>194.7</v>
      </c>
      <c r="AI118" s="107">
        <v>87500</v>
      </c>
      <c r="AJ118" s="107">
        <v>7300</v>
      </c>
      <c r="AK118" s="114">
        <v>21.2</v>
      </c>
      <c r="AL118" s="114">
        <v>6.12</v>
      </c>
      <c r="AM118" s="114">
        <v>6.87</v>
      </c>
      <c r="AN118" s="115">
        <v>3500</v>
      </c>
      <c r="AO118" s="108">
        <v>584</v>
      </c>
      <c r="AP118" s="115">
        <v>3930</v>
      </c>
      <c r="AQ118" s="107">
        <v>892</v>
      </c>
      <c r="AR118" s="109"/>
    </row>
    <row r="119" spans="2:44" ht="13.5" customHeight="1" x14ac:dyDescent="0.2">
      <c r="B119" s="86" t="s">
        <v>241</v>
      </c>
      <c r="C119" s="84"/>
      <c r="D119" s="85"/>
      <c r="E119" s="138">
        <v>1.58</v>
      </c>
      <c r="F119" s="138">
        <v>1.56</v>
      </c>
      <c r="G119" s="146">
        <v>4.84</v>
      </c>
      <c r="O119" s="57">
        <f>9/5</f>
        <v>1.8</v>
      </c>
      <c r="R119" s="57">
        <f>4/3</f>
        <v>1.3333333333333333</v>
      </c>
      <c r="AA119" s="106" t="s">
        <v>165</v>
      </c>
      <c r="AB119" s="119">
        <v>500</v>
      </c>
      <c r="AC119" s="119">
        <v>300</v>
      </c>
      <c r="AD119" s="119">
        <v>12</v>
      </c>
      <c r="AE119" s="119">
        <v>16</v>
      </c>
      <c r="AF119" s="119"/>
      <c r="AG119" s="55" t="str">
        <f t="shared" si="10"/>
        <v>Hy-50030012.016.0</v>
      </c>
      <c r="AH119" s="58">
        <v>153.6</v>
      </c>
      <c r="AI119" s="107">
        <v>67300</v>
      </c>
      <c r="AJ119" s="107">
        <v>7210</v>
      </c>
      <c r="AK119" s="120">
        <v>20.9</v>
      </c>
      <c r="AL119" s="120">
        <v>6.85</v>
      </c>
      <c r="AM119" s="120">
        <v>7.96</v>
      </c>
      <c r="AN119" s="121">
        <v>2690</v>
      </c>
      <c r="AO119" s="108">
        <v>481</v>
      </c>
      <c r="AP119" s="121">
        <v>3010</v>
      </c>
      <c r="AQ119" s="107">
        <v>738</v>
      </c>
      <c r="AR119" s="109"/>
    </row>
    <row r="120" spans="2:44" ht="13.5" customHeight="1" x14ac:dyDescent="0.2">
      <c r="B120" s="86" t="s">
        <v>242</v>
      </c>
      <c r="C120" s="81"/>
      <c r="D120" s="82" t="s">
        <v>250</v>
      </c>
      <c r="E120" s="138">
        <v>0.91</v>
      </c>
      <c r="F120" s="138">
        <v>1.22</v>
      </c>
      <c r="G120" s="146">
        <v>4.13</v>
      </c>
      <c r="M120" s="57">
        <v>12</v>
      </c>
      <c r="N120" s="57">
        <v>22</v>
      </c>
      <c r="Q120" s="57">
        <v>18</v>
      </c>
      <c r="AA120" s="106" t="s">
        <v>165</v>
      </c>
      <c r="AB120" s="119">
        <v>500</v>
      </c>
      <c r="AC120" s="119">
        <v>300</v>
      </c>
      <c r="AD120" s="119">
        <v>12</v>
      </c>
      <c r="AE120" s="119">
        <v>19</v>
      </c>
      <c r="AF120" s="119"/>
      <c r="AG120" s="55" t="str">
        <f t="shared" si="10"/>
        <v>Hy-50030012.019.0</v>
      </c>
      <c r="AH120" s="58">
        <v>170.9</v>
      </c>
      <c r="AI120" s="107">
        <v>76600</v>
      </c>
      <c r="AJ120" s="107">
        <v>8560</v>
      </c>
      <c r="AK120" s="120">
        <v>21.2</v>
      </c>
      <c r="AL120" s="120">
        <v>7.08</v>
      </c>
      <c r="AM120" s="120">
        <v>8.08</v>
      </c>
      <c r="AN120" s="121">
        <v>3060</v>
      </c>
      <c r="AO120" s="108">
        <v>571</v>
      </c>
      <c r="AP120" s="121">
        <v>3420</v>
      </c>
      <c r="AQ120" s="107">
        <v>873</v>
      </c>
      <c r="AR120" s="109"/>
    </row>
    <row r="121" spans="2:44" ht="13.5" customHeight="1" x14ac:dyDescent="0.2">
      <c r="B121" s="86" t="s">
        <v>243</v>
      </c>
      <c r="C121" s="81"/>
      <c r="D121" s="82"/>
      <c r="E121" s="138">
        <v>1.1299999999999999</v>
      </c>
      <c r="F121" s="138">
        <v>1.5</v>
      </c>
      <c r="G121" s="146">
        <v>5.08</v>
      </c>
      <c r="M121" s="57">
        <v>16</v>
      </c>
      <c r="N121" s="57">
        <v>28</v>
      </c>
      <c r="Q121" s="57">
        <v>22</v>
      </c>
      <c r="AA121" s="106" t="s">
        <v>165</v>
      </c>
      <c r="AB121" s="119">
        <v>500</v>
      </c>
      <c r="AC121" s="119">
        <v>300</v>
      </c>
      <c r="AD121" s="119">
        <v>12</v>
      </c>
      <c r="AE121" s="119">
        <v>22</v>
      </c>
      <c r="AF121" s="119"/>
      <c r="AG121" s="55" t="str">
        <f t="shared" si="10"/>
        <v>Hy-50030012.022.0</v>
      </c>
      <c r="AH121" s="58">
        <v>188.2</v>
      </c>
      <c r="AI121" s="107">
        <v>85700</v>
      </c>
      <c r="AJ121" s="107">
        <v>9910</v>
      </c>
      <c r="AK121" s="120">
        <v>21.3</v>
      </c>
      <c r="AL121" s="120">
        <v>7.26</v>
      </c>
      <c r="AM121" s="120">
        <v>8.18</v>
      </c>
      <c r="AN121" s="121">
        <v>3430</v>
      </c>
      <c r="AO121" s="108">
        <v>661</v>
      </c>
      <c r="AP121" s="121">
        <v>3810</v>
      </c>
      <c r="AQ121" s="107">
        <v>1010</v>
      </c>
      <c r="AR121" s="109"/>
    </row>
    <row r="122" spans="2:44" ht="13.5" customHeight="1" x14ac:dyDescent="0.2">
      <c r="B122" s="86" t="s">
        <v>244</v>
      </c>
      <c r="C122" s="84"/>
      <c r="D122" s="85"/>
      <c r="E122" s="138">
        <v>1.34</v>
      </c>
      <c r="F122" s="138">
        <v>1.79</v>
      </c>
      <c r="G122" s="146">
        <v>6.01</v>
      </c>
      <c r="M122" s="57">
        <v>20</v>
      </c>
      <c r="N122" s="57">
        <v>34</v>
      </c>
      <c r="Q122" s="57">
        <v>26</v>
      </c>
      <c r="AA122" s="106" t="s">
        <v>165</v>
      </c>
      <c r="AB122" s="119">
        <v>500</v>
      </c>
      <c r="AC122" s="119">
        <v>300</v>
      </c>
      <c r="AD122" s="119">
        <v>12</v>
      </c>
      <c r="AE122" s="119">
        <v>25</v>
      </c>
      <c r="AF122" s="119"/>
      <c r="AG122" s="55" t="str">
        <f t="shared" si="10"/>
        <v>Hy-50030012.025.0</v>
      </c>
      <c r="AH122" s="58">
        <v>205.4</v>
      </c>
      <c r="AI122" s="107">
        <v>94500</v>
      </c>
      <c r="AJ122" s="107">
        <v>11300</v>
      </c>
      <c r="AK122" s="120">
        <v>21.4</v>
      </c>
      <c r="AL122" s="120">
        <v>7.4</v>
      </c>
      <c r="AM122" s="120">
        <v>8.25</v>
      </c>
      <c r="AN122" s="121">
        <v>3780</v>
      </c>
      <c r="AO122" s="108">
        <v>751</v>
      </c>
      <c r="AP122" s="121">
        <v>4200</v>
      </c>
      <c r="AQ122" s="107">
        <v>1140</v>
      </c>
      <c r="AR122" s="109"/>
    </row>
    <row r="123" spans="2:44" ht="13.5" customHeight="1" x14ac:dyDescent="0.2">
      <c r="B123" s="83"/>
      <c r="C123" s="84"/>
      <c r="D123" s="85"/>
      <c r="E123" s="138"/>
      <c r="F123" s="138"/>
      <c r="G123" s="62"/>
      <c r="M123" s="57">
        <v>22</v>
      </c>
      <c r="N123" s="57">
        <v>39</v>
      </c>
      <c r="Q123" s="57">
        <v>28</v>
      </c>
      <c r="AA123" s="106" t="s">
        <v>165</v>
      </c>
      <c r="AB123" s="119">
        <v>500</v>
      </c>
      <c r="AC123" s="119">
        <v>300</v>
      </c>
      <c r="AD123" s="119">
        <v>16</v>
      </c>
      <c r="AE123" s="119">
        <v>22</v>
      </c>
      <c r="AF123" s="119"/>
      <c r="AG123" s="55" t="str">
        <f t="shared" si="10"/>
        <v>Hy-50030016.022.0</v>
      </c>
      <c r="AH123" s="58">
        <v>206.4</v>
      </c>
      <c r="AI123" s="107">
        <v>88800</v>
      </c>
      <c r="AJ123" s="107">
        <v>9920</v>
      </c>
      <c r="AK123" s="120">
        <v>20.7</v>
      </c>
      <c r="AL123" s="120">
        <v>6.93</v>
      </c>
      <c r="AM123" s="120">
        <v>8.0399999999999991</v>
      </c>
      <c r="AN123" s="121">
        <v>3550</v>
      </c>
      <c r="AO123" s="108">
        <v>661</v>
      </c>
      <c r="AP123" s="121">
        <v>4020</v>
      </c>
      <c r="AQ123" s="107">
        <v>1020</v>
      </c>
      <c r="AR123" s="109"/>
    </row>
    <row r="124" spans="2:44" ht="13.5" customHeight="1" x14ac:dyDescent="0.2">
      <c r="B124" s="83" t="s">
        <v>251</v>
      </c>
      <c r="C124" s="84"/>
      <c r="D124" s="85"/>
      <c r="E124" s="138">
        <v>1.72</v>
      </c>
      <c r="F124" s="138">
        <v>1.61</v>
      </c>
      <c r="G124" s="62"/>
      <c r="M124" s="57">
        <v>24</v>
      </c>
      <c r="N124" s="57">
        <v>44</v>
      </c>
      <c r="Q124" s="57">
        <v>32</v>
      </c>
      <c r="AA124" s="106" t="s">
        <v>165</v>
      </c>
      <c r="AB124" s="119">
        <v>500</v>
      </c>
      <c r="AC124" s="119">
        <v>300</v>
      </c>
      <c r="AD124" s="119">
        <v>16</v>
      </c>
      <c r="AE124" s="119">
        <v>25</v>
      </c>
      <c r="AF124" s="119"/>
      <c r="AG124" s="55" t="str">
        <f t="shared" si="10"/>
        <v>Hy-50030016.025.0</v>
      </c>
      <c r="AH124" s="58">
        <v>223.4</v>
      </c>
      <c r="AI124" s="107">
        <v>97600</v>
      </c>
      <c r="AJ124" s="107">
        <v>11300</v>
      </c>
      <c r="AK124" s="120">
        <v>20.9</v>
      </c>
      <c r="AL124" s="120">
        <v>7.1</v>
      </c>
      <c r="AM124" s="120">
        <v>8.1300000000000008</v>
      </c>
      <c r="AN124" s="121">
        <v>3900</v>
      </c>
      <c r="AO124" s="108">
        <v>751</v>
      </c>
      <c r="AP124" s="121">
        <v>4400</v>
      </c>
      <c r="AQ124" s="107">
        <v>1160</v>
      </c>
      <c r="AR124" s="109"/>
    </row>
    <row r="125" spans="2:44" ht="13.5" customHeight="1" x14ac:dyDescent="0.2">
      <c r="B125" s="83"/>
      <c r="C125" s="84"/>
      <c r="D125" s="85"/>
      <c r="E125" s="138"/>
      <c r="F125" s="138"/>
      <c r="G125" s="62"/>
      <c r="M125" s="57">
        <v>27</v>
      </c>
      <c r="N125" s="57">
        <v>49</v>
      </c>
      <c r="Q125" s="57">
        <v>36</v>
      </c>
      <c r="AA125" s="106" t="s">
        <v>165</v>
      </c>
      <c r="AB125" s="119">
        <v>500</v>
      </c>
      <c r="AC125" s="119">
        <v>300</v>
      </c>
      <c r="AD125" s="119">
        <v>16</v>
      </c>
      <c r="AE125" s="119">
        <v>28</v>
      </c>
      <c r="AF125" s="119"/>
      <c r="AG125" s="55" t="str">
        <f t="shared" si="10"/>
        <v>Hy-50030016.028.0</v>
      </c>
      <c r="AH125" s="58">
        <v>240.5</v>
      </c>
      <c r="AI125" s="107">
        <v>106000</v>
      </c>
      <c r="AJ125" s="107">
        <v>12600</v>
      </c>
      <c r="AK125" s="120">
        <v>21</v>
      </c>
      <c r="AL125" s="120">
        <v>7.24</v>
      </c>
      <c r="AM125" s="120">
        <v>8.2100000000000009</v>
      </c>
      <c r="AN125" s="121">
        <v>4240</v>
      </c>
      <c r="AO125" s="108">
        <v>841</v>
      </c>
      <c r="AP125" s="121">
        <v>4790</v>
      </c>
      <c r="AQ125" s="107">
        <v>1290</v>
      </c>
      <c r="AR125" s="109"/>
    </row>
    <row r="126" spans="2:44" ht="13.5" customHeight="1" x14ac:dyDescent="0.2">
      <c r="B126" s="83"/>
      <c r="C126" s="84"/>
      <c r="D126" s="85"/>
      <c r="E126" s="138"/>
      <c r="F126" s="138"/>
      <c r="G126" s="62"/>
      <c r="M126" s="57">
        <v>30</v>
      </c>
      <c r="N126" s="57">
        <v>54</v>
      </c>
      <c r="Q126" s="57">
        <v>40</v>
      </c>
      <c r="AA126" s="106" t="s">
        <v>165</v>
      </c>
      <c r="AB126" s="113">
        <v>550</v>
      </c>
      <c r="AC126" s="113">
        <v>200</v>
      </c>
      <c r="AD126" s="113">
        <v>9</v>
      </c>
      <c r="AE126" s="113">
        <v>12</v>
      </c>
      <c r="AF126" s="113"/>
      <c r="AG126" s="55" t="str">
        <f t="shared" si="10"/>
        <v>Hy-5502009.012.0</v>
      </c>
      <c r="AH126" s="58">
        <v>96.79</v>
      </c>
      <c r="AI126" s="107">
        <v>46600</v>
      </c>
      <c r="AJ126" s="107">
        <v>1600</v>
      </c>
      <c r="AK126" s="114">
        <v>22</v>
      </c>
      <c r="AL126" s="114">
        <v>4.07</v>
      </c>
      <c r="AM126" s="114">
        <v>5.01</v>
      </c>
      <c r="AN126" s="115">
        <v>1700</v>
      </c>
      <c r="AO126" s="108">
        <v>160</v>
      </c>
      <c r="AP126" s="115">
        <v>1950</v>
      </c>
      <c r="AQ126" s="107">
        <v>252</v>
      </c>
      <c r="AR126" s="109"/>
    </row>
    <row r="127" spans="2:44" ht="13.5" customHeight="1" x14ac:dyDescent="0.2">
      <c r="B127" s="83"/>
      <c r="C127" s="84"/>
      <c r="D127" s="85"/>
      <c r="E127" s="138"/>
      <c r="F127" s="138"/>
      <c r="G127" s="62"/>
      <c r="M127" s="57">
        <v>33</v>
      </c>
      <c r="O127" s="57">
        <f t="shared" ref="O127:O135" si="21">ROUND(O$119*M127,0)</f>
        <v>59</v>
      </c>
      <c r="R127" s="57">
        <f t="shared" ref="R127:R135" si="22">ROUND(R$119*M127,0)</f>
        <v>44</v>
      </c>
      <c r="AA127" s="106" t="s">
        <v>165</v>
      </c>
      <c r="AB127" s="113">
        <v>550</v>
      </c>
      <c r="AC127" s="113">
        <v>200</v>
      </c>
      <c r="AD127" s="113">
        <v>9</v>
      </c>
      <c r="AE127" s="113">
        <v>16</v>
      </c>
      <c r="AF127" s="113"/>
      <c r="AG127" s="55" t="str">
        <f t="shared" si="10"/>
        <v>Hy-5502009.016.0</v>
      </c>
      <c r="AH127" s="58">
        <v>112.1</v>
      </c>
      <c r="AI127" s="107">
        <v>57000</v>
      </c>
      <c r="AJ127" s="107">
        <v>2140</v>
      </c>
      <c r="AK127" s="114">
        <v>22.6</v>
      </c>
      <c r="AL127" s="114">
        <v>4.37</v>
      </c>
      <c r="AM127" s="114">
        <v>5.2</v>
      </c>
      <c r="AN127" s="115">
        <v>2070</v>
      </c>
      <c r="AO127" s="108">
        <v>214</v>
      </c>
      <c r="AP127" s="115">
        <v>2350</v>
      </c>
      <c r="AQ127" s="107">
        <v>332</v>
      </c>
      <c r="AR127" s="109"/>
    </row>
    <row r="128" spans="2:44" ht="13.5" customHeight="1" x14ac:dyDescent="0.2">
      <c r="B128" s="83"/>
      <c r="C128" s="84"/>
      <c r="D128" s="85"/>
      <c r="E128" s="138"/>
      <c r="F128" s="138"/>
      <c r="G128" s="62"/>
      <c r="M128" s="57">
        <v>36</v>
      </c>
      <c r="O128" s="57">
        <f t="shared" si="21"/>
        <v>65</v>
      </c>
      <c r="R128" s="57">
        <f t="shared" si="22"/>
        <v>48</v>
      </c>
      <c r="AA128" s="106" t="s">
        <v>165</v>
      </c>
      <c r="AB128" s="113">
        <v>550</v>
      </c>
      <c r="AC128" s="113">
        <v>200</v>
      </c>
      <c r="AD128" s="113">
        <v>9</v>
      </c>
      <c r="AE128" s="113">
        <v>19</v>
      </c>
      <c r="AF128" s="113"/>
      <c r="AG128" s="55" t="str">
        <f t="shared" si="10"/>
        <v>Hy-5502009.019.0</v>
      </c>
      <c r="AH128" s="58">
        <v>123.5</v>
      </c>
      <c r="AI128" s="107">
        <v>64600</v>
      </c>
      <c r="AJ128" s="107">
        <v>2540</v>
      </c>
      <c r="AK128" s="114">
        <v>22.9</v>
      </c>
      <c r="AL128" s="114">
        <v>4.53</v>
      </c>
      <c r="AM128" s="114">
        <v>5.29</v>
      </c>
      <c r="AN128" s="115">
        <v>2350</v>
      </c>
      <c r="AO128" s="108">
        <v>254</v>
      </c>
      <c r="AP128" s="115">
        <v>2640</v>
      </c>
      <c r="AQ128" s="107">
        <v>391</v>
      </c>
      <c r="AR128" s="109"/>
    </row>
    <row r="129" spans="2:44" ht="13.5" customHeight="1" x14ac:dyDescent="0.2">
      <c r="B129" s="83"/>
      <c r="C129" s="84"/>
      <c r="D129" s="85"/>
      <c r="E129" s="138"/>
      <c r="F129" s="138"/>
      <c r="G129" s="62"/>
      <c r="M129" s="57">
        <v>39</v>
      </c>
      <c r="O129" s="57">
        <f t="shared" si="21"/>
        <v>70</v>
      </c>
      <c r="R129" s="57">
        <f t="shared" si="22"/>
        <v>52</v>
      </c>
      <c r="AA129" s="106" t="s">
        <v>165</v>
      </c>
      <c r="AB129" s="113">
        <v>550</v>
      </c>
      <c r="AC129" s="113">
        <v>200</v>
      </c>
      <c r="AD129" s="113">
        <v>9</v>
      </c>
      <c r="AE129" s="113">
        <v>22</v>
      </c>
      <c r="AF129" s="113"/>
      <c r="AG129" s="55" t="str">
        <f t="shared" si="10"/>
        <v>Hy-5502009.022.0</v>
      </c>
      <c r="AH129" s="58">
        <v>135</v>
      </c>
      <c r="AI129" s="107">
        <v>72000</v>
      </c>
      <c r="AJ129" s="107">
        <v>2940</v>
      </c>
      <c r="AK129" s="114">
        <v>23.1</v>
      </c>
      <c r="AL129" s="114">
        <v>4.66</v>
      </c>
      <c r="AM129" s="114">
        <v>5.36</v>
      </c>
      <c r="AN129" s="115">
        <v>2620</v>
      </c>
      <c r="AO129" s="108">
        <v>294</v>
      </c>
      <c r="AP129" s="115">
        <v>2940</v>
      </c>
      <c r="AQ129" s="107">
        <v>451</v>
      </c>
      <c r="AR129" s="109"/>
    </row>
    <row r="130" spans="2:44" ht="13.5" customHeight="1" x14ac:dyDescent="0.2">
      <c r="B130" s="83"/>
      <c r="C130" s="84"/>
      <c r="D130" s="85"/>
      <c r="E130" s="138"/>
      <c r="F130" s="138"/>
      <c r="G130" s="62"/>
      <c r="M130" s="57">
        <v>42</v>
      </c>
      <c r="O130" s="57">
        <f t="shared" si="21"/>
        <v>76</v>
      </c>
      <c r="R130" s="57">
        <f t="shared" si="22"/>
        <v>56</v>
      </c>
      <c r="AA130" s="106" t="s">
        <v>165</v>
      </c>
      <c r="AB130" s="113">
        <v>550</v>
      </c>
      <c r="AC130" s="113">
        <v>200</v>
      </c>
      <c r="AD130" s="113">
        <v>12</v>
      </c>
      <c r="AE130" s="113">
        <v>19</v>
      </c>
      <c r="AF130" s="113"/>
      <c r="AG130" s="55" t="str">
        <f t="shared" ref="AG130:AG193" si="23">AA130&amp;FIXED(AB130,0)&amp;FIXED(AC130,0)&amp;FIXED(AD130,1)&amp;FIXED(AE130,1)</f>
        <v>Hy-55020012.019.0</v>
      </c>
      <c r="AH130" s="58">
        <v>138.9</v>
      </c>
      <c r="AI130" s="107">
        <v>67900</v>
      </c>
      <c r="AJ130" s="107">
        <v>2540</v>
      </c>
      <c r="AK130" s="114">
        <v>22.1</v>
      </c>
      <c r="AL130" s="114">
        <v>4.28</v>
      </c>
      <c r="AM130" s="114">
        <v>5.17</v>
      </c>
      <c r="AN130" s="115">
        <v>2470</v>
      </c>
      <c r="AO130" s="108">
        <v>254</v>
      </c>
      <c r="AP130" s="115">
        <v>2840</v>
      </c>
      <c r="AQ130" s="107">
        <v>400</v>
      </c>
      <c r="AR130" s="109"/>
    </row>
    <row r="131" spans="2:44" ht="13.5" customHeight="1" x14ac:dyDescent="0.2">
      <c r="B131" s="83"/>
      <c r="C131" s="84"/>
      <c r="D131" s="85"/>
      <c r="E131" s="138"/>
      <c r="F131" s="138"/>
      <c r="G131" s="62"/>
      <c r="M131" s="57">
        <v>45</v>
      </c>
      <c r="O131" s="57">
        <f t="shared" si="21"/>
        <v>81</v>
      </c>
      <c r="R131" s="57">
        <f t="shared" si="22"/>
        <v>60</v>
      </c>
      <c r="AA131" s="106" t="s">
        <v>165</v>
      </c>
      <c r="AB131" s="113">
        <v>550</v>
      </c>
      <c r="AC131" s="113">
        <v>200</v>
      </c>
      <c r="AD131" s="113">
        <v>12</v>
      </c>
      <c r="AE131" s="113">
        <v>22</v>
      </c>
      <c r="AF131" s="113"/>
      <c r="AG131" s="55" t="str">
        <f t="shared" si="23"/>
        <v>Hy-55020012.022.0</v>
      </c>
      <c r="AH131" s="58">
        <v>150.19999999999999</v>
      </c>
      <c r="AI131" s="107">
        <v>75200</v>
      </c>
      <c r="AJ131" s="107">
        <v>2940</v>
      </c>
      <c r="AK131" s="114">
        <v>22.4</v>
      </c>
      <c r="AL131" s="114">
        <v>4.43</v>
      </c>
      <c r="AM131" s="114">
        <v>5.26</v>
      </c>
      <c r="AN131" s="115">
        <v>2740</v>
      </c>
      <c r="AO131" s="108">
        <v>294</v>
      </c>
      <c r="AP131" s="115">
        <v>3130</v>
      </c>
      <c r="AQ131" s="107">
        <v>460</v>
      </c>
      <c r="AR131" s="109"/>
    </row>
    <row r="132" spans="2:44" ht="13.5" customHeight="1" x14ac:dyDescent="0.2">
      <c r="B132" s="83"/>
      <c r="C132" s="84"/>
      <c r="D132" s="85"/>
      <c r="E132" s="138"/>
      <c r="F132" s="138"/>
      <c r="G132" s="62"/>
      <c r="M132" s="57">
        <v>48</v>
      </c>
      <c r="O132" s="57">
        <f t="shared" si="21"/>
        <v>86</v>
      </c>
      <c r="R132" s="57">
        <f t="shared" si="22"/>
        <v>64</v>
      </c>
      <c r="AA132" s="106" t="s">
        <v>165</v>
      </c>
      <c r="AB132" s="113">
        <v>550</v>
      </c>
      <c r="AC132" s="113">
        <v>200</v>
      </c>
      <c r="AD132" s="113">
        <v>12</v>
      </c>
      <c r="AE132" s="113">
        <v>25</v>
      </c>
      <c r="AF132" s="113"/>
      <c r="AG132" s="55" t="str">
        <f t="shared" si="23"/>
        <v>Hy-55020012.025.0</v>
      </c>
      <c r="AH132" s="58">
        <v>161.4</v>
      </c>
      <c r="AI132" s="107">
        <v>82300</v>
      </c>
      <c r="AJ132" s="107">
        <v>3340</v>
      </c>
      <c r="AK132" s="114">
        <v>22.6</v>
      </c>
      <c r="AL132" s="114">
        <v>4.55</v>
      </c>
      <c r="AM132" s="114">
        <v>5.33</v>
      </c>
      <c r="AN132" s="115">
        <v>2990</v>
      </c>
      <c r="AO132" s="108">
        <v>334</v>
      </c>
      <c r="AP132" s="115">
        <v>3410</v>
      </c>
      <c r="AQ132" s="107">
        <v>519</v>
      </c>
      <c r="AR132" s="109"/>
    </row>
    <row r="133" spans="2:44" ht="13.5" customHeight="1" x14ac:dyDescent="0.2">
      <c r="B133" s="83"/>
      <c r="C133" s="84"/>
      <c r="D133" s="85"/>
      <c r="E133" s="138"/>
      <c r="F133" s="138"/>
      <c r="G133" s="62"/>
      <c r="M133" s="57">
        <v>52</v>
      </c>
      <c r="O133" s="57">
        <f t="shared" si="21"/>
        <v>94</v>
      </c>
      <c r="R133" s="57">
        <f t="shared" si="22"/>
        <v>69</v>
      </c>
      <c r="AA133" s="106" t="s">
        <v>165</v>
      </c>
      <c r="AB133" s="113">
        <v>550</v>
      </c>
      <c r="AC133" s="113">
        <v>250</v>
      </c>
      <c r="AD133" s="113">
        <v>9</v>
      </c>
      <c r="AE133" s="113">
        <v>16</v>
      </c>
      <c r="AF133" s="113"/>
      <c r="AG133" s="55" t="str">
        <f t="shared" si="23"/>
        <v>Hy-5502509.016.0</v>
      </c>
      <c r="AH133" s="58">
        <v>128.1</v>
      </c>
      <c r="AI133" s="107">
        <v>68400</v>
      </c>
      <c r="AJ133" s="107">
        <v>4170</v>
      </c>
      <c r="AK133" s="114">
        <v>23.1</v>
      </c>
      <c r="AL133" s="114">
        <v>5.71</v>
      </c>
      <c r="AM133" s="114">
        <v>6.62</v>
      </c>
      <c r="AN133" s="115">
        <v>2490</v>
      </c>
      <c r="AO133" s="108">
        <v>334</v>
      </c>
      <c r="AP133" s="115">
        <v>2780</v>
      </c>
      <c r="AQ133" s="107">
        <v>512</v>
      </c>
      <c r="AR133" s="109"/>
    </row>
    <row r="134" spans="2:44" ht="13.5" customHeight="1" x14ac:dyDescent="0.2">
      <c r="B134" s="83"/>
      <c r="C134" s="84"/>
      <c r="D134" s="85"/>
      <c r="E134" s="138"/>
      <c r="F134" s="138"/>
      <c r="G134" s="62"/>
      <c r="M134" s="57">
        <v>56</v>
      </c>
      <c r="O134" s="57">
        <f t="shared" si="21"/>
        <v>101</v>
      </c>
      <c r="R134" s="57">
        <f t="shared" si="22"/>
        <v>75</v>
      </c>
      <c r="AA134" s="106" t="s">
        <v>165</v>
      </c>
      <c r="AB134" s="113">
        <v>550</v>
      </c>
      <c r="AC134" s="113">
        <v>250</v>
      </c>
      <c r="AD134" s="113">
        <v>9</v>
      </c>
      <c r="AE134" s="113">
        <v>19</v>
      </c>
      <c r="AF134" s="113"/>
      <c r="AG134" s="55" t="str">
        <f t="shared" si="23"/>
        <v>Hy-5502509.019.0</v>
      </c>
      <c r="AH134" s="58">
        <v>142.5</v>
      </c>
      <c r="AI134" s="107">
        <v>78000</v>
      </c>
      <c r="AJ134" s="107">
        <v>4950</v>
      </c>
      <c r="AK134" s="114">
        <v>23.4</v>
      </c>
      <c r="AL134" s="114">
        <v>5.89</v>
      </c>
      <c r="AM134" s="114">
        <v>6.72</v>
      </c>
      <c r="AN134" s="115">
        <v>2840</v>
      </c>
      <c r="AO134" s="108">
        <v>396</v>
      </c>
      <c r="AP134" s="115">
        <v>3150</v>
      </c>
      <c r="AQ134" s="107">
        <v>605</v>
      </c>
      <c r="AR134" s="109"/>
    </row>
    <row r="135" spans="2:44" ht="13.5" customHeight="1" x14ac:dyDescent="0.2">
      <c r="B135" s="83"/>
      <c r="C135" s="84"/>
      <c r="D135" s="85"/>
      <c r="E135" s="138"/>
      <c r="F135" s="138"/>
      <c r="G135" s="62"/>
      <c r="M135" s="57">
        <v>60</v>
      </c>
      <c r="O135" s="57">
        <f t="shared" si="21"/>
        <v>108</v>
      </c>
      <c r="R135" s="57">
        <f t="shared" si="22"/>
        <v>80</v>
      </c>
      <c r="AA135" s="106" t="s">
        <v>165</v>
      </c>
      <c r="AB135" s="113">
        <v>550</v>
      </c>
      <c r="AC135" s="113">
        <v>250</v>
      </c>
      <c r="AD135" s="113">
        <v>9</v>
      </c>
      <c r="AE135" s="113">
        <v>22</v>
      </c>
      <c r="AF135" s="113"/>
      <c r="AG135" s="55" t="str">
        <f t="shared" si="23"/>
        <v>Hy-5502509.022.0</v>
      </c>
      <c r="AH135" s="58">
        <v>157</v>
      </c>
      <c r="AI135" s="107">
        <v>87300</v>
      </c>
      <c r="AJ135" s="107">
        <v>5730</v>
      </c>
      <c r="AK135" s="114">
        <v>23.6</v>
      </c>
      <c r="AL135" s="114">
        <v>6.04</v>
      </c>
      <c r="AM135" s="114">
        <v>6.8</v>
      </c>
      <c r="AN135" s="115">
        <v>3180</v>
      </c>
      <c r="AO135" s="108">
        <v>459</v>
      </c>
      <c r="AP135" s="115">
        <v>3520</v>
      </c>
      <c r="AQ135" s="107">
        <v>699</v>
      </c>
      <c r="AR135" s="109"/>
    </row>
    <row r="136" spans="2:44" ht="13.5" customHeight="1" x14ac:dyDescent="0.2">
      <c r="B136" s="83"/>
      <c r="C136" s="84"/>
      <c r="D136" s="85"/>
      <c r="E136" s="138"/>
      <c r="F136" s="138"/>
      <c r="G136" s="62"/>
      <c r="AA136" s="106" t="s">
        <v>165</v>
      </c>
      <c r="AB136" s="113">
        <v>550</v>
      </c>
      <c r="AC136" s="113">
        <v>250</v>
      </c>
      <c r="AD136" s="113">
        <v>12</v>
      </c>
      <c r="AE136" s="113">
        <v>22</v>
      </c>
      <c r="AF136" s="113"/>
      <c r="AG136" s="55" t="str">
        <f t="shared" si="23"/>
        <v>Hy-55025012.022.0</v>
      </c>
      <c r="AH136" s="58">
        <v>172.2</v>
      </c>
      <c r="AI136" s="107">
        <v>90600</v>
      </c>
      <c r="AJ136" s="107">
        <v>5740</v>
      </c>
      <c r="AK136" s="114">
        <v>22.9</v>
      </c>
      <c r="AL136" s="114">
        <v>5.77</v>
      </c>
      <c r="AM136" s="114">
        <v>6.69</v>
      </c>
      <c r="AN136" s="115">
        <v>3290</v>
      </c>
      <c r="AO136" s="108">
        <v>459</v>
      </c>
      <c r="AP136" s="115">
        <v>3710</v>
      </c>
      <c r="AQ136" s="107">
        <v>707</v>
      </c>
      <c r="AR136" s="109"/>
    </row>
    <row r="137" spans="2:44" ht="13.5" customHeight="1" x14ac:dyDescent="0.2">
      <c r="B137" s="89"/>
      <c r="C137" s="90"/>
      <c r="D137" s="91"/>
      <c r="E137" s="139"/>
      <c r="F137" s="139"/>
      <c r="G137" s="65"/>
      <c r="AA137" s="106" t="s">
        <v>165</v>
      </c>
      <c r="AB137" s="113">
        <v>550</v>
      </c>
      <c r="AC137" s="113">
        <v>250</v>
      </c>
      <c r="AD137" s="113">
        <v>12</v>
      </c>
      <c r="AE137" s="113">
        <v>25</v>
      </c>
      <c r="AF137" s="113"/>
      <c r="AG137" s="55" t="str">
        <f t="shared" si="23"/>
        <v>Hy-55025012.025.0</v>
      </c>
      <c r="AH137" s="58">
        <v>186.4</v>
      </c>
      <c r="AI137" s="107">
        <v>99600</v>
      </c>
      <c r="AJ137" s="107">
        <v>6520</v>
      </c>
      <c r="AK137" s="114">
        <v>23.1</v>
      </c>
      <c r="AL137" s="114">
        <v>5.91</v>
      </c>
      <c r="AM137" s="114">
        <v>6.76</v>
      </c>
      <c r="AN137" s="115">
        <v>3620</v>
      </c>
      <c r="AO137" s="108">
        <v>522</v>
      </c>
      <c r="AP137" s="115">
        <v>4070</v>
      </c>
      <c r="AQ137" s="107">
        <v>801</v>
      </c>
      <c r="AR137" s="109"/>
    </row>
    <row r="138" spans="2:44" ht="13.5" customHeight="1" x14ac:dyDescent="0.2">
      <c r="AA138" s="106" t="s">
        <v>165</v>
      </c>
      <c r="AB138" s="113">
        <v>550</v>
      </c>
      <c r="AC138" s="113">
        <v>250</v>
      </c>
      <c r="AD138" s="113">
        <v>12</v>
      </c>
      <c r="AE138" s="113">
        <v>28</v>
      </c>
      <c r="AF138" s="113"/>
      <c r="AG138" s="55" t="str">
        <f t="shared" si="23"/>
        <v>Hy-55025012.028.0</v>
      </c>
      <c r="AH138" s="58">
        <v>200.7</v>
      </c>
      <c r="AI138" s="107">
        <v>108000</v>
      </c>
      <c r="AJ138" s="107">
        <v>7300</v>
      </c>
      <c r="AK138" s="114">
        <v>23.2</v>
      </c>
      <c r="AL138" s="114">
        <v>6.03</v>
      </c>
      <c r="AM138" s="114">
        <v>6.82</v>
      </c>
      <c r="AN138" s="115">
        <v>3940</v>
      </c>
      <c r="AO138" s="108">
        <v>584</v>
      </c>
      <c r="AP138" s="115">
        <v>4420</v>
      </c>
      <c r="AQ138" s="107">
        <v>894</v>
      </c>
      <c r="AR138" s="109"/>
    </row>
    <row r="139" spans="2:44" ht="13.5" customHeight="1" x14ac:dyDescent="0.2">
      <c r="AA139" s="106" t="s">
        <v>165</v>
      </c>
      <c r="AB139" s="119">
        <v>550</v>
      </c>
      <c r="AC139" s="119">
        <v>300</v>
      </c>
      <c r="AD139" s="119">
        <v>12</v>
      </c>
      <c r="AE139" s="119">
        <v>16</v>
      </c>
      <c r="AF139" s="119"/>
      <c r="AG139" s="55" t="str">
        <f t="shared" si="23"/>
        <v>Hy-55030012.016.0</v>
      </c>
      <c r="AH139" s="58">
        <v>159.6</v>
      </c>
      <c r="AI139" s="107">
        <v>83300</v>
      </c>
      <c r="AJ139" s="107">
        <v>7210</v>
      </c>
      <c r="AK139" s="120">
        <v>22.8</v>
      </c>
      <c r="AL139" s="120">
        <v>6.72</v>
      </c>
      <c r="AM139" s="120">
        <v>7.89</v>
      </c>
      <c r="AN139" s="121">
        <v>3030</v>
      </c>
      <c r="AO139" s="108">
        <v>481</v>
      </c>
      <c r="AP139" s="121">
        <v>3410</v>
      </c>
      <c r="AQ139" s="107">
        <v>740</v>
      </c>
      <c r="AR139" s="109"/>
    </row>
    <row r="140" spans="2:44" ht="13.5" customHeight="1" x14ac:dyDescent="0.2">
      <c r="AA140" s="106" t="s">
        <v>165</v>
      </c>
      <c r="AB140" s="119">
        <v>550</v>
      </c>
      <c r="AC140" s="119">
        <v>300</v>
      </c>
      <c r="AD140" s="119">
        <v>12</v>
      </c>
      <c r="AE140" s="119">
        <v>19</v>
      </c>
      <c r="AF140" s="119"/>
      <c r="AG140" s="55" t="str">
        <f t="shared" si="23"/>
        <v>Hy-55030012.019.0</v>
      </c>
      <c r="AH140" s="58">
        <v>176.9</v>
      </c>
      <c r="AI140" s="107">
        <v>94700</v>
      </c>
      <c r="AJ140" s="107">
        <v>8560</v>
      </c>
      <c r="AK140" s="120">
        <v>23.1</v>
      </c>
      <c r="AL140" s="120">
        <v>6.96</v>
      </c>
      <c r="AM140" s="120">
        <v>8.02</v>
      </c>
      <c r="AN140" s="121">
        <v>3450</v>
      </c>
      <c r="AO140" s="108">
        <v>571</v>
      </c>
      <c r="AP140" s="121">
        <v>3850</v>
      </c>
      <c r="AQ140" s="107">
        <v>875</v>
      </c>
      <c r="AR140" s="109"/>
    </row>
    <row r="141" spans="2:44" ht="13.5" customHeight="1" x14ac:dyDescent="0.2">
      <c r="AA141" s="106" t="s">
        <v>165</v>
      </c>
      <c r="AB141" s="119">
        <v>550</v>
      </c>
      <c r="AC141" s="119">
        <v>300</v>
      </c>
      <c r="AD141" s="119">
        <v>12</v>
      </c>
      <c r="AE141" s="119">
        <v>22</v>
      </c>
      <c r="AF141" s="119"/>
      <c r="AG141" s="55" t="str">
        <f t="shared" si="23"/>
        <v>Hy-55030012.022.0</v>
      </c>
      <c r="AH141" s="58">
        <v>194.2</v>
      </c>
      <c r="AI141" s="107">
        <v>106000</v>
      </c>
      <c r="AJ141" s="107">
        <v>9910</v>
      </c>
      <c r="AK141" s="120">
        <v>23.4</v>
      </c>
      <c r="AL141" s="120">
        <v>7.14</v>
      </c>
      <c r="AM141" s="120">
        <v>8.1199999999999992</v>
      </c>
      <c r="AN141" s="121">
        <v>3850</v>
      </c>
      <c r="AO141" s="108">
        <v>661</v>
      </c>
      <c r="AP141" s="121">
        <v>4290</v>
      </c>
      <c r="AQ141" s="107">
        <v>1010</v>
      </c>
      <c r="AR141" s="109"/>
    </row>
    <row r="142" spans="2:44" ht="13.5" customHeight="1" x14ac:dyDescent="0.2">
      <c r="AA142" s="106" t="s">
        <v>165</v>
      </c>
      <c r="AB142" s="119">
        <v>550</v>
      </c>
      <c r="AC142" s="119">
        <v>300</v>
      </c>
      <c r="AD142" s="119">
        <v>12</v>
      </c>
      <c r="AE142" s="119">
        <v>25</v>
      </c>
      <c r="AF142" s="119"/>
      <c r="AG142" s="55" t="str">
        <f t="shared" si="23"/>
        <v>Hy-55030012.025.0</v>
      </c>
      <c r="AH142" s="58">
        <v>211.4</v>
      </c>
      <c r="AI142" s="107">
        <v>117000</v>
      </c>
      <c r="AJ142" s="107">
        <v>11300</v>
      </c>
      <c r="AK142" s="120">
        <v>23.5</v>
      </c>
      <c r="AL142" s="120">
        <v>7.3</v>
      </c>
      <c r="AM142" s="120">
        <v>8.1999999999999993</v>
      </c>
      <c r="AN142" s="121">
        <v>4250</v>
      </c>
      <c r="AO142" s="108">
        <v>751</v>
      </c>
      <c r="AP142" s="121">
        <v>4720</v>
      </c>
      <c r="AQ142" s="107">
        <v>1140</v>
      </c>
      <c r="AR142" s="109"/>
    </row>
    <row r="143" spans="2:44" ht="13.5" customHeight="1" x14ac:dyDescent="0.2">
      <c r="AA143" s="106" t="s">
        <v>165</v>
      </c>
      <c r="AB143" s="119">
        <v>550</v>
      </c>
      <c r="AC143" s="119">
        <v>300</v>
      </c>
      <c r="AD143" s="119">
        <v>16</v>
      </c>
      <c r="AE143" s="119">
        <v>22</v>
      </c>
      <c r="AF143" s="119"/>
      <c r="AG143" s="55" t="str">
        <f t="shared" si="23"/>
        <v>Hy-55030016.022.0</v>
      </c>
      <c r="AH143" s="58">
        <v>214.4</v>
      </c>
      <c r="AI143" s="107">
        <v>110000</v>
      </c>
      <c r="AJ143" s="107">
        <v>99200</v>
      </c>
      <c r="AK143" s="120">
        <v>22.7</v>
      </c>
      <c r="AL143" s="120">
        <v>6.8</v>
      </c>
      <c r="AM143" s="120">
        <v>7.98</v>
      </c>
      <c r="AN143" s="121">
        <v>4010</v>
      </c>
      <c r="AO143" s="108">
        <v>661</v>
      </c>
      <c r="AP143" s="121">
        <v>4550</v>
      </c>
      <c r="AQ143" s="107">
        <v>1020</v>
      </c>
      <c r="AR143" s="109"/>
    </row>
    <row r="144" spans="2:44" ht="13.5" customHeight="1" x14ac:dyDescent="0.2">
      <c r="AA144" s="106" t="s">
        <v>165</v>
      </c>
      <c r="AB144" s="119">
        <v>550</v>
      </c>
      <c r="AC144" s="119">
        <v>300</v>
      </c>
      <c r="AD144" s="119">
        <v>16</v>
      </c>
      <c r="AE144" s="119">
        <v>25</v>
      </c>
      <c r="AF144" s="119"/>
      <c r="AG144" s="55" t="str">
        <f t="shared" si="23"/>
        <v>Hy-55030016.025.0</v>
      </c>
      <c r="AH144" s="58">
        <v>231.4</v>
      </c>
      <c r="AI144" s="107">
        <v>121000</v>
      </c>
      <c r="AJ144" s="107">
        <v>11300</v>
      </c>
      <c r="AK144" s="120">
        <v>22.9</v>
      </c>
      <c r="AL144" s="120">
        <v>6.98</v>
      </c>
      <c r="AM144" s="120">
        <v>8.07</v>
      </c>
      <c r="AN144" s="121">
        <v>4400</v>
      </c>
      <c r="AO144" s="108">
        <v>751</v>
      </c>
      <c r="AP144" s="121">
        <v>4970</v>
      </c>
      <c r="AQ144" s="107">
        <v>1160</v>
      </c>
      <c r="AR144" s="109"/>
    </row>
    <row r="145" spans="27:44" ht="13.5" customHeight="1" x14ac:dyDescent="0.2">
      <c r="AA145" s="106" t="s">
        <v>165</v>
      </c>
      <c r="AB145" s="119">
        <v>550</v>
      </c>
      <c r="AC145" s="119">
        <v>300</v>
      </c>
      <c r="AD145" s="119">
        <v>16</v>
      </c>
      <c r="AE145" s="119">
        <v>28</v>
      </c>
      <c r="AF145" s="119"/>
      <c r="AG145" s="55" t="str">
        <f t="shared" si="23"/>
        <v>Hy-55030016.028.0</v>
      </c>
      <c r="AH145" s="58">
        <v>248.5</v>
      </c>
      <c r="AI145" s="107">
        <v>131000</v>
      </c>
      <c r="AJ145" s="107">
        <v>12600</v>
      </c>
      <c r="AK145" s="120">
        <v>23</v>
      </c>
      <c r="AL145" s="120">
        <v>7.13</v>
      </c>
      <c r="AM145" s="120">
        <v>8.15</v>
      </c>
      <c r="AN145" s="121">
        <v>4780</v>
      </c>
      <c r="AO145" s="108">
        <v>841</v>
      </c>
      <c r="AP145" s="121">
        <v>5400</v>
      </c>
      <c r="AQ145" s="107">
        <v>1290</v>
      </c>
      <c r="AR145" s="109"/>
    </row>
    <row r="146" spans="27:44" ht="13.5" customHeight="1" x14ac:dyDescent="0.2">
      <c r="AA146" s="106" t="s">
        <v>165</v>
      </c>
      <c r="AB146" s="113">
        <v>600</v>
      </c>
      <c r="AC146" s="113">
        <v>200</v>
      </c>
      <c r="AD146" s="113">
        <v>9</v>
      </c>
      <c r="AE146" s="113">
        <v>12</v>
      </c>
      <c r="AF146" s="113"/>
      <c r="AG146" s="55" t="str">
        <f t="shared" si="23"/>
        <v>Hy-6002009.012.0</v>
      </c>
      <c r="AH146" s="58">
        <v>101.3</v>
      </c>
      <c r="AI146" s="107">
        <v>57000</v>
      </c>
      <c r="AJ146" s="107">
        <v>1600</v>
      </c>
      <c r="AK146" s="114">
        <v>23.7</v>
      </c>
      <c r="AL146" s="114">
        <v>3.98</v>
      </c>
      <c r="AM146" s="114">
        <v>4.95</v>
      </c>
      <c r="AN146" s="115">
        <v>1900</v>
      </c>
      <c r="AO146" s="108">
        <v>160</v>
      </c>
      <c r="AP146" s="115">
        <v>2200</v>
      </c>
      <c r="AQ146" s="107">
        <v>253</v>
      </c>
      <c r="AR146" s="109"/>
    </row>
    <row r="147" spans="27:44" ht="13.5" customHeight="1" x14ac:dyDescent="0.2">
      <c r="AA147" s="106" t="s">
        <v>165</v>
      </c>
      <c r="AB147" s="113">
        <v>600</v>
      </c>
      <c r="AC147" s="113">
        <v>200</v>
      </c>
      <c r="AD147" s="113">
        <v>9</v>
      </c>
      <c r="AE147" s="113">
        <v>16</v>
      </c>
      <c r="AF147" s="113"/>
      <c r="AG147" s="55" t="str">
        <f t="shared" si="23"/>
        <v>Hy-6002009.016.0</v>
      </c>
      <c r="AH147" s="58">
        <v>116.6</v>
      </c>
      <c r="AI147" s="107">
        <v>69500</v>
      </c>
      <c r="AJ147" s="107">
        <v>2140</v>
      </c>
      <c r="AK147" s="114">
        <v>24.4</v>
      </c>
      <c r="AL147" s="114">
        <v>4.28</v>
      </c>
      <c r="AM147" s="114">
        <v>5.15</v>
      </c>
      <c r="AN147" s="115">
        <v>2320</v>
      </c>
      <c r="AO147" s="108">
        <v>214</v>
      </c>
      <c r="AP147" s="115">
        <v>2640</v>
      </c>
      <c r="AQ147" s="107">
        <v>333</v>
      </c>
      <c r="AR147" s="109"/>
    </row>
    <row r="148" spans="27:44" ht="13.5" customHeight="1" x14ac:dyDescent="0.2">
      <c r="AA148" s="106" t="s">
        <v>165</v>
      </c>
      <c r="AB148" s="113">
        <v>600</v>
      </c>
      <c r="AC148" s="113">
        <v>200</v>
      </c>
      <c r="AD148" s="113">
        <v>9</v>
      </c>
      <c r="AE148" s="113">
        <v>19</v>
      </c>
      <c r="AF148" s="113"/>
      <c r="AG148" s="55" t="str">
        <f t="shared" si="23"/>
        <v>Hy-6002009.019.0</v>
      </c>
      <c r="AH148" s="58">
        <v>128</v>
      </c>
      <c r="AI148" s="107">
        <v>78600</v>
      </c>
      <c r="AJ148" s="107">
        <v>2540</v>
      </c>
      <c r="AK148" s="114">
        <v>24.8</v>
      </c>
      <c r="AL148" s="114">
        <v>4.45</v>
      </c>
      <c r="AM148" s="114">
        <v>5.25</v>
      </c>
      <c r="AN148" s="115">
        <v>2620</v>
      </c>
      <c r="AO148" s="108">
        <v>254</v>
      </c>
      <c r="AP148" s="115">
        <v>2960</v>
      </c>
      <c r="AQ148" s="107">
        <v>392</v>
      </c>
      <c r="AR148" s="109"/>
    </row>
    <row r="149" spans="27:44" ht="13.5" customHeight="1" x14ac:dyDescent="0.2">
      <c r="AA149" s="106" t="s">
        <v>165</v>
      </c>
      <c r="AB149" s="113">
        <v>600</v>
      </c>
      <c r="AC149" s="113">
        <v>200</v>
      </c>
      <c r="AD149" s="113">
        <v>9</v>
      </c>
      <c r="AE149" s="113">
        <v>22</v>
      </c>
      <c r="AF149" s="113"/>
      <c r="AG149" s="55" t="str">
        <f t="shared" si="23"/>
        <v>Hy-6002009.022.0</v>
      </c>
      <c r="AH149" s="58">
        <v>139.5</v>
      </c>
      <c r="AI149" s="107">
        <v>87500</v>
      </c>
      <c r="AJ149" s="107">
        <v>2940</v>
      </c>
      <c r="AK149" s="114">
        <v>25</v>
      </c>
      <c r="AL149" s="114">
        <v>4.59</v>
      </c>
      <c r="AM149" s="114">
        <v>5.33</v>
      </c>
      <c r="AN149" s="115">
        <v>2920</v>
      </c>
      <c r="AO149" s="108">
        <v>294</v>
      </c>
      <c r="AP149" s="115">
        <v>3280</v>
      </c>
      <c r="AQ149" s="107">
        <v>452</v>
      </c>
      <c r="AR149" s="109"/>
    </row>
    <row r="150" spans="27:44" ht="13.5" customHeight="1" x14ac:dyDescent="0.2">
      <c r="AA150" s="106" t="s">
        <v>165</v>
      </c>
      <c r="AB150" s="113">
        <v>600</v>
      </c>
      <c r="AC150" s="113">
        <v>200</v>
      </c>
      <c r="AD150" s="113">
        <v>12</v>
      </c>
      <c r="AE150" s="113">
        <v>19</v>
      </c>
      <c r="AF150" s="113"/>
      <c r="AG150" s="55" t="str">
        <f t="shared" si="23"/>
        <v>Hy-60020012.019.0</v>
      </c>
      <c r="AH150" s="58">
        <v>144.9</v>
      </c>
      <c r="AI150" s="107">
        <v>83000</v>
      </c>
      <c r="AJ150" s="107">
        <v>2540</v>
      </c>
      <c r="AK150" s="114">
        <v>23.9</v>
      </c>
      <c r="AL150" s="114">
        <v>4.1900000000000004</v>
      </c>
      <c r="AM150" s="114">
        <v>5.12</v>
      </c>
      <c r="AN150" s="115">
        <v>2770</v>
      </c>
      <c r="AO150" s="108">
        <v>254</v>
      </c>
      <c r="AP150" s="115">
        <v>3200</v>
      </c>
      <c r="AQ150" s="107">
        <v>402</v>
      </c>
      <c r="AR150" s="109"/>
    </row>
    <row r="151" spans="27:44" ht="13.5" customHeight="1" x14ac:dyDescent="0.2">
      <c r="AA151" s="106" t="s">
        <v>165</v>
      </c>
      <c r="AB151" s="113">
        <v>600</v>
      </c>
      <c r="AC151" s="113">
        <v>200</v>
      </c>
      <c r="AD151" s="113">
        <v>12</v>
      </c>
      <c r="AE151" s="113">
        <v>22</v>
      </c>
      <c r="AF151" s="113"/>
      <c r="AG151" s="55" t="str">
        <f t="shared" si="23"/>
        <v>Hy-60020012.022.0</v>
      </c>
      <c r="AH151" s="58">
        <v>156.19999999999999</v>
      </c>
      <c r="AI151" s="107">
        <v>91800</v>
      </c>
      <c r="AJ151" s="107">
        <v>2940</v>
      </c>
      <c r="AK151" s="114">
        <v>24.2</v>
      </c>
      <c r="AL151" s="114">
        <v>4.34</v>
      </c>
      <c r="AM151" s="114">
        <v>5.21</v>
      </c>
      <c r="AN151" s="115">
        <v>3060</v>
      </c>
      <c r="AO151" s="108">
        <v>294</v>
      </c>
      <c r="AP151" s="115">
        <v>3510</v>
      </c>
      <c r="AQ151" s="107">
        <v>461</v>
      </c>
      <c r="AR151" s="109"/>
    </row>
    <row r="152" spans="27:44" ht="13.5" customHeight="1" x14ac:dyDescent="0.2">
      <c r="AA152" s="106" t="s">
        <v>165</v>
      </c>
      <c r="AB152" s="113">
        <v>600</v>
      </c>
      <c r="AC152" s="113">
        <v>200</v>
      </c>
      <c r="AD152" s="113">
        <v>12</v>
      </c>
      <c r="AE152" s="113">
        <v>25</v>
      </c>
      <c r="AF152" s="113"/>
      <c r="AG152" s="55" t="str">
        <f t="shared" si="23"/>
        <v>Hy-60020012.025.0</v>
      </c>
      <c r="AH152" s="58">
        <v>167.4</v>
      </c>
      <c r="AI152" s="107">
        <v>100000</v>
      </c>
      <c r="AJ152" s="107">
        <v>3340</v>
      </c>
      <c r="AK152" s="114">
        <v>24.5</v>
      </c>
      <c r="AL152" s="114">
        <v>4.47</v>
      </c>
      <c r="AM152" s="114">
        <v>5.29</v>
      </c>
      <c r="AN152" s="115">
        <v>3350</v>
      </c>
      <c r="AO152" s="108">
        <v>334</v>
      </c>
      <c r="AP152" s="115">
        <v>3820</v>
      </c>
      <c r="AQ152" s="107">
        <v>521</v>
      </c>
      <c r="AR152" s="109"/>
    </row>
    <row r="153" spans="27:44" ht="13.5" customHeight="1" x14ac:dyDescent="0.2">
      <c r="AA153" s="106" t="s">
        <v>165</v>
      </c>
      <c r="AB153" s="113">
        <v>600</v>
      </c>
      <c r="AC153" s="113">
        <v>200</v>
      </c>
      <c r="AD153" s="113">
        <v>12</v>
      </c>
      <c r="AE153" s="113">
        <v>28</v>
      </c>
      <c r="AF153" s="113"/>
      <c r="AG153" s="55" t="str">
        <f t="shared" si="23"/>
        <v>Hy-60020012.028.0</v>
      </c>
      <c r="AH153" s="58">
        <v>178.7</v>
      </c>
      <c r="AI153" s="107">
        <v>109000</v>
      </c>
      <c r="AJ153" s="107">
        <v>3740</v>
      </c>
      <c r="AK153" s="114">
        <v>24.7</v>
      </c>
      <c r="AL153" s="114">
        <v>4.58</v>
      </c>
      <c r="AM153" s="114">
        <v>5.35</v>
      </c>
      <c r="AN153" s="115">
        <v>3630</v>
      </c>
      <c r="AO153" s="108">
        <v>374</v>
      </c>
      <c r="AP153" s="115">
        <v>4130</v>
      </c>
      <c r="AQ153" s="107">
        <v>581</v>
      </c>
      <c r="AR153" s="109"/>
    </row>
    <row r="154" spans="27:44" ht="13.5" customHeight="1" x14ac:dyDescent="0.2">
      <c r="AA154" s="106" t="s">
        <v>165</v>
      </c>
      <c r="AB154" s="113">
        <v>600</v>
      </c>
      <c r="AC154" s="113">
        <v>250</v>
      </c>
      <c r="AD154" s="113">
        <v>9</v>
      </c>
      <c r="AE154" s="113">
        <v>16</v>
      </c>
      <c r="AF154" s="113"/>
      <c r="AG154" s="55" t="str">
        <f t="shared" si="23"/>
        <v>Hy-6002509.016.0</v>
      </c>
      <c r="AH154" s="58">
        <v>132.6</v>
      </c>
      <c r="AI154" s="107">
        <v>83100</v>
      </c>
      <c r="AJ154" s="107">
        <v>4170</v>
      </c>
      <c r="AK154" s="114">
        <v>25</v>
      </c>
      <c r="AL154" s="114">
        <v>5.61</v>
      </c>
      <c r="AM154" s="114">
        <v>6.57</v>
      </c>
      <c r="AN154" s="115">
        <v>2770</v>
      </c>
      <c r="AO154" s="108">
        <v>334</v>
      </c>
      <c r="AP154" s="115">
        <v>3100</v>
      </c>
      <c r="AQ154" s="107">
        <v>513</v>
      </c>
      <c r="AR154" s="109"/>
    </row>
    <row r="155" spans="27:44" ht="13.5" customHeight="1" x14ac:dyDescent="0.2">
      <c r="AA155" s="106" t="s">
        <v>165</v>
      </c>
      <c r="AB155" s="113">
        <v>600</v>
      </c>
      <c r="AC155" s="113">
        <v>250</v>
      </c>
      <c r="AD155" s="113">
        <v>9</v>
      </c>
      <c r="AE155" s="113">
        <v>19</v>
      </c>
      <c r="AF155" s="113"/>
      <c r="AG155" s="55" t="str">
        <f t="shared" si="23"/>
        <v>Hy-6002509.019.0</v>
      </c>
      <c r="AH155" s="58">
        <v>147</v>
      </c>
      <c r="AI155" s="107">
        <v>94800</v>
      </c>
      <c r="AJ155" s="107">
        <v>4950</v>
      </c>
      <c r="AK155" s="114">
        <v>25.4</v>
      </c>
      <c r="AL155" s="114">
        <v>5.8</v>
      </c>
      <c r="AM155" s="114">
        <v>6.68</v>
      </c>
      <c r="AN155" s="115">
        <v>3150</v>
      </c>
      <c r="AO155" s="108">
        <v>396</v>
      </c>
      <c r="AP155" s="115">
        <v>3510</v>
      </c>
      <c r="AQ155" s="107">
        <v>606</v>
      </c>
      <c r="AR155" s="109"/>
    </row>
    <row r="156" spans="27:44" ht="13.5" customHeight="1" x14ac:dyDescent="0.2">
      <c r="AA156" s="106" t="s">
        <v>165</v>
      </c>
      <c r="AB156" s="113">
        <v>600</v>
      </c>
      <c r="AC156" s="113">
        <v>250</v>
      </c>
      <c r="AD156" s="113">
        <v>12</v>
      </c>
      <c r="AE156" s="113">
        <v>19</v>
      </c>
      <c r="AF156" s="113"/>
      <c r="AG156" s="55" t="str">
        <f t="shared" si="23"/>
        <v>Hy-60025012.019.0</v>
      </c>
      <c r="AH156" s="58">
        <v>163.9</v>
      </c>
      <c r="AI156" s="107">
        <v>99100</v>
      </c>
      <c r="AJ156" s="107">
        <v>4960</v>
      </c>
      <c r="AK156" s="114">
        <v>24.6</v>
      </c>
      <c r="AL156" s="114">
        <v>5.5</v>
      </c>
      <c r="AM156" s="114">
        <v>6.54</v>
      </c>
      <c r="AN156" s="115">
        <v>3300</v>
      </c>
      <c r="AO156" s="108">
        <v>397</v>
      </c>
      <c r="AP156" s="115">
        <v>3750</v>
      </c>
      <c r="AQ156" s="107">
        <v>615</v>
      </c>
      <c r="AR156" s="109"/>
    </row>
    <row r="157" spans="27:44" ht="13.5" customHeight="1" x14ac:dyDescent="0.2">
      <c r="AA157" s="106" t="s">
        <v>165</v>
      </c>
      <c r="AB157" s="113">
        <v>600</v>
      </c>
      <c r="AC157" s="113">
        <v>250</v>
      </c>
      <c r="AD157" s="113">
        <v>12</v>
      </c>
      <c r="AE157" s="113">
        <v>22</v>
      </c>
      <c r="AF157" s="113"/>
      <c r="AG157" s="55" t="str">
        <f t="shared" si="23"/>
        <v>Hy-60025012.022.0</v>
      </c>
      <c r="AH157" s="58">
        <v>178.2</v>
      </c>
      <c r="AI157" s="107">
        <v>110000</v>
      </c>
      <c r="AJ157" s="107">
        <v>5740</v>
      </c>
      <c r="AK157" s="114">
        <v>24.9</v>
      </c>
      <c r="AL157" s="114">
        <v>5.68</v>
      </c>
      <c r="AM157" s="114">
        <v>6.64</v>
      </c>
      <c r="AN157" s="115">
        <v>3670</v>
      </c>
      <c r="AO157" s="108">
        <v>459</v>
      </c>
      <c r="AP157" s="115">
        <v>4150</v>
      </c>
      <c r="AQ157" s="107">
        <v>709</v>
      </c>
      <c r="AR157" s="109"/>
    </row>
    <row r="158" spans="27:44" ht="13.5" customHeight="1" x14ac:dyDescent="0.2">
      <c r="AA158" s="106" t="s">
        <v>165</v>
      </c>
      <c r="AB158" s="113">
        <v>600</v>
      </c>
      <c r="AC158" s="113">
        <v>250</v>
      </c>
      <c r="AD158" s="113">
        <v>12</v>
      </c>
      <c r="AE158" s="113">
        <v>25</v>
      </c>
      <c r="AF158" s="113"/>
      <c r="AG158" s="55" t="str">
        <f t="shared" si="23"/>
        <v>Hy-60025012.025.0</v>
      </c>
      <c r="AH158" s="58">
        <v>192.4</v>
      </c>
      <c r="AI158" s="107">
        <v>121000</v>
      </c>
      <c r="AJ158" s="107">
        <v>6520</v>
      </c>
      <c r="AK158" s="114">
        <v>25.1</v>
      </c>
      <c r="AL158" s="114">
        <v>5.82</v>
      </c>
      <c r="AM158" s="114">
        <v>6.72</v>
      </c>
      <c r="AN158" s="115">
        <v>4040</v>
      </c>
      <c r="AO158" s="108">
        <v>522</v>
      </c>
      <c r="AP158" s="115">
        <v>4540</v>
      </c>
      <c r="AQ158" s="107">
        <v>802</v>
      </c>
      <c r="AR158" s="109"/>
    </row>
    <row r="159" spans="27:44" ht="13.5" customHeight="1" x14ac:dyDescent="0.2">
      <c r="AA159" s="106" t="s">
        <v>165</v>
      </c>
      <c r="AB159" s="113">
        <v>600</v>
      </c>
      <c r="AC159" s="113">
        <v>250</v>
      </c>
      <c r="AD159" s="113">
        <v>12</v>
      </c>
      <c r="AE159" s="113">
        <v>28</v>
      </c>
      <c r="AF159" s="113"/>
      <c r="AG159" s="55" t="str">
        <f t="shared" si="23"/>
        <v>Hy-60025012.028.0</v>
      </c>
      <c r="AH159" s="58">
        <v>206.7</v>
      </c>
      <c r="AI159" s="107">
        <v>132000</v>
      </c>
      <c r="AJ159" s="107">
        <v>7300</v>
      </c>
      <c r="AK159" s="114">
        <v>25.2</v>
      </c>
      <c r="AL159" s="114">
        <v>5.94</v>
      </c>
      <c r="AM159" s="114">
        <v>6.78</v>
      </c>
      <c r="AN159" s="115">
        <v>4390</v>
      </c>
      <c r="AO159" s="108">
        <v>584</v>
      </c>
      <c r="AP159" s="115">
        <v>4930</v>
      </c>
      <c r="AQ159" s="107">
        <v>896</v>
      </c>
      <c r="AR159" s="109"/>
    </row>
    <row r="160" spans="27:44" ht="13.5" customHeight="1" x14ac:dyDescent="0.2">
      <c r="AA160" s="106" t="s">
        <v>165</v>
      </c>
      <c r="AB160" s="113">
        <v>600</v>
      </c>
      <c r="AC160" s="113">
        <v>250</v>
      </c>
      <c r="AD160" s="113">
        <v>16</v>
      </c>
      <c r="AE160" s="113">
        <v>28</v>
      </c>
      <c r="AF160" s="113"/>
      <c r="AG160" s="55" t="str">
        <f t="shared" si="23"/>
        <v>Hy-60025016.028.0</v>
      </c>
      <c r="AH160" s="58">
        <v>228.5</v>
      </c>
      <c r="AI160" s="107">
        <v>137000</v>
      </c>
      <c r="AJ160" s="107">
        <v>7310</v>
      </c>
      <c r="AK160" s="114">
        <v>24.5</v>
      </c>
      <c r="AL160" s="114">
        <v>5.66</v>
      </c>
      <c r="AM160" s="114">
        <v>6.66</v>
      </c>
      <c r="AN160" s="115">
        <v>4570</v>
      </c>
      <c r="AO160" s="108">
        <v>585</v>
      </c>
      <c r="AP160" s="115">
        <v>5230</v>
      </c>
      <c r="AQ160" s="107">
        <v>911</v>
      </c>
      <c r="AR160" s="109"/>
    </row>
    <row r="161" spans="27:44" ht="13.5" customHeight="1" x14ac:dyDescent="0.2">
      <c r="AA161" s="106" t="s">
        <v>165</v>
      </c>
      <c r="AB161" s="113">
        <v>600</v>
      </c>
      <c r="AC161" s="113">
        <v>250</v>
      </c>
      <c r="AD161" s="113">
        <v>16</v>
      </c>
      <c r="AE161" s="113">
        <v>32</v>
      </c>
      <c r="AF161" s="113"/>
      <c r="AG161" s="55" t="str">
        <f t="shared" si="23"/>
        <v>Hy-60025016.032.0</v>
      </c>
      <c r="AH161" s="58">
        <v>247.2</v>
      </c>
      <c r="AI161" s="107">
        <v>151000</v>
      </c>
      <c r="AJ161" s="107">
        <v>8350</v>
      </c>
      <c r="AK161" s="114">
        <v>24.7</v>
      </c>
      <c r="AL161" s="114">
        <v>5.81</v>
      </c>
      <c r="AM161" s="114">
        <v>6.75</v>
      </c>
      <c r="AN161" s="115">
        <v>5020</v>
      </c>
      <c r="AO161" s="108">
        <v>668</v>
      </c>
      <c r="AP161" s="115">
        <v>5730</v>
      </c>
      <c r="AQ161" s="107">
        <v>1040</v>
      </c>
      <c r="AR161" s="109"/>
    </row>
    <row r="162" spans="27:44" ht="13.5" customHeight="1" x14ac:dyDescent="0.2">
      <c r="AA162" s="106" t="s">
        <v>165</v>
      </c>
      <c r="AB162" s="113">
        <v>600</v>
      </c>
      <c r="AC162" s="113">
        <v>300</v>
      </c>
      <c r="AD162" s="113">
        <v>12</v>
      </c>
      <c r="AE162" s="113">
        <v>19</v>
      </c>
      <c r="AF162" s="113"/>
      <c r="AG162" s="55" t="str">
        <f t="shared" si="23"/>
        <v>Hy-60030012.019.0</v>
      </c>
      <c r="AH162" s="58">
        <v>182.9</v>
      </c>
      <c r="AI162" s="107">
        <v>115000</v>
      </c>
      <c r="AJ162" s="107">
        <v>8560</v>
      </c>
      <c r="AK162" s="114">
        <v>25.1</v>
      </c>
      <c r="AL162" s="114">
        <v>6.84</v>
      </c>
      <c r="AM162" s="114">
        <v>7.96</v>
      </c>
      <c r="AN162" s="115">
        <v>3840</v>
      </c>
      <c r="AO162" s="108">
        <v>571</v>
      </c>
      <c r="AP162" s="115">
        <v>4300</v>
      </c>
      <c r="AQ162" s="107">
        <v>877</v>
      </c>
      <c r="AR162" s="109"/>
    </row>
    <row r="163" spans="27:44" ht="13.5" customHeight="1" x14ac:dyDescent="0.2">
      <c r="AA163" s="106" t="s">
        <v>165</v>
      </c>
      <c r="AB163" s="113">
        <v>600</v>
      </c>
      <c r="AC163" s="113">
        <v>300</v>
      </c>
      <c r="AD163" s="113">
        <v>12</v>
      </c>
      <c r="AE163" s="113">
        <v>22</v>
      </c>
      <c r="AF163" s="113"/>
      <c r="AG163" s="55" t="str">
        <f t="shared" si="23"/>
        <v>Hy-60030012.022.0</v>
      </c>
      <c r="AH163" s="58">
        <v>200.2</v>
      </c>
      <c r="AI163" s="107">
        <v>129000</v>
      </c>
      <c r="AJ163" s="107">
        <v>9910</v>
      </c>
      <c r="AK163" s="114">
        <v>25.3</v>
      </c>
      <c r="AL163" s="114">
        <v>7.04</v>
      </c>
      <c r="AM163" s="114">
        <v>8.07</v>
      </c>
      <c r="AN163" s="115">
        <v>4290</v>
      </c>
      <c r="AO163" s="108">
        <v>661</v>
      </c>
      <c r="AP163" s="115">
        <v>4780</v>
      </c>
      <c r="AQ163" s="107">
        <v>1010</v>
      </c>
      <c r="AR163" s="109"/>
    </row>
    <row r="164" spans="27:44" ht="13.5" customHeight="1" x14ac:dyDescent="0.2">
      <c r="AA164" s="106" t="s">
        <v>165</v>
      </c>
      <c r="AB164" s="113">
        <v>600</v>
      </c>
      <c r="AC164" s="113">
        <v>300</v>
      </c>
      <c r="AD164" s="113">
        <v>12</v>
      </c>
      <c r="AE164" s="113">
        <v>25</v>
      </c>
      <c r="AF164" s="113"/>
      <c r="AG164" s="55" t="str">
        <f t="shared" si="23"/>
        <v>Hy-60030012.025.0</v>
      </c>
      <c r="AH164" s="58">
        <v>217.4</v>
      </c>
      <c r="AI164" s="107">
        <v>142000</v>
      </c>
      <c r="AJ164" s="107">
        <v>11300</v>
      </c>
      <c r="AK164" s="114">
        <v>25.5</v>
      </c>
      <c r="AL164" s="114">
        <v>7.2</v>
      </c>
      <c r="AM164" s="114">
        <v>8.15</v>
      </c>
      <c r="AN164" s="115">
        <v>4730</v>
      </c>
      <c r="AO164" s="108">
        <v>751</v>
      </c>
      <c r="AP164" s="115">
        <v>5260</v>
      </c>
      <c r="AQ164" s="107">
        <v>1150</v>
      </c>
      <c r="AR164" s="109"/>
    </row>
    <row r="165" spans="27:44" ht="13.5" customHeight="1" x14ac:dyDescent="0.2">
      <c r="AA165" s="106" t="s">
        <v>165</v>
      </c>
      <c r="AB165" s="113">
        <v>600</v>
      </c>
      <c r="AC165" s="113">
        <v>300</v>
      </c>
      <c r="AD165" s="113">
        <v>12</v>
      </c>
      <c r="AE165" s="113">
        <v>28</v>
      </c>
      <c r="AF165" s="113"/>
      <c r="AG165" s="55" t="str">
        <f t="shared" si="23"/>
        <v>Hy-60030012.028.0</v>
      </c>
      <c r="AH165" s="58">
        <v>234.7</v>
      </c>
      <c r="AI165" s="107">
        <v>155000</v>
      </c>
      <c r="AJ165" s="107">
        <v>12600</v>
      </c>
      <c r="AK165" s="114">
        <v>25.7</v>
      </c>
      <c r="AL165" s="114">
        <v>7.33</v>
      </c>
      <c r="AM165" s="114">
        <v>8.2200000000000006</v>
      </c>
      <c r="AN165" s="115">
        <v>5160</v>
      </c>
      <c r="AO165" s="108">
        <v>841</v>
      </c>
      <c r="AP165" s="115">
        <v>5730</v>
      </c>
      <c r="AQ165" s="107">
        <v>1280</v>
      </c>
      <c r="AR165" s="109"/>
    </row>
    <row r="166" spans="27:44" ht="13.5" customHeight="1" x14ac:dyDescent="0.2">
      <c r="AA166" s="106" t="s">
        <v>165</v>
      </c>
      <c r="AB166" s="113">
        <v>600</v>
      </c>
      <c r="AC166" s="113">
        <v>300</v>
      </c>
      <c r="AD166" s="113">
        <v>16</v>
      </c>
      <c r="AE166" s="113">
        <v>28</v>
      </c>
      <c r="AF166" s="113"/>
      <c r="AG166" s="55" t="str">
        <f t="shared" si="23"/>
        <v>Hy-60030016.028.0</v>
      </c>
      <c r="AH166" s="58">
        <v>256.5</v>
      </c>
      <c r="AI166" s="107">
        <v>160000</v>
      </c>
      <c r="AJ166" s="107">
        <v>12600</v>
      </c>
      <c r="AK166" s="114">
        <v>25</v>
      </c>
      <c r="AL166" s="114">
        <v>7.01</v>
      </c>
      <c r="AM166" s="114">
        <v>8.09</v>
      </c>
      <c r="AN166" s="115">
        <v>5330</v>
      </c>
      <c r="AO166" s="108">
        <v>841</v>
      </c>
      <c r="AP166" s="115">
        <v>6030</v>
      </c>
      <c r="AQ166" s="107">
        <v>1300</v>
      </c>
      <c r="AR166" s="109"/>
    </row>
    <row r="167" spans="27:44" ht="13.5" customHeight="1" x14ac:dyDescent="0.2">
      <c r="AA167" s="106" t="s">
        <v>165</v>
      </c>
      <c r="AB167" s="113">
        <v>600</v>
      </c>
      <c r="AC167" s="113">
        <v>300</v>
      </c>
      <c r="AD167" s="113">
        <v>16</v>
      </c>
      <c r="AE167" s="113">
        <v>32</v>
      </c>
      <c r="AF167" s="113"/>
      <c r="AG167" s="55" t="str">
        <f t="shared" si="23"/>
        <v>Hy-60030016.032.0</v>
      </c>
      <c r="AH167" s="58">
        <v>279.2</v>
      </c>
      <c r="AI167" s="107">
        <v>177000</v>
      </c>
      <c r="AJ167" s="107">
        <v>14400</v>
      </c>
      <c r="AK167" s="114">
        <v>25.1</v>
      </c>
      <c r="AL167" s="114">
        <v>7.19</v>
      </c>
      <c r="AM167" s="114">
        <v>8.18</v>
      </c>
      <c r="AN167" s="115">
        <v>5890</v>
      </c>
      <c r="AO167" s="108">
        <v>961</v>
      </c>
      <c r="AP167" s="115">
        <v>6640</v>
      </c>
      <c r="AQ167" s="107">
        <v>1480</v>
      </c>
      <c r="AR167" s="109"/>
    </row>
    <row r="168" spans="27:44" ht="13.5" customHeight="1" x14ac:dyDescent="0.2">
      <c r="AA168" s="106" t="s">
        <v>165</v>
      </c>
      <c r="AB168" s="113">
        <v>650</v>
      </c>
      <c r="AC168" s="113">
        <v>200</v>
      </c>
      <c r="AD168" s="113">
        <v>9</v>
      </c>
      <c r="AE168" s="113">
        <v>12</v>
      </c>
      <c r="AF168" s="113"/>
      <c r="AG168" s="55" t="str">
        <f t="shared" si="23"/>
        <v>Hy-6502009.012.0</v>
      </c>
      <c r="AH168" s="58">
        <v>105.8</v>
      </c>
      <c r="AI168" s="107">
        <v>68600</v>
      </c>
      <c r="AJ168" s="107">
        <v>1600</v>
      </c>
      <c r="AK168" s="114">
        <v>25.5</v>
      </c>
      <c r="AL168" s="114">
        <v>3.89</v>
      </c>
      <c r="AM168" s="114">
        <v>4.9000000000000004</v>
      </c>
      <c r="AN168" s="115">
        <v>2110</v>
      </c>
      <c r="AO168" s="108">
        <v>160</v>
      </c>
      <c r="AP168" s="115">
        <v>2460</v>
      </c>
      <c r="AQ168" s="107">
        <v>254</v>
      </c>
      <c r="AR168" s="109"/>
    </row>
    <row r="169" spans="27:44" ht="13.5" customHeight="1" x14ac:dyDescent="0.2">
      <c r="AA169" s="106" t="s">
        <v>165</v>
      </c>
      <c r="AB169" s="113">
        <v>650</v>
      </c>
      <c r="AC169" s="113">
        <v>200</v>
      </c>
      <c r="AD169" s="113">
        <v>9</v>
      </c>
      <c r="AE169" s="113">
        <v>16</v>
      </c>
      <c r="AF169" s="113"/>
      <c r="AG169" s="55" t="str">
        <f t="shared" si="23"/>
        <v>Hy-6502009.016.0</v>
      </c>
      <c r="AH169" s="58">
        <v>121.1</v>
      </c>
      <c r="AI169" s="107">
        <v>83400</v>
      </c>
      <c r="AJ169" s="107">
        <v>2140</v>
      </c>
      <c r="AK169" s="114">
        <v>26.2</v>
      </c>
      <c r="AL169" s="114">
        <v>4.2</v>
      </c>
      <c r="AM169" s="114">
        <v>5.0999999999999996</v>
      </c>
      <c r="AN169" s="115">
        <v>2570</v>
      </c>
      <c r="AO169" s="108">
        <v>214</v>
      </c>
      <c r="AP169" s="115">
        <v>2930</v>
      </c>
      <c r="AQ169" s="107">
        <v>334</v>
      </c>
      <c r="AR169" s="109"/>
    </row>
    <row r="170" spans="27:44" ht="13.5" customHeight="1" x14ac:dyDescent="0.2">
      <c r="AA170" s="106" t="s">
        <v>165</v>
      </c>
      <c r="AB170" s="113">
        <v>650</v>
      </c>
      <c r="AC170" s="113">
        <v>200</v>
      </c>
      <c r="AD170" s="113">
        <v>9</v>
      </c>
      <c r="AE170" s="113">
        <v>19</v>
      </c>
      <c r="AF170" s="113"/>
      <c r="AG170" s="55" t="str">
        <f t="shared" si="23"/>
        <v>Hy-6502009.019.0</v>
      </c>
      <c r="AH170" s="58">
        <v>132.5</v>
      </c>
      <c r="AI170" s="107">
        <v>94200</v>
      </c>
      <c r="AJ170" s="107">
        <v>2540</v>
      </c>
      <c r="AK170" s="114">
        <v>26.7</v>
      </c>
      <c r="AL170" s="114">
        <v>4.38</v>
      </c>
      <c r="AM170" s="114">
        <v>5.21</v>
      </c>
      <c r="AN170" s="115">
        <v>2900</v>
      </c>
      <c r="AO170" s="108">
        <v>254</v>
      </c>
      <c r="AP170" s="115">
        <v>3280</v>
      </c>
      <c r="AQ170" s="107">
        <v>393</v>
      </c>
      <c r="AR170" s="109"/>
    </row>
    <row r="171" spans="27:44" ht="13.5" customHeight="1" x14ac:dyDescent="0.2">
      <c r="AA171" s="106" t="s">
        <v>165</v>
      </c>
      <c r="AB171" s="113">
        <v>650</v>
      </c>
      <c r="AC171" s="113">
        <v>200</v>
      </c>
      <c r="AD171" s="113">
        <v>9</v>
      </c>
      <c r="AE171" s="113">
        <v>22</v>
      </c>
      <c r="AF171" s="113"/>
      <c r="AG171" s="55" t="str">
        <f t="shared" si="23"/>
        <v>Hy-6502009.022.0</v>
      </c>
      <c r="AH171" s="58">
        <v>144</v>
      </c>
      <c r="AI171" s="107">
        <v>105000</v>
      </c>
      <c r="AJ171" s="107">
        <v>2940</v>
      </c>
      <c r="AK171" s="114">
        <v>27</v>
      </c>
      <c r="AL171" s="114">
        <v>4.5199999999999996</v>
      </c>
      <c r="AM171" s="114">
        <v>5.29</v>
      </c>
      <c r="AN171" s="115">
        <v>3220</v>
      </c>
      <c r="AO171" s="108">
        <v>294</v>
      </c>
      <c r="AP171" s="115">
        <v>3630</v>
      </c>
      <c r="AQ171" s="107">
        <v>450</v>
      </c>
      <c r="AR171" s="109"/>
    </row>
    <row r="172" spans="27:44" ht="13.5" customHeight="1" x14ac:dyDescent="0.2">
      <c r="AA172" s="106" t="s">
        <v>165</v>
      </c>
      <c r="AB172" s="116">
        <v>650</v>
      </c>
      <c r="AC172" s="116">
        <v>200</v>
      </c>
      <c r="AD172" s="116">
        <v>12</v>
      </c>
      <c r="AE172" s="116">
        <v>19</v>
      </c>
      <c r="AF172" s="116"/>
      <c r="AG172" s="55" t="str">
        <f t="shared" si="23"/>
        <v>Hy-65020012.019.0</v>
      </c>
      <c r="AH172" s="58">
        <v>150.9</v>
      </c>
      <c r="AI172" s="107">
        <v>99900</v>
      </c>
      <c r="AJ172" s="107">
        <v>2540</v>
      </c>
      <c r="AK172" s="117">
        <v>25.7</v>
      </c>
      <c r="AL172" s="117">
        <v>4.1100000000000003</v>
      </c>
      <c r="AM172" s="117">
        <v>5.07</v>
      </c>
      <c r="AN172" s="118">
        <v>3070</v>
      </c>
      <c r="AO172" s="108">
        <v>254</v>
      </c>
      <c r="AP172" s="118">
        <v>3570</v>
      </c>
      <c r="AQ172" s="107">
        <v>403</v>
      </c>
      <c r="AR172" s="109"/>
    </row>
    <row r="173" spans="27:44" ht="13.5" customHeight="1" x14ac:dyDescent="0.2">
      <c r="AA173" s="106" t="s">
        <v>165</v>
      </c>
      <c r="AB173" s="116">
        <v>650</v>
      </c>
      <c r="AC173" s="116">
        <v>200</v>
      </c>
      <c r="AD173" s="116">
        <v>12</v>
      </c>
      <c r="AE173" s="116">
        <v>22</v>
      </c>
      <c r="AF173" s="116"/>
      <c r="AG173" s="55" t="str">
        <f t="shared" si="23"/>
        <v>Hy-65020012.022.0</v>
      </c>
      <c r="AH173" s="58">
        <v>162.19999999999999</v>
      </c>
      <c r="AI173" s="107">
        <v>110000</v>
      </c>
      <c r="AJ173" s="107">
        <v>2940</v>
      </c>
      <c r="AK173" s="117">
        <v>26.1</v>
      </c>
      <c r="AL173" s="117">
        <v>4.26</v>
      </c>
      <c r="AM173" s="117">
        <v>5.16</v>
      </c>
      <c r="AN173" s="118">
        <v>3400</v>
      </c>
      <c r="AO173" s="108">
        <v>294</v>
      </c>
      <c r="AP173" s="118">
        <v>3910</v>
      </c>
      <c r="AQ173" s="107">
        <v>463</v>
      </c>
      <c r="AR173" s="109"/>
    </row>
    <row r="174" spans="27:44" ht="13.5" customHeight="1" x14ac:dyDescent="0.2">
      <c r="AA174" s="106" t="s">
        <v>165</v>
      </c>
      <c r="AB174" s="116">
        <v>650</v>
      </c>
      <c r="AC174" s="116">
        <v>200</v>
      </c>
      <c r="AD174" s="116">
        <v>12</v>
      </c>
      <c r="AE174" s="116">
        <v>25</v>
      </c>
      <c r="AF174" s="116"/>
      <c r="AG174" s="55" t="str">
        <f t="shared" si="23"/>
        <v>Hy-65020012.025.0</v>
      </c>
      <c r="AH174" s="58">
        <v>173.4</v>
      </c>
      <c r="AI174" s="107">
        <v>121000</v>
      </c>
      <c r="AJ174" s="107">
        <v>3340</v>
      </c>
      <c r="AK174" s="117">
        <v>26.4</v>
      </c>
      <c r="AL174" s="117">
        <v>4.3899999999999997</v>
      </c>
      <c r="AM174" s="117">
        <v>5.24</v>
      </c>
      <c r="AN174" s="118">
        <v>3710</v>
      </c>
      <c r="AO174" s="108">
        <v>334</v>
      </c>
      <c r="AP174" s="118">
        <v>4250</v>
      </c>
      <c r="AQ174" s="107">
        <v>523</v>
      </c>
      <c r="AR174" s="109"/>
    </row>
    <row r="175" spans="27:44" ht="13.5" customHeight="1" x14ac:dyDescent="0.2">
      <c r="AA175" s="106" t="s">
        <v>165</v>
      </c>
      <c r="AB175" s="116">
        <v>650</v>
      </c>
      <c r="AC175" s="116">
        <v>200</v>
      </c>
      <c r="AD175" s="116">
        <v>12</v>
      </c>
      <c r="AE175" s="116">
        <v>28</v>
      </c>
      <c r="AF175" s="116"/>
      <c r="AG175" s="55" t="str">
        <f t="shared" si="23"/>
        <v>Hy-65020012.028.0</v>
      </c>
      <c r="AH175" s="58">
        <v>184.7</v>
      </c>
      <c r="AI175" s="107">
        <v>131000</v>
      </c>
      <c r="AJ175" s="107">
        <v>3740</v>
      </c>
      <c r="AK175" s="117">
        <v>26.6</v>
      </c>
      <c r="AL175" s="117">
        <v>4.5</v>
      </c>
      <c r="AM175" s="117">
        <v>5.31</v>
      </c>
      <c r="AN175" s="118">
        <v>4020</v>
      </c>
      <c r="AO175" s="108">
        <v>374</v>
      </c>
      <c r="AP175" s="118">
        <v>4580</v>
      </c>
      <c r="AQ175" s="107">
        <v>583</v>
      </c>
      <c r="AR175" s="109"/>
    </row>
    <row r="176" spans="27:44" ht="13.5" customHeight="1" x14ac:dyDescent="0.2">
      <c r="AA176" s="106" t="s">
        <v>165</v>
      </c>
      <c r="AB176" s="116">
        <v>650</v>
      </c>
      <c r="AC176" s="116">
        <v>250</v>
      </c>
      <c r="AD176" s="116">
        <v>12</v>
      </c>
      <c r="AE176" s="116">
        <v>19</v>
      </c>
      <c r="AF176" s="116"/>
      <c r="AG176" s="55" t="str">
        <f t="shared" si="23"/>
        <v>Hy-65025012.019.0</v>
      </c>
      <c r="AH176" s="58">
        <v>169.9</v>
      </c>
      <c r="AI176" s="107">
        <v>119000</v>
      </c>
      <c r="AJ176" s="107">
        <v>4960</v>
      </c>
      <c r="AK176" s="117">
        <v>26.4</v>
      </c>
      <c r="AL176" s="117">
        <v>5.4</v>
      </c>
      <c r="AM176" s="117">
        <v>6.48</v>
      </c>
      <c r="AN176" s="118">
        <v>3660</v>
      </c>
      <c r="AO176" s="108">
        <v>397</v>
      </c>
      <c r="AP176" s="118">
        <v>4160</v>
      </c>
      <c r="AQ176" s="107">
        <v>617</v>
      </c>
      <c r="AR176" s="109"/>
    </row>
    <row r="177" spans="27:44" ht="13.5" customHeight="1" x14ac:dyDescent="0.2">
      <c r="AA177" s="106" t="s">
        <v>165</v>
      </c>
      <c r="AB177" s="116">
        <v>650</v>
      </c>
      <c r="AC177" s="116">
        <v>250</v>
      </c>
      <c r="AD177" s="116">
        <v>12</v>
      </c>
      <c r="AE177" s="116">
        <v>22</v>
      </c>
      <c r="AF177" s="116"/>
      <c r="AG177" s="55" t="str">
        <f t="shared" si="23"/>
        <v>Hy-65025012.022.0</v>
      </c>
      <c r="AH177" s="58">
        <v>184.2</v>
      </c>
      <c r="AI177" s="107">
        <v>132000</v>
      </c>
      <c r="AJ177" s="107">
        <v>5740</v>
      </c>
      <c r="AK177" s="117">
        <v>26.8</v>
      </c>
      <c r="AL177" s="117">
        <v>5.58</v>
      </c>
      <c r="AM177" s="117">
        <v>6.59</v>
      </c>
      <c r="AN177" s="118">
        <v>4060</v>
      </c>
      <c r="AO177" s="108">
        <v>459</v>
      </c>
      <c r="AP177" s="118">
        <v>4600</v>
      </c>
      <c r="AQ177" s="107">
        <v>711</v>
      </c>
      <c r="AR177" s="109"/>
    </row>
    <row r="178" spans="27:44" ht="13.5" customHeight="1" x14ac:dyDescent="0.2">
      <c r="AA178" s="106" t="s">
        <v>165</v>
      </c>
      <c r="AB178" s="116">
        <v>650</v>
      </c>
      <c r="AC178" s="116">
        <v>250</v>
      </c>
      <c r="AD178" s="116">
        <v>12</v>
      </c>
      <c r="AE178" s="116">
        <v>25</v>
      </c>
      <c r="AF178" s="116"/>
      <c r="AG178" s="55" t="str">
        <f t="shared" si="23"/>
        <v>Hy-65025012.025.0</v>
      </c>
      <c r="AH178" s="58">
        <v>198.4</v>
      </c>
      <c r="AI178" s="107">
        <v>145000</v>
      </c>
      <c r="AJ178" s="107">
        <v>6520</v>
      </c>
      <c r="AK178" s="117">
        <v>27</v>
      </c>
      <c r="AL178" s="117">
        <v>5.73</v>
      </c>
      <c r="AM178" s="117">
        <v>6.67</v>
      </c>
      <c r="AN178" s="118">
        <v>4460</v>
      </c>
      <c r="AO178" s="108">
        <v>522</v>
      </c>
      <c r="AP178" s="118">
        <v>5030</v>
      </c>
      <c r="AQ178" s="107">
        <v>804</v>
      </c>
      <c r="AR178" s="109"/>
    </row>
    <row r="179" spans="27:44" ht="13.5" customHeight="1" x14ac:dyDescent="0.2">
      <c r="AA179" s="106" t="s">
        <v>165</v>
      </c>
      <c r="AB179" s="116">
        <v>650</v>
      </c>
      <c r="AC179" s="116">
        <v>250</v>
      </c>
      <c r="AD179" s="116">
        <v>12</v>
      </c>
      <c r="AE179" s="116">
        <v>28</v>
      </c>
      <c r="AF179" s="116"/>
      <c r="AG179" s="55" t="str">
        <f t="shared" si="23"/>
        <v>Hy-65025012.028.0</v>
      </c>
      <c r="AH179" s="58">
        <v>212.7</v>
      </c>
      <c r="AI179" s="107">
        <v>158000</v>
      </c>
      <c r="AJ179" s="107">
        <v>7300</v>
      </c>
      <c r="AK179" s="117">
        <v>27.2</v>
      </c>
      <c r="AL179" s="117">
        <v>5.86</v>
      </c>
      <c r="AM179" s="117">
        <v>6.74</v>
      </c>
      <c r="AN179" s="118">
        <v>4850</v>
      </c>
      <c r="AO179" s="108">
        <v>584</v>
      </c>
      <c r="AP179" s="118">
        <v>5460</v>
      </c>
      <c r="AQ179" s="107">
        <v>898</v>
      </c>
      <c r="AR179" s="109"/>
    </row>
    <row r="180" spans="27:44" ht="13.5" customHeight="1" x14ac:dyDescent="0.2">
      <c r="AA180" s="106" t="s">
        <v>165</v>
      </c>
      <c r="AB180" s="116">
        <v>650</v>
      </c>
      <c r="AC180" s="116">
        <v>250</v>
      </c>
      <c r="AD180" s="116">
        <v>16</v>
      </c>
      <c r="AE180" s="116">
        <v>28</v>
      </c>
      <c r="AF180" s="116"/>
      <c r="AG180" s="55" t="str">
        <f t="shared" si="23"/>
        <v>Hy-65025016.028.0</v>
      </c>
      <c r="AH180" s="58">
        <v>236.5</v>
      </c>
      <c r="AI180" s="107">
        <v>165000</v>
      </c>
      <c r="AJ180" s="107">
        <v>7310</v>
      </c>
      <c r="AK180" s="117">
        <v>26.4</v>
      </c>
      <c r="AL180" s="117">
        <v>5.56</v>
      </c>
      <c r="AM180" s="117">
        <v>6.61</v>
      </c>
      <c r="AN180" s="118">
        <v>5070</v>
      </c>
      <c r="AO180" s="108">
        <v>585</v>
      </c>
      <c r="AP180" s="118">
        <v>5810</v>
      </c>
      <c r="AQ180" s="107">
        <v>915</v>
      </c>
      <c r="AR180" s="109"/>
    </row>
    <row r="181" spans="27:44" ht="13.5" customHeight="1" x14ac:dyDescent="0.2">
      <c r="AA181" s="106" t="s">
        <v>165</v>
      </c>
      <c r="AB181" s="119">
        <v>650</v>
      </c>
      <c r="AC181" s="119">
        <v>300</v>
      </c>
      <c r="AD181" s="119">
        <v>12</v>
      </c>
      <c r="AE181" s="119">
        <v>16</v>
      </c>
      <c r="AF181" s="119"/>
      <c r="AG181" s="55" t="str">
        <f t="shared" si="23"/>
        <v>Hy-65030012.016.0</v>
      </c>
      <c r="AH181" s="58">
        <v>171.6</v>
      </c>
      <c r="AI181" s="107">
        <v>121000</v>
      </c>
      <c r="AJ181" s="107">
        <v>7210</v>
      </c>
      <c r="AK181" s="120">
        <v>26.6</v>
      </c>
      <c r="AL181" s="120">
        <v>6.48</v>
      </c>
      <c r="AM181" s="120">
        <v>7.76</v>
      </c>
      <c r="AN181" s="121">
        <v>3740</v>
      </c>
      <c r="AO181" s="108">
        <v>481</v>
      </c>
      <c r="AP181" s="121">
        <v>4230</v>
      </c>
      <c r="AQ181" s="107">
        <v>744</v>
      </c>
      <c r="AR181" s="109"/>
    </row>
    <row r="182" spans="27:44" ht="13.5" customHeight="1" x14ac:dyDescent="0.2">
      <c r="AA182" s="106" t="s">
        <v>165</v>
      </c>
      <c r="AB182" s="119">
        <v>650</v>
      </c>
      <c r="AC182" s="119">
        <v>300</v>
      </c>
      <c r="AD182" s="119">
        <v>12</v>
      </c>
      <c r="AE182" s="119">
        <v>19</v>
      </c>
      <c r="AF182" s="119"/>
      <c r="AG182" s="55" t="str">
        <f t="shared" si="23"/>
        <v>Hy-65030012.019.0</v>
      </c>
      <c r="AH182" s="58">
        <v>188.9</v>
      </c>
      <c r="AI182" s="107">
        <v>138000</v>
      </c>
      <c r="AJ182" s="107">
        <v>8560</v>
      </c>
      <c r="AK182" s="120">
        <v>27</v>
      </c>
      <c r="AL182" s="120">
        <v>6.73</v>
      </c>
      <c r="AM182" s="120">
        <v>7.9</v>
      </c>
      <c r="AN182" s="121">
        <v>4240</v>
      </c>
      <c r="AO182" s="108">
        <v>571</v>
      </c>
      <c r="AP182" s="121">
        <v>4760</v>
      </c>
      <c r="AQ182" s="107">
        <v>878</v>
      </c>
      <c r="AR182" s="109"/>
    </row>
    <row r="183" spans="27:44" ht="13.5" customHeight="1" x14ac:dyDescent="0.2">
      <c r="AA183" s="106" t="s">
        <v>165</v>
      </c>
      <c r="AB183" s="119">
        <v>650</v>
      </c>
      <c r="AC183" s="119">
        <v>300</v>
      </c>
      <c r="AD183" s="119">
        <v>12</v>
      </c>
      <c r="AE183" s="119">
        <v>22</v>
      </c>
      <c r="AF183" s="119"/>
      <c r="AG183" s="55" t="str">
        <f t="shared" si="23"/>
        <v>Hy-65030012.022.0</v>
      </c>
      <c r="AH183" s="58">
        <v>206.2</v>
      </c>
      <c r="AI183" s="107">
        <v>154000</v>
      </c>
      <c r="AJ183" s="107">
        <v>9910</v>
      </c>
      <c r="AK183" s="120">
        <v>27.3</v>
      </c>
      <c r="AL183" s="120">
        <v>6.93</v>
      </c>
      <c r="AM183" s="120">
        <v>8.01</v>
      </c>
      <c r="AN183" s="121">
        <v>4730</v>
      </c>
      <c r="AO183" s="108">
        <v>661</v>
      </c>
      <c r="AP183" s="121">
        <v>5290</v>
      </c>
      <c r="AQ183" s="107">
        <v>1010</v>
      </c>
      <c r="AR183" s="109"/>
    </row>
    <row r="184" spans="27:44" ht="13.5" customHeight="1" x14ac:dyDescent="0.2">
      <c r="AA184" s="106" t="s">
        <v>165</v>
      </c>
      <c r="AB184" s="119">
        <v>650</v>
      </c>
      <c r="AC184" s="119">
        <v>300</v>
      </c>
      <c r="AD184" s="119">
        <v>12</v>
      </c>
      <c r="AE184" s="119">
        <v>25</v>
      </c>
      <c r="AF184" s="119"/>
      <c r="AG184" s="55" t="str">
        <f t="shared" si="23"/>
        <v>Hy-65030012.025.0</v>
      </c>
      <c r="AH184" s="58">
        <v>223.4</v>
      </c>
      <c r="AI184" s="107">
        <v>169000</v>
      </c>
      <c r="AJ184" s="107">
        <v>11300</v>
      </c>
      <c r="AK184" s="120">
        <v>27.5</v>
      </c>
      <c r="AL184" s="120">
        <v>7.1</v>
      </c>
      <c r="AM184" s="120">
        <v>8.1</v>
      </c>
      <c r="AN184" s="121">
        <v>5210</v>
      </c>
      <c r="AO184" s="108">
        <v>751</v>
      </c>
      <c r="AP184" s="121">
        <v>5810</v>
      </c>
      <c r="AQ184" s="107">
        <v>1150</v>
      </c>
      <c r="AR184" s="109"/>
    </row>
    <row r="185" spans="27:44" ht="13.5" customHeight="1" x14ac:dyDescent="0.2">
      <c r="AA185" s="106" t="s">
        <v>165</v>
      </c>
      <c r="AB185" s="119">
        <v>650</v>
      </c>
      <c r="AC185" s="119">
        <v>300</v>
      </c>
      <c r="AD185" s="119">
        <v>16</v>
      </c>
      <c r="AE185" s="119">
        <v>22</v>
      </c>
      <c r="AF185" s="119"/>
      <c r="AG185" s="55" t="str">
        <f t="shared" si="23"/>
        <v>Hy-65030016.022.0</v>
      </c>
      <c r="AH185" s="58">
        <v>230.4</v>
      </c>
      <c r="AI185" s="107">
        <v>161000</v>
      </c>
      <c r="AJ185" s="107">
        <v>9920</v>
      </c>
      <c r="AK185" s="120">
        <v>26.4</v>
      </c>
      <c r="AL185" s="120">
        <v>6.56</v>
      </c>
      <c r="AM185" s="120">
        <v>7.84</v>
      </c>
      <c r="AN185" s="121">
        <v>4960</v>
      </c>
      <c r="AO185" s="108">
        <v>662</v>
      </c>
      <c r="AP185" s="121">
        <v>5660</v>
      </c>
      <c r="AQ185" s="107">
        <v>1030</v>
      </c>
      <c r="AR185" s="109"/>
    </row>
    <row r="186" spans="27:44" ht="13.5" customHeight="1" x14ac:dyDescent="0.2">
      <c r="AA186" s="106" t="s">
        <v>165</v>
      </c>
      <c r="AB186" s="119">
        <v>650</v>
      </c>
      <c r="AC186" s="119">
        <v>300</v>
      </c>
      <c r="AD186" s="119">
        <v>16</v>
      </c>
      <c r="AE186" s="119">
        <v>25</v>
      </c>
      <c r="AF186" s="119"/>
      <c r="AG186" s="55" t="str">
        <f t="shared" si="23"/>
        <v>Hy-65030016.025.0</v>
      </c>
      <c r="AH186" s="58">
        <v>247.4</v>
      </c>
      <c r="AI186" s="107">
        <v>177000</v>
      </c>
      <c r="AJ186" s="107">
        <v>11300</v>
      </c>
      <c r="AK186" s="120">
        <v>26.7</v>
      </c>
      <c r="AL186" s="120">
        <v>6.75</v>
      </c>
      <c r="AM186" s="120">
        <v>7.95</v>
      </c>
      <c r="AN186" s="121">
        <v>5440</v>
      </c>
      <c r="AO186" s="108">
        <v>751</v>
      </c>
      <c r="AP186" s="121">
        <v>6170</v>
      </c>
      <c r="AQ186" s="107">
        <v>1160</v>
      </c>
      <c r="AR186" s="109"/>
    </row>
    <row r="187" spans="27:44" ht="13.5" customHeight="1" x14ac:dyDescent="0.2">
      <c r="AA187" s="106" t="s">
        <v>165</v>
      </c>
      <c r="AB187" s="119">
        <v>650</v>
      </c>
      <c r="AC187" s="119">
        <v>300</v>
      </c>
      <c r="AD187" s="119">
        <v>16</v>
      </c>
      <c r="AE187" s="119">
        <v>28</v>
      </c>
      <c r="AF187" s="119"/>
      <c r="AG187" s="55" t="str">
        <f t="shared" si="23"/>
        <v>Hy-65030016.028.0</v>
      </c>
      <c r="AH187" s="58">
        <v>264.5</v>
      </c>
      <c r="AI187" s="107">
        <v>192000</v>
      </c>
      <c r="AJ187" s="107">
        <v>12600</v>
      </c>
      <c r="AK187" s="120">
        <v>26.9</v>
      </c>
      <c r="AL187" s="120">
        <v>6.91</v>
      </c>
      <c r="AM187" s="120">
        <v>8.0399999999999991</v>
      </c>
      <c r="AN187" s="121">
        <v>5900</v>
      </c>
      <c r="AO187" s="108">
        <v>841</v>
      </c>
      <c r="AP187" s="121">
        <v>6680</v>
      </c>
      <c r="AQ187" s="107">
        <v>1300</v>
      </c>
      <c r="AR187" s="109"/>
    </row>
    <row r="188" spans="27:44" ht="13.5" customHeight="1" x14ac:dyDescent="0.2">
      <c r="AA188" s="106" t="s">
        <v>165</v>
      </c>
      <c r="AB188" s="119">
        <v>650</v>
      </c>
      <c r="AC188" s="119">
        <v>300</v>
      </c>
      <c r="AD188" s="119">
        <v>16</v>
      </c>
      <c r="AE188" s="119">
        <v>32</v>
      </c>
      <c r="AF188" s="119"/>
      <c r="AG188" s="55" t="str">
        <f t="shared" si="23"/>
        <v>Hy-65030016.032.0</v>
      </c>
      <c r="AH188" s="58">
        <v>287.2</v>
      </c>
      <c r="AI188" s="107">
        <v>212000</v>
      </c>
      <c r="AJ188" s="107">
        <v>14400</v>
      </c>
      <c r="AK188" s="120">
        <v>27.1</v>
      </c>
      <c r="AL188" s="120">
        <v>7.09</v>
      </c>
      <c r="AM188" s="120">
        <v>8.1300000000000008</v>
      </c>
      <c r="AN188" s="121">
        <v>6510</v>
      </c>
      <c r="AO188" s="108">
        <v>961</v>
      </c>
      <c r="AP188" s="121">
        <v>7350</v>
      </c>
      <c r="AQ188" s="107">
        <v>1480</v>
      </c>
      <c r="AR188" s="109"/>
    </row>
    <row r="189" spans="27:44" ht="13.5" customHeight="1" x14ac:dyDescent="0.2">
      <c r="AA189" s="106" t="s">
        <v>165</v>
      </c>
      <c r="AB189" s="116">
        <v>700</v>
      </c>
      <c r="AC189" s="116">
        <v>200</v>
      </c>
      <c r="AD189" s="116">
        <v>9</v>
      </c>
      <c r="AE189" s="116">
        <v>12</v>
      </c>
      <c r="AF189" s="116"/>
      <c r="AG189" s="55" t="str">
        <f t="shared" si="23"/>
        <v>Hy-7002009.012.0</v>
      </c>
      <c r="AH189" s="58">
        <v>111.6</v>
      </c>
      <c r="AI189" s="107">
        <v>83100</v>
      </c>
      <c r="AJ189" s="107">
        <v>1610</v>
      </c>
      <c r="AK189" s="117">
        <v>27.3</v>
      </c>
      <c r="AL189" s="117">
        <v>3.79</v>
      </c>
      <c r="AM189" s="117">
        <v>4.8</v>
      </c>
      <c r="AN189" s="118">
        <v>2370</v>
      </c>
      <c r="AO189" s="108">
        <v>161</v>
      </c>
      <c r="AP189" s="118">
        <v>2770</v>
      </c>
      <c r="AQ189" s="107">
        <v>256</v>
      </c>
      <c r="AR189" s="109"/>
    </row>
    <row r="190" spans="27:44" ht="13.5" customHeight="1" x14ac:dyDescent="0.2">
      <c r="AA190" s="106" t="s">
        <v>165</v>
      </c>
      <c r="AB190" s="116">
        <v>700</v>
      </c>
      <c r="AC190" s="116">
        <v>200</v>
      </c>
      <c r="AD190" s="116">
        <v>9</v>
      </c>
      <c r="AE190" s="116">
        <v>16</v>
      </c>
      <c r="AF190" s="116"/>
      <c r="AG190" s="55" t="str">
        <f t="shared" si="23"/>
        <v>Hy-7002009.016.0</v>
      </c>
      <c r="AH190" s="58">
        <v>126.9</v>
      </c>
      <c r="AI190" s="107">
        <v>100000</v>
      </c>
      <c r="AJ190" s="107">
        <v>2140</v>
      </c>
      <c r="AK190" s="117">
        <v>28.1</v>
      </c>
      <c r="AL190" s="117">
        <v>4.1100000000000003</v>
      </c>
      <c r="AM190" s="117">
        <v>5.0199999999999996</v>
      </c>
      <c r="AN190" s="118">
        <v>2860</v>
      </c>
      <c r="AO190" s="108">
        <v>214</v>
      </c>
      <c r="AP190" s="118">
        <v>3280</v>
      </c>
      <c r="AQ190" s="107">
        <v>336</v>
      </c>
      <c r="AR190" s="109"/>
    </row>
    <row r="191" spans="27:44" ht="13.5" customHeight="1" x14ac:dyDescent="0.2">
      <c r="AA191" s="106" t="s">
        <v>165</v>
      </c>
      <c r="AB191" s="116">
        <v>700</v>
      </c>
      <c r="AC191" s="116">
        <v>200</v>
      </c>
      <c r="AD191" s="116">
        <v>9</v>
      </c>
      <c r="AE191" s="116">
        <v>19</v>
      </c>
      <c r="AF191" s="116"/>
      <c r="AG191" s="55" t="str">
        <f t="shared" si="23"/>
        <v>Hy-7002009.019.0</v>
      </c>
      <c r="AH191" s="58">
        <v>138.4</v>
      </c>
      <c r="AI191" s="107">
        <v>113000</v>
      </c>
      <c r="AJ191" s="107">
        <v>2540</v>
      </c>
      <c r="AK191" s="117">
        <v>28.6</v>
      </c>
      <c r="AL191" s="117">
        <v>4.28</v>
      </c>
      <c r="AM191" s="117">
        <v>5.13</v>
      </c>
      <c r="AN191" s="118">
        <v>3220</v>
      </c>
      <c r="AO191" s="108">
        <v>254</v>
      </c>
      <c r="AP191" s="118">
        <v>3660</v>
      </c>
      <c r="AQ191" s="107">
        <v>396</v>
      </c>
      <c r="AR191" s="109"/>
    </row>
    <row r="192" spans="27:44" ht="13.5" customHeight="1" x14ac:dyDescent="0.2">
      <c r="AA192" s="106" t="s">
        <v>165</v>
      </c>
      <c r="AB192" s="116">
        <v>700</v>
      </c>
      <c r="AC192" s="116">
        <v>200</v>
      </c>
      <c r="AD192" s="116">
        <v>9</v>
      </c>
      <c r="AE192" s="116">
        <v>22</v>
      </c>
      <c r="AF192" s="116"/>
      <c r="AG192" s="55" t="str">
        <f t="shared" si="23"/>
        <v>Hy-7002009.022.0</v>
      </c>
      <c r="AH192" s="58">
        <v>149.80000000000001</v>
      </c>
      <c r="AI192" s="107">
        <v>125000</v>
      </c>
      <c r="AJ192" s="107">
        <v>2940</v>
      </c>
      <c r="AK192" s="117">
        <v>28.9</v>
      </c>
      <c r="AL192" s="117">
        <v>4.43</v>
      </c>
      <c r="AM192" s="117">
        <v>5.22</v>
      </c>
      <c r="AN192" s="118">
        <v>3580</v>
      </c>
      <c r="AO192" s="108">
        <v>294</v>
      </c>
      <c r="AP192" s="118">
        <v>4040</v>
      </c>
      <c r="AQ192" s="107">
        <v>456</v>
      </c>
      <c r="AR192" s="109"/>
    </row>
    <row r="193" spans="27:44" ht="13.5" customHeight="1" x14ac:dyDescent="0.2">
      <c r="AA193" s="106" t="s">
        <v>165</v>
      </c>
      <c r="AB193" s="116">
        <v>700</v>
      </c>
      <c r="AC193" s="116">
        <v>200</v>
      </c>
      <c r="AD193" s="116">
        <v>12</v>
      </c>
      <c r="AE193" s="116">
        <v>22</v>
      </c>
      <c r="AF193" s="116"/>
      <c r="AG193" s="55" t="str">
        <f t="shared" si="23"/>
        <v>Hy-70020012.022.0</v>
      </c>
      <c r="AH193" s="58">
        <v>169.5</v>
      </c>
      <c r="AI193" s="107">
        <v>132000</v>
      </c>
      <c r="AJ193" s="107">
        <v>2950</v>
      </c>
      <c r="AK193" s="117">
        <v>27.9</v>
      </c>
      <c r="AL193" s="117">
        <v>4.17</v>
      </c>
      <c r="AM193" s="117">
        <v>5.09</v>
      </c>
      <c r="AN193" s="118">
        <v>3780</v>
      </c>
      <c r="AO193" s="108">
        <v>295</v>
      </c>
      <c r="AP193" s="118">
        <v>4360</v>
      </c>
      <c r="AQ193" s="107">
        <v>466</v>
      </c>
      <c r="AR193" s="109"/>
    </row>
    <row r="194" spans="27:44" ht="13.5" customHeight="1" x14ac:dyDescent="0.2">
      <c r="AA194" s="106" t="s">
        <v>165</v>
      </c>
      <c r="AB194" s="116">
        <v>700</v>
      </c>
      <c r="AC194" s="116">
        <v>200</v>
      </c>
      <c r="AD194" s="116">
        <v>12</v>
      </c>
      <c r="AE194" s="116">
        <v>25</v>
      </c>
      <c r="AF194" s="116"/>
      <c r="AG194" s="55" t="str">
        <f t="shared" ref="AG194:AG257" si="24">AA194&amp;FIXED(AB194,0)&amp;FIXED(AC194,0)&amp;FIXED(AD194,1)&amp;FIXED(AE194,1)</f>
        <v>Hy-70020012.025.0</v>
      </c>
      <c r="AH194" s="58">
        <v>180.8</v>
      </c>
      <c r="AI194" s="107">
        <v>144000</v>
      </c>
      <c r="AJ194" s="107">
        <v>3350</v>
      </c>
      <c r="AK194" s="117">
        <v>28.3</v>
      </c>
      <c r="AL194" s="117">
        <v>4.3</v>
      </c>
      <c r="AM194" s="117">
        <v>5.17</v>
      </c>
      <c r="AN194" s="118">
        <v>4120</v>
      </c>
      <c r="AO194" s="108">
        <v>335</v>
      </c>
      <c r="AP194" s="118">
        <v>4730</v>
      </c>
      <c r="AQ194" s="107">
        <v>526</v>
      </c>
      <c r="AR194" s="109"/>
    </row>
    <row r="195" spans="27:44" ht="13.5" customHeight="1" x14ac:dyDescent="0.2">
      <c r="AA195" s="106" t="s">
        <v>165</v>
      </c>
      <c r="AB195" s="116">
        <v>700</v>
      </c>
      <c r="AC195" s="116">
        <v>200</v>
      </c>
      <c r="AD195" s="116">
        <v>12</v>
      </c>
      <c r="AE195" s="116">
        <v>28</v>
      </c>
      <c r="AF195" s="116"/>
      <c r="AG195" s="55" t="str">
        <f t="shared" si="24"/>
        <v>Hy-70020012.028.0</v>
      </c>
      <c r="AH195" s="58">
        <v>192.1</v>
      </c>
      <c r="AI195" s="107">
        <v>156000</v>
      </c>
      <c r="AJ195" s="107">
        <v>3750</v>
      </c>
      <c r="AK195" s="117">
        <v>28.5</v>
      </c>
      <c r="AL195" s="117">
        <v>4.42</v>
      </c>
      <c r="AM195" s="117">
        <v>5.24</v>
      </c>
      <c r="AN195" s="118">
        <v>4460</v>
      </c>
      <c r="AO195" s="108">
        <v>375</v>
      </c>
      <c r="AP195" s="118">
        <v>5100</v>
      </c>
      <c r="AQ195" s="107">
        <v>586</v>
      </c>
      <c r="AR195" s="109"/>
    </row>
    <row r="196" spans="27:44" ht="13.5" customHeight="1" x14ac:dyDescent="0.2">
      <c r="AA196" s="106" t="s">
        <v>165</v>
      </c>
      <c r="AB196" s="116">
        <v>700</v>
      </c>
      <c r="AC196" s="116">
        <v>250</v>
      </c>
      <c r="AD196" s="116">
        <v>9</v>
      </c>
      <c r="AE196" s="116">
        <v>16</v>
      </c>
      <c r="AF196" s="116"/>
      <c r="AG196" s="55" t="str">
        <f t="shared" si="24"/>
        <v>Hy-7002509.016.0</v>
      </c>
      <c r="AH196" s="58">
        <v>142.9</v>
      </c>
      <c r="AI196" s="107">
        <v>119000</v>
      </c>
      <c r="AJ196" s="107">
        <v>4170</v>
      </c>
      <c r="AK196" s="117">
        <v>28.9</v>
      </c>
      <c r="AL196" s="117">
        <v>5.4</v>
      </c>
      <c r="AM196" s="117">
        <v>6.43</v>
      </c>
      <c r="AN196" s="118">
        <v>3400</v>
      </c>
      <c r="AO196" s="108">
        <v>334</v>
      </c>
      <c r="AP196" s="118">
        <v>3830</v>
      </c>
      <c r="AQ196" s="107">
        <v>516</v>
      </c>
      <c r="AR196" s="109"/>
    </row>
    <row r="197" spans="27:44" ht="13.5" customHeight="1" x14ac:dyDescent="0.2">
      <c r="AA197" s="106" t="s">
        <v>165</v>
      </c>
      <c r="AB197" s="116">
        <v>700</v>
      </c>
      <c r="AC197" s="116">
        <v>250</v>
      </c>
      <c r="AD197" s="116">
        <v>9</v>
      </c>
      <c r="AE197" s="116">
        <v>19</v>
      </c>
      <c r="AF197" s="116"/>
      <c r="AG197" s="55" t="str">
        <f t="shared" si="24"/>
        <v>Hy-7002509.019.0</v>
      </c>
      <c r="AH197" s="58">
        <v>157.4</v>
      </c>
      <c r="AI197" s="107">
        <v>135000</v>
      </c>
      <c r="AJ197" s="107">
        <v>4950</v>
      </c>
      <c r="AK197" s="117">
        <v>29.3</v>
      </c>
      <c r="AL197" s="117">
        <v>5.61</v>
      </c>
      <c r="AM197" s="117">
        <v>6.55</v>
      </c>
      <c r="AN197" s="118">
        <v>3850</v>
      </c>
      <c r="AO197" s="108">
        <v>396</v>
      </c>
      <c r="AP197" s="118">
        <v>4310</v>
      </c>
      <c r="AQ197" s="107">
        <v>610</v>
      </c>
      <c r="AR197" s="109"/>
    </row>
    <row r="198" spans="27:44" ht="13.5" customHeight="1" x14ac:dyDescent="0.2">
      <c r="AA198" s="106" t="s">
        <v>165</v>
      </c>
      <c r="AB198" s="116">
        <v>700</v>
      </c>
      <c r="AC198" s="116">
        <v>250</v>
      </c>
      <c r="AD198" s="116">
        <v>12</v>
      </c>
      <c r="AE198" s="116">
        <v>19</v>
      </c>
      <c r="AF198" s="116"/>
      <c r="AG198" s="55" t="str">
        <f t="shared" si="24"/>
        <v>Hy-70025012.019.0</v>
      </c>
      <c r="AH198" s="58">
        <v>177.2</v>
      </c>
      <c r="AI198" s="107">
        <v>142000</v>
      </c>
      <c r="AJ198" s="107">
        <v>4960</v>
      </c>
      <c r="AK198" s="117">
        <v>28.3</v>
      </c>
      <c r="AL198" s="117">
        <v>5.29</v>
      </c>
      <c r="AM198" s="117">
        <v>6.39</v>
      </c>
      <c r="AN198" s="118">
        <v>4060</v>
      </c>
      <c r="AO198" s="108">
        <v>397</v>
      </c>
      <c r="AP198" s="118">
        <v>4640</v>
      </c>
      <c r="AQ198" s="107">
        <v>620</v>
      </c>
      <c r="AR198" s="109"/>
    </row>
    <row r="199" spans="27:44" ht="13.5" customHeight="1" x14ac:dyDescent="0.2">
      <c r="AA199" s="106" t="s">
        <v>165</v>
      </c>
      <c r="AB199" s="116">
        <v>700</v>
      </c>
      <c r="AC199" s="116">
        <v>250</v>
      </c>
      <c r="AD199" s="116">
        <v>12</v>
      </c>
      <c r="AE199" s="116">
        <v>22</v>
      </c>
      <c r="AF199" s="116"/>
      <c r="AG199" s="55" t="str">
        <f t="shared" si="24"/>
        <v>Hy-70025012.022.0</v>
      </c>
      <c r="AH199" s="58">
        <v>191.5</v>
      </c>
      <c r="AI199" s="107">
        <v>158000</v>
      </c>
      <c r="AJ199" s="107">
        <v>5740</v>
      </c>
      <c r="AK199" s="117">
        <v>28.7</v>
      </c>
      <c r="AL199" s="117">
        <v>5.48</v>
      </c>
      <c r="AM199" s="117">
        <v>6.51</v>
      </c>
      <c r="AN199" s="118">
        <v>4500</v>
      </c>
      <c r="AO199" s="108">
        <v>459</v>
      </c>
      <c r="AP199" s="118">
        <v>5110</v>
      </c>
      <c r="AQ199" s="107">
        <v>714</v>
      </c>
      <c r="AR199" s="109"/>
    </row>
    <row r="200" spans="27:44" ht="13.5" customHeight="1" x14ac:dyDescent="0.2">
      <c r="AA200" s="106" t="s">
        <v>165</v>
      </c>
      <c r="AB200" s="116">
        <v>700</v>
      </c>
      <c r="AC200" s="116">
        <v>250</v>
      </c>
      <c r="AD200" s="116">
        <v>12</v>
      </c>
      <c r="AE200" s="116">
        <v>25</v>
      </c>
      <c r="AF200" s="116"/>
      <c r="AG200" s="55" t="str">
        <f t="shared" si="24"/>
        <v>Hy-70025012.025.0</v>
      </c>
      <c r="AH200" s="58">
        <v>205.8</v>
      </c>
      <c r="AI200" s="107">
        <v>173000</v>
      </c>
      <c r="AJ200" s="107">
        <v>6520</v>
      </c>
      <c r="AK200" s="117">
        <v>29</v>
      </c>
      <c r="AL200" s="117">
        <v>5.63</v>
      </c>
      <c r="AM200" s="117">
        <v>6.6</v>
      </c>
      <c r="AN200" s="118">
        <v>4940</v>
      </c>
      <c r="AO200" s="108">
        <v>522</v>
      </c>
      <c r="AP200" s="118">
        <v>5580</v>
      </c>
      <c r="AQ200" s="107">
        <v>807</v>
      </c>
      <c r="AR200" s="109"/>
    </row>
    <row r="201" spans="27:44" ht="13.5" customHeight="1" x14ac:dyDescent="0.2">
      <c r="AA201" s="106" t="s">
        <v>165</v>
      </c>
      <c r="AB201" s="116">
        <v>700</v>
      </c>
      <c r="AC201" s="116">
        <v>250</v>
      </c>
      <c r="AD201" s="116">
        <v>14</v>
      </c>
      <c r="AE201" s="116">
        <v>25</v>
      </c>
      <c r="AF201" s="116"/>
      <c r="AG201" s="55" t="str">
        <f t="shared" si="24"/>
        <v>Hy-70025014.025.0</v>
      </c>
      <c r="AH201" s="58">
        <v>218.8</v>
      </c>
      <c r="AI201" s="107">
        <v>177000</v>
      </c>
      <c r="AJ201" s="107">
        <v>6530</v>
      </c>
      <c r="AK201" s="117">
        <v>28.5</v>
      </c>
      <c r="AL201" s="117">
        <v>5.46</v>
      </c>
      <c r="AM201" s="117">
        <v>6.52</v>
      </c>
      <c r="AN201" s="118">
        <v>5070</v>
      </c>
      <c r="AO201" s="108">
        <v>522</v>
      </c>
      <c r="AP201" s="118">
        <v>5790</v>
      </c>
      <c r="AQ201" s="107">
        <v>816</v>
      </c>
      <c r="AR201" s="109"/>
    </row>
    <row r="202" spans="27:44" ht="13.5" customHeight="1" x14ac:dyDescent="0.2">
      <c r="AA202" s="106" t="s">
        <v>165</v>
      </c>
      <c r="AB202" s="116">
        <v>700</v>
      </c>
      <c r="AC202" s="116">
        <v>250</v>
      </c>
      <c r="AD202" s="116">
        <v>14</v>
      </c>
      <c r="AE202" s="116">
        <v>28</v>
      </c>
      <c r="AF202" s="116"/>
      <c r="AG202" s="55" t="str">
        <f t="shared" si="24"/>
        <v>Hy-70025014.028.0</v>
      </c>
      <c r="AH202" s="58">
        <v>232.9</v>
      </c>
      <c r="AI202" s="107">
        <v>192000</v>
      </c>
      <c r="AJ202" s="107">
        <v>7310</v>
      </c>
      <c r="AK202" s="117">
        <v>28.7</v>
      </c>
      <c r="AL202" s="117">
        <v>5.6</v>
      </c>
      <c r="AM202" s="117">
        <v>6.6</v>
      </c>
      <c r="AN202" s="118">
        <v>5490</v>
      </c>
      <c r="AO202" s="108">
        <v>585</v>
      </c>
      <c r="AP202" s="118">
        <v>6240</v>
      </c>
      <c r="AQ202" s="107">
        <v>910</v>
      </c>
      <c r="AR202" s="109"/>
    </row>
    <row r="203" spans="27:44" ht="13.5" customHeight="1" x14ac:dyDescent="0.2">
      <c r="AA203" s="106" t="s">
        <v>165</v>
      </c>
      <c r="AB203" s="116">
        <v>700</v>
      </c>
      <c r="AC203" s="116">
        <v>300</v>
      </c>
      <c r="AD203" s="116">
        <v>12</v>
      </c>
      <c r="AE203" s="116">
        <v>19</v>
      </c>
      <c r="AF203" s="116"/>
      <c r="AG203" s="55" t="str">
        <f t="shared" si="24"/>
        <v>Hy-70030012.019.0</v>
      </c>
      <c r="AH203" s="58">
        <v>196.2</v>
      </c>
      <c r="AI203" s="107">
        <v>164000</v>
      </c>
      <c r="AJ203" s="107">
        <v>8560</v>
      </c>
      <c r="AK203" s="117">
        <v>28.9</v>
      </c>
      <c r="AL203" s="117">
        <v>6.61</v>
      </c>
      <c r="AM203" s="117">
        <v>7.81</v>
      </c>
      <c r="AN203" s="118">
        <v>4690</v>
      </c>
      <c r="AO203" s="108">
        <v>571</v>
      </c>
      <c r="AP203" s="118">
        <v>5290</v>
      </c>
      <c r="AQ203" s="107">
        <v>882</v>
      </c>
      <c r="AR203" s="109"/>
    </row>
    <row r="204" spans="27:44" ht="13.5" customHeight="1" x14ac:dyDescent="0.2">
      <c r="AA204" s="106" t="s">
        <v>165</v>
      </c>
      <c r="AB204" s="116">
        <v>700</v>
      </c>
      <c r="AC204" s="116">
        <v>300</v>
      </c>
      <c r="AD204" s="116">
        <v>12</v>
      </c>
      <c r="AE204" s="116">
        <v>22</v>
      </c>
      <c r="AF204" s="116"/>
      <c r="AG204" s="55" t="str">
        <f t="shared" si="24"/>
        <v>Hy-70030012.022.0</v>
      </c>
      <c r="AH204" s="58">
        <v>213.5</v>
      </c>
      <c r="AI204" s="107">
        <v>183000</v>
      </c>
      <c r="AJ204" s="107">
        <v>9910</v>
      </c>
      <c r="AK204" s="117">
        <v>29.3</v>
      </c>
      <c r="AL204" s="117">
        <v>6.81</v>
      </c>
      <c r="AM204" s="117">
        <v>7.93</v>
      </c>
      <c r="AN204" s="118">
        <v>5230</v>
      </c>
      <c r="AO204" s="108">
        <v>661</v>
      </c>
      <c r="AP204" s="118">
        <v>5860</v>
      </c>
      <c r="AQ204" s="107">
        <v>1020</v>
      </c>
      <c r="AR204" s="109"/>
    </row>
    <row r="205" spans="27:44" ht="13.5" customHeight="1" x14ac:dyDescent="0.2">
      <c r="AA205" s="106" t="s">
        <v>165</v>
      </c>
      <c r="AB205" s="116">
        <v>700</v>
      </c>
      <c r="AC205" s="116">
        <v>300</v>
      </c>
      <c r="AD205" s="116">
        <v>12</v>
      </c>
      <c r="AE205" s="116">
        <v>25</v>
      </c>
      <c r="AF205" s="116"/>
      <c r="AG205" s="55" t="str">
        <f t="shared" si="24"/>
        <v>Hy-70030012.025.0</v>
      </c>
      <c r="AH205" s="58">
        <v>230.8</v>
      </c>
      <c r="AI205" s="107">
        <v>201000</v>
      </c>
      <c r="AJ205" s="107">
        <v>11300</v>
      </c>
      <c r="AK205" s="117">
        <v>29.5</v>
      </c>
      <c r="AL205" s="117">
        <v>6.99</v>
      </c>
      <c r="AM205" s="117">
        <v>8.02</v>
      </c>
      <c r="AN205" s="118">
        <v>5750</v>
      </c>
      <c r="AO205" s="108">
        <v>751</v>
      </c>
      <c r="AP205" s="118">
        <v>6420</v>
      </c>
      <c r="AQ205" s="107">
        <v>1150</v>
      </c>
      <c r="AR205" s="109"/>
    </row>
    <row r="206" spans="27:44" ht="13.5" customHeight="1" x14ac:dyDescent="0.2">
      <c r="AA206" s="106" t="s">
        <v>165</v>
      </c>
      <c r="AB206" s="116">
        <v>700</v>
      </c>
      <c r="AC206" s="116">
        <v>300</v>
      </c>
      <c r="AD206" s="116">
        <v>14</v>
      </c>
      <c r="AE206" s="116">
        <v>25</v>
      </c>
      <c r="AF206" s="116"/>
      <c r="AG206" s="55" t="str">
        <f t="shared" si="24"/>
        <v>Hy-70030014.025.0</v>
      </c>
      <c r="AH206" s="58">
        <v>243.8</v>
      </c>
      <c r="AI206" s="107">
        <v>206000</v>
      </c>
      <c r="AJ206" s="107">
        <v>11300</v>
      </c>
      <c r="AK206" s="117">
        <v>29.1</v>
      </c>
      <c r="AL206" s="117">
        <v>6.8</v>
      </c>
      <c r="AM206" s="117">
        <v>7.94</v>
      </c>
      <c r="AN206" s="118">
        <v>5880</v>
      </c>
      <c r="AO206" s="108">
        <v>751</v>
      </c>
      <c r="AP206" s="118">
        <v>6630</v>
      </c>
      <c r="AQ206" s="107">
        <v>1160</v>
      </c>
      <c r="AR206" s="109"/>
    </row>
    <row r="207" spans="27:44" ht="13.5" customHeight="1" x14ac:dyDescent="0.2">
      <c r="AA207" s="106" t="s">
        <v>165</v>
      </c>
      <c r="AB207" s="116">
        <v>700</v>
      </c>
      <c r="AC207" s="116">
        <v>300</v>
      </c>
      <c r="AD207" s="116">
        <v>14</v>
      </c>
      <c r="AE207" s="116">
        <v>28</v>
      </c>
      <c r="AF207" s="116"/>
      <c r="AG207" s="55" t="str">
        <f t="shared" si="24"/>
        <v>Hy-70030014.028.0</v>
      </c>
      <c r="AH207" s="58">
        <v>260.89999999999998</v>
      </c>
      <c r="AI207" s="107">
        <v>224000</v>
      </c>
      <c r="AJ207" s="107">
        <v>12600</v>
      </c>
      <c r="AK207" s="117">
        <v>29.3</v>
      </c>
      <c r="AL207" s="117">
        <v>6.95</v>
      </c>
      <c r="AM207" s="117">
        <v>8.0299999999999994</v>
      </c>
      <c r="AN207" s="118">
        <v>6390</v>
      </c>
      <c r="AO207" s="108">
        <v>841</v>
      </c>
      <c r="AP207" s="118">
        <v>7180</v>
      </c>
      <c r="AQ207" s="107">
        <v>1290</v>
      </c>
      <c r="AR207" s="109"/>
    </row>
    <row r="208" spans="27:44" ht="13.5" customHeight="1" x14ac:dyDescent="0.2">
      <c r="AA208" s="106" t="s">
        <v>165</v>
      </c>
      <c r="AB208" s="116">
        <v>700</v>
      </c>
      <c r="AC208" s="116">
        <v>300</v>
      </c>
      <c r="AD208" s="116">
        <v>16</v>
      </c>
      <c r="AE208" s="116">
        <v>28</v>
      </c>
      <c r="AF208" s="116"/>
      <c r="AG208" s="55" t="str">
        <f t="shared" si="24"/>
        <v>Hy-70030016.028.0</v>
      </c>
      <c r="AH208" s="58">
        <v>273.8</v>
      </c>
      <c r="AI208" s="107">
        <v>228000</v>
      </c>
      <c r="AJ208" s="107">
        <v>12600</v>
      </c>
      <c r="AK208" s="117">
        <v>28.9</v>
      </c>
      <c r="AL208" s="117">
        <v>6.79</v>
      </c>
      <c r="AM208" s="117">
        <v>7.96</v>
      </c>
      <c r="AN208" s="118">
        <v>6520</v>
      </c>
      <c r="AO208" s="108">
        <v>842</v>
      </c>
      <c r="AP208" s="118">
        <v>7390</v>
      </c>
      <c r="AQ208" s="107">
        <v>1300</v>
      </c>
      <c r="AR208" s="109"/>
    </row>
    <row r="209" spans="27:44" ht="13.5" customHeight="1" x14ac:dyDescent="0.2">
      <c r="AA209" s="106" t="s">
        <v>165</v>
      </c>
      <c r="AB209" s="116">
        <v>700</v>
      </c>
      <c r="AC209" s="116">
        <v>350</v>
      </c>
      <c r="AD209" s="116">
        <v>12</v>
      </c>
      <c r="AE209" s="116">
        <v>22</v>
      </c>
      <c r="AF209" s="116"/>
      <c r="AG209" s="55" t="str">
        <f t="shared" si="24"/>
        <v>Hy-70035012.022.0</v>
      </c>
      <c r="AH209" s="58">
        <v>235.5</v>
      </c>
      <c r="AI209" s="107">
        <v>208000</v>
      </c>
      <c r="AJ209" s="107">
        <v>15700</v>
      </c>
      <c r="AK209" s="117">
        <v>29.7</v>
      </c>
      <c r="AL209" s="117">
        <v>8.17</v>
      </c>
      <c r="AM209" s="117">
        <v>9.36</v>
      </c>
      <c r="AN209" s="118">
        <v>5950</v>
      </c>
      <c r="AO209" s="108">
        <v>899</v>
      </c>
      <c r="AP209" s="118">
        <v>6600</v>
      </c>
      <c r="AQ209" s="107">
        <v>1370</v>
      </c>
      <c r="AR209" s="109"/>
    </row>
    <row r="210" spans="27:44" ht="13.5" customHeight="1" x14ac:dyDescent="0.2">
      <c r="AA210" s="106" t="s">
        <v>165</v>
      </c>
      <c r="AB210" s="116">
        <v>700</v>
      </c>
      <c r="AC210" s="116">
        <v>350</v>
      </c>
      <c r="AD210" s="116">
        <v>12</v>
      </c>
      <c r="AE210" s="116">
        <v>25</v>
      </c>
      <c r="AF210" s="116"/>
      <c r="AG210" s="55" t="str">
        <f t="shared" si="24"/>
        <v>Hy-70035012.025.0</v>
      </c>
      <c r="AH210" s="58">
        <v>255.8</v>
      </c>
      <c r="AI210" s="107">
        <v>230000</v>
      </c>
      <c r="AJ210" s="107">
        <v>17900</v>
      </c>
      <c r="AK210" s="117">
        <v>30</v>
      </c>
      <c r="AL210" s="117">
        <v>8.36</v>
      </c>
      <c r="AM210" s="117">
        <v>9.4600000000000009</v>
      </c>
      <c r="AN210" s="118">
        <v>6560</v>
      </c>
      <c r="AO210" s="108">
        <v>1020</v>
      </c>
      <c r="AP210" s="118">
        <v>7260</v>
      </c>
      <c r="AQ210" s="107">
        <v>1560</v>
      </c>
      <c r="AR210" s="109"/>
    </row>
    <row r="211" spans="27:44" ht="13.5" customHeight="1" x14ac:dyDescent="0.2">
      <c r="AA211" s="106" t="s">
        <v>165</v>
      </c>
      <c r="AB211" s="116">
        <v>700</v>
      </c>
      <c r="AC211" s="116">
        <v>350</v>
      </c>
      <c r="AD211" s="116">
        <v>14</v>
      </c>
      <c r="AE211" s="116">
        <v>25</v>
      </c>
      <c r="AF211" s="116"/>
      <c r="AG211" s="55" t="str">
        <f t="shared" si="24"/>
        <v>Hy-70035014.025.0</v>
      </c>
      <c r="AH211" s="58">
        <v>268.8</v>
      </c>
      <c r="AI211" s="107">
        <v>234000</v>
      </c>
      <c r="AJ211" s="107">
        <v>17900</v>
      </c>
      <c r="AK211" s="117">
        <v>29.5</v>
      </c>
      <c r="AL211" s="117">
        <v>8.16</v>
      </c>
      <c r="AM211" s="117">
        <v>9.3699999999999992</v>
      </c>
      <c r="AN211" s="118">
        <v>6700</v>
      </c>
      <c r="AO211" s="108">
        <v>1020</v>
      </c>
      <c r="AP211" s="118">
        <v>7470</v>
      </c>
      <c r="AQ211" s="107">
        <v>1570</v>
      </c>
      <c r="AR211" s="109"/>
    </row>
    <row r="212" spans="27:44" ht="13.5" customHeight="1" x14ac:dyDescent="0.2">
      <c r="AA212" s="106" t="s">
        <v>165</v>
      </c>
      <c r="AB212" s="116">
        <v>700</v>
      </c>
      <c r="AC212" s="116">
        <v>350</v>
      </c>
      <c r="AD212" s="116">
        <v>14</v>
      </c>
      <c r="AE212" s="116">
        <v>28</v>
      </c>
      <c r="AF212" s="116"/>
      <c r="AG212" s="55" t="str">
        <f t="shared" si="24"/>
        <v>Hy-70035014.028.0</v>
      </c>
      <c r="AH212" s="58">
        <v>288.89999999999998</v>
      </c>
      <c r="AI212" s="107">
        <v>255000</v>
      </c>
      <c r="AJ212" s="107">
        <v>20000</v>
      </c>
      <c r="AK212" s="117">
        <v>29.7</v>
      </c>
      <c r="AL212" s="117">
        <v>8.33</v>
      </c>
      <c r="AM212" s="117">
        <v>9.4600000000000009</v>
      </c>
      <c r="AN212" s="118">
        <v>7300</v>
      </c>
      <c r="AO212" s="108">
        <v>1140</v>
      </c>
      <c r="AP212" s="118">
        <v>8130</v>
      </c>
      <c r="AQ212" s="107">
        <v>1750</v>
      </c>
      <c r="AR212" s="109"/>
    </row>
    <row r="213" spans="27:44" ht="13.5" customHeight="1" x14ac:dyDescent="0.2">
      <c r="AA213" s="106" t="s">
        <v>165</v>
      </c>
      <c r="AB213" s="116">
        <v>700</v>
      </c>
      <c r="AC213" s="116">
        <v>350</v>
      </c>
      <c r="AD213" s="116">
        <v>14</v>
      </c>
      <c r="AE213" s="116">
        <v>32</v>
      </c>
      <c r="AF213" s="116"/>
      <c r="AG213" s="55" t="str">
        <f t="shared" si="24"/>
        <v>Hy-70035014.032.0</v>
      </c>
      <c r="AH213" s="58">
        <v>315.8</v>
      </c>
      <c r="AI213" s="107">
        <v>283000</v>
      </c>
      <c r="AJ213" s="107">
        <v>22900</v>
      </c>
      <c r="AK213" s="117">
        <v>29.9</v>
      </c>
      <c r="AL213" s="117">
        <v>8.51</v>
      </c>
      <c r="AM213" s="117">
        <v>9.56</v>
      </c>
      <c r="AN213" s="118">
        <v>8080</v>
      </c>
      <c r="AO213" s="108">
        <v>1310</v>
      </c>
      <c r="AP213" s="118">
        <v>8980</v>
      </c>
      <c r="AQ213" s="107">
        <v>1990</v>
      </c>
      <c r="AR213" s="109"/>
    </row>
    <row r="214" spans="27:44" ht="13.5" customHeight="1" x14ac:dyDescent="0.2">
      <c r="AA214" s="106" t="s">
        <v>165</v>
      </c>
      <c r="AB214" s="116">
        <v>700</v>
      </c>
      <c r="AC214" s="116">
        <v>350</v>
      </c>
      <c r="AD214" s="116">
        <v>16</v>
      </c>
      <c r="AE214" s="116">
        <v>25</v>
      </c>
      <c r="AF214" s="116"/>
      <c r="AG214" s="55" t="str">
        <f t="shared" si="24"/>
        <v>Hy-70035016.025.0</v>
      </c>
      <c r="AH214" s="58">
        <v>281.8</v>
      </c>
      <c r="AI214" s="107">
        <v>239000</v>
      </c>
      <c r="AJ214" s="107">
        <v>17900</v>
      </c>
      <c r="AK214" s="117">
        <v>29.1</v>
      </c>
      <c r="AL214" s="117">
        <v>7.97</v>
      </c>
      <c r="AM214" s="117">
        <v>9.2899999999999991</v>
      </c>
      <c r="AN214" s="118">
        <v>6830</v>
      </c>
      <c r="AO214" s="108">
        <v>1020</v>
      </c>
      <c r="AP214" s="118">
        <v>7690</v>
      </c>
      <c r="AQ214" s="107">
        <v>1580</v>
      </c>
      <c r="AR214" s="109"/>
    </row>
    <row r="215" spans="27:44" ht="13.5" customHeight="1" x14ac:dyDescent="0.2">
      <c r="AA215" s="106" t="s">
        <v>165</v>
      </c>
      <c r="AB215" s="116">
        <v>700</v>
      </c>
      <c r="AC215" s="116">
        <v>350</v>
      </c>
      <c r="AD215" s="116">
        <v>16</v>
      </c>
      <c r="AE215" s="116">
        <v>28</v>
      </c>
      <c r="AF215" s="116"/>
      <c r="AG215" s="55" t="str">
        <f t="shared" si="24"/>
        <v>Hy-70035016.028.0</v>
      </c>
      <c r="AH215" s="58">
        <v>301.8</v>
      </c>
      <c r="AI215" s="107">
        <v>260000</v>
      </c>
      <c r="AJ215" s="107">
        <v>20000</v>
      </c>
      <c r="AK215" s="117">
        <v>29.3</v>
      </c>
      <c r="AL215" s="117">
        <v>8.15</v>
      </c>
      <c r="AM215" s="117">
        <v>9.39</v>
      </c>
      <c r="AN215" s="118">
        <v>7420</v>
      </c>
      <c r="AO215" s="108">
        <v>1140</v>
      </c>
      <c r="AP215" s="118">
        <v>8330</v>
      </c>
      <c r="AQ215" s="107">
        <v>1760</v>
      </c>
      <c r="AR215" s="109"/>
    </row>
    <row r="216" spans="27:44" ht="13.5" customHeight="1" x14ac:dyDescent="0.2">
      <c r="AA216" s="106" t="s">
        <v>165</v>
      </c>
      <c r="AB216" s="116">
        <v>700</v>
      </c>
      <c r="AC216" s="116">
        <v>350</v>
      </c>
      <c r="AD216" s="116">
        <v>16</v>
      </c>
      <c r="AE216" s="116">
        <v>32</v>
      </c>
      <c r="AF216" s="116"/>
      <c r="AG216" s="55" t="str">
        <f t="shared" si="24"/>
        <v>Hy-70035016.032.0</v>
      </c>
      <c r="AH216" s="58">
        <v>328.5</v>
      </c>
      <c r="AI216" s="107">
        <v>287000</v>
      </c>
      <c r="AJ216" s="107">
        <v>22900</v>
      </c>
      <c r="AK216" s="117">
        <v>29.6</v>
      </c>
      <c r="AL216" s="117">
        <v>8.35</v>
      </c>
      <c r="AM216" s="117">
        <v>9.49</v>
      </c>
      <c r="AN216" s="118">
        <v>8200</v>
      </c>
      <c r="AO216" s="108">
        <v>1310</v>
      </c>
      <c r="AP216" s="118">
        <v>9190</v>
      </c>
      <c r="AQ216" s="107">
        <v>2000</v>
      </c>
      <c r="AR216" s="109"/>
    </row>
    <row r="217" spans="27:44" ht="13.5" customHeight="1" x14ac:dyDescent="0.2">
      <c r="AA217" s="106" t="s">
        <v>165</v>
      </c>
      <c r="AB217" s="116">
        <v>700</v>
      </c>
      <c r="AC217" s="116">
        <v>350</v>
      </c>
      <c r="AD217" s="116">
        <v>16</v>
      </c>
      <c r="AE217" s="116">
        <v>36</v>
      </c>
      <c r="AF217" s="116"/>
      <c r="AG217" s="55" t="str">
        <f t="shared" si="24"/>
        <v>Hy-70035016.036.0</v>
      </c>
      <c r="AH217" s="58">
        <v>355.3</v>
      </c>
      <c r="AI217" s="107">
        <v>314000</v>
      </c>
      <c r="AJ217" s="107">
        <v>25800</v>
      </c>
      <c r="AK217" s="117">
        <v>29.7</v>
      </c>
      <c r="AL217" s="117">
        <v>8.51</v>
      </c>
      <c r="AM217" s="117">
        <v>9.58</v>
      </c>
      <c r="AN217" s="118">
        <v>8960</v>
      </c>
      <c r="AO217" s="108">
        <v>1470</v>
      </c>
      <c r="AP217" s="118">
        <v>10000</v>
      </c>
      <c r="AQ217" s="107">
        <v>2250</v>
      </c>
      <c r="AR217" s="109"/>
    </row>
    <row r="218" spans="27:44" ht="13.5" customHeight="1" x14ac:dyDescent="0.2">
      <c r="AA218" s="106" t="s">
        <v>165</v>
      </c>
      <c r="AB218" s="116">
        <v>750</v>
      </c>
      <c r="AC218" s="116">
        <v>250</v>
      </c>
      <c r="AD218" s="116">
        <v>12</v>
      </c>
      <c r="AE218" s="116">
        <v>19</v>
      </c>
      <c r="AF218" s="116"/>
      <c r="AG218" s="55" t="str">
        <f t="shared" si="24"/>
        <v>Hy-75025012.019.0</v>
      </c>
      <c r="AH218" s="58">
        <v>183.2</v>
      </c>
      <c r="AI218" s="107">
        <v>166000</v>
      </c>
      <c r="AJ218" s="107">
        <v>4960</v>
      </c>
      <c r="AK218" s="117">
        <v>30.1</v>
      </c>
      <c r="AL218" s="117">
        <v>5.2</v>
      </c>
      <c r="AM218" s="117">
        <v>6.34</v>
      </c>
      <c r="AN218" s="118">
        <v>4440</v>
      </c>
      <c r="AO218" s="108">
        <v>397</v>
      </c>
      <c r="AP218" s="118">
        <v>5090</v>
      </c>
      <c r="AQ218" s="107">
        <v>622</v>
      </c>
      <c r="AR218" s="109"/>
    </row>
    <row r="219" spans="27:44" ht="13.5" customHeight="1" x14ac:dyDescent="0.2">
      <c r="AA219" s="106" t="s">
        <v>165</v>
      </c>
      <c r="AB219" s="116">
        <v>750</v>
      </c>
      <c r="AC219" s="116">
        <v>250</v>
      </c>
      <c r="AD219" s="116">
        <v>12</v>
      </c>
      <c r="AE219" s="116">
        <v>22</v>
      </c>
      <c r="AF219" s="116"/>
      <c r="AG219" s="55" t="str">
        <f t="shared" si="24"/>
        <v>Hy-75025012.022.0</v>
      </c>
      <c r="AH219" s="58">
        <v>197.5</v>
      </c>
      <c r="AI219" s="107">
        <v>184000</v>
      </c>
      <c r="AJ219" s="107">
        <v>5740</v>
      </c>
      <c r="AK219" s="117">
        <v>30.6</v>
      </c>
      <c r="AL219" s="117">
        <v>5.39</v>
      </c>
      <c r="AM219" s="117">
        <v>6.46</v>
      </c>
      <c r="AN219" s="118">
        <v>4920</v>
      </c>
      <c r="AO219" s="108">
        <v>459</v>
      </c>
      <c r="AP219" s="118">
        <v>5600</v>
      </c>
      <c r="AQ219" s="107">
        <v>716</v>
      </c>
      <c r="AR219" s="109"/>
    </row>
    <row r="220" spans="27:44" ht="13.5" customHeight="1" x14ac:dyDescent="0.2">
      <c r="AA220" s="106" t="s">
        <v>165</v>
      </c>
      <c r="AB220" s="116">
        <v>750</v>
      </c>
      <c r="AC220" s="116">
        <v>250</v>
      </c>
      <c r="AD220" s="116">
        <v>12</v>
      </c>
      <c r="AE220" s="116">
        <v>25</v>
      </c>
      <c r="AF220" s="116"/>
      <c r="AG220" s="55" t="str">
        <f t="shared" si="24"/>
        <v>Hy-75025012.025.0</v>
      </c>
      <c r="AH220" s="58">
        <v>211.8</v>
      </c>
      <c r="AI220" s="107">
        <v>202000</v>
      </c>
      <c r="AJ220" s="107">
        <v>6520</v>
      </c>
      <c r="AK220" s="117">
        <v>30.9</v>
      </c>
      <c r="AL220" s="117">
        <v>5.55</v>
      </c>
      <c r="AM220" s="117">
        <v>6.55</v>
      </c>
      <c r="AN220" s="118">
        <v>5390</v>
      </c>
      <c r="AO220" s="108">
        <v>522</v>
      </c>
      <c r="AP220" s="118">
        <v>6100</v>
      </c>
      <c r="AQ220" s="107">
        <v>809</v>
      </c>
      <c r="AR220" s="109"/>
    </row>
    <row r="221" spans="27:44" ht="13.5" customHeight="1" x14ac:dyDescent="0.2">
      <c r="AA221" s="106" t="s">
        <v>165</v>
      </c>
      <c r="AB221" s="116">
        <v>750</v>
      </c>
      <c r="AC221" s="116">
        <v>250</v>
      </c>
      <c r="AD221" s="116">
        <v>14</v>
      </c>
      <c r="AE221" s="116">
        <v>25</v>
      </c>
      <c r="AF221" s="116"/>
      <c r="AG221" s="55" t="str">
        <f t="shared" si="24"/>
        <v>Hy-75025014.025.0</v>
      </c>
      <c r="AH221" s="58">
        <v>225.8</v>
      </c>
      <c r="AI221" s="107">
        <v>208000</v>
      </c>
      <c r="AJ221" s="107">
        <v>6530</v>
      </c>
      <c r="AK221" s="117">
        <v>30.3</v>
      </c>
      <c r="AL221" s="117">
        <v>5.38</v>
      </c>
      <c r="AM221" s="117">
        <v>6.47</v>
      </c>
      <c r="AN221" s="118">
        <v>5540</v>
      </c>
      <c r="AO221" s="108">
        <v>522</v>
      </c>
      <c r="AP221" s="118">
        <v>6340</v>
      </c>
      <c r="AQ221" s="107">
        <v>819</v>
      </c>
      <c r="AR221" s="109"/>
    </row>
    <row r="222" spans="27:44" ht="13.5" customHeight="1" x14ac:dyDescent="0.2">
      <c r="AA222" s="106" t="s">
        <v>165</v>
      </c>
      <c r="AB222" s="116">
        <v>750</v>
      </c>
      <c r="AC222" s="116">
        <v>250</v>
      </c>
      <c r="AD222" s="116">
        <v>14</v>
      </c>
      <c r="AE222" s="116">
        <v>28</v>
      </c>
      <c r="AF222" s="116"/>
      <c r="AG222" s="55" t="str">
        <f t="shared" si="24"/>
        <v>Hy-75025014.028.0</v>
      </c>
      <c r="AH222" s="58">
        <v>239.9</v>
      </c>
      <c r="AI222" s="107">
        <v>225000</v>
      </c>
      <c r="AJ222" s="107">
        <v>7310</v>
      </c>
      <c r="AK222" s="117">
        <v>30.6</v>
      </c>
      <c r="AL222" s="117">
        <v>5.52</v>
      </c>
      <c r="AM222" s="117">
        <v>6.55</v>
      </c>
      <c r="AN222" s="118">
        <v>5990</v>
      </c>
      <c r="AO222" s="108">
        <v>585</v>
      </c>
      <c r="AP222" s="118">
        <v>6840</v>
      </c>
      <c r="AQ222" s="107">
        <v>912</v>
      </c>
      <c r="AR222" s="109"/>
    </row>
    <row r="223" spans="27:44" ht="13.5" customHeight="1" x14ac:dyDescent="0.2">
      <c r="AA223" s="106" t="s">
        <v>165</v>
      </c>
      <c r="AB223" s="116">
        <v>750</v>
      </c>
      <c r="AC223" s="116">
        <v>300</v>
      </c>
      <c r="AD223" s="116">
        <v>14</v>
      </c>
      <c r="AE223" s="116">
        <v>22</v>
      </c>
      <c r="AF223" s="116"/>
      <c r="AG223" s="55" t="str">
        <f t="shared" si="24"/>
        <v>Hy-75030014.022.0</v>
      </c>
      <c r="AH223" s="58">
        <v>233.6</v>
      </c>
      <c r="AI223" s="107">
        <v>219000</v>
      </c>
      <c r="AJ223" s="107">
        <v>9920</v>
      </c>
      <c r="AK223" s="117">
        <v>30.6</v>
      </c>
      <c r="AL223" s="117">
        <v>6.52</v>
      </c>
      <c r="AM223" s="117">
        <v>7.78</v>
      </c>
      <c r="AN223" s="118">
        <v>5850</v>
      </c>
      <c r="AO223" s="108">
        <v>661</v>
      </c>
      <c r="AP223" s="118">
        <v>6650</v>
      </c>
      <c r="AQ223" s="107">
        <v>1030</v>
      </c>
      <c r="AR223" s="109"/>
    </row>
    <row r="224" spans="27:44" ht="13.5" customHeight="1" x14ac:dyDescent="0.2">
      <c r="AA224" s="106" t="s">
        <v>165</v>
      </c>
      <c r="AB224" s="116">
        <v>750</v>
      </c>
      <c r="AC224" s="116">
        <v>300</v>
      </c>
      <c r="AD224" s="116">
        <v>14</v>
      </c>
      <c r="AE224" s="116">
        <v>25</v>
      </c>
      <c r="AF224" s="116"/>
      <c r="AG224" s="55" t="str">
        <f t="shared" si="24"/>
        <v>Hy-75030014.025.0</v>
      </c>
      <c r="AH224" s="58">
        <v>250.8</v>
      </c>
      <c r="AI224" s="107">
        <v>241000</v>
      </c>
      <c r="AJ224" s="107">
        <v>11300</v>
      </c>
      <c r="AK224" s="117">
        <v>31</v>
      </c>
      <c r="AL224" s="117">
        <v>6.7</v>
      </c>
      <c r="AM224" s="117">
        <v>7.89</v>
      </c>
      <c r="AN224" s="118">
        <v>6410</v>
      </c>
      <c r="AO224" s="108">
        <v>751</v>
      </c>
      <c r="AP224" s="118">
        <v>7250</v>
      </c>
      <c r="AQ224" s="107">
        <v>1160</v>
      </c>
      <c r="AR224" s="109"/>
    </row>
    <row r="225" spans="27:44" ht="13.5" customHeight="1" x14ac:dyDescent="0.2">
      <c r="AA225" s="106" t="s">
        <v>165</v>
      </c>
      <c r="AB225" s="116">
        <v>750</v>
      </c>
      <c r="AC225" s="116">
        <v>300</v>
      </c>
      <c r="AD225" s="116">
        <v>14</v>
      </c>
      <c r="AE225" s="116">
        <v>28</v>
      </c>
      <c r="AF225" s="116"/>
      <c r="AG225" s="55" t="str">
        <f t="shared" si="24"/>
        <v>Hy-75030014.028.0</v>
      </c>
      <c r="AH225" s="58">
        <v>267.89999999999998</v>
      </c>
      <c r="AI225" s="107">
        <v>261000</v>
      </c>
      <c r="AJ225" s="107">
        <v>12600</v>
      </c>
      <c r="AK225" s="117">
        <v>31.2</v>
      </c>
      <c r="AL225" s="117">
        <v>6.86</v>
      </c>
      <c r="AM225" s="117">
        <v>7.98</v>
      </c>
      <c r="AN225" s="118">
        <v>6970</v>
      </c>
      <c r="AO225" s="108">
        <v>841</v>
      </c>
      <c r="AP225" s="118">
        <v>7850</v>
      </c>
      <c r="AQ225" s="107">
        <v>1300</v>
      </c>
      <c r="AR225" s="109"/>
    </row>
    <row r="226" spans="27:44" ht="13.5" customHeight="1" x14ac:dyDescent="0.2">
      <c r="AA226" s="106" t="s">
        <v>165</v>
      </c>
      <c r="AB226" s="116">
        <v>750</v>
      </c>
      <c r="AC226" s="116">
        <v>300</v>
      </c>
      <c r="AD226" s="116">
        <v>16</v>
      </c>
      <c r="AE226" s="116">
        <v>25</v>
      </c>
      <c r="AF226" s="116"/>
      <c r="AG226" s="55" t="str">
        <f t="shared" si="24"/>
        <v>Hy-75030016.025.0</v>
      </c>
      <c r="AH226" s="58">
        <v>264.8</v>
      </c>
      <c r="AI226" s="107">
        <v>246000</v>
      </c>
      <c r="AJ226" s="107">
        <v>11300</v>
      </c>
      <c r="AK226" s="117">
        <v>30.5</v>
      </c>
      <c r="AL226" s="117">
        <v>6.53</v>
      </c>
      <c r="AM226" s="117">
        <v>7.81</v>
      </c>
      <c r="AN226" s="118">
        <v>6570</v>
      </c>
      <c r="AO226" s="108">
        <v>752</v>
      </c>
      <c r="AP226" s="118">
        <v>7490</v>
      </c>
      <c r="AQ226" s="107">
        <v>1170</v>
      </c>
      <c r="AR226" s="109"/>
    </row>
    <row r="227" spans="27:44" ht="13.5" customHeight="1" x14ac:dyDescent="0.2">
      <c r="AA227" s="106" t="s">
        <v>165</v>
      </c>
      <c r="AB227" s="116">
        <v>750</v>
      </c>
      <c r="AC227" s="116">
        <v>300</v>
      </c>
      <c r="AD227" s="116">
        <v>16</v>
      </c>
      <c r="AE227" s="116">
        <v>28</v>
      </c>
      <c r="AF227" s="116"/>
      <c r="AG227" s="55" t="str">
        <f t="shared" si="24"/>
        <v>Hy-75030016.028.0</v>
      </c>
      <c r="AH227" s="58">
        <v>281.8</v>
      </c>
      <c r="AI227" s="107">
        <v>267000</v>
      </c>
      <c r="AJ227" s="107">
        <v>12600</v>
      </c>
      <c r="AK227" s="117">
        <v>30.8</v>
      </c>
      <c r="AL227" s="117">
        <v>6.69</v>
      </c>
      <c r="AM227" s="117">
        <v>7.9</v>
      </c>
      <c r="AN227" s="118">
        <v>7120</v>
      </c>
      <c r="AO227" s="108">
        <v>842</v>
      </c>
      <c r="AP227" s="118">
        <v>8090</v>
      </c>
      <c r="AQ227" s="107">
        <v>1310</v>
      </c>
      <c r="AR227" s="109"/>
    </row>
    <row r="228" spans="27:44" ht="13.5" customHeight="1" x14ac:dyDescent="0.2">
      <c r="AA228" s="106" t="s">
        <v>165</v>
      </c>
      <c r="AB228" s="116">
        <v>750</v>
      </c>
      <c r="AC228" s="116">
        <v>300</v>
      </c>
      <c r="AD228" s="116">
        <v>16</v>
      </c>
      <c r="AE228" s="116">
        <v>32</v>
      </c>
      <c r="AF228" s="116"/>
      <c r="AG228" s="55" t="str">
        <f t="shared" si="24"/>
        <v>Hy-75030016.032.0</v>
      </c>
      <c r="AH228" s="58">
        <v>304.5</v>
      </c>
      <c r="AI228" s="107">
        <v>294000</v>
      </c>
      <c r="AJ228" s="107">
        <v>14400</v>
      </c>
      <c r="AK228" s="117">
        <v>31.1</v>
      </c>
      <c r="AL228" s="117">
        <v>6.88</v>
      </c>
      <c r="AM228" s="117">
        <v>8.01</v>
      </c>
      <c r="AN228" s="118">
        <v>7840</v>
      </c>
      <c r="AO228" s="108">
        <v>962</v>
      </c>
      <c r="AP228" s="118">
        <v>8870</v>
      </c>
      <c r="AQ228" s="107">
        <v>1490</v>
      </c>
      <c r="AR228" s="109"/>
    </row>
    <row r="229" spans="27:44" ht="13.5" customHeight="1" x14ac:dyDescent="0.2">
      <c r="AA229" s="106" t="s">
        <v>165</v>
      </c>
      <c r="AB229" s="116">
        <v>750</v>
      </c>
      <c r="AC229" s="116">
        <v>350</v>
      </c>
      <c r="AD229" s="116">
        <v>14</v>
      </c>
      <c r="AE229" s="116">
        <v>25</v>
      </c>
      <c r="AF229" s="116"/>
      <c r="AG229" s="55" t="str">
        <f t="shared" si="24"/>
        <v>Hy-75035014.025.0</v>
      </c>
      <c r="AH229" s="58">
        <v>275.8</v>
      </c>
      <c r="AI229" s="107">
        <v>273000</v>
      </c>
      <c r="AJ229" s="107">
        <v>17900</v>
      </c>
      <c r="AK229" s="117">
        <v>31.5</v>
      </c>
      <c r="AL229" s="117">
        <v>8.0500000000000007</v>
      </c>
      <c r="AM229" s="117">
        <v>9.32</v>
      </c>
      <c r="AN229" s="118">
        <v>7290</v>
      </c>
      <c r="AO229" s="108">
        <v>1020</v>
      </c>
      <c r="AP229" s="118">
        <v>8150</v>
      </c>
      <c r="AQ229" s="107">
        <v>1570</v>
      </c>
      <c r="AR229" s="109"/>
    </row>
    <row r="230" spans="27:44" ht="13.5" customHeight="1" x14ac:dyDescent="0.2">
      <c r="AA230" s="106" t="s">
        <v>165</v>
      </c>
      <c r="AB230" s="116">
        <v>750</v>
      </c>
      <c r="AC230" s="116">
        <v>350</v>
      </c>
      <c r="AD230" s="116">
        <v>14</v>
      </c>
      <c r="AE230" s="116">
        <v>28</v>
      </c>
      <c r="AF230" s="116"/>
      <c r="AG230" s="55" t="str">
        <f t="shared" si="24"/>
        <v>Hy-75035014.028.0</v>
      </c>
      <c r="AH230" s="58">
        <v>295.89999999999998</v>
      </c>
      <c r="AI230" s="107">
        <v>298000</v>
      </c>
      <c r="AJ230" s="107">
        <v>20000</v>
      </c>
      <c r="AK230" s="117">
        <v>31.7</v>
      </c>
      <c r="AL230" s="117">
        <v>8.23</v>
      </c>
      <c r="AM230" s="117">
        <v>9.41</v>
      </c>
      <c r="AN230" s="118">
        <v>7940</v>
      </c>
      <c r="AO230" s="108">
        <v>1140</v>
      </c>
      <c r="AP230" s="118">
        <v>8860</v>
      </c>
      <c r="AQ230" s="107">
        <v>1750</v>
      </c>
      <c r="AR230" s="109"/>
    </row>
    <row r="231" spans="27:44" ht="13.5" customHeight="1" x14ac:dyDescent="0.2">
      <c r="AA231" s="106" t="s">
        <v>165</v>
      </c>
      <c r="AB231" s="116">
        <v>750</v>
      </c>
      <c r="AC231" s="116">
        <v>350</v>
      </c>
      <c r="AD231" s="116">
        <v>14</v>
      </c>
      <c r="AE231" s="116">
        <v>32</v>
      </c>
      <c r="AF231" s="116"/>
      <c r="AG231" s="55" t="str">
        <f t="shared" si="24"/>
        <v>Hy-75035014.032.0</v>
      </c>
      <c r="AH231" s="58">
        <v>322.8</v>
      </c>
      <c r="AI231" s="107">
        <v>330000</v>
      </c>
      <c r="AJ231" s="107">
        <v>22900</v>
      </c>
      <c r="AK231" s="117">
        <v>32</v>
      </c>
      <c r="AL231" s="117">
        <v>8.42</v>
      </c>
      <c r="AM231" s="117">
        <v>9.51</v>
      </c>
      <c r="AN231" s="118">
        <v>8790</v>
      </c>
      <c r="AO231" s="108">
        <v>1310</v>
      </c>
      <c r="AP231" s="118">
        <v>9780</v>
      </c>
      <c r="AQ231" s="107">
        <v>2000</v>
      </c>
      <c r="AR231" s="109"/>
    </row>
    <row r="232" spans="27:44" ht="13.5" customHeight="1" x14ac:dyDescent="0.2">
      <c r="AA232" s="106" t="s">
        <v>165</v>
      </c>
      <c r="AB232" s="116">
        <v>750</v>
      </c>
      <c r="AC232" s="116">
        <v>350</v>
      </c>
      <c r="AD232" s="116">
        <v>16</v>
      </c>
      <c r="AE232" s="116">
        <v>28</v>
      </c>
      <c r="AF232" s="116"/>
      <c r="AG232" s="55" t="str">
        <f t="shared" si="24"/>
        <v>Hy-75035016.028.0</v>
      </c>
      <c r="AH232" s="58">
        <v>309.8</v>
      </c>
      <c r="AI232" s="107">
        <v>303000</v>
      </c>
      <c r="AJ232" s="107">
        <v>20000</v>
      </c>
      <c r="AK232" s="117">
        <v>31.3</v>
      </c>
      <c r="AL232" s="117">
        <v>8.0399999999999991</v>
      </c>
      <c r="AM232" s="117">
        <v>9.33</v>
      </c>
      <c r="AN232" s="118">
        <v>8090</v>
      </c>
      <c r="AO232" s="108">
        <v>1140</v>
      </c>
      <c r="AP232" s="118">
        <v>9100</v>
      </c>
      <c r="AQ232" s="107">
        <v>1760</v>
      </c>
      <c r="AR232" s="109"/>
    </row>
    <row r="233" spans="27:44" ht="13.5" customHeight="1" x14ac:dyDescent="0.2">
      <c r="AA233" s="106" t="s">
        <v>165</v>
      </c>
      <c r="AB233" s="116">
        <v>750</v>
      </c>
      <c r="AC233" s="116">
        <v>350</v>
      </c>
      <c r="AD233" s="116">
        <v>16</v>
      </c>
      <c r="AE233" s="116">
        <v>32</v>
      </c>
      <c r="AF233" s="116"/>
      <c r="AG233" s="55" t="str">
        <f t="shared" si="24"/>
        <v>Hy-75035016.032.0</v>
      </c>
      <c r="AH233" s="58">
        <v>336.5</v>
      </c>
      <c r="AI233" s="107">
        <v>335000</v>
      </c>
      <c r="AJ233" s="107">
        <v>22900</v>
      </c>
      <c r="AK233" s="117">
        <v>31.6</v>
      </c>
      <c r="AL233" s="117">
        <v>8.25</v>
      </c>
      <c r="AM233" s="117">
        <v>9.44</v>
      </c>
      <c r="AN233" s="118">
        <v>8940</v>
      </c>
      <c r="AO233" s="108">
        <v>1310</v>
      </c>
      <c r="AP233" s="118">
        <v>10000</v>
      </c>
      <c r="AQ233" s="107">
        <v>2010</v>
      </c>
      <c r="AR233" s="109"/>
    </row>
    <row r="234" spans="27:44" ht="13.5" customHeight="1" x14ac:dyDescent="0.2">
      <c r="AA234" s="106" t="s">
        <v>165</v>
      </c>
      <c r="AB234" s="116">
        <v>750</v>
      </c>
      <c r="AC234" s="116">
        <v>350</v>
      </c>
      <c r="AD234" s="116">
        <v>16</v>
      </c>
      <c r="AE234" s="116">
        <v>36</v>
      </c>
      <c r="AF234" s="116"/>
      <c r="AG234" s="55" t="str">
        <f t="shared" si="24"/>
        <v>Hy-75035016.036.0</v>
      </c>
      <c r="AH234" s="58">
        <v>363.3</v>
      </c>
      <c r="AI234" s="107">
        <v>366000</v>
      </c>
      <c r="AJ234" s="107">
        <v>25800</v>
      </c>
      <c r="AK234" s="117">
        <v>31.7</v>
      </c>
      <c r="AL234" s="117">
        <v>8.42</v>
      </c>
      <c r="AM234" s="117">
        <v>9.5299999999999994</v>
      </c>
      <c r="AN234" s="118">
        <v>9760</v>
      </c>
      <c r="AO234" s="108">
        <v>1470</v>
      </c>
      <c r="AP234" s="118">
        <v>10900</v>
      </c>
      <c r="AQ234" s="107">
        <v>2250</v>
      </c>
      <c r="AR234" s="109"/>
    </row>
    <row r="235" spans="27:44" ht="13.5" customHeight="1" x14ac:dyDescent="0.2">
      <c r="AA235" s="106" t="s">
        <v>165</v>
      </c>
      <c r="AB235" s="116">
        <v>800</v>
      </c>
      <c r="AC235" s="116">
        <v>250</v>
      </c>
      <c r="AD235" s="116">
        <v>14</v>
      </c>
      <c r="AE235" s="116">
        <v>22</v>
      </c>
      <c r="AF235" s="116"/>
      <c r="AG235" s="55" t="str">
        <f t="shared" si="24"/>
        <v>Hy-80025014.022.0</v>
      </c>
      <c r="AH235" s="58">
        <v>218.6</v>
      </c>
      <c r="AI235" s="107">
        <v>221000</v>
      </c>
      <c r="AJ235" s="107">
        <v>5750</v>
      </c>
      <c r="AK235" s="117">
        <v>31.8</v>
      </c>
      <c r="AL235" s="117">
        <v>5.13</v>
      </c>
      <c r="AM235" s="117">
        <v>6.31</v>
      </c>
      <c r="AN235" s="118">
        <v>5520</v>
      </c>
      <c r="AO235" s="108">
        <v>460</v>
      </c>
      <c r="AP235" s="118">
        <v>6380</v>
      </c>
      <c r="AQ235" s="107">
        <v>728</v>
      </c>
      <c r="AR235" s="109"/>
    </row>
    <row r="236" spans="27:44" ht="13.5" customHeight="1" x14ac:dyDescent="0.2">
      <c r="AA236" s="106" t="s">
        <v>165</v>
      </c>
      <c r="AB236" s="116">
        <v>800</v>
      </c>
      <c r="AC236" s="116">
        <v>250</v>
      </c>
      <c r="AD236" s="116">
        <v>14</v>
      </c>
      <c r="AE236" s="116">
        <v>25</v>
      </c>
      <c r="AF236" s="116"/>
      <c r="AG236" s="55" t="str">
        <f t="shared" si="24"/>
        <v>Hy-80025014.025.0</v>
      </c>
      <c r="AH236" s="58">
        <v>232.8</v>
      </c>
      <c r="AI236" s="107">
        <v>241000</v>
      </c>
      <c r="AJ236" s="107">
        <v>6530</v>
      </c>
      <c r="AK236" s="117">
        <v>32.200000000000003</v>
      </c>
      <c r="AL236" s="117">
        <v>5.3</v>
      </c>
      <c r="AM236" s="117">
        <v>6.42</v>
      </c>
      <c r="AN236" s="118">
        <v>6020</v>
      </c>
      <c r="AO236" s="108">
        <v>523</v>
      </c>
      <c r="AP236" s="118">
        <v>6920</v>
      </c>
      <c r="AQ236" s="107">
        <v>821</v>
      </c>
      <c r="AR236" s="109"/>
    </row>
    <row r="237" spans="27:44" ht="13.5" customHeight="1" x14ac:dyDescent="0.2">
      <c r="AA237" s="106" t="s">
        <v>165</v>
      </c>
      <c r="AB237" s="116">
        <v>800</v>
      </c>
      <c r="AC237" s="116">
        <v>250</v>
      </c>
      <c r="AD237" s="116">
        <v>16</v>
      </c>
      <c r="AE237" s="116">
        <v>25</v>
      </c>
      <c r="AF237" s="116"/>
      <c r="AG237" s="55" t="str">
        <f t="shared" si="24"/>
        <v>Hy-80025016.025.0</v>
      </c>
      <c r="AH237" s="58">
        <v>247.8</v>
      </c>
      <c r="AI237" s="107">
        <v>248000</v>
      </c>
      <c r="AJ237" s="107">
        <v>6540</v>
      </c>
      <c r="AK237" s="117">
        <v>31.6</v>
      </c>
      <c r="AL237" s="117">
        <v>5.14</v>
      </c>
      <c r="AM237" s="117">
        <v>6.34</v>
      </c>
      <c r="AN237" s="118">
        <v>6200</v>
      </c>
      <c r="AO237" s="108">
        <v>523</v>
      </c>
      <c r="AP237" s="118">
        <v>7200</v>
      </c>
      <c r="AQ237" s="107">
        <v>833</v>
      </c>
      <c r="AR237" s="109"/>
    </row>
    <row r="238" spans="27:44" ht="13.5" customHeight="1" x14ac:dyDescent="0.2">
      <c r="AA238" s="106" t="s">
        <v>165</v>
      </c>
      <c r="AB238" s="116">
        <v>800</v>
      </c>
      <c r="AC238" s="116">
        <v>250</v>
      </c>
      <c r="AD238" s="116">
        <v>16</v>
      </c>
      <c r="AE238" s="116">
        <v>28</v>
      </c>
      <c r="AF238" s="116"/>
      <c r="AG238" s="55" t="str">
        <f t="shared" si="24"/>
        <v>Hy-80025016.028.0</v>
      </c>
      <c r="AH238" s="58">
        <v>261.8</v>
      </c>
      <c r="AI238" s="107">
        <v>267000</v>
      </c>
      <c r="AJ238" s="107">
        <v>7320</v>
      </c>
      <c r="AK238" s="117">
        <v>32</v>
      </c>
      <c r="AL238" s="117">
        <v>5.29</v>
      </c>
      <c r="AM238" s="117">
        <v>6.43</v>
      </c>
      <c r="AN238" s="118">
        <v>6680</v>
      </c>
      <c r="AO238" s="108">
        <v>586</v>
      </c>
      <c r="AP238" s="118">
        <v>7720</v>
      </c>
      <c r="AQ238" s="107">
        <v>926</v>
      </c>
      <c r="AR238" s="109"/>
    </row>
    <row r="239" spans="27:44" ht="13.5" customHeight="1" x14ac:dyDescent="0.2">
      <c r="AA239" s="106" t="s">
        <v>165</v>
      </c>
      <c r="AB239" s="116">
        <v>800</v>
      </c>
      <c r="AC239" s="116">
        <v>300</v>
      </c>
      <c r="AD239" s="116">
        <v>14</v>
      </c>
      <c r="AE239" s="116">
        <v>22</v>
      </c>
      <c r="AF239" s="116"/>
      <c r="AG239" s="55" t="str">
        <f t="shared" si="24"/>
        <v>Hy-80030014.022.0</v>
      </c>
      <c r="AH239" s="58">
        <v>240.6</v>
      </c>
      <c r="AI239" s="107">
        <v>254000</v>
      </c>
      <c r="AJ239" s="107">
        <v>9920</v>
      </c>
      <c r="AK239" s="117">
        <v>32.5</v>
      </c>
      <c r="AL239" s="117">
        <v>6.42</v>
      </c>
      <c r="AM239" s="117">
        <v>7.73</v>
      </c>
      <c r="AN239" s="118">
        <v>6350</v>
      </c>
      <c r="AO239" s="108">
        <v>661</v>
      </c>
      <c r="AP239" s="118">
        <v>7240</v>
      </c>
      <c r="AQ239" s="107">
        <v>1030</v>
      </c>
      <c r="AR239" s="109"/>
    </row>
    <row r="240" spans="27:44" ht="13.5" customHeight="1" x14ac:dyDescent="0.2">
      <c r="AA240" s="106" t="s">
        <v>165</v>
      </c>
      <c r="AB240" s="116">
        <v>800</v>
      </c>
      <c r="AC240" s="116">
        <v>300</v>
      </c>
      <c r="AD240" s="116">
        <v>14</v>
      </c>
      <c r="AE240" s="116">
        <v>25</v>
      </c>
      <c r="AF240" s="116"/>
      <c r="AG240" s="55" t="str">
        <f t="shared" si="24"/>
        <v>Hy-80030014.025.0</v>
      </c>
      <c r="AH240" s="58">
        <v>257.8</v>
      </c>
      <c r="AI240" s="107">
        <v>278000</v>
      </c>
      <c r="AJ240" s="107">
        <v>11300</v>
      </c>
      <c r="AK240" s="117">
        <v>32.9</v>
      </c>
      <c r="AL240" s="117">
        <v>6.61</v>
      </c>
      <c r="AM240" s="117">
        <v>7.84</v>
      </c>
      <c r="AN240" s="118">
        <v>6960</v>
      </c>
      <c r="AO240" s="108">
        <v>751</v>
      </c>
      <c r="AP240" s="118">
        <v>7880</v>
      </c>
      <c r="AQ240" s="107">
        <v>1160</v>
      </c>
      <c r="AR240" s="109"/>
    </row>
    <row r="241" spans="27:44" ht="13.5" customHeight="1" x14ac:dyDescent="0.2">
      <c r="AA241" s="106" t="s">
        <v>165</v>
      </c>
      <c r="AB241" s="116">
        <v>800</v>
      </c>
      <c r="AC241" s="116">
        <v>300</v>
      </c>
      <c r="AD241" s="116">
        <v>14</v>
      </c>
      <c r="AE241" s="116">
        <v>28</v>
      </c>
      <c r="AF241" s="116"/>
      <c r="AG241" s="55" t="str">
        <f t="shared" si="24"/>
        <v>Hy-80030014.028.0</v>
      </c>
      <c r="AH241" s="58">
        <v>274.89999999999998</v>
      </c>
      <c r="AI241" s="107">
        <v>302000</v>
      </c>
      <c r="AJ241" s="107">
        <v>12600</v>
      </c>
      <c r="AK241" s="117">
        <v>33.200000000000003</v>
      </c>
      <c r="AL241" s="117">
        <v>6.78</v>
      </c>
      <c r="AM241" s="117">
        <v>7.93</v>
      </c>
      <c r="AN241" s="118">
        <v>7560</v>
      </c>
      <c r="AO241" s="108">
        <v>841</v>
      </c>
      <c r="AP241" s="118">
        <v>8520</v>
      </c>
      <c r="AQ241" s="107">
        <v>1300</v>
      </c>
      <c r="AR241" s="109"/>
    </row>
    <row r="242" spans="27:44" ht="13.5" customHeight="1" x14ac:dyDescent="0.2">
      <c r="AA242" s="106" t="s">
        <v>165</v>
      </c>
      <c r="AB242" s="116">
        <v>800</v>
      </c>
      <c r="AC242" s="116">
        <v>300</v>
      </c>
      <c r="AD242" s="116">
        <v>16</v>
      </c>
      <c r="AE242" s="116">
        <v>22</v>
      </c>
      <c r="AF242" s="116"/>
      <c r="AG242" s="55" t="str">
        <f t="shared" si="24"/>
        <v>Hy-80030016.022.0</v>
      </c>
      <c r="AH242" s="58">
        <v>255.7</v>
      </c>
      <c r="AI242" s="107">
        <v>261000</v>
      </c>
      <c r="AJ242" s="107">
        <v>9930</v>
      </c>
      <c r="AK242" s="117">
        <v>32</v>
      </c>
      <c r="AL242" s="117">
        <v>6.23</v>
      </c>
      <c r="AM242" s="117">
        <v>7.63</v>
      </c>
      <c r="AN242" s="118">
        <v>6530</v>
      </c>
      <c r="AO242" s="108">
        <v>662</v>
      </c>
      <c r="AP242" s="118">
        <v>7520</v>
      </c>
      <c r="AQ242" s="107">
        <v>1040</v>
      </c>
      <c r="AR242" s="109"/>
    </row>
    <row r="243" spans="27:44" ht="13.5" customHeight="1" x14ac:dyDescent="0.2">
      <c r="AA243" s="106" t="s">
        <v>165</v>
      </c>
      <c r="AB243" s="116">
        <v>800</v>
      </c>
      <c r="AC243" s="116">
        <v>300</v>
      </c>
      <c r="AD243" s="116">
        <v>16</v>
      </c>
      <c r="AE243" s="116">
        <v>25</v>
      </c>
      <c r="AF243" s="116"/>
      <c r="AG243" s="55" t="str">
        <f t="shared" si="24"/>
        <v>Hy-80030016.025.0</v>
      </c>
      <c r="AH243" s="58">
        <v>272.8</v>
      </c>
      <c r="AI243" s="107">
        <v>285000</v>
      </c>
      <c r="AJ243" s="107">
        <v>11300</v>
      </c>
      <c r="AK243" s="117">
        <v>32.299999999999997</v>
      </c>
      <c r="AL243" s="117">
        <v>6.43</v>
      </c>
      <c r="AM243" s="117">
        <v>7.75</v>
      </c>
      <c r="AN243" s="118">
        <v>7130</v>
      </c>
      <c r="AO243" s="108">
        <v>752</v>
      </c>
      <c r="AP243" s="118">
        <v>8170</v>
      </c>
      <c r="AQ243" s="107">
        <v>1180</v>
      </c>
      <c r="AR243" s="109"/>
    </row>
    <row r="244" spans="27:44" ht="13.5" customHeight="1" x14ac:dyDescent="0.2">
      <c r="AA244" s="106" t="s">
        <v>165</v>
      </c>
      <c r="AB244" s="116">
        <v>800</v>
      </c>
      <c r="AC244" s="116">
        <v>300</v>
      </c>
      <c r="AD244" s="116">
        <v>16</v>
      </c>
      <c r="AE244" s="116">
        <v>28</v>
      </c>
      <c r="AF244" s="116"/>
      <c r="AG244" s="55" t="str">
        <f t="shared" si="24"/>
        <v>Hy-80030016.028.0</v>
      </c>
      <c r="AH244" s="58">
        <v>289.8</v>
      </c>
      <c r="AI244" s="107">
        <v>309000</v>
      </c>
      <c r="AJ244" s="107">
        <v>12600</v>
      </c>
      <c r="AK244" s="117">
        <v>32.700000000000003</v>
      </c>
      <c r="AL244" s="117">
        <v>6.6</v>
      </c>
      <c r="AM244" s="117">
        <v>7.85</v>
      </c>
      <c r="AN244" s="118">
        <v>7730</v>
      </c>
      <c r="AO244" s="108">
        <v>842</v>
      </c>
      <c r="AP244" s="118">
        <v>8800</v>
      </c>
      <c r="AQ244" s="107">
        <v>1310</v>
      </c>
      <c r="AR244" s="109"/>
    </row>
    <row r="245" spans="27:44" ht="13.5" customHeight="1" x14ac:dyDescent="0.2">
      <c r="AA245" s="106" t="s">
        <v>165</v>
      </c>
      <c r="AB245" s="116">
        <v>800</v>
      </c>
      <c r="AC245" s="116">
        <v>300</v>
      </c>
      <c r="AD245" s="116">
        <v>16</v>
      </c>
      <c r="AE245" s="116">
        <v>32</v>
      </c>
      <c r="AF245" s="116"/>
      <c r="AG245" s="55" t="str">
        <f t="shared" si="24"/>
        <v>Hy-80030016.032.0</v>
      </c>
      <c r="AH245" s="58">
        <v>312.5</v>
      </c>
      <c r="AI245" s="107">
        <v>340000</v>
      </c>
      <c r="AJ245" s="107">
        <v>14400</v>
      </c>
      <c r="AK245" s="117">
        <v>33</v>
      </c>
      <c r="AL245" s="117">
        <v>6.79</v>
      </c>
      <c r="AM245" s="117">
        <v>7.96</v>
      </c>
      <c r="AN245" s="118">
        <v>8500</v>
      </c>
      <c r="AO245" s="108">
        <v>962</v>
      </c>
      <c r="AP245" s="118">
        <v>9640</v>
      </c>
      <c r="AQ245" s="107">
        <v>1490</v>
      </c>
      <c r="AR245" s="109"/>
    </row>
    <row r="246" spans="27:44" ht="13.5" customHeight="1" x14ac:dyDescent="0.2">
      <c r="AA246" s="106" t="s">
        <v>165</v>
      </c>
      <c r="AB246" s="116">
        <v>800</v>
      </c>
      <c r="AC246" s="116">
        <v>350</v>
      </c>
      <c r="AD246" s="116">
        <v>14</v>
      </c>
      <c r="AE246" s="116">
        <v>25</v>
      </c>
      <c r="AF246" s="116"/>
      <c r="AG246" s="55" t="str">
        <f t="shared" si="24"/>
        <v>Hy-80035014.025.0</v>
      </c>
      <c r="AH246" s="58">
        <v>282.8</v>
      </c>
      <c r="AI246" s="107">
        <v>316000</v>
      </c>
      <c r="AJ246" s="107">
        <v>17900</v>
      </c>
      <c r="AK246" s="117">
        <v>33.4</v>
      </c>
      <c r="AL246" s="117">
        <v>7.95</v>
      </c>
      <c r="AM246" s="117">
        <v>9.27</v>
      </c>
      <c r="AN246" s="118">
        <v>7900</v>
      </c>
      <c r="AO246" s="108">
        <v>1020</v>
      </c>
      <c r="AP246" s="118">
        <v>8850</v>
      </c>
      <c r="AQ246" s="107">
        <v>1570</v>
      </c>
      <c r="AR246" s="109"/>
    </row>
    <row r="247" spans="27:44" ht="13.5" customHeight="1" x14ac:dyDescent="0.2">
      <c r="AA247" s="106" t="s">
        <v>165</v>
      </c>
      <c r="AB247" s="116">
        <v>800</v>
      </c>
      <c r="AC247" s="116">
        <v>350</v>
      </c>
      <c r="AD247" s="116">
        <v>14</v>
      </c>
      <c r="AE247" s="116">
        <v>28</v>
      </c>
      <c r="AF247" s="116"/>
      <c r="AG247" s="55" t="str">
        <f t="shared" si="24"/>
        <v>Hy-80035014.028.0</v>
      </c>
      <c r="AH247" s="58">
        <v>302.89999999999998</v>
      </c>
      <c r="AI247" s="107">
        <v>344000</v>
      </c>
      <c r="AJ247" s="107">
        <v>20000</v>
      </c>
      <c r="AK247" s="117">
        <v>33.700000000000003</v>
      </c>
      <c r="AL247" s="117">
        <v>8.1300000000000008</v>
      </c>
      <c r="AM247" s="117">
        <v>9.36</v>
      </c>
      <c r="AN247" s="118">
        <v>8600</v>
      </c>
      <c r="AO247" s="108">
        <v>1140</v>
      </c>
      <c r="AP247" s="118">
        <v>9610</v>
      </c>
      <c r="AQ247" s="107">
        <v>1750</v>
      </c>
      <c r="AR247" s="109"/>
    </row>
    <row r="248" spans="27:44" ht="13.5" customHeight="1" x14ac:dyDescent="0.2">
      <c r="AA248" s="106" t="s">
        <v>165</v>
      </c>
      <c r="AB248" s="116">
        <v>800</v>
      </c>
      <c r="AC248" s="116">
        <v>350</v>
      </c>
      <c r="AD248" s="116">
        <v>16</v>
      </c>
      <c r="AE248" s="116">
        <v>25</v>
      </c>
      <c r="AF248" s="116"/>
      <c r="AG248" s="55" t="str">
        <f t="shared" si="24"/>
        <v>Hy-80035016.025.0</v>
      </c>
      <c r="AH248" s="58">
        <v>297.8</v>
      </c>
      <c r="AI248" s="107">
        <v>323000</v>
      </c>
      <c r="AJ248" s="107">
        <v>17900</v>
      </c>
      <c r="AK248" s="117">
        <v>32.9</v>
      </c>
      <c r="AL248" s="117">
        <v>7.75</v>
      </c>
      <c r="AM248" s="117">
        <v>9.17</v>
      </c>
      <c r="AN248" s="118">
        <v>8070</v>
      </c>
      <c r="AO248" s="108">
        <v>1020</v>
      </c>
      <c r="AP248" s="118">
        <v>9130</v>
      </c>
      <c r="AQ248" s="107">
        <v>158</v>
      </c>
      <c r="AR248" s="109"/>
    </row>
    <row r="249" spans="27:44" ht="13.5" customHeight="1" x14ac:dyDescent="0.2">
      <c r="AA249" s="106" t="s">
        <v>165</v>
      </c>
      <c r="AB249" s="116">
        <v>800</v>
      </c>
      <c r="AC249" s="116">
        <v>350</v>
      </c>
      <c r="AD249" s="116">
        <v>16</v>
      </c>
      <c r="AE249" s="116">
        <v>28</v>
      </c>
      <c r="AF249" s="116"/>
      <c r="AG249" s="55" t="str">
        <f t="shared" si="24"/>
        <v>Hy-80035016.028.0</v>
      </c>
      <c r="AH249" s="58">
        <v>317.8</v>
      </c>
      <c r="AI249" s="107">
        <v>351000</v>
      </c>
      <c r="AJ249" s="107">
        <v>20000</v>
      </c>
      <c r="AK249" s="117">
        <v>33.200000000000003</v>
      </c>
      <c r="AL249" s="117">
        <v>7.94</v>
      </c>
      <c r="AM249" s="117">
        <v>9.2799999999999994</v>
      </c>
      <c r="AN249" s="118">
        <v>8770</v>
      </c>
      <c r="AO249" s="108">
        <v>1150</v>
      </c>
      <c r="AP249" s="118">
        <v>9880</v>
      </c>
      <c r="AQ249" s="107">
        <v>1770</v>
      </c>
      <c r="AR249" s="109"/>
    </row>
    <row r="250" spans="27:44" ht="13.5" customHeight="1" x14ac:dyDescent="0.2">
      <c r="AA250" s="106" t="s">
        <v>165</v>
      </c>
      <c r="AB250" s="116">
        <v>800</v>
      </c>
      <c r="AC250" s="116">
        <v>350</v>
      </c>
      <c r="AD250" s="116">
        <v>16</v>
      </c>
      <c r="AE250" s="116">
        <v>32</v>
      </c>
      <c r="AF250" s="116"/>
      <c r="AG250" s="55" t="str">
        <f t="shared" si="24"/>
        <v>Hy-80035016.032.0</v>
      </c>
      <c r="AH250" s="58">
        <v>344.5</v>
      </c>
      <c r="AI250" s="107">
        <v>387000</v>
      </c>
      <c r="AJ250" s="107">
        <v>22900</v>
      </c>
      <c r="AK250" s="117">
        <v>33.5</v>
      </c>
      <c r="AL250" s="117">
        <v>8.15</v>
      </c>
      <c r="AM250" s="117">
        <v>9.39</v>
      </c>
      <c r="AN250" s="118">
        <v>9680</v>
      </c>
      <c r="AO250" s="108">
        <v>1310</v>
      </c>
      <c r="AP250" s="118">
        <v>10900</v>
      </c>
      <c r="AQ250" s="107">
        <v>2010</v>
      </c>
      <c r="AR250" s="109"/>
    </row>
    <row r="251" spans="27:44" ht="13.5" customHeight="1" x14ac:dyDescent="0.2">
      <c r="AA251" s="106" t="s">
        <v>165</v>
      </c>
      <c r="AB251" s="116">
        <v>800</v>
      </c>
      <c r="AC251" s="116">
        <v>350</v>
      </c>
      <c r="AD251" s="116">
        <v>16</v>
      </c>
      <c r="AE251" s="116">
        <v>36</v>
      </c>
      <c r="AF251" s="116"/>
      <c r="AG251" s="55" t="str">
        <f t="shared" si="24"/>
        <v>Hy-80035016.036.0</v>
      </c>
      <c r="AH251" s="58">
        <v>371.3</v>
      </c>
      <c r="AI251" s="107">
        <v>423000</v>
      </c>
      <c r="AJ251" s="107">
        <v>25800</v>
      </c>
      <c r="AK251" s="117">
        <v>33.799999999999997</v>
      </c>
      <c r="AL251" s="117">
        <v>8.33</v>
      </c>
      <c r="AM251" s="117">
        <v>9.49</v>
      </c>
      <c r="AN251" s="118">
        <v>10600</v>
      </c>
      <c r="AO251" s="108">
        <v>1470</v>
      </c>
      <c r="AP251" s="118">
        <v>11800</v>
      </c>
      <c r="AQ251" s="107">
        <v>2250</v>
      </c>
      <c r="AR251" s="109"/>
    </row>
    <row r="252" spans="27:44" ht="13.5" customHeight="1" x14ac:dyDescent="0.2">
      <c r="AA252" s="106" t="s">
        <v>165</v>
      </c>
      <c r="AB252" s="116">
        <v>800</v>
      </c>
      <c r="AC252" s="116">
        <v>350</v>
      </c>
      <c r="AD252" s="116">
        <v>19</v>
      </c>
      <c r="AE252" s="116">
        <v>25</v>
      </c>
      <c r="AF252" s="116"/>
      <c r="AG252" s="55" t="str">
        <f t="shared" si="24"/>
        <v>Hy-80035019.025.0</v>
      </c>
      <c r="AH252" s="58">
        <v>320.3</v>
      </c>
      <c r="AI252" s="107">
        <v>333000</v>
      </c>
      <c r="AJ252" s="107">
        <v>17900</v>
      </c>
      <c r="AK252" s="117">
        <v>32.299999999999997</v>
      </c>
      <c r="AL252" s="117">
        <v>7.48</v>
      </c>
      <c r="AM252" s="117">
        <v>9.0399999999999991</v>
      </c>
      <c r="AN252" s="118">
        <v>8340</v>
      </c>
      <c r="AO252" s="108">
        <v>1020</v>
      </c>
      <c r="AP252" s="118">
        <v>9560</v>
      </c>
      <c r="AQ252" s="107">
        <v>1600</v>
      </c>
      <c r="AR252" s="109"/>
    </row>
    <row r="253" spans="27:44" ht="13.5" customHeight="1" x14ac:dyDescent="0.2">
      <c r="AA253" s="106" t="s">
        <v>165</v>
      </c>
      <c r="AB253" s="116">
        <v>800</v>
      </c>
      <c r="AC253" s="116">
        <v>350</v>
      </c>
      <c r="AD253" s="116">
        <v>19</v>
      </c>
      <c r="AE253" s="116">
        <v>28</v>
      </c>
      <c r="AF253" s="116"/>
      <c r="AG253" s="55" t="str">
        <f t="shared" si="24"/>
        <v>Hy-80035019.028.0</v>
      </c>
      <c r="AH253" s="58">
        <v>340.1</v>
      </c>
      <c r="AI253" s="107">
        <v>361000</v>
      </c>
      <c r="AJ253" s="107">
        <v>20100</v>
      </c>
      <c r="AK253" s="117">
        <v>32.6</v>
      </c>
      <c r="AL253" s="117">
        <v>7.68</v>
      </c>
      <c r="AM253" s="117">
        <v>9.16</v>
      </c>
      <c r="AN253" s="118">
        <v>9030</v>
      </c>
      <c r="AO253" s="108">
        <v>1150</v>
      </c>
      <c r="AP253" s="118">
        <v>10300</v>
      </c>
      <c r="AQ253" s="107">
        <v>1790</v>
      </c>
      <c r="AR253" s="109"/>
    </row>
    <row r="254" spans="27:44" ht="13.5" customHeight="1" x14ac:dyDescent="0.2">
      <c r="AA254" s="106" t="s">
        <v>165</v>
      </c>
      <c r="AB254" s="116">
        <v>800</v>
      </c>
      <c r="AC254" s="116">
        <v>350</v>
      </c>
      <c r="AD254" s="116">
        <v>19</v>
      </c>
      <c r="AE254" s="116">
        <v>32</v>
      </c>
      <c r="AF254" s="116"/>
      <c r="AG254" s="55" t="str">
        <f t="shared" si="24"/>
        <v>Hy-80035019.032.0</v>
      </c>
      <c r="AH254" s="58">
        <v>366.6</v>
      </c>
      <c r="AI254" s="107">
        <v>397000</v>
      </c>
      <c r="AJ254" s="107">
        <v>22900</v>
      </c>
      <c r="AK254" s="117">
        <v>32.9</v>
      </c>
      <c r="AL254" s="117">
        <v>7.91</v>
      </c>
      <c r="AM254" s="117">
        <v>9.2899999999999991</v>
      </c>
      <c r="AN254" s="118">
        <v>9930</v>
      </c>
      <c r="AO254" s="108">
        <v>1310</v>
      </c>
      <c r="AP254" s="118">
        <v>11300</v>
      </c>
      <c r="AQ254" s="107">
        <v>2030</v>
      </c>
      <c r="AR254" s="109"/>
    </row>
    <row r="255" spans="27:44" ht="13.5" customHeight="1" x14ac:dyDescent="0.2">
      <c r="AA255" s="106" t="s">
        <v>165</v>
      </c>
      <c r="AB255" s="116">
        <v>800</v>
      </c>
      <c r="AC255" s="116">
        <v>350</v>
      </c>
      <c r="AD255" s="116">
        <v>19</v>
      </c>
      <c r="AE255" s="116">
        <v>36</v>
      </c>
      <c r="AF255" s="116"/>
      <c r="AG255" s="55" t="str">
        <f t="shared" si="24"/>
        <v>Hy-80035019.036.0</v>
      </c>
      <c r="AH255" s="58">
        <v>393.1</v>
      </c>
      <c r="AI255" s="107">
        <v>433000</v>
      </c>
      <c r="AJ255" s="107">
        <v>25800</v>
      </c>
      <c r="AK255" s="117">
        <v>33.200000000000003</v>
      </c>
      <c r="AL255" s="117">
        <v>8.1</v>
      </c>
      <c r="AM255" s="117">
        <v>9.39</v>
      </c>
      <c r="AN255" s="118">
        <v>10800</v>
      </c>
      <c r="AO255" s="108">
        <v>1470</v>
      </c>
      <c r="AP255" s="118">
        <v>12200</v>
      </c>
      <c r="AQ255" s="107">
        <v>2270</v>
      </c>
      <c r="AR255" s="109"/>
    </row>
    <row r="256" spans="27:44" ht="13.5" customHeight="1" x14ac:dyDescent="0.2">
      <c r="AA256" s="106" t="s">
        <v>165</v>
      </c>
      <c r="AB256" s="116">
        <v>800</v>
      </c>
      <c r="AC256" s="116">
        <v>350</v>
      </c>
      <c r="AD256" s="116">
        <v>19</v>
      </c>
      <c r="AE256" s="116">
        <v>40</v>
      </c>
      <c r="AF256" s="116"/>
      <c r="AG256" s="55" t="str">
        <f t="shared" si="24"/>
        <v>Hy-80035019.040.0</v>
      </c>
      <c r="AH256" s="58">
        <v>419.6</v>
      </c>
      <c r="AI256" s="107">
        <v>467000</v>
      </c>
      <c r="AJ256" s="107">
        <v>28600</v>
      </c>
      <c r="AK256" s="117">
        <v>33.4</v>
      </c>
      <c r="AL256" s="117">
        <v>8.26</v>
      </c>
      <c r="AM256" s="117">
        <v>9.48</v>
      </c>
      <c r="AN256" s="118">
        <v>11700</v>
      </c>
      <c r="AO256" s="108">
        <v>1640</v>
      </c>
      <c r="AP256" s="118">
        <v>13200</v>
      </c>
      <c r="AQ256" s="107">
        <v>2520</v>
      </c>
      <c r="AR256" s="109"/>
    </row>
    <row r="257" spans="27:44" ht="13.5" customHeight="1" x14ac:dyDescent="0.2">
      <c r="AA257" s="106" t="s">
        <v>165</v>
      </c>
      <c r="AB257" s="116">
        <v>800</v>
      </c>
      <c r="AC257" s="116">
        <v>400</v>
      </c>
      <c r="AD257" s="116">
        <v>14</v>
      </c>
      <c r="AE257" s="116">
        <v>25</v>
      </c>
      <c r="AF257" s="116"/>
      <c r="AG257" s="55" t="str">
        <f t="shared" si="24"/>
        <v>Hy-80040014.025.0</v>
      </c>
      <c r="AH257" s="58">
        <v>307.8</v>
      </c>
      <c r="AI257" s="107">
        <v>353000</v>
      </c>
      <c r="AJ257" s="107">
        <v>26700</v>
      </c>
      <c r="AK257" s="117">
        <v>33.9</v>
      </c>
      <c r="AL257" s="117">
        <v>9.31</v>
      </c>
      <c r="AM257" s="117">
        <v>10.7</v>
      </c>
      <c r="AN257" s="118">
        <v>8840</v>
      </c>
      <c r="AO257" s="108">
        <v>1330</v>
      </c>
      <c r="AP257" s="118">
        <v>9820</v>
      </c>
      <c r="AQ257" s="107">
        <v>2040</v>
      </c>
      <c r="AR257" s="109"/>
    </row>
    <row r="258" spans="27:44" ht="13.5" customHeight="1" x14ac:dyDescent="0.2">
      <c r="AA258" s="106" t="s">
        <v>165</v>
      </c>
      <c r="AB258" s="116">
        <v>800</v>
      </c>
      <c r="AC258" s="116">
        <v>400</v>
      </c>
      <c r="AD258" s="116">
        <v>14</v>
      </c>
      <c r="AE258" s="116">
        <v>28</v>
      </c>
      <c r="AF258" s="116"/>
      <c r="AG258" s="55" t="str">
        <f t="shared" ref="AG258:AG321" si="25">AA258&amp;FIXED(AB258,0)&amp;FIXED(AC258,0)&amp;FIXED(AD258,1)&amp;FIXED(AE258,1)</f>
        <v>Hy-80040014.028.0</v>
      </c>
      <c r="AH258" s="58">
        <v>330.9</v>
      </c>
      <c r="AI258" s="107">
        <v>386000</v>
      </c>
      <c r="AJ258" s="107">
        <v>29900</v>
      </c>
      <c r="AK258" s="117">
        <v>34.1</v>
      </c>
      <c r="AL258" s="117">
        <v>9.5</v>
      </c>
      <c r="AM258" s="117">
        <v>10.8</v>
      </c>
      <c r="AN258" s="118">
        <v>9640</v>
      </c>
      <c r="AO258" s="108">
        <v>1490</v>
      </c>
      <c r="AP258" s="118">
        <v>10700</v>
      </c>
      <c r="AQ258" s="107">
        <v>2280</v>
      </c>
      <c r="AR258" s="109"/>
    </row>
    <row r="259" spans="27:44" ht="13.5" customHeight="1" x14ac:dyDescent="0.2">
      <c r="AA259" s="106" t="s">
        <v>165</v>
      </c>
      <c r="AB259" s="116">
        <v>800</v>
      </c>
      <c r="AC259" s="116">
        <v>400</v>
      </c>
      <c r="AD259" s="116">
        <v>16</v>
      </c>
      <c r="AE259" s="116">
        <v>25</v>
      </c>
      <c r="AF259" s="116"/>
      <c r="AG259" s="55" t="str">
        <f t="shared" si="25"/>
        <v>Hy-80040016.025.0</v>
      </c>
      <c r="AH259" s="58">
        <v>322.8</v>
      </c>
      <c r="AI259" s="107">
        <v>360000</v>
      </c>
      <c r="AJ259" s="107">
        <v>26700</v>
      </c>
      <c r="AK259" s="117">
        <v>33.4</v>
      </c>
      <c r="AL259" s="117">
        <v>9.09</v>
      </c>
      <c r="AM259" s="117">
        <v>10.6</v>
      </c>
      <c r="AN259" s="118">
        <v>9010</v>
      </c>
      <c r="AO259" s="108">
        <v>1330</v>
      </c>
      <c r="AP259" s="118">
        <v>10100</v>
      </c>
      <c r="AQ259" s="107">
        <v>2050</v>
      </c>
      <c r="AR259" s="109"/>
    </row>
    <row r="260" spans="27:44" ht="13.5" customHeight="1" x14ac:dyDescent="0.2">
      <c r="AA260" s="106" t="s">
        <v>165</v>
      </c>
      <c r="AB260" s="116">
        <v>800</v>
      </c>
      <c r="AC260" s="116">
        <v>400</v>
      </c>
      <c r="AD260" s="116">
        <v>16</v>
      </c>
      <c r="AE260" s="116">
        <v>28</v>
      </c>
      <c r="AF260" s="116"/>
      <c r="AG260" s="55" t="str">
        <f t="shared" si="25"/>
        <v>Hy-80040016.028.0</v>
      </c>
      <c r="AH260" s="58">
        <v>345.8</v>
      </c>
      <c r="AI260" s="107">
        <v>393000</v>
      </c>
      <c r="AJ260" s="107">
        <v>29900</v>
      </c>
      <c r="AK260" s="117">
        <v>33.700000000000003</v>
      </c>
      <c r="AL260" s="117">
        <v>9.3000000000000007</v>
      </c>
      <c r="AM260" s="117">
        <v>10.7</v>
      </c>
      <c r="AN260" s="118">
        <v>9810</v>
      </c>
      <c r="AO260" s="108">
        <v>1490</v>
      </c>
      <c r="AP260" s="118">
        <v>11000</v>
      </c>
      <c r="AQ260" s="107">
        <v>2290</v>
      </c>
      <c r="AR260" s="109"/>
    </row>
    <row r="261" spans="27:44" ht="13.5" customHeight="1" x14ac:dyDescent="0.2">
      <c r="AA261" s="106" t="s">
        <v>165</v>
      </c>
      <c r="AB261" s="116">
        <v>800</v>
      </c>
      <c r="AC261" s="116">
        <v>400</v>
      </c>
      <c r="AD261" s="116">
        <v>16</v>
      </c>
      <c r="AE261" s="116">
        <v>32</v>
      </c>
      <c r="AF261" s="116"/>
      <c r="AG261" s="55" t="str">
        <f t="shared" si="25"/>
        <v>Hy-80040016.032.0</v>
      </c>
      <c r="AH261" s="58">
        <v>376.5</v>
      </c>
      <c r="AI261" s="107">
        <v>435000</v>
      </c>
      <c r="AJ261" s="107">
        <v>34200</v>
      </c>
      <c r="AK261" s="117">
        <v>34</v>
      </c>
      <c r="AL261" s="117">
        <v>9.5299999999999994</v>
      </c>
      <c r="AM261" s="117">
        <v>10.8</v>
      </c>
      <c r="AN261" s="118">
        <v>10900</v>
      </c>
      <c r="AO261" s="108">
        <v>1710</v>
      </c>
      <c r="AP261" s="118">
        <v>12100</v>
      </c>
      <c r="AQ261" s="107">
        <v>2610</v>
      </c>
      <c r="AR261" s="109"/>
    </row>
    <row r="262" spans="27:44" ht="13.5" customHeight="1" x14ac:dyDescent="0.2">
      <c r="AA262" s="106" t="s">
        <v>165</v>
      </c>
      <c r="AB262" s="116">
        <v>800</v>
      </c>
      <c r="AC262" s="116">
        <v>400</v>
      </c>
      <c r="AD262" s="116">
        <v>16</v>
      </c>
      <c r="AE262" s="116">
        <v>36</v>
      </c>
      <c r="AF262" s="116"/>
      <c r="AG262" s="55" t="str">
        <f t="shared" si="25"/>
        <v>Hy-80040016.036.0</v>
      </c>
      <c r="AH262" s="58">
        <v>407.3</v>
      </c>
      <c r="AI262" s="107">
        <v>476000</v>
      </c>
      <c r="AJ262" s="107">
        <v>38400</v>
      </c>
      <c r="AK262" s="117">
        <v>34.200000000000003</v>
      </c>
      <c r="AL262" s="117">
        <v>9.7100000000000009</v>
      </c>
      <c r="AM262" s="117">
        <v>10.9</v>
      </c>
      <c r="AN262" s="118">
        <v>11900</v>
      </c>
      <c r="AO262" s="108">
        <v>1920</v>
      </c>
      <c r="AP262" s="118">
        <v>13200</v>
      </c>
      <c r="AQ262" s="107">
        <v>2930</v>
      </c>
      <c r="AR262" s="109"/>
    </row>
    <row r="263" spans="27:44" ht="13.5" customHeight="1" x14ac:dyDescent="0.2">
      <c r="AA263" s="106" t="s">
        <v>165</v>
      </c>
      <c r="AB263" s="116">
        <v>800</v>
      </c>
      <c r="AC263" s="116">
        <v>400</v>
      </c>
      <c r="AD263" s="116">
        <v>19</v>
      </c>
      <c r="AE263" s="116">
        <v>28</v>
      </c>
      <c r="AF263" s="116"/>
      <c r="AG263" s="55" t="str">
        <f t="shared" si="25"/>
        <v>Hy-80040019.028.0</v>
      </c>
      <c r="AH263" s="58">
        <v>368.1</v>
      </c>
      <c r="AI263" s="107">
        <v>403000</v>
      </c>
      <c r="AJ263" s="107">
        <v>29900</v>
      </c>
      <c r="AK263" s="117">
        <v>33.1</v>
      </c>
      <c r="AL263" s="117">
        <v>9.01</v>
      </c>
      <c r="AM263" s="117">
        <v>10.6</v>
      </c>
      <c r="AN263" s="118">
        <v>10100</v>
      </c>
      <c r="AO263" s="108">
        <v>1500</v>
      </c>
      <c r="AP263" s="118">
        <v>11400</v>
      </c>
      <c r="AQ263" s="107">
        <v>2310</v>
      </c>
      <c r="AR263" s="109"/>
    </row>
    <row r="264" spans="27:44" ht="13.5" customHeight="1" x14ac:dyDescent="0.2">
      <c r="AA264" s="106" t="s">
        <v>165</v>
      </c>
      <c r="AB264" s="116">
        <v>800</v>
      </c>
      <c r="AC264" s="116">
        <v>400</v>
      </c>
      <c r="AD264" s="116">
        <v>19</v>
      </c>
      <c r="AE264" s="116">
        <v>32</v>
      </c>
      <c r="AF264" s="116"/>
      <c r="AG264" s="55" t="str">
        <f t="shared" si="25"/>
        <v>Hy-80040019.032.0</v>
      </c>
      <c r="AH264" s="58">
        <v>398.6</v>
      </c>
      <c r="AI264" s="107">
        <v>445000</v>
      </c>
      <c r="AJ264" s="107">
        <v>34200</v>
      </c>
      <c r="AK264" s="117">
        <v>33.4</v>
      </c>
      <c r="AL264" s="117">
        <v>9.26</v>
      </c>
      <c r="AM264" s="117">
        <v>10.7</v>
      </c>
      <c r="AN264" s="118">
        <v>11100</v>
      </c>
      <c r="AO264" s="108">
        <v>1710</v>
      </c>
      <c r="AP264" s="118">
        <v>12500</v>
      </c>
      <c r="AQ264" s="107">
        <v>2630</v>
      </c>
      <c r="AR264" s="109"/>
    </row>
    <row r="265" spans="27:44" ht="13.5" customHeight="1" x14ac:dyDescent="0.2">
      <c r="AA265" s="106" t="s">
        <v>165</v>
      </c>
      <c r="AB265" s="116">
        <v>800</v>
      </c>
      <c r="AC265" s="116">
        <v>400</v>
      </c>
      <c r="AD265" s="116">
        <v>19</v>
      </c>
      <c r="AE265" s="116">
        <v>36</v>
      </c>
      <c r="AF265" s="116"/>
      <c r="AG265" s="55" t="str">
        <f t="shared" si="25"/>
        <v>Hy-80040019.036.0</v>
      </c>
      <c r="AH265" s="58">
        <v>429.1</v>
      </c>
      <c r="AI265" s="107">
        <v>485000</v>
      </c>
      <c r="AJ265" s="107">
        <v>38400</v>
      </c>
      <c r="AK265" s="117">
        <v>33.6</v>
      </c>
      <c r="AL265" s="117">
        <v>9.4700000000000006</v>
      </c>
      <c r="AM265" s="117">
        <v>10.8</v>
      </c>
      <c r="AN265" s="118">
        <v>12100</v>
      </c>
      <c r="AO265" s="108">
        <v>1920</v>
      </c>
      <c r="AP265" s="118">
        <v>13600</v>
      </c>
      <c r="AQ265" s="107">
        <v>2950</v>
      </c>
      <c r="AR265" s="109"/>
    </row>
    <row r="266" spans="27:44" ht="13.5" customHeight="1" x14ac:dyDescent="0.2">
      <c r="AA266" s="106" t="s">
        <v>165</v>
      </c>
      <c r="AB266" s="116">
        <v>800</v>
      </c>
      <c r="AC266" s="116">
        <v>400</v>
      </c>
      <c r="AD266" s="116">
        <v>19</v>
      </c>
      <c r="AE266" s="116">
        <v>40</v>
      </c>
      <c r="AF266" s="116"/>
      <c r="AG266" s="55" t="str">
        <f t="shared" si="25"/>
        <v>Hy-80040019.040.0</v>
      </c>
      <c r="AH266" s="58">
        <v>459.6</v>
      </c>
      <c r="AI266" s="107">
        <v>525000</v>
      </c>
      <c r="AJ266" s="107">
        <v>42700</v>
      </c>
      <c r="AK266" s="117">
        <v>33.799999999999997</v>
      </c>
      <c r="AL266" s="117">
        <v>9.64</v>
      </c>
      <c r="AM266" s="117">
        <v>10.9</v>
      </c>
      <c r="AN266" s="118">
        <v>13100</v>
      </c>
      <c r="AO266" s="108">
        <v>2140</v>
      </c>
      <c r="AP266" s="118">
        <v>14700</v>
      </c>
      <c r="AQ266" s="107">
        <v>3270</v>
      </c>
      <c r="AR266" s="109"/>
    </row>
    <row r="267" spans="27:44" ht="13.5" customHeight="1" x14ac:dyDescent="0.2">
      <c r="AA267" s="106" t="s">
        <v>165</v>
      </c>
      <c r="AB267" s="116">
        <v>850</v>
      </c>
      <c r="AC267" s="116">
        <v>250</v>
      </c>
      <c r="AD267" s="116">
        <v>14</v>
      </c>
      <c r="AE267" s="116">
        <v>22</v>
      </c>
      <c r="AF267" s="116"/>
      <c r="AG267" s="55" t="str">
        <f t="shared" si="25"/>
        <v>Hy-85025014.022.0</v>
      </c>
      <c r="AH267" s="58">
        <v>225.6</v>
      </c>
      <c r="AI267" s="107">
        <v>254000</v>
      </c>
      <c r="AJ267" s="107">
        <v>5750</v>
      </c>
      <c r="AK267" s="117">
        <v>33.6</v>
      </c>
      <c r="AL267" s="117">
        <v>5.05</v>
      </c>
      <c r="AM267" s="117">
        <v>6.26</v>
      </c>
      <c r="AN267" s="118">
        <v>5980</v>
      </c>
      <c r="AO267" s="108">
        <v>460</v>
      </c>
      <c r="AP267" s="118">
        <v>6940</v>
      </c>
      <c r="AQ267" s="107">
        <v>730</v>
      </c>
      <c r="AR267" s="109"/>
    </row>
    <row r="268" spans="27:44" ht="13.5" customHeight="1" x14ac:dyDescent="0.2">
      <c r="AA268" s="106" t="s">
        <v>165</v>
      </c>
      <c r="AB268" s="116">
        <v>850</v>
      </c>
      <c r="AC268" s="116">
        <v>250</v>
      </c>
      <c r="AD268" s="116">
        <v>14</v>
      </c>
      <c r="AE268" s="116">
        <v>25</v>
      </c>
      <c r="AF268" s="116"/>
      <c r="AG268" s="55" t="str">
        <f t="shared" si="25"/>
        <v>Hy-85025014.025.0</v>
      </c>
      <c r="AH268" s="58">
        <v>239.8</v>
      </c>
      <c r="AI268" s="107">
        <v>277000</v>
      </c>
      <c r="AJ268" s="107">
        <v>6530</v>
      </c>
      <c r="AK268" s="117">
        <v>34</v>
      </c>
      <c r="AL268" s="117">
        <v>5.22</v>
      </c>
      <c r="AM268" s="117">
        <v>6.37</v>
      </c>
      <c r="AN268" s="118">
        <v>6510</v>
      </c>
      <c r="AO268" s="108">
        <v>523</v>
      </c>
      <c r="AP268" s="118">
        <v>7510</v>
      </c>
      <c r="AQ268" s="107">
        <v>824</v>
      </c>
      <c r="AR268" s="109"/>
    </row>
    <row r="269" spans="27:44" ht="13.5" customHeight="1" x14ac:dyDescent="0.2">
      <c r="AA269" s="106" t="s">
        <v>165</v>
      </c>
      <c r="AB269" s="116">
        <v>850</v>
      </c>
      <c r="AC269" s="116">
        <v>250</v>
      </c>
      <c r="AD269" s="116">
        <v>16</v>
      </c>
      <c r="AE269" s="116">
        <v>25</v>
      </c>
      <c r="AF269" s="116"/>
      <c r="AG269" s="55" t="str">
        <f t="shared" si="25"/>
        <v>Hy-85025016.025.0</v>
      </c>
      <c r="AH269" s="58">
        <v>255.8</v>
      </c>
      <c r="AI269" s="107">
        <v>285000</v>
      </c>
      <c r="AJ269" s="107">
        <v>6540</v>
      </c>
      <c r="AK269" s="117">
        <v>33.4</v>
      </c>
      <c r="AL269" s="117">
        <v>5.0599999999999996</v>
      </c>
      <c r="AM269" s="117">
        <v>6.29</v>
      </c>
      <c r="AN269" s="118">
        <v>6720</v>
      </c>
      <c r="AO269" s="108">
        <v>523</v>
      </c>
      <c r="AP269" s="118">
        <v>7830</v>
      </c>
      <c r="AQ269" s="107">
        <v>836</v>
      </c>
      <c r="AR269" s="109"/>
    </row>
    <row r="270" spans="27:44" ht="13.5" customHeight="1" x14ac:dyDescent="0.2">
      <c r="AA270" s="106" t="s">
        <v>165</v>
      </c>
      <c r="AB270" s="116">
        <v>850</v>
      </c>
      <c r="AC270" s="116">
        <v>250</v>
      </c>
      <c r="AD270" s="116">
        <v>16</v>
      </c>
      <c r="AE270" s="116">
        <v>28</v>
      </c>
      <c r="AF270" s="116"/>
      <c r="AG270" s="55" t="str">
        <f t="shared" si="25"/>
        <v>Hy-85025016.028.0</v>
      </c>
      <c r="AH270" s="58">
        <v>269.8</v>
      </c>
      <c r="AI270" s="107">
        <v>308000</v>
      </c>
      <c r="AJ270" s="107">
        <v>7320</v>
      </c>
      <c r="AK270" s="117">
        <v>33.799999999999997</v>
      </c>
      <c r="AL270" s="117">
        <v>5.21</v>
      </c>
      <c r="AM270" s="117">
        <v>6.38</v>
      </c>
      <c r="AN270" s="118">
        <v>7240</v>
      </c>
      <c r="AO270" s="108">
        <v>586</v>
      </c>
      <c r="AP270" s="118">
        <v>8390</v>
      </c>
      <c r="AQ270" s="107">
        <v>929</v>
      </c>
      <c r="AR270" s="109"/>
    </row>
    <row r="271" spans="27:44" ht="13.5" customHeight="1" x14ac:dyDescent="0.2">
      <c r="AA271" s="106" t="s">
        <v>165</v>
      </c>
      <c r="AB271" s="116">
        <v>850</v>
      </c>
      <c r="AC271" s="116">
        <v>300</v>
      </c>
      <c r="AD271" s="116">
        <v>16</v>
      </c>
      <c r="AE271" s="116">
        <v>22</v>
      </c>
      <c r="AF271" s="116"/>
      <c r="AG271" s="55" t="str">
        <f t="shared" si="25"/>
        <v>Hy-85030016.022.0</v>
      </c>
      <c r="AH271" s="58">
        <v>263.7</v>
      </c>
      <c r="AI271" s="107">
        <v>301000</v>
      </c>
      <c r="AJ271" s="107">
        <v>9930</v>
      </c>
      <c r="AK271" s="117">
        <v>33.799999999999997</v>
      </c>
      <c r="AL271" s="117">
        <v>6.14</v>
      </c>
      <c r="AM271" s="117">
        <v>7.57</v>
      </c>
      <c r="AN271" s="118">
        <v>7070</v>
      </c>
      <c r="AO271" s="108">
        <v>662</v>
      </c>
      <c r="AP271" s="118">
        <v>8170</v>
      </c>
      <c r="AQ271" s="107">
        <v>1040</v>
      </c>
      <c r="AR271" s="109"/>
    </row>
    <row r="272" spans="27:44" ht="13.5" customHeight="1" x14ac:dyDescent="0.2">
      <c r="AA272" s="106" t="s">
        <v>165</v>
      </c>
      <c r="AB272" s="116">
        <v>850</v>
      </c>
      <c r="AC272" s="116">
        <v>300</v>
      </c>
      <c r="AD272" s="116">
        <v>16</v>
      </c>
      <c r="AE272" s="116">
        <v>25</v>
      </c>
      <c r="AF272" s="116"/>
      <c r="AG272" s="55" t="str">
        <f t="shared" si="25"/>
        <v>Hy-85030016.025.0</v>
      </c>
      <c r="AH272" s="58">
        <v>280.8</v>
      </c>
      <c r="AI272" s="107">
        <v>328000</v>
      </c>
      <c r="AJ272" s="107">
        <v>1130</v>
      </c>
      <c r="AK272" s="117">
        <v>34.200000000000003</v>
      </c>
      <c r="AL272" s="117">
        <v>6.34</v>
      </c>
      <c r="AM272" s="117">
        <v>7.7</v>
      </c>
      <c r="AN272" s="118">
        <v>7720</v>
      </c>
      <c r="AO272" s="108">
        <v>752</v>
      </c>
      <c r="AP272" s="118">
        <v>8860</v>
      </c>
      <c r="AQ272" s="107">
        <v>1180</v>
      </c>
      <c r="AR272" s="109"/>
    </row>
    <row r="273" spans="27:44" ht="13.5" customHeight="1" x14ac:dyDescent="0.2">
      <c r="AA273" s="106" t="s">
        <v>165</v>
      </c>
      <c r="AB273" s="116">
        <v>850</v>
      </c>
      <c r="AC273" s="116">
        <v>300</v>
      </c>
      <c r="AD273" s="116">
        <v>16</v>
      </c>
      <c r="AE273" s="116">
        <v>28</v>
      </c>
      <c r="AF273" s="116"/>
      <c r="AG273" s="55" t="str">
        <f t="shared" si="25"/>
        <v>Hy-85030016.028.0</v>
      </c>
      <c r="AH273" s="58">
        <v>297.8</v>
      </c>
      <c r="AI273" s="107">
        <v>355000</v>
      </c>
      <c r="AJ273" s="107">
        <v>12600</v>
      </c>
      <c r="AK273" s="117">
        <v>34.5</v>
      </c>
      <c r="AL273" s="117">
        <v>6.51</v>
      </c>
      <c r="AM273" s="117">
        <v>7.8</v>
      </c>
      <c r="AN273" s="118">
        <v>8350</v>
      </c>
      <c r="AO273" s="108">
        <v>842</v>
      </c>
      <c r="AP273" s="118">
        <v>9540</v>
      </c>
      <c r="AQ273" s="107">
        <v>1310</v>
      </c>
      <c r="AR273" s="109"/>
    </row>
    <row r="274" spans="27:44" ht="13.5" customHeight="1" x14ac:dyDescent="0.2">
      <c r="AA274" s="106" t="s">
        <v>165</v>
      </c>
      <c r="AB274" s="116">
        <v>850</v>
      </c>
      <c r="AC274" s="116">
        <v>300</v>
      </c>
      <c r="AD274" s="116">
        <v>16</v>
      </c>
      <c r="AE274" s="116">
        <v>32</v>
      </c>
      <c r="AF274" s="116"/>
      <c r="AG274" s="55" t="str">
        <f t="shared" si="25"/>
        <v>Hy-85030016.032.0</v>
      </c>
      <c r="AH274" s="58">
        <v>320.5</v>
      </c>
      <c r="AI274" s="107">
        <v>390000</v>
      </c>
      <c r="AJ274" s="107">
        <v>14400</v>
      </c>
      <c r="AK274" s="117">
        <v>34.9</v>
      </c>
      <c r="AL274" s="117">
        <v>6.71</v>
      </c>
      <c r="AM274" s="117">
        <v>7.92</v>
      </c>
      <c r="AN274" s="118">
        <v>9180</v>
      </c>
      <c r="AO274" s="108">
        <v>962</v>
      </c>
      <c r="AP274" s="118">
        <v>10400</v>
      </c>
      <c r="AQ274" s="107">
        <v>1490</v>
      </c>
      <c r="AR274" s="109"/>
    </row>
    <row r="275" spans="27:44" ht="13.5" customHeight="1" x14ac:dyDescent="0.2">
      <c r="AA275" s="106" t="s">
        <v>165</v>
      </c>
      <c r="AB275" s="116">
        <v>850</v>
      </c>
      <c r="AC275" s="116">
        <v>350</v>
      </c>
      <c r="AD275" s="116">
        <v>16</v>
      </c>
      <c r="AE275" s="116">
        <v>25</v>
      </c>
      <c r="AF275" s="116"/>
      <c r="AG275" s="55" t="str">
        <f t="shared" si="25"/>
        <v>Hy-85035016.025.0</v>
      </c>
      <c r="AH275" s="58">
        <v>305.8</v>
      </c>
      <c r="AI275" s="107">
        <v>370000</v>
      </c>
      <c r="AJ275" s="107">
        <v>17900</v>
      </c>
      <c r="AK275" s="117">
        <v>34.799999999999997</v>
      </c>
      <c r="AL275" s="117">
        <v>7.65</v>
      </c>
      <c r="AM275" s="117">
        <v>9.1199999999999992</v>
      </c>
      <c r="AN275" s="118">
        <v>8720</v>
      </c>
      <c r="AO275" s="108">
        <v>1020</v>
      </c>
      <c r="AP275" s="118">
        <v>9890</v>
      </c>
      <c r="AQ275" s="107">
        <v>1590</v>
      </c>
      <c r="AR275" s="109"/>
    </row>
    <row r="276" spans="27:44" ht="13.5" customHeight="1" x14ac:dyDescent="0.2">
      <c r="AA276" s="106" t="s">
        <v>165</v>
      </c>
      <c r="AB276" s="116">
        <v>850</v>
      </c>
      <c r="AC276" s="116">
        <v>350</v>
      </c>
      <c r="AD276" s="116">
        <v>16</v>
      </c>
      <c r="AE276" s="116">
        <v>28</v>
      </c>
      <c r="AF276" s="116"/>
      <c r="AG276" s="55" t="str">
        <f t="shared" si="25"/>
        <v>Hy-85035016.028.0</v>
      </c>
      <c r="AH276" s="58">
        <v>325.8</v>
      </c>
      <c r="AI276" s="107">
        <v>402000</v>
      </c>
      <c r="AJ276" s="107">
        <v>20000</v>
      </c>
      <c r="AK276" s="117">
        <v>35.1</v>
      </c>
      <c r="AL276" s="117">
        <v>7.84</v>
      </c>
      <c r="AM276" s="117">
        <v>9.23</v>
      </c>
      <c r="AN276" s="118">
        <v>9460</v>
      </c>
      <c r="AO276" s="108">
        <v>1150</v>
      </c>
      <c r="AP276" s="118">
        <v>10700</v>
      </c>
      <c r="AQ276" s="107">
        <v>1770</v>
      </c>
      <c r="AR276" s="109"/>
    </row>
    <row r="277" spans="27:44" ht="13.5" customHeight="1" x14ac:dyDescent="0.2">
      <c r="AA277" s="106" t="s">
        <v>165</v>
      </c>
      <c r="AB277" s="116">
        <v>850</v>
      </c>
      <c r="AC277" s="116">
        <v>350</v>
      </c>
      <c r="AD277" s="116">
        <v>16</v>
      </c>
      <c r="AE277" s="116">
        <v>32</v>
      </c>
      <c r="AF277" s="116"/>
      <c r="AG277" s="55" t="str">
        <f t="shared" si="25"/>
        <v>Hy-85035016.032.0</v>
      </c>
      <c r="AH277" s="58">
        <v>352.5</v>
      </c>
      <c r="AI277" s="107">
        <v>444000</v>
      </c>
      <c r="AJ277" s="107">
        <v>22900</v>
      </c>
      <c r="AK277" s="117">
        <v>35.5</v>
      </c>
      <c r="AL277" s="117">
        <v>8.06</v>
      </c>
      <c r="AM277" s="117">
        <v>9.35</v>
      </c>
      <c r="AN277" s="118">
        <v>10400</v>
      </c>
      <c r="AO277" s="108">
        <v>1310</v>
      </c>
      <c r="AP277" s="118">
        <v>11700</v>
      </c>
      <c r="AQ277" s="107">
        <v>2010</v>
      </c>
      <c r="AR277" s="109"/>
    </row>
    <row r="278" spans="27:44" ht="13.5" customHeight="1" x14ac:dyDescent="0.2">
      <c r="AA278" s="106" t="s">
        <v>165</v>
      </c>
      <c r="AB278" s="116">
        <v>850</v>
      </c>
      <c r="AC278" s="116">
        <v>350</v>
      </c>
      <c r="AD278" s="116">
        <v>19</v>
      </c>
      <c r="AE278" s="116">
        <v>28</v>
      </c>
      <c r="AF278" s="116"/>
      <c r="AG278" s="55" t="str">
        <f t="shared" si="25"/>
        <v>Hy-85035019.028.0</v>
      </c>
      <c r="AH278" s="58">
        <v>349.6</v>
      </c>
      <c r="AI278" s="107">
        <v>415000</v>
      </c>
      <c r="AJ278" s="107">
        <v>20100</v>
      </c>
      <c r="AK278" s="117">
        <v>34.4</v>
      </c>
      <c r="AL278" s="117">
        <v>7.57</v>
      </c>
      <c r="AM278" s="117">
        <v>9.1</v>
      </c>
      <c r="AN278" s="118">
        <v>9760</v>
      </c>
      <c r="AO278" s="108">
        <v>1150</v>
      </c>
      <c r="AP278" s="118">
        <v>11200</v>
      </c>
      <c r="AQ278" s="107">
        <v>1790</v>
      </c>
      <c r="AR278" s="109"/>
    </row>
    <row r="279" spans="27:44" ht="13.5" customHeight="1" x14ac:dyDescent="0.2">
      <c r="AA279" s="106" t="s">
        <v>165</v>
      </c>
      <c r="AB279" s="116">
        <v>850</v>
      </c>
      <c r="AC279" s="116">
        <v>350</v>
      </c>
      <c r="AD279" s="116">
        <v>19</v>
      </c>
      <c r="AE279" s="116">
        <v>32</v>
      </c>
      <c r="AF279" s="116"/>
      <c r="AG279" s="55" t="str">
        <f t="shared" si="25"/>
        <v>Hy-85035019.032.0</v>
      </c>
      <c r="AH279" s="58">
        <v>376.1</v>
      </c>
      <c r="AI279" s="107">
        <v>456000</v>
      </c>
      <c r="AJ279" s="107">
        <v>22900</v>
      </c>
      <c r="AK279" s="117">
        <v>34.799999999999997</v>
      </c>
      <c r="AL279" s="117">
        <v>7.81</v>
      </c>
      <c r="AM279" s="117">
        <v>9.23</v>
      </c>
      <c r="AN279" s="118">
        <v>10700</v>
      </c>
      <c r="AO279" s="108">
        <v>1310</v>
      </c>
      <c r="AP279" s="118">
        <v>12200</v>
      </c>
      <c r="AQ279" s="107">
        <v>2030</v>
      </c>
      <c r="AR279" s="109"/>
    </row>
    <row r="280" spans="27:44" ht="13.5" customHeight="1" x14ac:dyDescent="0.2">
      <c r="AA280" s="106" t="s">
        <v>165</v>
      </c>
      <c r="AB280" s="116">
        <v>850</v>
      </c>
      <c r="AC280" s="116">
        <v>350</v>
      </c>
      <c r="AD280" s="116">
        <v>19</v>
      </c>
      <c r="AE280" s="116">
        <v>36</v>
      </c>
      <c r="AF280" s="116"/>
      <c r="AG280" s="55" t="str">
        <f t="shared" si="25"/>
        <v>Hy-85035019.036.0</v>
      </c>
      <c r="AH280" s="58">
        <v>402.6</v>
      </c>
      <c r="AI280" s="107">
        <v>496000</v>
      </c>
      <c r="AJ280" s="107">
        <v>25800</v>
      </c>
      <c r="AK280" s="117">
        <v>35.1</v>
      </c>
      <c r="AL280" s="117">
        <v>8</v>
      </c>
      <c r="AM280" s="117">
        <v>9.34</v>
      </c>
      <c r="AN280" s="118">
        <v>11700</v>
      </c>
      <c r="AO280" s="108">
        <v>1470</v>
      </c>
      <c r="AP280" s="118">
        <v>13200</v>
      </c>
      <c r="AQ280" s="107">
        <v>2280</v>
      </c>
      <c r="AR280" s="109"/>
    </row>
    <row r="281" spans="27:44" ht="13.5" customHeight="1" x14ac:dyDescent="0.2">
      <c r="AA281" s="106" t="s">
        <v>165</v>
      </c>
      <c r="AB281" s="116">
        <v>850</v>
      </c>
      <c r="AC281" s="116">
        <v>350</v>
      </c>
      <c r="AD281" s="116">
        <v>19</v>
      </c>
      <c r="AE281" s="116">
        <v>40</v>
      </c>
      <c r="AF281" s="116"/>
      <c r="AG281" s="55" t="str">
        <f t="shared" si="25"/>
        <v>Hy-85035019.040.0</v>
      </c>
      <c r="AH281" s="58">
        <v>429.1</v>
      </c>
      <c r="AI281" s="107">
        <v>536000</v>
      </c>
      <c r="AJ281" s="107">
        <v>28600</v>
      </c>
      <c r="AK281" s="117">
        <v>35.299999999999997</v>
      </c>
      <c r="AL281" s="117">
        <v>8.17</v>
      </c>
      <c r="AM281" s="117">
        <v>9.43</v>
      </c>
      <c r="AN281" s="118">
        <v>12600</v>
      </c>
      <c r="AO281" s="108">
        <v>1640</v>
      </c>
      <c r="AP281" s="118">
        <v>14300</v>
      </c>
      <c r="AQ281" s="107">
        <v>2520</v>
      </c>
      <c r="AR281" s="109"/>
    </row>
    <row r="282" spans="27:44" ht="13.5" customHeight="1" x14ac:dyDescent="0.2">
      <c r="AA282" s="106" t="s">
        <v>165</v>
      </c>
      <c r="AB282" s="116">
        <v>850</v>
      </c>
      <c r="AC282" s="116">
        <v>400</v>
      </c>
      <c r="AD282" s="116">
        <v>16</v>
      </c>
      <c r="AE282" s="116">
        <v>25</v>
      </c>
      <c r="AF282" s="116"/>
      <c r="AG282" s="55" t="str">
        <f t="shared" si="25"/>
        <v>Hy-85040016.025.0</v>
      </c>
      <c r="AH282" s="58">
        <v>330.8</v>
      </c>
      <c r="AI282" s="107">
        <v>413000</v>
      </c>
      <c r="AJ282" s="107">
        <v>26700</v>
      </c>
      <c r="AK282" s="117">
        <v>35.299999999999997</v>
      </c>
      <c r="AL282" s="117">
        <v>8.98</v>
      </c>
      <c r="AM282" s="117">
        <v>10.5</v>
      </c>
      <c r="AN282" s="118">
        <v>9720</v>
      </c>
      <c r="AO282" s="108">
        <v>1330</v>
      </c>
      <c r="AP282" s="118">
        <v>10900</v>
      </c>
      <c r="AQ282" s="107">
        <v>2050</v>
      </c>
      <c r="AR282" s="109"/>
    </row>
    <row r="283" spans="27:44" ht="13.5" customHeight="1" x14ac:dyDescent="0.2">
      <c r="AA283" s="106" t="s">
        <v>165</v>
      </c>
      <c r="AB283" s="116">
        <v>850</v>
      </c>
      <c r="AC283" s="116">
        <v>400</v>
      </c>
      <c r="AD283" s="116">
        <v>16</v>
      </c>
      <c r="AE283" s="116">
        <v>28</v>
      </c>
      <c r="AF283" s="116"/>
      <c r="AG283" s="55" t="str">
        <f t="shared" si="25"/>
        <v>Hy-85040016.028.0</v>
      </c>
      <c r="AH283" s="58">
        <v>353.8</v>
      </c>
      <c r="AI283" s="107">
        <v>450000</v>
      </c>
      <c r="AJ283" s="107">
        <v>29900</v>
      </c>
      <c r="AK283" s="117">
        <v>35.6</v>
      </c>
      <c r="AL283" s="117">
        <v>9.19</v>
      </c>
      <c r="AM283" s="117">
        <v>10.7</v>
      </c>
      <c r="AN283" s="118">
        <v>10600</v>
      </c>
      <c r="AO283" s="108">
        <v>1490</v>
      </c>
      <c r="AP283" s="118">
        <v>11800</v>
      </c>
      <c r="AQ283" s="107">
        <v>2290</v>
      </c>
      <c r="AR283" s="109"/>
    </row>
    <row r="284" spans="27:44" ht="13.5" customHeight="1" x14ac:dyDescent="0.2">
      <c r="AA284" s="106" t="s">
        <v>165</v>
      </c>
      <c r="AB284" s="116">
        <v>850</v>
      </c>
      <c r="AC284" s="116">
        <v>400</v>
      </c>
      <c r="AD284" s="116">
        <v>16</v>
      </c>
      <c r="AE284" s="116">
        <v>32</v>
      </c>
      <c r="AF284" s="116"/>
      <c r="AG284" s="55" t="str">
        <f t="shared" si="25"/>
        <v>Hy-85040016.032.0</v>
      </c>
      <c r="AH284" s="58">
        <v>384.5</v>
      </c>
      <c r="AI284" s="107">
        <v>497000</v>
      </c>
      <c r="AJ284" s="107">
        <v>34200</v>
      </c>
      <c r="AK284" s="117">
        <v>36</v>
      </c>
      <c r="AL284" s="117">
        <v>9.43</v>
      </c>
      <c r="AM284" s="117">
        <v>10.8</v>
      </c>
      <c r="AN284" s="118">
        <v>11700</v>
      </c>
      <c r="AO284" s="108">
        <v>1710</v>
      </c>
      <c r="AP284" s="118">
        <v>13000</v>
      </c>
      <c r="AQ284" s="107">
        <v>2610</v>
      </c>
      <c r="AR284" s="109"/>
    </row>
    <row r="285" spans="27:44" ht="13.5" customHeight="1" x14ac:dyDescent="0.2">
      <c r="AA285" s="106" t="s">
        <v>165</v>
      </c>
      <c r="AB285" s="116">
        <v>850</v>
      </c>
      <c r="AC285" s="116">
        <v>400</v>
      </c>
      <c r="AD285" s="116">
        <v>19</v>
      </c>
      <c r="AE285" s="116">
        <v>28</v>
      </c>
      <c r="AF285" s="116"/>
      <c r="AG285" s="55" t="str">
        <f t="shared" si="25"/>
        <v>Hy-85040019.028.0</v>
      </c>
      <c r="AH285" s="58">
        <v>377.6</v>
      </c>
      <c r="AI285" s="107">
        <v>462000</v>
      </c>
      <c r="AJ285" s="107">
        <v>29900</v>
      </c>
      <c r="AK285" s="117">
        <v>35</v>
      </c>
      <c r="AL285" s="117">
        <v>8.9</v>
      </c>
      <c r="AM285" s="117">
        <v>10.5</v>
      </c>
      <c r="AN285" s="118">
        <v>10900</v>
      </c>
      <c r="AO285" s="108">
        <v>1500</v>
      </c>
      <c r="AP285" s="118">
        <v>12300</v>
      </c>
      <c r="AQ285" s="107">
        <v>2320</v>
      </c>
      <c r="AR285" s="109"/>
    </row>
    <row r="286" spans="27:44" ht="13.5" customHeight="1" x14ac:dyDescent="0.2">
      <c r="AA286" s="106" t="s">
        <v>165</v>
      </c>
      <c r="AB286" s="116">
        <v>850</v>
      </c>
      <c r="AC286" s="116">
        <v>400</v>
      </c>
      <c r="AD286" s="116">
        <v>19</v>
      </c>
      <c r="AE286" s="116">
        <v>32</v>
      </c>
      <c r="AF286" s="116"/>
      <c r="AG286" s="55" t="str">
        <f t="shared" si="25"/>
        <v>Hy-85040019.032.0</v>
      </c>
      <c r="AH286" s="58">
        <v>408.1</v>
      </c>
      <c r="AI286" s="107">
        <v>510000</v>
      </c>
      <c r="AJ286" s="107">
        <v>34200</v>
      </c>
      <c r="AK286" s="117">
        <v>35.299999999999997</v>
      </c>
      <c r="AL286" s="117">
        <v>9.15</v>
      </c>
      <c r="AM286" s="117">
        <v>10.7</v>
      </c>
      <c r="AN286" s="118">
        <v>12000</v>
      </c>
      <c r="AO286" s="108">
        <v>1710</v>
      </c>
      <c r="AP286" s="118">
        <v>13500</v>
      </c>
      <c r="AQ286" s="107">
        <v>2630</v>
      </c>
      <c r="AR286" s="109"/>
    </row>
    <row r="287" spans="27:44" ht="13.5" customHeight="1" x14ac:dyDescent="0.2">
      <c r="AA287" s="106" t="s">
        <v>165</v>
      </c>
      <c r="AB287" s="116">
        <v>850</v>
      </c>
      <c r="AC287" s="116">
        <v>400</v>
      </c>
      <c r="AD287" s="116">
        <v>19</v>
      </c>
      <c r="AE287" s="116">
        <v>36</v>
      </c>
      <c r="AF287" s="116"/>
      <c r="AG287" s="55" t="str">
        <f t="shared" si="25"/>
        <v>Hy-85040019.036.0</v>
      </c>
      <c r="AH287" s="58">
        <v>438.6</v>
      </c>
      <c r="AI287" s="107">
        <v>556000</v>
      </c>
      <c r="AJ287" s="107">
        <v>38400</v>
      </c>
      <c r="AK287" s="117">
        <v>35.6</v>
      </c>
      <c r="AL287" s="117">
        <v>9.36</v>
      </c>
      <c r="AM287" s="117">
        <v>10.8</v>
      </c>
      <c r="AN287" s="118">
        <v>13100</v>
      </c>
      <c r="AO287" s="108">
        <v>1920</v>
      </c>
      <c r="AP287" s="118">
        <v>14700</v>
      </c>
      <c r="AQ287" s="107">
        <v>2950</v>
      </c>
      <c r="AR287" s="109"/>
    </row>
    <row r="288" spans="27:44" ht="13.5" customHeight="1" x14ac:dyDescent="0.2">
      <c r="AA288" s="106" t="s">
        <v>165</v>
      </c>
      <c r="AB288" s="116">
        <v>850</v>
      </c>
      <c r="AC288" s="116">
        <v>400</v>
      </c>
      <c r="AD288" s="116">
        <v>19</v>
      </c>
      <c r="AE288" s="116">
        <v>40</v>
      </c>
      <c r="AF288" s="116"/>
      <c r="AG288" s="55" t="str">
        <f t="shared" si="25"/>
        <v>Hy-85040019.040.0</v>
      </c>
      <c r="AH288" s="58">
        <v>469.1</v>
      </c>
      <c r="AI288" s="107">
        <v>602000</v>
      </c>
      <c r="AJ288" s="107">
        <v>42700</v>
      </c>
      <c r="AK288" s="117">
        <v>35.799999999999997</v>
      </c>
      <c r="AL288" s="117">
        <v>9.5399999999999991</v>
      </c>
      <c r="AM288" s="117">
        <v>10.9</v>
      </c>
      <c r="AN288" s="118">
        <v>14200</v>
      </c>
      <c r="AO288" s="108">
        <v>2140</v>
      </c>
      <c r="AP288" s="118">
        <v>15900</v>
      </c>
      <c r="AQ288" s="107">
        <v>3270</v>
      </c>
      <c r="AR288" s="109"/>
    </row>
    <row r="289" spans="27:44" ht="13.5" customHeight="1" x14ac:dyDescent="0.2">
      <c r="AA289" s="106" t="s">
        <v>165</v>
      </c>
      <c r="AB289" s="116">
        <v>900</v>
      </c>
      <c r="AC289" s="116">
        <v>250</v>
      </c>
      <c r="AD289" s="116">
        <v>16</v>
      </c>
      <c r="AE289" s="116">
        <v>19</v>
      </c>
      <c r="AF289" s="116"/>
      <c r="AG289" s="55" t="str">
        <f t="shared" si="25"/>
        <v>Hy-90025016.019.0</v>
      </c>
      <c r="AH289" s="58">
        <v>235.7</v>
      </c>
      <c r="AI289" s="107">
        <v>275000</v>
      </c>
      <c r="AJ289" s="107">
        <v>4980</v>
      </c>
      <c r="AK289" s="117">
        <v>34.1</v>
      </c>
      <c r="AL289" s="117">
        <v>4.5999999999999996</v>
      </c>
      <c r="AM289" s="117">
        <v>5.96</v>
      </c>
      <c r="AN289" s="118">
        <v>6110</v>
      </c>
      <c r="AO289" s="108">
        <v>399</v>
      </c>
      <c r="AP289" s="118">
        <v>7280</v>
      </c>
      <c r="AQ289" s="107">
        <v>652</v>
      </c>
      <c r="AR289" s="109"/>
    </row>
    <row r="290" spans="27:44" ht="13.5" customHeight="1" x14ac:dyDescent="0.2">
      <c r="AA290" s="106" t="s">
        <v>165</v>
      </c>
      <c r="AB290" s="116">
        <v>900</v>
      </c>
      <c r="AC290" s="116">
        <v>250</v>
      </c>
      <c r="AD290" s="116">
        <v>16</v>
      </c>
      <c r="AE290" s="116">
        <v>22</v>
      </c>
      <c r="AF290" s="116"/>
      <c r="AG290" s="55" t="str">
        <f t="shared" si="25"/>
        <v>Hy-90025016.022.0</v>
      </c>
      <c r="AH290" s="58">
        <v>249.7</v>
      </c>
      <c r="AI290" s="107">
        <v>301000</v>
      </c>
      <c r="AJ290" s="107">
        <v>5760</v>
      </c>
      <c r="AK290" s="117">
        <v>34.700000000000003</v>
      </c>
      <c r="AL290" s="117">
        <v>4.8</v>
      </c>
      <c r="AM290" s="117">
        <v>6.11</v>
      </c>
      <c r="AN290" s="118">
        <v>6680</v>
      </c>
      <c r="AO290" s="108">
        <v>461</v>
      </c>
      <c r="AP290" s="118">
        <v>7880</v>
      </c>
      <c r="AQ290" s="107">
        <v>746</v>
      </c>
      <c r="AR290" s="109"/>
    </row>
    <row r="291" spans="27:44" ht="13.5" customHeight="1" x14ac:dyDescent="0.2">
      <c r="AA291" s="106" t="s">
        <v>165</v>
      </c>
      <c r="AB291" s="116">
        <v>900</v>
      </c>
      <c r="AC291" s="116">
        <v>250</v>
      </c>
      <c r="AD291" s="116">
        <v>16</v>
      </c>
      <c r="AE291" s="116">
        <v>25</v>
      </c>
      <c r="AF291" s="116"/>
      <c r="AG291" s="55" t="str">
        <f t="shared" si="25"/>
        <v>Hy-90025016.025.0</v>
      </c>
      <c r="AH291" s="58">
        <v>263.8</v>
      </c>
      <c r="AI291" s="107">
        <v>326000</v>
      </c>
      <c r="AJ291" s="107">
        <v>6540</v>
      </c>
      <c r="AK291" s="117">
        <v>35.200000000000003</v>
      </c>
      <c r="AL291" s="117">
        <v>4.9800000000000004</v>
      </c>
      <c r="AM291" s="117">
        <v>6.24</v>
      </c>
      <c r="AN291" s="118">
        <v>7250</v>
      </c>
      <c r="AO291" s="108">
        <v>524</v>
      </c>
      <c r="AP291" s="118">
        <v>8480</v>
      </c>
      <c r="AQ291" s="107">
        <v>839</v>
      </c>
      <c r="AR291" s="109"/>
    </row>
    <row r="292" spans="27:44" ht="13.5" customHeight="1" x14ac:dyDescent="0.2">
      <c r="AA292" s="106" t="s">
        <v>165</v>
      </c>
      <c r="AB292" s="116">
        <v>900</v>
      </c>
      <c r="AC292" s="116">
        <v>250</v>
      </c>
      <c r="AD292" s="116">
        <v>16</v>
      </c>
      <c r="AE292" s="116">
        <v>28</v>
      </c>
      <c r="AF292" s="116"/>
      <c r="AG292" s="55" t="str">
        <f t="shared" si="25"/>
        <v>Hy-90025016.028.0</v>
      </c>
      <c r="AH292" s="58">
        <v>277.8</v>
      </c>
      <c r="AI292" s="107">
        <v>351000</v>
      </c>
      <c r="AJ292" s="107">
        <v>7320</v>
      </c>
      <c r="AK292" s="117">
        <v>35.6</v>
      </c>
      <c r="AL292" s="117">
        <v>5.13</v>
      </c>
      <c r="AM292" s="117">
        <v>6.34</v>
      </c>
      <c r="AN292" s="118">
        <v>7810</v>
      </c>
      <c r="AO292" s="108">
        <v>586</v>
      </c>
      <c r="AP292" s="118">
        <v>9070</v>
      </c>
      <c r="AQ292" s="107">
        <v>932</v>
      </c>
      <c r="AR292" s="109"/>
    </row>
    <row r="293" spans="27:44" ht="13.5" customHeight="1" x14ac:dyDescent="0.2">
      <c r="AA293" s="106" t="s">
        <v>165</v>
      </c>
      <c r="AB293" s="116">
        <v>900</v>
      </c>
      <c r="AC293" s="116">
        <v>300</v>
      </c>
      <c r="AD293" s="116">
        <v>16</v>
      </c>
      <c r="AE293" s="116">
        <v>19</v>
      </c>
      <c r="AF293" s="116"/>
      <c r="AG293" s="55" t="str">
        <f t="shared" si="25"/>
        <v>Hy-90030016.019.0</v>
      </c>
      <c r="AH293" s="58">
        <v>254.7</v>
      </c>
      <c r="AI293" s="107">
        <v>312000</v>
      </c>
      <c r="AJ293" s="107">
        <v>8580</v>
      </c>
      <c r="AK293" s="117">
        <v>35</v>
      </c>
      <c r="AL293" s="117">
        <v>5.81</v>
      </c>
      <c r="AM293" s="117">
        <v>7.35</v>
      </c>
      <c r="AN293" s="118">
        <v>6930</v>
      </c>
      <c r="AO293" s="108">
        <v>572</v>
      </c>
      <c r="AP293" s="118">
        <v>8110</v>
      </c>
      <c r="AQ293" s="107">
        <v>914</v>
      </c>
      <c r="AR293" s="109"/>
    </row>
    <row r="294" spans="27:44" ht="13.5" customHeight="1" x14ac:dyDescent="0.2">
      <c r="AA294" s="106" t="s">
        <v>165</v>
      </c>
      <c r="AB294" s="116">
        <v>900</v>
      </c>
      <c r="AC294" s="116">
        <v>300</v>
      </c>
      <c r="AD294" s="116">
        <v>16</v>
      </c>
      <c r="AE294" s="116">
        <v>22</v>
      </c>
      <c r="AF294" s="116"/>
      <c r="AG294" s="55" t="str">
        <f t="shared" si="25"/>
        <v>Hy-90030016.022.0</v>
      </c>
      <c r="AH294" s="58">
        <v>271.7</v>
      </c>
      <c r="AI294" s="107">
        <v>343000</v>
      </c>
      <c r="AJ294" s="107">
        <v>9930</v>
      </c>
      <c r="AK294" s="117">
        <v>35.5</v>
      </c>
      <c r="AL294" s="117">
        <v>6.05</v>
      </c>
      <c r="AM294" s="117">
        <v>7.51</v>
      </c>
      <c r="AN294" s="118">
        <v>7620</v>
      </c>
      <c r="AO294" s="108">
        <v>662</v>
      </c>
      <c r="AP294" s="118">
        <v>8840</v>
      </c>
      <c r="AQ294" s="107">
        <v>1050</v>
      </c>
      <c r="AR294" s="109"/>
    </row>
    <row r="295" spans="27:44" ht="13.5" customHeight="1" x14ac:dyDescent="0.2">
      <c r="AA295" s="106" t="s">
        <v>165</v>
      </c>
      <c r="AB295" s="116">
        <v>900</v>
      </c>
      <c r="AC295" s="116">
        <v>300</v>
      </c>
      <c r="AD295" s="116">
        <v>16</v>
      </c>
      <c r="AE295" s="116">
        <v>25</v>
      </c>
      <c r="AF295" s="116"/>
      <c r="AG295" s="55" t="str">
        <f t="shared" si="25"/>
        <v>Hy-90030016.025.0</v>
      </c>
      <c r="AH295" s="58">
        <v>288.8</v>
      </c>
      <c r="AI295" s="107">
        <v>374000</v>
      </c>
      <c r="AJ295" s="107">
        <v>11300</v>
      </c>
      <c r="AK295" s="117">
        <v>36</v>
      </c>
      <c r="AL295" s="117">
        <v>6.25</v>
      </c>
      <c r="AM295" s="117">
        <v>7.64</v>
      </c>
      <c r="AN295" s="118">
        <v>8310</v>
      </c>
      <c r="AO295" s="108">
        <v>752</v>
      </c>
      <c r="AP295" s="118">
        <v>9570</v>
      </c>
      <c r="AQ295" s="107">
        <v>1180</v>
      </c>
      <c r="AR295" s="109"/>
    </row>
    <row r="296" spans="27:44" ht="13.5" customHeight="1" x14ac:dyDescent="0.2">
      <c r="AA296" s="106" t="s">
        <v>165</v>
      </c>
      <c r="AB296" s="116">
        <v>900</v>
      </c>
      <c r="AC296" s="116">
        <v>300</v>
      </c>
      <c r="AD296" s="116">
        <v>16</v>
      </c>
      <c r="AE296" s="116">
        <v>28</v>
      </c>
      <c r="AF296" s="116"/>
      <c r="AG296" s="55" t="str">
        <f t="shared" si="25"/>
        <v>Hy-90030016.028.0</v>
      </c>
      <c r="AH296" s="58">
        <v>305.8</v>
      </c>
      <c r="AI296" s="107">
        <v>404000</v>
      </c>
      <c r="AJ296" s="107">
        <v>12600</v>
      </c>
      <c r="AK296" s="117">
        <v>36.4</v>
      </c>
      <c r="AL296" s="117">
        <v>6.43</v>
      </c>
      <c r="AM296" s="117">
        <v>7.75</v>
      </c>
      <c r="AN296" s="118">
        <v>8990</v>
      </c>
      <c r="AO296" s="108">
        <v>842</v>
      </c>
      <c r="AP296" s="118">
        <v>10300</v>
      </c>
      <c r="AQ296" s="107">
        <v>1320</v>
      </c>
      <c r="AR296" s="109"/>
    </row>
    <row r="297" spans="27:44" ht="13.5" customHeight="1" x14ac:dyDescent="0.2">
      <c r="AA297" s="106" t="s">
        <v>165</v>
      </c>
      <c r="AB297" s="116">
        <v>900</v>
      </c>
      <c r="AC297" s="116">
        <v>300</v>
      </c>
      <c r="AD297" s="116">
        <v>16</v>
      </c>
      <c r="AE297" s="116">
        <v>32</v>
      </c>
      <c r="AF297" s="116"/>
      <c r="AG297" s="55" t="str">
        <f t="shared" si="25"/>
        <v>Hy-90030016.032.0</v>
      </c>
      <c r="AH297" s="58">
        <v>328.5</v>
      </c>
      <c r="AI297" s="107">
        <v>444000</v>
      </c>
      <c r="AJ297" s="107">
        <v>14400</v>
      </c>
      <c r="AK297" s="117">
        <v>36.799999999999997</v>
      </c>
      <c r="AL297" s="117">
        <v>6.63</v>
      </c>
      <c r="AM297" s="117">
        <v>7.87</v>
      </c>
      <c r="AN297" s="118">
        <v>9880</v>
      </c>
      <c r="AO297" s="108">
        <v>962</v>
      </c>
      <c r="AP297" s="118">
        <v>11200</v>
      </c>
      <c r="AQ297" s="107">
        <v>1500</v>
      </c>
      <c r="AR297" s="109"/>
    </row>
    <row r="298" spans="27:44" ht="13.5" customHeight="1" x14ac:dyDescent="0.2">
      <c r="AA298" s="106" t="s">
        <v>165</v>
      </c>
      <c r="AB298" s="116">
        <v>900</v>
      </c>
      <c r="AC298" s="116">
        <v>300</v>
      </c>
      <c r="AD298" s="116">
        <v>19</v>
      </c>
      <c r="AE298" s="116">
        <v>25</v>
      </c>
      <c r="AF298" s="116"/>
      <c r="AG298" s="55" t="str">
        <f t="shared" si="25"/>
        <v>Hy-90030019.025.0</v>
      </c>
      <c r="AH298" s="58">
        <v>314.3</v>
      </c>
      <c r="AI298" s="107">
        <v>389000</v>
      </c>
      <c r="AJ298" s="107">
        <v>11300</v>
      </c>
      <c r="AK298" s="117">
        <v>35.200000000000003</v>
      </c>
      <c r="AL298" s="117">
        <v>6</v>
      </c>
      <c r="AM298" s="117">
        <v>7.5</v>
      </c>
      <c r="AN298" s="118">
        <v>8650</v>
      </c>
      <c r="AO298" s="108">
        <v>754</v>
      </c>
      <c r="AP298" s="118">
        <v>10100</v>
      </c>
      <c r="AQ298" s="107">
        <v>1210</v>
      </c>
      <c r="AR298" s="109"/>
    </row>
    <row r="299" spans="27:44" ht="13.5" customHeight="1" x14ac:dyDescent="0.2">
      <c r="AA299" s="106" t="s">
        <v>165</v>
      </c>
      <c r="AB299" s="116">
        <v>900</v>
      </c>
      <c r="AC299" s="116">
        <v>300</v>
      </c>
      <c r="AD299" s="116">
        <v>19</v>
      </c>
      <c r="AE299" s="116">
        <v>28</v>
      </c>
      <c r="AF299" s="116"/>
      <c r="AG299" s="55" t="str">
        <f t="shared" si="25"/>
        <v>Hy-90030019.028.0</v>
      </c>
      <c r="AH299" s="58">
        <v>331.1</v>
      </c>
      <c r="AI299" s="107">
        <v>420000</v>
      </c>
      <c r="AJ299" s="107">
        <v>12700</v>
      </c>
      <c r="AK299" s="117">
        <v>35.6</v>
      </c>
      <c r="AL299" s="117">
        <v>6.18</v>
      </c>
      <c r="AM299" s="117">
        <v>7.62</v>
      </c>
      <c r="AN299" s="118">
        <v>9320</v>
      </c>
      <c r="AO299" s="108">
        <v>844</v>
      </c>
      <c r="AP299" s="118">
        <v>10800</v>
      </c>
      <c r="AQ299" s="107">
        <v>1340</v>
      </c>
      <c r="AR299" s="109"/>
    </row>
    <row r="300" spans="27:44" ht="13.5" customHeight="1" x14ac:dyDescent="0.2">
      <c r="AA300" s="106" t="s">
        <v>165</v>
      </c>
      <c r="AB300" s="116">
        <v>900</v>
      </c>
      <c r="AC300" s="116">
        <v>300</v>
      </c>
      <c r="AD300" s="116">
        <v>19</v>
      </c>
      <c r="AE300" s="116">
        <v>32</v>
      </c>
      <c r="AF300" s="116"/>
      <c r="AG300" s="55" t="str">
        <f t="shared" si="25"/>
        <v>Hy-90030019.032.0</v>
      </c>
      <c r="AH300" s="58">
        <v>353.6</v>
      </c>
      <c r="AI300" s="107">
        <v>459000</v>
      </c>
      <c r="AJ300" s="107">
        <v>14500</v>
      </c>
      <c r="AK300" s="117">
        <v>36</v>
      </c>
      <c r="AL300" s="117">
        <v>6.39</v>
      </c>
      <c r="AM300" s="117">
        <v>7.76</v>
      </c>
      <c r="AN300" s="118">
        <v>10200</v>
      </c>
      <c r="AO300" s="108">
        <v>964</v>
      </c>
      <c r="AP300" s="118">
        <v>11800</v>
      </c>
      <c r="AQ300" s="107">
        <v>1520</v>
      </c>
      <c r="AR300" s="109"/>
    </row>
    <row r="301" spans="27:44" ht="13.5" customHeight="1" x14ac:dyDescent="0.2">
      <c r="AA301" s="106" t="s">
        <v>165</v>
      </c>
      <c r="AB301" s="116">
        <v>900</v>
      </c>
      <c r="AC301" s="116">
        <v>350</v>
      </c>
      <c r="AD301" s="116">
        <v>16</v>
      </c>
      <c r="AE301" s="116">
        <v>25</v>
      </c>
      <c r="AF301" s="116"/>
      <c r="AG301" s="55" t="str">
        <f t="shared" si="25"/>
        <v>Hy-90035016.025.0</v>
      </c>
      <c r="AH301" s="58">
        <v>313.8</v>
      </c>
      <c r="AI301" s="107">
        <v>422000</v>
      </c>
      <c r="AJ301" s="107">
        <v>17900</v>
      </c>
      <c r="AK301" s="117">
        <v>36.700000000000003</v>
      </c>
      <c r="AL301" s="117">
        <v>7.55</v>
      </c>
      <c r="AM301" s="117">
        <v>9.06</v>
      </c>
      <c r="AN301" s="118">
        <v>9370</v>
      </c>
      <c r="AO301" s="108">
        <v>1020</v>
      </c>
      <c r="AP301" s="118">
        <v>10700</v>
      </c>
      <c r="AQ301" s="107">
        <v>1590</v>
      </c>
      <c r="AR301" s="109"/>
    </row>
    <row r="302" spans="27:44" ht="13.5" customHeight="1" x14ac:dyDescent="0.2">
      <c r="AA302" s="106" t="s">
        <v>165</v>
      </c>
      <c r="AB302" s="116">
        <v>900</v>
      </c>
      <c r="AC302" s="116">
        <v>350</v>
      </c>
      <c r="AD302" s="116">
        <v>16</v>
      </c>
      <c r="AE302" s="116">
        <v>28</v>
      </c>
      <c r="AF302" s="116"/>
      <c r="AG302" s="55" t="str">
        <f t="shared" si="25"/>
        <v>Hy-90035016.028.0</v>
      </c>
      <c r="AH302" s="58">
        <v>333.8</v>
      </c>
      <c r="AI302" s="107">
        <v>458000</v>
      </c>
      <c r="AJ302" s="107">
        <v>20000</v>
      </c>
      <c r="AK302" s="117">
        <v>37</v>
      </c>
      <c r="AL302" s="117">
        <v>7.75</v>
      </c>
      <c r="AM302" s="117">
        <v>9.18</v>
      </c>
      <c r="AN302" s="118">
        <v>10200</v>
      </c>
      <c r="AO302" s="108">
        <v>1150</v>
      </c>
      <c r="AP302" s="118">
        <v>11500</v>
      </c>
      <c r="AQ302" s="107">
        <v>1770</v>
      </c>
      <c r="AR302" s="109"/>
    </row>
    <row r="303" spans="27:44" ht="13.5" customHeight="1" x14ac:dyDescent="0.2">
      <c r="AA303" s="106" t="s">
        <v>165</v>
      </c>
      <c r="AB303" s="116">
        <v>900</v>
      </c>
      <c r="AC303" s="116">
        <v>350</v>
      </c>
      <c r="AD303" s="116">
        <v>16</v>
      </c>
      <c r="AE303" s="116">
        <v>32</v>
      </c>
      <c r="AF303" s="116"/>
      <c r="AG303" s="55" t="str">
        <f t="shared" si="25"/>
        <v>Hy-90035016.032.0</v>
      </c>
      <c r="AH303" s="58">
        <v>360.5</v>
      </c>
      <c r="AI303" s="107">
        <v>505000</v>
      </c>
      <c r="AJ303" s="107">
        <v>22900</v>
      </c>
      <c r="AK303" s="117">
        <v>37.4</v>
      </c>
      <c r="AL303" s="117">
        <v>7.97</v>
      </c>
      <c r="AM303" s="117">
        <v>9.3000000000000007</v>
      </c>
      <c r="AN303" s="118">
        <v>11200</v>
      </c>
      <c r="AO303" s="108">
        <v>1310</v>
      </c>
      <c r="AP303" s="118">
        <v>12600</v>
      </c>
      <c r="AQ303" s="107">
        <v>2020</v>
      </c>
      <c r="AR303" s="109"/>
    </row>
    <row r="304" spans="27:44" ht="13.5" customHeight="1" x14ac:dyDescent="0.2">
      <c r="AA304" s="106" t="s">
        <v>165</v>
      </c>
      <c r="AB304" s="116">
        <v>900</v>
      </c>
      <c r="AC304" s="116">
        <v>350</v>
      </c>
      <c r="AD304" s="116">
        <v>19</v>
      </c>
      <c r="AE304" s="116">
        <v>25</v>
      </c>
      <c r="AF304" s="116"/>
      <c r="AG304" s="55" t="str">
        <f t="shared" si="25"/>
        <v>Hy-90035019.025.0</v>
      </c>
      <c r="AH304" s="58">
        <v>339.3</v>
      </c>
      <c r="AI304" s="107">
        <v>437000</v>
      </c>
      <c r="AJ304" s="107">
        <v>17900</v>
      </c>
      <c r="AK304" s="117">
        <v>35.9</v>
      </c>
      <c r="AL304" s="117">
        <v>7.27</v>
      </c>
      <c r="AM304" s="117">
        <v>8.91</v>
      </c>
      <c r="AN304" s="118">
        <v>9720</v>
      </c>
      <c r="AO304" s="108">
        <v>1020</v>
      </c>
      <c r="AP304" s="118">
        <v>11200</v>
      </c>
      <c r="AQ304" s="107">
        <v>1610</v>
      </c>
      <c r="AR304" s="109"/>
    </row>
    <row r="305" spans="27:44" ht="13.5" customHeight="1" x14ac:dyDescent="0.2">
      <c r="AA305" s="106" t="s">
        <v>165</v>
      </c>
      <c r="AB305" s="116">
        <v>900</v>
      </c>
      <c r="AC305" s="116">
        <v>350</v>
      </c>
      <c r="AD305" s="116">
        <v>19</v>
      </c>
      <c r="AE305" s="116">
        <v>28</v>
      </c>
      <c r="AF305" s="116"/>
      <c r="AG305" s="55" t="str">
        <f t="shared" si="25"/>
        <v>Hy-90035019.028.0</v>
      </c>
      <c r="AH305" s="58">
        <v>359.1</v>
      </c>
      <c r="AI305" s="107">
        <v>473000</v>
      </c>
      <c r="AJ305" s="107">
        <v>20100</v>
      </c>
      <c r="AK305" s="117">
        <v>36.299999999999997</v>
      </c>
      <c r="AL305" s="117">
        <v>7.47</v>
      </c>
      <c r="AM305" s="117">
        <v>9.0399999999999991</v>
      </c>
      <c r="AN305" s="118">
        <v>10500</v>
      </c>
      <c r="AO305" s="108">
        <v>1150</v>
      </c>
      <c r="AP305" s="118">
        <v>12000</v>
      </c>
      <c r="AQ305" s="107">
        <v>1790</v>
      </c>
      <c r="AR305" s="109"/>
    </row>
    <row r="306" spans="27:44" ht="13.5" customHeight="1" x14ac:dyDescent="0.2">
      <c r="AA306" s="106" t="s">
        <v>165</v>
      </c>
      <c r="AB306" s="116">
        <v>900</v>
      </c>
      <c r="AC306" s="116">
        <v>350</v>
      </c>
      <c r="AD306" s="116">
        <v>19</v>
      </c>
      <c r="AE306" s="116">
        <v>32</v>
      </c>
      <c r="AF306" s="116"/>
      <c r="AG306" s="55" t="str">
        <f t="shared" si="25"/>
        <v>Hy-90035019.032.0</v>
      </c>
      <c r="AH306" s="58">
        <v>385.6</v>
      </c>
      <c r="AI306" s="107">
        <v>519000</v>
      </c>
      <c r="AJ306" s="107">
        <v>22900</v>
      </c>
      <c r="AK306" s="117">
        <v>36.700000000000003</v>
      </c>
      <c r="AL306" s="117">
        <v>7.71</v>
      </c>
      <c r="AM306" s="117">
        <v>9.18</v>
      </c>
      <c r="AN306" s="118">
        <v>11500</v>
      </c>
      <c r="AO306" s="108">
        <v>1310</v>
      </c>
      <c r="AP306" s="118">
        <v>13200</v>
      </c>
      <c r="AQ306" s="107">
        <v>2040</v>
      </c>
      <c r="AR306" s="109"/>
    </row>
    <row r="307" spans="27:44" ht="13.5" customHeight="1" x14ac:dyDescent="0.2">
      <c r="AA307" s="106" t="s">
        <v>165</v>
      </c>
      <c r="AB307" s="116">
        <v>900</v>
      </c>
      <c r="AC307" s="116">
        <v>350</v>
      </c>
      <c r="AD307" s="116">
        <v>19</v>
      </c>
      <c r="AE307" s="116">
        <v>36</v>
      </c>
      <c r="AF307" s="116"/>
      <c r="AG307" s="55" t="str">
        <f t="shared" si="25"/>
        <v>Hy-90035019.036.0</v>
      </c>
      <c r="AH307" s="58">
        <v>412.1</v>
      </c>
      <c r="AI307" s="107">
        <v>565000</v>
      </c>
      <c r="AJ307" s="107">
        <v>25800</v>
      </c>
      <c r="AK307" s="117">
        <v>37</v>
      </c>
      <c r="AL307" s="117">
        <v>7.91</v>
      </c>
      <c r="AM307" s="117">
        <v>9.2899999999999991</v>
      </c>
      <c r="AN307" s="118">
        <v>12600</v>
      </c>
      <c r="AO307" s="108">
        <v>1470</v>
      </c>
      <c r="AP307" s="118">
        <v>14300</v>
      </c>
      <c r="AQ307" s="107">
        <v>2280</v>
      </c>
      <c r="AR307" s="109"/>
    </row>
    <row r="308" spans="27:44" ht="13.5" customHeight="1" x14ac:dyDescent="0.2">
      <c r="AA308" s="106" t="s">
        <v>165</v>
      </c>
      <c r="AB308" s="116">
        <v>900</v>
      </c>
      <c r="AC308" s="116">
        <v>350</v>
      </c>
      <c r="AD308" s="116">
        <v>19</v>
      </c>
      <c r="AE308" s="116">
        <v>40</v>
      </c>
      <c r="AF308" s="116"/>
      <c r="AG308" s="55" t="str">
        <f t="shared" si="25"/>
        <v>Hy-90035019.040.0</v>
      </c>
      <c r="AH308" s="58">
        <v>438.6</v>
      </c>
      <c r="AI308" s="107">
        <v>610000</v>
      </c>
      <c r="AJ308" s="107">
        <v>28600</v>
      </c>
      <c r="AK308" s="117">
        <v>37.299999999999997</v>
      </c>
      <c r="AL308" s="117">
        <v>8.08</v>
      </c>
      <c r="AM308" s="117">
        <v>9.39</v>
      </c>
      <c r="AN308" s="118">
        <v>13600</v>
      </c>
      <c r="AO308" s="108">
        <v>1640</v>
      </c>
      <c r="AP308" s="118">
        <v>15300</v>
      </c>
      <c r="AQ308" s="107">
        <v>2530</v>
      </c>
      <c r="AR308" s="109"/>
    </row>
    <row r="309" spans="27:44" ht="13.5" customHeight="1" x14ac:dyDescent="0.2">
      <c r="AA309" s="106" t="s">
        <v>165</v>
      </c>
      <c r="AB309" s="116">
        <v>900</v>
      </c>
      <c r="AC309" s="116">
        <v>400</v>
      </c>
      <c r="AD309" s="116">
        <v>16</v>
      </c>
      <c r="AE309" s="116">
        <v>25</v>
      </c>
      <c r="AF309" s="116"/>
      <c r="AG309" s="55" t="str">
        <f t="shared" si="25"/>
        <v>Hy-90040016.025.0</v>
      </c>
      <c r="AH309" s="58">
        <v>338.8</v>
      </c>
      <c r="AI309" s="107">
        <v>470000</v>
      </c>
      <c r="AJ309" s="107">
        <v>26700</v>
      </c>
      <c r="AK309" s="117">
        <v>37.200000000000003</v>
      </c>
      <c r="AL309" s="117">
        <v>8.8800000000000008</v>
      </c>
      <c r="AM309" s="117">
        <v>10.5</v>
      </c>
      <c r="AN309" s="118">
        <v>10400</v>
      </c>
      <c r="AO309" s="108">
        <v>1340</v>
      </c>
      <c r="AP309" s="118">
        <v>11800</v>
      </c>
      <c r="AQ309" s="107">
        <v>2060</v>
      </c>
      <c r="AR309" s="109"/>
    </row>
    <row r="310" spans="27:44" ht="13.5" customHeight="1" x14ac:dyDescent="0.2">
      <c r="AA310" s="106" t="s">
        <v>165</v>
      </c>
      <c r="AB310" s="116">
        <v>900</v>
      </c>
      <c r="AC310" s="116">
        <v>400</v>
      </c>
      <c r="AD310" s="116">
        <v>16</v>
      </c>
      <c r="AE310" s="116">
        <v>28</v>
      </c>
      <c r="AF310" s="116"/>
      <c r="AG310" s="55" t="str">
        <f t="shared" si="25"/>
        <v>Hy-90040016.028.0</v>
      </c>
      <c r="AH310" s="58">
        <v>361.8</v>
      </c>
      <c r="AI310" s="107">
        <v>511000</v>
      </c>
      <c r="AJ310" s="107">
        <v>29900</v>
      </c>
      <c r="AK310" s="117">
        <v>37.6</v>
      </c>
      <c r="AL310" s="117">
        <v>9.09</v>
      </c>
      <c r="AM310" s="117">
        <v>10.6</v>
      </c>
      <c r="AN310" s="118">
        <v>11400</v>
      </c>
      <c r="AO310" s="108">
        <v>1490</v>
      </c>
      <c r="AP310" s="118">
        <v>12700</v>
      </c>
      <c r="AQ310" s="107">
        <v>2300</v>
      </c>
      <c r="AR310" s="109"/>
    </row>
    <row r="311" spans="27:44" ht="13.5" customHeight="1" x14ac:dyDescent="0.2">
      <c r="AA311" s="106" t="s">
        <v>165</v>
      </c>
      <c r="AB311" s="116">
        <v>900</v>
      </c>
      <c r="AC311" s="116">
        <v>400</v>
      </c>
      <c r="AD311" s="116">
        <v>16</v>
      </c>
      <c r="AE311" s="116">
        <v>32</v>
      </c>
      <c r="AF311" s="116"/>
      <c r="AG311" s="55" t="str">
        <f t="shared" si="25"/>
        <v>Hy-90040016.032.0</v>
      </c>
      <c r="AH311" s="58">
        <v>392.5</v>
      </c>
      <c r="AI311" s="107">
        <v>565000</v>
      </c>
      <c r="AJ311" s="107">
        <v>34200</v>
      </c>
      <c r="AK311" s="117">
        <v>37.9</v>
      </c>
      <c r="AL311" s="117">
        <v>9.33</v>
      </c>
      <c r="AM311" s="117">
        <v>10.7</v>
      </c>
      <c r="AN311" s="118">
        <v>12600</v>
      </c>
      <c r="AO311" s="108">
        <v>1710</v>
      </c>
      <c r="AP311" s="118">
        <v>14000</v>
      </c>
      <c r="AQ311" s="107">
        <v>2620</v>
      </c>
      <c r="AR311" s="109"/>
    </row>
    <row r="312" spans="27:44" ht="13.5" customHeight="1" x14ac:dyDescent="0.2">
      <c r="AA312" s="106" t="s">
        <v>165</v>
      </c>
      <c r="AB312" s="116">
        <v>900</v>
      </c>
      <c r="AC312" s="116">
        <v>400</v>
      </c>
      <c r="AD312" s="116">
        <v>19</v>
      </c>
      <c r="AE312" s="116">
        <v>28</v>
      </c>
      <c r="AF312" s="116"/>
      <c r="AG312" s="55" t="str">
        <f t="shared" si="25"/>
        <v>Hy-90040019.028.0</v>
      </c>
      <c r="AH312" s="58">
        <v>387.1</v>
      </c>
      <c r="AI312" s="107">
        <v>526000</v>
      </c>
      <c r="AJ312" s="107">
        <v>29900</v>
      </c>
      <c r="AK312" s="117">
        <v>36.9</v>
      </c>
      <c r="AL312" s="117">
        <v>8.7899999999999991</v>
      </c>
      <c r="AM312" s="117">
        <v>10.5</v>
      </c>
      <c r="AN312" s="118">
        <v>11700</v>
      </c>
      <c r="AO312" s="108">
        <v>1500</v>
      </c>
      <c r="AP312" s="118">
        <v>13300</v>
      </c>
      <c r="AQ312" s="107">
        <v>2320</v>
      </c>
      <c r="AR312" s="109"/>
    </row>
    <row r="313" spans="27:44" ht="13.5" customHeight="1" x14ac:dyDescent="0.2">
      <c r="AA313" s="106" t="s">
        <v>165</v>
      </c>
      <c r="AB313" s="116">
        <v>900</v>
      </c>
      <c r="AC313" s="116">
        <v>400</v>
      </c>
      <c r="AD313" s="116">
        <v>19</v>
      </c>
      <c r="AE313" s="116">
        <v>32</v>
      </c>
      <c r="AF313" s="116"/>
      <c r="AG313" s="55" t="str">
        <f t="shared" si="25"/>
        <v>Hy-90040019.032.0</v>
      </c>
      <c r="AH313" s="58">
        <v>417.6</v>
      </c>
      <c r="AI313" s="107">
        <v>580000</v>
      </c>
      <c r="AJ313" s="107">
        <v>34200</v>
      </c>
      <c r="AK313" s="117">
        <v>37.299999999999997</v>
      </c>
      <c r="AL313" s="117">
        <v>9.0500000000000007</v>
      </c>
      <c r="AM313" s="117">
        <v>10.6</v>
      </c>
      <c r="AN313" s="118">
        <v>12900</v>
      </c>
      <c r="AO313" s="108">
        <v>1710</v>
      </c>
      <c r="AP313" s="118">
        <v>14500</v>
      </c>
      <c r="AQ313" s="107">
        <v>2640</v>
      </c>
      <c r="AR313" s="109"/>
    </row>
    <row r="314" spans="27:44" ht="13.5" customHeight="1" x14ac:dyDescent="0.2">
      <c r="AA314" s="106" t="s">
        <v>165</v>
      </c>
      <c r="AB314" s="116">
        <v>900</v>
      </c>
      <c r="AC314" s="116">
        <v>400</v>
      </c>
      <c r="AD314" s="116">
        <v>19</v>
      </c>
      <c r="AE314" s="116">
        <v>36</v>
      </c>
      <c r="AF314" s="116"/>
      <c r="AG314" s="55" t="str">
        <f t="shared" si="25"/>
        <v>Hy-90040019.036.0</v>
      </c>
      <c r="AH314" s="58">
        <v>448.1</v>
      </c>
      <c r="AI314" s="107">
        <v>632000</v>
      </c>
      <c r="AJ314" s="107">
        <v>38500</v>
      </c>
      <c r="AK314" s="117">
        <v>37.6</v>
      </c>
      <c r="AL314" s="117">
        <v>9.26</v>
      </c>
      <c r="AM314" s="117">
        <v>10.7</v>
      </c>
      <c r="AN314" s="118">
        <v>14100</v>
      </c>
      <c r="AO314" s="108">
        <v>1920</v>
      </c>
      <c r="AP314" s="118">
        <v>15800</v>
      </c>
      <c r="AQ314" s="107">
        <v>2960</v>
      </c>
      <c r="AR314" s="109"/>
    </row>
    <row r="315" spans="27:44" ht="13.5" customHeight="1" x14ac:dyDescent="0.2">
      <c r="AA315" s="106" t="s">
        <v>165</v>
      </c>
      <c r="AB315" s="116">
        <v>900</v>
      </c>
      <c r="AC315" s="116">
        <v>400</v>
      </c>
      <c r="AD315" s="116">
        <v>19</v>
      </c>
      <c r="AE315" s="116">
        <v>40</v>
      </c>
      <c r="AF315" s="116"/>
      <c r="AG315" s="55" t="str">
        <f t="shared" si="25"/>
        <v>Hy-90040019.040.0</v>
      </c>
      <c r="AH315" s="58">
        <v>478.6</v>
      </c>
      <c r="AI315" s="107">
        <v>684000</v>
      </c>
      <c r="AJ315" s="107">
        <v>42700</v>
      </c>
      <c r="AK315" s="117">
        <v>37.799999999999997</v>
      </c>
      <c r="AL315" s="117">
        <v>9.4499999999999993</v>
      </c>
      <c r="AM315" s="117">
        <v>10.8</v>
      </c>
      <c r="AN315" s="118">
        <v>15200</v>
      </c>
      <c r="AO315" s="108">
        <v>2140</v>
      </c>
      <c r="AP315" s="118">
        <v>17100</v>
      </c>
      <c r="AQ315" s="107">
        <v>3280</v>
      </c>
      <c r="AR315" s="109"/>
    </row>
    <row r="316" spans="27:44" ht="13.5" customHeight="1" x14ac:dyDescent="0.2">
      <c r="AA316" s="106" t="s">
        <v>165</v>
      </c>
      <c r="AB316" s="122">
        <v>950</v>
      </c>
      <c r="AC316" s="122">
        <v>250</v>
      </c>
      <c r="AD316" s="123">
        <v>16</v>
      </c>
      <c r="AE316" s="123">
        <v>22</v>
      </c>
      <c r="AF316" s="123"/>
      <c r="AG316" s="55" t="str">
        <f t="shared" si="25"/>
        <v>Hy-95025016.022.0</v>
      </c>
      <c r="AH316" s="58">
        <v>257.7</v>
      </c>
      <c r="AI316" s="107">
        <v>342000</v>
      </c>
      <c r="AJ316" s="107">
        <v>5760</v>
      </c>
      <c r="AK316" s="124">
        <v>36.4</v>
      </c>
      <c r="AL316" s="124">
        <v>4.7300000000000004</v>
      </c>
      <c r="AM316" s="124">
        <v>6.06</v>
      </c>
      <c r="AN316" s="125">
        <v>7190</v>
      </c>
      <c r="AO316" s="108">
        <v>461</v>
      </c>
      <c r="AP316" s="125">
        <v>8510</v>
      </c>
      <c r="AQ316" s="107">
        <v>749</v>
      </c>
      <c r="AR316" s="109"/>
    </row>
    <row r="317" spans="27:44" ht="13.5" customHeight="1" x14ac:dyDescent="0.2">
      <c r="AA317" s="106" t="s">
        <v>165</v>
      </c>
      <c r="AB317" s="122">
        <v>950</v>
      </c>
      <c r="AC317" s="122">
        <v>250</v>
      </c>
      <c r="AD317" s="123">
        <v>16</v>
      </c>
      <c r="AE317" s="123">
        <v>25</v>
      </c>
      <c r="AF317" s="123"/>
      <c r="AG317" s="55" t="str">
        <f t="shared" si="25"/>
        <v>Hy-95025016.025.0</v>
      </c>
      <c r="AH317" s="58">
        <v>271.8</v>
      </c>
      <c r="AI317" s="107">
        <v>370000</v>
      </c>
      <c r="AJ317" s="107">
        <v>6550</v>
      </c>
      <c r="AK317" s="124">
        <v>36.9</v>
      </c>
      <c r="AL317" s="124">
        <v>4.91</v>
      </c>
      <c r="AM317" s="124">
        <v>6.19</v>
      </c>
      <c r="AN317" s="125">
        <v>7790</v>
      </c>
      <c r="AO317" s="108">
        <v>524</v>
      </c>
      <c r="AP317" s="125">
        <v>9150</v>
      </c>
      <c r="AQ317" s="107">
        <v>842</v>
      </c>
      <c r="AR317" s="109"/>
    </row>
    <row r="318" spans="27:44" ht="13.5" customHeight="1" x14ac:dyDescent="0.2">
      <c r="AA318" s="106" t="s">
        <v>165</v>
      </c>
      <c r="AB318" s="122">
        <v>950</v>
      </c>
      <c r="AC318" s="122">
        <v>250</v>
      </c>
      <c r="AD318" s="123">
        <v>16</v>
      </c>
      <c r="AE318" s="123">
        <v>28</v>
      </c>
      <c r="AF318" s="123"/>
      <c r="AG318" s="55" t="str">
        <f t="shared" si="25"/>
        <v>Hy-95025016.028.0</v>
      </c>
      <c r="AH318" s="58">
        <v>285.8</v>
      </c>
      <c r="AI318" s="107">
        <v>398000</v>
      </c>
      <c r="AJ318" s="107">
        <v>7330</v>
      </c>
      <c r="AK318" s="124">
        <v>37.299999999999997</v>
      </c>
      <c r="AL318" s="124">
        <v>5.0599999999999996</v>
      </c>
      <c r="AM318" s="124">
        <v>6.29</v>
      </c>
      <c r="AN318" s="125">
        <v>8390</v>
      </c>
      <c r="AO318" s="108">
        <v>586</v>
      </c>
      <c r="AP318" s="125">
        <v>9770</v>
      </c>
      <c r="AQ318" s="107">
        <v>936</v>
      </c>
      <c r="AR318" s="109"/>
    </row>
    <row r="319" spans="27:44" ht="13.5" customHeight="1" x14ac:dyDescent="0.2">
      <c r="AA319" s="106" t="s">
        <v>165</v>
      </c>
      <c r="AB319" s="122">
        <v>950</v>
      </c>
      <c r="AC319" s="122">
        <v>250</v>
      </c>
      <c r="AD319" s="123">
        <v>16</v>
      </c>
      <c r="AE319" s="123">
        <v>32</v>
      </c>
      <c r="AF319" s="123"/>
      <c r="AG319" s="55" t="str">
        <f t="shared" si="25"/>
        <v>Hy-95025016.032.0</v>
      </c>
      <c r="AH319" s="58">
        <v>304.5</v>
      </c>
      <c r="AI319" s="107">
        <v>435000</v>
      </c>
      <c r="AJ319" s="107">
        <v>8370</v>
      </c>
      <c r="AK319" s="124">
        <v>37.799999999999997</v>
      </c>
      <c r="AL319" s="124">
        <v>5.24</v>
      </c>
      <c r="AM319" s="124">
        <v>6.41</v>
      </c>
      <c r="AN319" s="125">
        <v>9160</v>
      </c>
      <c r="AO319" s="108">
        <v>669</v>
      </c>
      <c r="AP319" s="125">
        <v>10600</v>
      </c>
      <c r="AQ319" s="107">
        <v>1060</v>
      </c>
      <c r="AR319" s="109"/>
    </row>
    <row r="320" spans="27:44" ht="13.5" customHeight="1" x14ac:dyDescent="0.2">
      <c r="AA320" s="106" t="s">
        <v>165</v>
      </c>
      <c r="AB320" s="122">
        <v>950</v>
      </c>
      <c r="AC320" s="122">
        <v>250</v>
      </c>
      <c r="AD320" s="123">
        <v>19</v>
      </c>
      <c r="AE320" s="123">
        <v>25</v>
      </c>
      <c r="AF320" s="123"/>
      <c r="AG320" s="55" t="str">
        <f t="shared" si="25"/>
        <v>Hy-95025019.025.0</v>
      </c>
      <c r="AH320" s="58">
        <v>298.8</v>
      </c>
      <c r="AI320" s="107">
        <v>388000</v>
      </c>
      <c r="AJ320" s="107">
        <v>6570</v>
      </c>
      <c r="AK320" s="124">
        <v>36.1</v>
      </c>
      <c r="AL320" s="124">
        <v>4.6900000000000004</v>
      </c>
      <c r="AM320" s="124">
        <v>6.05</v>
      </c>
      <c r="AN320" s="125">
        <v>8180</v>
      </c>
      <c r="AO320" s="108">
        <v>525</v>
      </c>
      <c r="AP320" s="125">
        <v>9750</v>
      </c>
      <c r="AQ320" s="107">
        <v>866</v>
      </c>
      <c r="AR320" s="109"/>
    </row>
    <row r="321" spans="27:44" ht="13.5" customHeight="1" x14ac:dyDescent="0.2">
      <c r="AA321" s="106" t="s">
        <v>165</v>
      </c>
      <c r="AB321" s="122">
        <v>950</v>
      </c>
      <c r="AC321" s="122">
        <v>250</v>
      </c>
      <c r="AD321" s="123">
        <v>19</v>
      </c>
      <c r="AE321" s="123">
        <v>28</v>
      </c>
      <c r="AF321" s="123"/>
      <c r="AG321" s="55" t="str">
        <f t="shared" si="25"/>
        <v>Hy-95025019.028.0</v>
      </c>
      <c r="AH321" s="58">
        <v>312.60000000000002</v>
      </c>
      <c r="AI321" s="107">
        <v>416000</v>
      </c>
      <c r="AJ321" s="107">
        <v>7350</v>
      </c>
      <c r="AK321" s="124">
        <v>36.5</v>
      </c>
      <c r="AL321" s="124">
        <v>4.8499999999999996</v>
      </c>
      <c r="AM321" s="124">
        <v>6.17</v>
      </c>
      <c r="AN321" s="125">
        <v>8760</v>
      </c>
      <c r="AO321" s="108">
        <v>588</v>
      </c>
      <c r="AP321" s="125">
        <v>10400</v>
      </c>
      <c r="AQ321" s="107">
        <v>959</v>
      </c>
      <c r="AR321" s="109"/>
    </row>
    <row r="322" spans="27:44" ht="13.5" customHeight="1" x14ac:dyDescent="0.2">
      <c r="AA322" s="106" t="s">
        <v>165</v>
      </c>
      <c r="AB322" s="122">
        <v>950</v>
      </c>
      <c r="AC322" s="122">
        <v>250</v>
      </c>
      <c r="AD322" s="123">
        <v>19</v>
      </c>
      <c r="AE322" s="123">
        <v>32</v>
      </c>
      <c r="AF322" s="123"/>
      <c r="AG322" s="55" t="str">
        <f t="shared" ref="AG322:AG379" si="26">AA322&amp;FIXED(AB322,0)&amp;FIXED(AC322,0)&amp;FIXED(AD322,1)&amp;FIXED(AE322,1)</f>
        <v>Hy-95025019.032.0</v>
      </c>
      <c r="AH322" s="58">
        <v>331.1</v>
      </c>
      <c r="AI322" s="107">
        <v>453000</v>
      </c>
      <c r="AJ322" s="107">
        <v>8390</v>
      </c>
      <c r="AK322" s="124">
        <v>37</v>
      </c>
      <c r="AL322" s="124">
        <v>5.03</v>
      </c>
      <c r="AM322" s="124">
        <v>6.3</v>
      </c>
      <c r="AN322" s="125">
        <v>9530</v>
      </c>
      <c r="AO322" s="108">
        <v>671</v>
      </c>
      <c r="AP322" s="125">
        <v>11200</v>
      </c>
      <c r="AQ322" s="107">
        <v>1080</v>
      </c>
      <c r="AR322" s="109"/>
    </row>
    <row r="323" spans="27:44" ht="13.5" customHeight="1" x14ac:dyDescent="0.2">
      <c r="AA323" s="106" t="s">
        <v>165</v>
      </c>
      <c r="AB323" s="122">
        <v>950</v>
      </c>
      <c r="AC323" s="122">
        <v>250</v>
      </c>
      <c r="AD323" s="123">
        <v>19</v>
      </c>
      <c r="AE323" s="123">
        <v>36</v>
      </c>
      <c r="AF323" s="123"/>
      <c r="AG323" s="55" t="str">
        <f t="shared" si="26"/>
        <v>Hy-95025019.036.0</v>
      </c>
      <c r="AH323" s="58">
        <v>349.6</v>
      </c>
      <c r="AI323" s="107">
        <v>489000</v>
      </c>
      <c r="AJ323" s="107">
        <v>9430</v>
      </c>
      <c r="AK323" s="124">
        <v>37.4</v>
      </c>
      <c r="AL323" s="124">
        <v>5.19</v>
      </c>
      <c r="AM323" s="124">
        <v>6.4</v>
      </c>
      <c r="AN323" s="125">
        <v>10300</v>
      </c>
      <c r="AO323" s="108">
        <v>754</v>
      </c>
      <c r="AP323" s="125">
        <v>12000</v>
      </c>
      <c r="AQ323" s="107">
        <v>1210</v>
      </c>
      <c r="AR323" s="109"/>
    </row>
    <row r="324" spans="27:44" ht="13.5" customHeight="1" x14ac:dyDescent="0.2">
      <c r="AA324" s="106" t="s">
        <v>165</v>
      </c>
      <c r="AB324" s="122">
        <v>950</v>
      </c>
      <c r="AC324" s="122">
        <v>300</v>
      </c>
      <c r="AD324" s="123">
        <v>16</v>
      </c>
      <c r="AE324" s="123">
        <v>22</v>
      </c>
      <c r="AF324" s="123"/>
      <c r="AG324" s="55" t="str">
        <f t="shared" si="26"/>
        <v>Hy-95030016.022.0</v>
      </c>
      <c r="AH324" s="58">
        <v>279.7</v>
      </c>
      <c r="AI324" s="107">
        <v>389000</v>
      </c>
      <c r="AJ324" s="107">
        <v>9940</v>
      </c>
      <c r="AK324" s="124">
        <v>37.299999999999997</v>
      </c>
      <c r="AL324" s="124">
        <v>5.96</v>
      </c>
      <c r="AM324" s="124">
        <v>7.45</v>
      </c>
      <c r="AN324" s="125">
        <v>8190</v>
      </c>
      <c r="AO324" s="108">
        <v>662</v>
      </c>
      <c r="AP324" s="125">
        <v>9530</v>
      </c>
      <c r="AQ324" s="107">
        <v>1050</v>
      </c>
      <c r="AR324" s="109"/>
    </row>
    <row r="325" spans="27:44" ht="13.5" customHeight="1" x14ac:dyDescent="0.2">
      <c r="AA325" s="106" t="s">
        <v>165</v>
      </c>
      <c r="AB325" s="122">
        <v>950</v>
      </c>
      <c r="AC325" s="122">
        <v>300</v>
      </c>
      <c r="AD325" s="123">
        <v>16</v>
      </c>
      <c r="AE325" s="123">
        <v>25</v>
      </c>
      <c r="AF325" s="123"/>
      <c r="AG325" s="55" t="str">
        <f t="shared" si="26"/>
        <v>Hy-95030016.025.0</v>
      </c>
      <c r="AH325" s="58">
        <v>396.8</v>
      </c>
      <c r="AI325" s="107">
        <v>424000</v>
      </c>
      <c r="AJ325" s="107">
        <v>11300</v>
      </c>
      <c r="AK325" s="124">
        <v>37.799999999999997</v>
      </c>
      <c r="AL325" s="124">
        <v>6.17</v>
      </c>
      <c r="AM325" s="124">
        <v>7.59</v>
      </c>
      <c r="AN325" s="125">
        <v>8920</v>
      </c>
      <c r="AO325" s="108">
        <v>752</v>
      </c>
      <c r="AP325" s="125">
        <v>10300</v>
      </c>
      <c r="AQ325" s="107">
        <v>1190</v>
      </c>
      <c r="AR325" s="109"/>
    </row>
    <row r="326" spans="27:44" ht="13.5" customHeight="1" x14ac:dyDescent="0.2">
      <c r="AA326" s="106" t="s">
        <v>165</v>
      </c>
      <c r="AB326" s="122">
        <v>950</v>
      </c>
      <c r="AC326" s="122">
        <v>300</v>
      </c>
      <c r="AD326" s="123">
        <v>16</v>
      </c>
      <c r="AE326" s="123">
        <v>28</v>
      </c>
      <c r="AF326" s="123"/>
      <c r="AG326" s="55" t="str">
        <f t="shared" si="26"/>
        <v>Hy-95030016.028.0</v>
      </c>
      <c r="AH326" s="58">
        <v>313.8</v>
      </c>
      <c r="AI326" s="107">
        <v>458000</v>
      </c>
      <c r="AJ326" s="107">
        <v>12600</v>
      </c>
      <c r="AK326" s="124">
        <v>38.200000000000003</v>
      </c>
      <c r="AL326" s="124">
        <v>6.35</v>
      </c>
      <c r="AM326" s="124">
        <v>7.7</v>
      </c>
      <c r="AN326" s="125">
        <v>9640</v>
      </c>
      <c r="AO326" s="108">
        <v>842</v>
      </c>
      <c r="AP326" s="125">
        <v>11100</v>
      </c>
      <c r="AQ326" s="107">
        <v>1320</v>
      </c>
      <c r="AR326" s="109"/>
    </row>
    <row r="327" spans="27:44" ht="13.5" customHeight="1" x14ac:dyDescent="0.2">
      <c r="AA327" s="106" t="s">
        <v>165</v>
      </c>
      <c r="AB327" s="122">
        <v>950</v>
      </c>
      <c r="AC327" s="122">
        <v>300</v>
      </c>
      <c r="AD327" s="123">
        <v>16</v>
      </c>
      <c r="AE327" s="123">
        <v>32</v>
      </c>
      <c r="AF327" s="123"/>
      <c r="AG327" s="55" t="str">
        <f t="shared" si="26"/>
        <v>Hy-95030016.032.0</v>
      </c>
      <c r="AH327" s="58">
        <v>336.5</v>
      </c>
      <c r="AI327" s="107">
        <v>503000</v>
      </c>
      <c r="AJ327" s="107">
        <v>14400</v>
      </c>
      <c r="AK327" s="124">
        <v>38.700000000000003</v>
      </c>
      <c r="AL327" s="124">
        <v>6.55</v>
      </c>
      <c r="AM327" s="124">
        <v>7.83</v>
      </c>
      <c r="AN327" s="125">
        <v>10600</v>
      </c>
      <c r="AO327" s="108">
        <v>962</v>
      </c>
      <c r="AP327" s="125">
        <v>12100</v>
      </c>
      <c r="AQ327" s="107">
        <v>1500</v>
      </c>
      <c r="AR327" s="109"/>
    </row>
    <row r="328" spans="27:44" ht="13.5" customHeight="1" x14ac:dyDescent="0.2">
      <c r="AA328" s="106" t="s">
        <v>165</v>
      </c>
      <c r="AB328" s="122">
        <v>950</v>
      </c>
      <c r="AC328" s="122">
        <v>300</v>
      </c>
      <c r="AD328" s="123">
        <v>19</v>
      </c>
      <c r="AE328" s="123">
        <v>25</v>
      </c>
      <c r="AF328" s="123"/>
      <c r="AG328" s="55" t="str">
        <f t="shared" si="26"/>
        <v>Hy-95030019.025.0</v>
      </c>
      <c r="AH328" s="58">
        <v>323.8</v>
      </c>
      <c r="AI328" s="107">
        <v>442000</v>
      </c>
      <c r="AJ328" s="107">
        <v>11300</v>
      </c>
      <c r="AK328" s="124">
        <v>36.9</v>
      </c>
      <c r="AL328" s="124">
        <v>5.91</v>
      </c>
      <c r="AM328" s="124">
        <v>7.44</v>
      </c>
      <c r="AN328" s="125">
        <v>9300</v>
      </c>
      <c r="AO328" s="108">
        <v>754</v>
      </c>
      <c r="AP328" s="125">
        <v>10900</v>
      </c>
      <c r="AQ328" s="107">
        <v>1210</v>
      </c>
      <c r="AR328" s="109"/>
    </row>
    <row r="329" spans="27:44" ht="13.5" customHeight="1" x14ac:dyDescent="0.2">
      <c r="AA329" s="106" t="s">
        <v>165</v>
      </c>
      <c r="AB329" s="122">
        <v>950</v>
      </c>
      <c r="AC329" s="122">
        <v>300</v>
      </c>
      <c r="AD329" s="123">
        <v>19</v>
      </c>
      <c r="AE329" s="123">
        <v>28</v>
      </c>
      <c r="AF329" s="123"/>
      <c r="AG329" s="55" t="str">
        <f t="shared" si="26"/>
        <v>Hy-95030019.028.0</v>
      </c>
      <c r="AH329" s="58">
        <v>340.6</v>
      </c>
      <c r="AI329" s="107">
        <v>476000</v>
      </c>
      <c r="AJ329" s="107">
        <v>12700</v>
      </c>
      <c r="AK329" s="124">
        <v>37.4</v>
      </c>
      <c r="AL329" s="124">
        <v>6.1</v>
      </c>
      <c r="AM329" s="124">
        <v>7.57</v>
      </c>
      <c r="AN329" s="125">
        <v>10000</v>
      </c>
      <c r="AO329" s="108">
        <v>844</v>
      </c>
      <c r="AP329" s="125">
        <v>11700</v>
      </c>
      <c r="AQ329" s="107">
        <v>1340</v>
      </c>
      <c r="AR329" s="109"/>
    </row>
    <row r="330" spans="27:44" ht="13.5" customHeight="1" x14ac:dyDescent="0.2">
      <c r="AA330" s="106" t="s">
        <v>165</v>
      </c>
      <c r="AB330" s="122">
        <v>950</v>
      </c>
      <c r="AC330" s="122">
        <v>300</v>
      </c>
      <c r="AD330" s="123">
        <v>19</v>
      </c>
      <c r="AE330" s="123">
        <v>32</v>
      </c>
      <c r="AF330" s="123"/>
      <c r="AG330" s="55" t="str">
        <f t="shared" si="26"/>
        <v>Hy-95030019.032.0</v>
      </c>
      <c r="AH330" s="58">
        <v>363.1</v>
      </c>
      <c r="AI330" s="107">
        <v>520000</v>
      </c>
      <c r="AJ330" s="107">
        <v>14500</v>
      </c>
      <c r="AK330" s="124">
        <v>37.799999999999997</v>
      </c>
      <c r="AL330" s="124">
        <v>6.31</v>
      </c>
      <c r="AM330" s="124">
        <v>7.71</v>
      </c>
      <c r="AN330" s="125">
        <v>11000</v>
      </c>
      <c r="AO330" s="108">
        <v>864</v>
      </c>
      <c r="AP330" s="125">
        <v>12700</v>
      </c>
      <c r="AQ330" s="107">
        <v>1520</v>
      </c>
      <c r="AR330" s="109"/>
    </row>
    <row r="331" spans="27:44" ht="13.5" customHeight="1" x14ac:dyDescent="0.2">
      <c r="AA331" s="106" t="s">
        <v>165</v>
      </c>
      <c r="AB331" s="122">
        <v>950</v>
      </c>
      <c r="AC331" s="122">
        <v>300</v>
      </c>
      <c r="AD331" s="123">
        <v>19</v>
      </c>
      <c r="AE331" s="123">
        <v>36</v>
      </c>
      <c r="AF331" s="123"/>
      <c r="AG331" s="55" t="str">
        <f t="shared" si="26"/>
        <v>Hy-95030019.036.0</v>
      </c>
      <c r="AH331" s="58">
        <v>385.6</v>
      </c>
      <c r="AI331" s="107">
        <v>564000</v>
      </c>
      <c r="AJ331" s="107">
        <v>16300</v>
      </c>
      <c r="AK331" s="124">
        <v>38.200000000000003</v>
      </c>
      <c r="AL331" s="124">
        <v>6.49</v>
      </c>
      <c r="AM331" s="124">
        <v>7.82</v>
      </c>
      <c r="AN331" s="125">
        <v>11900</v>
      </c>
      <c r="AO331" s="108">
        <v>1080</v>
      </c>
      <c r="AP331" s="125">
        <v>13700</v>
      </c>
      <c r="AQ331" s="107">
        <v>1700</v>
      </c>
      <c r="AR331" s="109"/>
    </row>
    <row r="332" spans="27:44" ht="13.5" customHeight="1" x14ac:dyDescent="0.2">
      <c r="AA332" s="106" t="s">
        <v>165</v>
      </c>
      <c r="AB332" s="122">
        <v>950</v>
      </c>
      <c r="AC332" s="122">
        <v>350</v>
      </c>
      <c r="AD332" s="123">
        <v>16</v>
      </c>
      <c r="AE332" s="123">
        <v>22</v>
      </c>
      <c r="AF332" s="123"/>
      <c r="AG332" s="55" t="str">
        <f t="shared" si="26"/>
        <v>Hy-95035016.022.0</v>
      </c>
      <c r="AH332" s="58">
        <v>301.7</v>
      </c>
      <c r="AI332" s="107">
        <v>436000</v>
      </c>
      <c r="AJ332" s="107">
        <v>15800</v>
      </c>
      <c r="AK332" s="124">
        <v>38</v>
      </c>
      <c r="AL332" s="124">
        <v>7.23</v>
      </c>
      <c r="AM332" s="124">
        <v>8.86</v>
      </c>
      <c r="AN332" s="125">
        <v>9190</v>
      </c>
      <c r="AO332" s="108">
        <v>900</v>
      </c>
      <c r="AP332" s="125">
        <v>10600</v>
      </c>
      <c r="AQ332" s="107">
        <v>1410</v>
      </c>
      <c r="AR332" s="109"/>
    </row>
    <row r="333" spans="27:44" ht="13.5" customHeight="1" x14ac:dyDescent="0.2">
      <c r="AA333" s="106" t="s">
        <v>165</v>
      </c>
      <c r="AB333" s="122">
        <v>950</v>
      </c>
      <c r="AC333" s="122">
        <v>350</v>
      </c>
      <c r="AD333" s="123">
        <v>16</v>
      </c>
      <c r="AE333" s="123">
        <v>25</v>
      </c>
      <c r="AF333" s="123"/>
      <c r="AG333" s="55" t="str">
        <f t="shared" si="26"/>
        <v>Hy-95035016.025.0</v>
      </c>
      <c r="AH333" s="58">
        <v>321.8</v>
      </c>
      <c r="AI333" s="107">
        <v>477000</v>
      </c>
      <c r="AJ333" s="107">
        <v>17900</v>
      </c>
      <c r="AK333" s="124">
        <v>38.5</v>
      </c>
      <c r="AL333" s="124">
        <v>7.46</v>
      </c>
      <c r="AM333" s="124">
        <v>9.01</v>
      </c>
      <c r="AN333" s="125">
        <v>10000</v>
      </c>
      <c r="AO333" s="108">
        <v>1020</v>
      </c>
      <c r="AP333" s="125">
        <v>11500</v>
      </c>
      <c r="AQ333" s="107">
        <v>1590</v>
      </c>
      <c r="AR333" s="109"/>
    </row>
    <row r="334" spans="27:44" ht="13.5" customHeight="1" x14ac:dyDescent="0.2">
      <c r="AA334" s="106" t="s">
        <v>165</v>
      </c>
      <c r="AB334" s="122">
        <v>950</v>
      </c>
      <c r="AC334" s="122">
        <v>350</v>
      </c>
      <c r="AD334" s="123">
        <v>16</v>
      </c>
      <c r="AE334" s="123">
        <v>28</v>
      </c>
      <c r="AF334" s="123"/>
      <c r="AG334" s="55" t="str">
        <f t="shared" si="26"/>
        <v>Hy-95035016.028.0</v>
      </c>
      <c r="AH334" s="58">
        <v>341.8</v>
      </c>
      <c r="AI334" s="107">
        <v>517000</v>
      </c>
      <c r="AJ334" s="107">
        <v>20000</v>
      </c>
      <c r="AK334" s="124">
        <v>38.9</v>
      </c>
      <c r="AL334" s="124">
        <v>7.66</v>
      </c>
      <c r="AM334" s="124">
        <v>9.1199999999999992</v>
      </c>
      <c r="AN334" s="125">
        <v>10900</v>
      </c>
      <c r="AO334" s="108">
        <v>1150</v>
      </c>
      <c r="AP334" s="125">
        <v>12400</v>
      </c>
      <c r="AQ334" s="107">
        <v>1780</v>
      </c>
      <c r="AR334" s="109"/>
    </row>
    <row r="335" spans="27:44" ht="13.5" customHeight="1" x14ac:dyDescent="0.2">
      <c r="AA335" s="106" t="s">
        <v>165</v>
      </c>
      <c r="AB335" s="122">
        <v>950</v>
      </c>
      <c r="AC335" s="122">
        <v>350</v>
      </c>
      <c r="AD335" s="123">
        <v>16</v>
      </c>
      <c r="AE335" s="123">
        <v>32</v>
      </c>
      <c r="AF335" s="123"/>
      <c r="AG335" s="55" t="str">
        <f t="shared" si="26"/>
        <v>Hy-95035016.032.0</v>
      </c>
      <c r="AH335" s="58">
        <v>368.5</v>
      </c>
      <c r="AI335" s="107">
        <v>570000</v>
      </c>
      <c r="AJ335" s="107">
        <v>22900</v>
      </c>
      <c r="AK335" s="124">
        <v>39.299999999999997</v>
      </c>
      <c r="AL335" s="124">
        <v>7.88</v>
      </c>
      <c r="AM335" s="124">
        <v>9.25</v>
      </c>
      <c r="AN335" s="125">
        <v>12000</v>
      </c>
      <c r="AO335" s="108">
        <v>1310</v>
      </c>
      <c r="AP335" s="125">
        <v>13500</v>
      </c>
      <c r="AQ335" s="107">
        <v>2020</v>
      </c>
      <c r="AR335" s="109"/>
    </row>
    <row r="336" spans="27:44" ht="13.5" customHeight="1" x14ac:dyDescent="0.2">
      <c r="AA336" s="106" t="s">
        <v>165</v>
      </c>
      <c r="AB336" s="122">
        <v>950</v>
      </c>
      <c r="AC336" s="122">
        <v>350</v>
      </c>
      <c r="AD336" s="123">
        <v>19</v>
      </c>
      <c r="AE336" s="123">
        <v>25</v>
      </c>
      <c r="AF336" s="123"/>
      <c r="AG336" s="55" t="str">
        <f t="shared" si="26"/>
        <v>Hy-95035019.025.0</v>
      </c>
      <c r="AH336" s="58">
        <v>348.8</v>
      </c>
      <c r="AI336" s="107">
        <v>495000</v>
      </c>
      <c r="AJ336" s="107">
        <v>17900</v>
      </c>
      <c r="AK336" s="124">
        <v>37.700000000000003</v>
      </c>
      <c r="AL336" s="124">
        <v>7.17</v>
      </c>
      <c r="AM336" s="124">
        <v>8.85</v>
      </c>
      <c r="AN336" s="125">
        <v>10400</v>
      </c>
      <c r="AO336" s="108">
        <v>1020</v>
      </c>
      <c r="AP336" s="125">
        <v>12100</v>
      </c>
      <c r="AQ336" s="107">
        <v>1620</v>
      </c>
      <c r="AR336" s="109"/>
    </row>
    <row r="337" spans="27:44" ht="13.5" customHeight="1" x14ac:dyDescent="0.2">
      <c r="AA337" s="106" t="s">
        <v>165</v>
      </c>
      <c r="AB337" s="122">
        <v>950</v>
      </c>
      <c r="AC337" s="122">
        <v>350</v>
      </c>
      <c r="AD337" s="123">
        <v>19</v>
      </c>
      <c r="AE337" s="123">
        <v>28</v>
      </c>
      <c r="AF337" s="123"/>
      <c r="AG337" s="55" t="str">
        <f t="shared" si="26"/>
        <v>Hy-95035019.028.0</v>
      </c>
      <c r="AH337" s="58">
        <v>368.6</v>
      </c>
      <c r="AI337" s="107">
        <v>535000</v>
      </c>
      <c r="AJ337" s="107">
        <v>20100</v>
      </c>
      <c r="AK337" s="124">
        <v>38.1</v>
      </c>
      <c r="AL337" s="124">
        <v>7.38</v>
      </c>
      <c r="AM337" s="124">
        <v>8.98</v>
      </c>
      <c r="AN337" s="125">
        <v>11300</v>
      </c>
      <c r="AO337" s="108">
        <v>1150</v>
      </c>
      <c r="AP337" s="125">
        <v>13000</v>
      </c>
      <c r="AQ337" s="107">
        <v>1800</v>
      </c>
      <c r="AR337" s="109"/>
    </row>
    <row r="338" spans="27:44" ht="13.5" customHeight="1" x14ac:dyDescent="0.2">
      <c r="AA338" s="106" t="s">
        <v>165</v>
      </c>
      <c r="AB338" s="122">
        <v>950</v>
      </c>
      <c r="AC338" s="122">
        <v>350</v>
      </c>
      <c r="AD338" s="123">
        <v>19</v>
      </c>
      <c r="AE338" s="123">
        <v>32</v>
      </c>
      <c r="AF338" s="123"/>
      <c r="AG338" s="55" t="str">
        <f t="shared" si="26"/>
        <v>Hy-95035019.032.0</v>
      </c>
      <c r="AH338" s="58">
        <v>395.1</v>
      </c>
      <c r="AI338" s="107">
        <v>588000</v>
      </c>
      <c r="AJ338" s="107">
        <v>22900</v>
      </c>
      <c r="AK338" s="124">
        <v>38.6</v>
      </c>
      <c r="AL338" s="124">
        <v>7.62</v>
      </c>
      <c r="AM338" s="124">
        <v>9.1300000000000008</v>
      </c>
      <c r="AN338" s="125">
        <v>12400</v>
      </c>
      <c r="AO338" s="108">
        <v>1310</v>
      </c>
      <c r="AP338" s="125">
        <v>14100</v>
      </c>
      <c r="AQ338" s="107">
        <v>2040</v>
      </c>
      <c r="AR338" s="109"/>
    </row>
    <row r="339" spans="27:44" ht="13.5" customHeight="1" x14ac:dyDescent="0.2">
      <c r="AA339" s="106" t="s">
        <v>165</v>
      </c>
      <c r="AB339" s="122">
        <v>950</v>
      </c>
      <c r="AC339" s="122">
        <v>350</v>
      </c>
      <c r="AD339" s="123">
        <v>19</v>
      </c>
      <c r="AE339" s="123">
        <v>36</v>
      </c>
      <c r="AF339" s="123"/>
      <c r="AG339" s="55" t="str">
        <f t="shared" si="26"/>
        <v>Hy-95035019.036.0</v>
      </c>
      <c r="AH339" s="58">
        <v>421.6</v>
      </c>
      <c r="AI339" s="107">
        <v>639000</v>
      </c>
      <c r="AJ339" s="107">
        <v>25800</v>
      </c>
      <c r="AK339" s="124">
        <v>38.9</v>
      </c>
      <c r="AL339" s="124">
        <v>7.82</v>
      </c>
      <c r="AM339" s="124">
        <v>9.24</v>
      </c>
      <c r="AN339" s="125">
        <v>13500</v>
      </c>
      <c r="AO339" s="108">
        <v>1470</v>
      </c>
      <c r="AP339" s="125">
        <v>15300</v>
      </c>
      <c r="AQ339" s="107">
        <v>2290</v>
      </c>
      <c r="AR339" s="109"/>
    </row>
    <row r="340" spans="27:44" ht="13.5" customHeight="1" x14ac:dyDescent="0.2">
      <c r="AA340" s="106" t="s">
        <v>165</v>
      </c>
      <c r="AB340" s="122">
        <v>950</v>
      </c>
      <c r="AC340" s="122">
        <v>400</v>
      </c>
      <c r="AD340" s="123">
        <v>16</v>
      </c>
      <c r="AE340" s="123">
        <v>22</v>
      </c>
      <c r="AF340" s="123"/>
      <c r="AG340" s="55" t="str">
        <f t="shared" si="26"/>
        <v>Hy-95040016.022.0</v>
      </c>
      <c r="AH340" s="58">
        <v>323.7</v>
      </c>
      <c r="AI340" s="107">
        <v>484000</v>
      </c>
      <c r="AJ340" s="107">
        <v>23500</v>
      </c>
      <c r="AK340" s="124">
        <v>38.700000000000003</v>
      </c>
      <c r="AL340" s="124">
        <v>8.52</v>
      </c>
      <c r="AM340" s="124">
        <v>10.3</v>
      </c>
      <c r="AN340" s="125">
        <v>10200</v>
      </c>
      <c r="AO340" s="108">
        <v>1180</v>
      </c>
      <c r="AP340" s="125">
        <v>11600</v>
      </c>
      <c r="AQ340" s="107">
        <v>1820</v>
      </c>
      <c r="AR340" s="109"/>
    </row>
    <row r="341" spans="27:44" ht="13.5" customHeight="1" x14ac:dyDescent="0.2">
      <c r="AA341" s="106" t="s">
        <v>165</v>
      </c>
      <c r="AB341" s="122">
        <v>950</v>
      </c>
      <c r="AC341" s="122">
        <v>400</v>
      </c>
      <c r="AD341" s="123">
        <v>16</v>
      </c>
      <c r="AE341" s="123">
        <v>25</v>
      </c>
      <c r="AF341" s="123"/>
      <c r="AG341" s="55" t="str">
        <f t="shared" si="26"/>
        <v>Hy-95040016.025.0</v>
      </c>
      <c r="AH341" s="58">
        <v>346.8</v>
      </c>
      <c r="AI341" s="107">
        <v>531000</v>
      </c>
      <c r="AJ341" s="107">
        <v>26700</v>
      </c>
      <c r="AK341" s="124">
        <v>39.1</v>
      </c>
      <c r="AL341" s="124">
        <v>8.77</v>
      </c>
      <c r="AM341" s="124">
        <v>10.4</v>
      </c>
      <c r="AN341" s="125">
        <v>11200</v>
      </c>
      <c r="AO341" s="108">
        <v>1340</v>
      </c>
      <c r="AP341" s="125">
        <v>12600</v>
      </c>
      <c r="AQ341" s="107">
        <v>2060</v>
      </c>
      <c r="AR341" s="109"/>
    </row>
    <row r="342" spans="27:44" ht="13.5" customHeight="1" x14ac:dyDescent="0.2">
      <c r="AA342" s="106" t="s">
        <v>165</v>
      </c>
      <c r="AB342" s="122">
        <v>950</v>
      </c>
      <c r="AC342" s="122">
        <v>400</v>
      </c>
      <c r="AD342" s="123">
        <v>16</v>
      </c>
      <c r="AE342" s="123">
        <v>28</v>
      </c>
      <c r="AF342" s="123"/>
      <c r="AG342" s="55" t="str">
        <f t="shared" si="26"/>
        <v>Hy-95040016.028.0</v>
      </c>
      <c r="AH342" s="58">
        <v>369.8</v>
      </c>
      <c r="AI342" s="107">
        <v>577000</v>
      </c>
      <c r="AJ342" s="107">
        <v>29900</v>
      </c>
      <c r="AK342" s="124">
        <v>39.5</v>
      </c>
      <c r="AL342" s="124">
        <v>8.99</v>
      </c>
      <c r="AM342" s="124">
        <v>10.5</v>
      </c>
      <c r="AN342" s="125">
        <v>12100</v>
      </c>
      <c r="AO342" s="108">
        <v>1500</v>
      </c>
      <c r="AP342" s="125">
        <v>13600</v>
      </c>
      <c r="AQ342" s="107">
        <v>2300</v>
      </c>
      <c r="AR342" s="109"/>
    </row>
    <row r="343" spans="27:44" ht="13.5" customHeight="1" x14ac:dyDescent="0.2">
      <c r="AA343" s="106" t="s">
        <v>165</v>
      </c>
      <c r="AB343" s="122">
        <v>950</v>
      </c>
      <c r="AC343" s="122">
        <v>400</v>
      </c>
      <c r="AD343" s="123">
        <v>16</v>
      </c>
      <c r="AE343" s="123">
        <v>32</v>
      </c>
      <c r="AF343" s="123"/>
      <c r="AG343" s="55" t="str">
        <f t="shared" si="26"/>
        <v>Hy-95040016.032.0</v>
      </c>
      <c r="AH343" s="58">
        <v>400.5</v>
      </c>
      <c r="AI343" s="107">
        <v>638000</v>
      </c>
      <c r="AJ343" s="107">
        <v>34200</v>
      </c>
      <c r="AK343" s="124">
        <v>39.9</v>
      </c>
      <c r="AL343" s="124">
        <v>9.24</v>
      </c>
      <c r="AM343" s="124">
        <v>10.7</v>
      </c>
      <c r="AN343" s="125">
        <v>13400</v>
      </c>
      <c r="AO343" s="108">
        <v>1710</v>
      </c>
      <c r="AP343" s="125">
        <v>15000</v>
      </c>
      <c r="AQ343" s="107">
        <v>2620</v>
      </c>
      <c r="AR343" s="109"/>
    </row>
    <row r="344" spans="27:44" ht="13.5" customHeight="1" x14ac:dyDescent="0.2">
      <c r="AA344" s="106" t="s">
        <v>165</v>
      </c>
      <c r="AB344" s="122">
        <v>950</v>
      </c>
      <c r="AC344" s="122">
        <v>400</v>
      </c>
      <c r="AD344" s="123">
        <v>19</v>
      </c>
      <c r="AE344" s="123">
        <v>25</v>
      </c>
      <c r="AF344" s="123"/>
      <c r="AG344" s="55" t="str">
        <f t="shared" si="26"/>
        <v>Hy-95040019.025.0</v>
      </c>
      <c r="AH344" s="58">
        <v>373.8</v>
      </c>
      <c r="AI344" s="107">
        <v>549000</v>
      </c>
      <c r="AJ344" s="107">
        <v>26700</v>
      </c>
      <c r="AK344" s="124">
        <v>38.299999999999997</v>
      </c>
      <c r="AL344" s="124">
        <v>8.4600000000000009</v>
      </c>
      <c r="AM344" s="124">
        <v>10.3</v>
      </c>
      <c r="AN344" s="125">
        <v>11600</v>
      </c>
      <c r="AO344" s="108">
        <v>1340</v>
      </c>
      <c r="AP344" s="125">
        <v>13200</v>
      </c>
      <c r="AQ344" s="107">
        <v>2080</v>
      </c>
      <c r="AR344" s="109"/>
    </row>
    <row r="345" spans="27:44" ht="13.5" customHeight="1" x14ac:dyDescent="0.2">
      <c r="AA345" s="106" t="s">
        <v>165</v>
      </c>
      <c r="AB345" s="122">
        <v>950</v>
      </c>
      <c r="AC345" s="122">
        <v>400</v>
      </c>
      <c r="AD345" s="123">
        <v>19</v>
      </c>
      <c r="AE345" s="123">
        <v>28</v>
      </c>
      <c r="AF345" s="123"/>
      <c r="AG345" s="55" t="str">
        <f t="shared" si="26"/>
        <v>Hy-95040019.028.0</v>
      </c>
      <c r="AH345" s="58">
        <v>396.6</v>
      </c>
      <c r="AI345" s="107">
        <v>595000</v>
      </c>
      <c r="AJ345" s="107">
        <v>29900</v>
      </c>
      <c r="AK345" s="124">
        <v>38.700000000000003</v>
      </c>
      <c r="AL345" s="124">
        <v>8.69</v>
      </c>
      <c r="AM345" s="124">
        <v>10.4</v>
      </c>
      <c r="AN345" s="125">
        <v>12500</v>
      </c>
      <c r="AO345" s="108">
        <v>1500</v>
      </c>
      <c r="AP345" s="125">
        <v>14200</v>
      </c>
      <c r="AQ345" s="107">
        <v>2320</v>
      </c>
      <c r="AR345" s="109"/>
    </row>
    <row r="346" spans="27:44" ht="13.5" customHeight="1" x14ac:dyDescent="0.2">
      <c r="AA346" s="106" t="s">
        <v>165</v>
      </c>
      <c r="AB346" s="122">
        <v>950</v>
      </c>
      <c r="AC346" s="122">
        <v>400</v>
      </c>
      <c r="AD346" s="123">
        <v>19</v>
      </c>
      <c r="AE346" s="123">
        <v>32</v>
      </c>
      <c r="AF346" s="123"/>
      <c r="AG346" s="55" t="str">
        <f t="shared" si="26"/>
        <v>Hy-95040019.032.0</v>
      </c>
      <c r="AH346" s="58">
        <v>427.1</v>
      </c>
      <c r="AI346" s="107">
        <v>655000</v>
      </c>
      <c r="AJ346" s="107">
        <v>34200</v>
      </c>
      <c r="AK346" s="124">
        <v>39.200000000000003</v>
      </c>
      <c r="AL346" s="124">
        <v>8.9499999999999993</v>
      </c>
      <c r="AM346" s="124">
        <v>10.6</v>
      </c>
      <c r="AN346" s="125">
        <v>13800</v>
      </c>
      <c r="AO346" s="108">
        <v>1710</v>
      </c>
      <c r="AP346" s="125">
        <v>15600</v>
      </c>
      <c r="AQ346" s="107">
        <v>2640</v>
      </c>
      <c r="AR346" s="109"/>
    </row>
    <row r="347" spans="27:44" ht="13.5" customHeight="1" x14ac:dyDescent="0.2">
      <c r="AA347" s="106" t="s">
        <v>165</v>
      </c>
      <c r="AB347" s="122">
        <v>950</v>
      </c>
      <c r="AC347" s="122">
        <v>400</v>
      </c>
      <c r="AD347" s="123">
        <v>19</v>
      </c>
      <c r="AE347" s="123">
        <v>36</v>
      </c>
      <c r="AF347" s="123"/>
      <c r="AG347" s="55" t="str">
        <f t="shared" si="26"/>
        <v>Hy-95040019.036.0</v>
      </c>
      <c r="AH347" s="58">
        <v>457.6</v>
      </c>
      <c r="AI347" s="107">
        <v>714000</v>
      </c>
      <c r="AJ347" s="107">
        <v>38500</v>
      </c>
      <c r="AK347" s="124">
        <v>39.5</v>
      </c>
      <c r="AL347" s="124">
        <v>9.17</v>
      </c>
      <c r="AM347" s="124">
        <v>10.7</v>
      </c>
      <c r="AN347" s="125">
        <v>15000</v>
      </c>
      <c r="AO347" s="108">
        <v>1920</v>
      </c>
      <c r="AP347" s="125">
        <v>16900</v>
      </c>
      <c r="AQ347" s="107">
        <v>2960</v>
      </c>
      <c r="AR347" s="109"/>
    </row>
    <row r="348" spans="27:44" ht="13.5" customHeight="1" x14ac:dyDescent="0.2">
      <c r="AA348" s="106" t="s">
        <v>165</v>
      </c>
      <c r="AB348" s="122">
        <v>1000</v>
      </c>
      <c r="AC348" s="122">
        <v>250</v>
      </c>
      <c r="AD348" s="123">
        <v>16</v>
      </c>
      <c r="AE348" s="123">
        <v>22</v>
      </c>
      <c r="AF348" s="123"/>
      <c r="AG348" s="55" t="str">
        <f t="shared" si="26"/>
        <v>Hy-1,00025016.022.0</v>
      </c>
      <c r="AH348" s="58">
        <v>265.7</v>
      </c>
      <c r="AI348" s="107">
        <v>386000</v>
      </c>
      <c r="AJ348" s="107">
        <v>5770</v>
      </c>
      <c r="AK348" s="124">
        <v>38.1</v>
      </c>
      <c r="AL348" s="124">
        <v>4.66</v>
      </c>
      <c r="AM348" s="124">
        <v>6.01</v>
      </c>
      <c r="AN348" s="125">
        <v>7720</v>
      </c>
      <c r="AO348" s="108">
        <v>461</v>
      </c>
      <c r="AP348" s="125">
        <v>9170</v>
      </c>
      <c r="AQ348" s="107">
        <v>752</v>
      </c>
      <c r="AR348" s="109"/>
    </row>
    <row r="349" spans="27:44" ht="13.5" customHeight="1" x14ac:dyDescent="0.2">
      <c r="AA349" s="106" t="s">
        <v>165</v>
      </c>
      <c r="AB349" s="122">
        <v>1000</v>
      </c>
      <c r="AC349" s="122">
        <v>250</v>
      </c>
      <c r="AD349" s="123">
        <v>16</v>
      </c>
      <c r="AE349" s="123">
        <v>25</v>
      </c>
      <c r="AF349" s="123"/>
      <c r="AG349" s="55" t="str">
        <f t="shared" si="26"/>
        <v>Hy-1,00025016.025.0</v>
      </c>
      <c r="AH349" s="58">
        <v>279.8</v>
      </c>
      <c r="AI349" s="107">
        <v>418000</v>
      </c>
      <c r="AJ349" s="107">
        <v>6550</v>
      </c>
      <c r="AK349" s="124">
        <v>38.6</v>
      </c>
      <c r="AL349" s="124">
        <v>4.84</v>
      </c>
      <c r="AM349" s="124">
        <v>6.14</v>
      </c>
      <c r="AN349" s="125">
        <v>8350</v>
      </c>
      <c r="AO349" s="108">
        <v>524</v>
      </c>
      <c r="AP349" s="125">
        <v>9830</v>
      </c>
      <c r="AQ349" s="107">
        <v>845</v>
      </c>
      <c r="AR349" s="109"/>
    </row>
    <row r="350" spans="27:44" ht="13.5" customHeight="1" x14ac:dyDescent="0.2">
      <c r="AA350" s="106" t="s">
        <v>165</v>
      </c>
      <c r="AB350" s="122">
        <v>1000</v>
      </c>
      <c r="AC350" s="122">
        <v>250</v>
      </c>
      <c r="AD350" s="123">
        <v>16</v>
      </c>
      <c r="AE350" s="123">
        <v>28</v>
      </c>
      <c r="AF350" s="123"/>
      <c r="AG350" s="55" t="str">
        <f t="shared" si="26"/>
        <v>Hy-1,00025016.028.0</v>
      </c>
      <c r="AH350" s="58">
        <v>293.8</v>
      </c>
      <c r="AI350" s="107">
        <v>449000</v>
      </c>
      <c r="AJ350" s="107">
        <v>7330</v>
      </c>
      <c r="AK350" s="124">
        <v>39.1</v>
      </c>
      <c r="AL350" s="124">
        <v>4.99</v>
      </c>
      <c r="AM350" s="124">
        <v>6.25</v>
      </c>
      <c r="AN350" s="125">
        <v>8980</v>
      </c>
      <c r="AO350" s="108">
        <v>586</v>
      </c>
      <c r="AP350" s="125">
        <v>10500</v>
      </c>
      <c r="AQ350" s="107">
        <v>939</v>
      </c>
      <c r="AR350" s="109"/>
    </row>
    <row r="351" spans="27:44" ht="13.5" customHeight="1" x14ac:dyDescent="0.2">
      <c r="AA351" s="106" t="s">
        <v>165</v>
      </c>
      <c r="AB351" s="122">
        <v>1000</v>
      </c>
      <c r="AC351" s="122">
        <v>250</v>
      </c>
      <c r="AD351" s="123">
        <v>16</v>
      </c>
      <c r="AE351" s="123">
        <v>32</v>
      </c>
      <c r="AF351" s="123"/>
      <c r="AG351" s="55" t="str">
        <f t="shared" si="26"/>
        <v>Hy-1,00025016.032.0</v>
      </c>
      <c r="AH351" s="58">
        <v>312.5</v>
      </c>
      <c r="AI351" s="107">
        <v>490000</v>
      </c>
      <c r="AJ351" s="107">
        <v>8370</v>
      </c>
      <c r="AK351" s="124">
        <v>39.6</v>
      </c>
      <c r="AL351" s="124">
        <v>5.17</v>
      </c>
      <c r="AM351" s="124">
        <v>6.37</v>
      </c>
      <c r="AN351" s="125">
        <v>9810</v>
      </c>
      <c r="AO351" s="108">
        <v>670</v>
      </c>
      <c r="AP351" s="125">
        <v>11400</v>
      </c>
      <c r="AQ351" s="107">
        <v>1060</v>
      </c>
      <c r="AR351" s="109"/>
    </row>
    <row r="352" spans="27:44" ht="13.5" customHeight="1" x14ac:dyDescent="0.2">
      <c r="AA352" s="106" t="s">
        <v>165</v>
      </c>
      <c r="AB352" s="122">
        <v>1000</v>
      </c>
      <c r="AC352" s="122">
        <v>250</v>
      </c>
      <c r="AD352" s="123">
        <v>19</v>
      </c>
      <c r="AE352" s="123">
        <v>25</v>
      </c>
      <c r="AF352" s="123"/>
      <c r="AG352" s="55" t="str">
        <f t="shared" si="26"/>
        <v>Hy-1,00025019.025.0</v>
      </c>
      <c r="AH352" s="58">
        <v>308.3</v>
      </c>
      <c r="AI352" s="107">
        <v>439000</v>
      </c>
      <c r="AJ352" s="107">
        <v>6570</v>
      </c>
      <c r="AK352" s="124">
        <v>37.700000000000003</v>
      </c>
      <c r="AL352" s="124">
        <v>4.62</v>
      </c>
      <c r="AM352" s="124">
        <v>6</v>
      </c>
      <c r="AN352" s="125">
        <v>8780</v>
      </c>
      <c r="AO352" s="108">
        <v>526</v>
      </c>
      <c r="AP352" s="125">
        <v>10500</v>
      </c>
      <c r="AQ352" s="107">
        <v>871</v>
      </c>
      <c r="AR352" s="109"/>
    </row>
    <row r="353" spans="27:44" ht="13.5" customHeight="1" x14ac:dyDescent="0.2">
      <c r="AA353" s="106" t="s">
        <v>165</v>
      </c>
      <c r="AB353" s="122">
        <v>1000</v>
      </c>
      <c r="AC353" s="122">
        <v>250</v>
      </c>
      <c r="AD353" s="123">
        <v>19</v>
      </c>
      <c r="AE353" s="123">
        <v>28</v>
      </c>
      <c r="AF353" s="123"/>
      <c r="AG353" s="55" t="str">
        <f t="shared" si="26"/>
        <v>Hy-1,00025019.028.0</v>
      </c>
      <c r="AH353" s="58">
        <v>322.10000000000002</v>
      </c>
      <c r="AI353" s="107">
        <v>470000</v>
      </c>
      <c r="AJ353" s="107">
        <v>7350</v>
      </c>
      <c r="AK353" s="124">
        <v>38.200000000000003</v>
      </c>
      <c r="AL353" s="124">
        <v>4.78</v>
      </c>
      <c r="AM353" s="124">
        <v>6.12</v>
      </c>
      <c r="AN353" s="125">
        <v>9400</v>
      </c>
      <c r="AO353" s="108">
        <v>588</v>
      </c>
      <c r="AP353" s="125">
        <v>11200</v>
      </c>
      <c r="AQ353" s="107">
        <v>964</v>
      </c>
      <c r="AR353" s="109"/>
    </row>
    <row r="354" spans="27:44" ht="13.5" customHeight="1" x14ac:dyDescent="0.2">
      <c r="AA354" s="106" t="s">
        <v>165</v>
      </c>
      <c r="AB354" s="122">
        <v>1000</v>
      </c>
      <c r="AC354" s="122">
        <v>250</v>
      </c>
      <c r="AD354" s="123">
        <v>19</v>
      </c>
      <c r="AE354" s="123">
        <v>32</v>
      </c>
      <c r="AF354" s="123"/>
      <c r="AG354" s="55" t="str">
        <f t="shared" si="26"/>
        <v>Hy-1,00025019.032.0</v>
      </c>
      <c r="AH354" s="58">
        <v>340.6</v>
      </c>
      <c r="AI354" s="107">
        <v>511000</v>
      </c>
      <c r="AJ354" s="107">
        <v>8390</v>
      </c>
      <c r="AK354" s="124">
        <v>38.700000000000003</v>
      </c>
      <c r="AL354" s="124">
        <v>4.96</v>
      </c>
      <c r="AM354" s="124">
        <v>6.25</v>
      </c>
      <c r="AN354" s="125">
        <v>10200</v>
      </c>
      <c r="AO354" s="108">
        <v>671</v>
      </c>
      <c r="AP354" s="125">
        <v>12000</v>
      </c>
      <c r="AQ354" s="107">
        <v>1090</v>
      </c>
      <c r="AR354" s="109"/>
    </row>
    <row r="355" spans="27:44" ht="13.5" customHeight="1" x14ac:dyDescent="0.2">
      <c r="AA355" s="106" t="s">
        <v>165</v>
      </c>
      <c r="AB355" s="122">
        <v>1000</v>
      </c>
      <c r="AC355" s="122">
        <v>250</v>
      </c>
      <c r="AD355" s="123">
        <v>19</v>
      </c>
      <c r="AE355" s="123">
        <v>36</v>
      </c>
      <c r="AF355" s="123"/>
      <c r="AG355" s="55" t="str">
        <f t="shared" si="26"/>
        <v>Hy-1,00025019.036.0</v>
      </c>
      <c r="AH355" s="58">
        <v>359.1</v>
      </c>
      <c r="AI355" s="107">
        <v>551000</v>
      </c>
      <c r="AJ355" s="107">
        <v>9430</v>
      </c>
      <c r="AK355" s="124">
        <v>39.200000000000003</v>
      </c>
      <c r="AL355" s="124">
        <v>5.13</v>
      </c>
      <c r="AM355" s="124">
        <v>6.36</v>
      </c>
      <c r="AN355" s="125">
        <v>11000</v>
      </c>
      <c r="AO355" s="108">
        <v>755</v>
      </c>
      <c r="AP355" s="125">
        <v>12900</v>
      </c>
      <c r="AQ355" s="107">
        <v>1210</v>
      </c>
      <c r="AR355" s="109"/>
    </row>
    <row r="356" spans="27:44" ht="13.5" customHeight="1" x14ac:dyDescent="0.2">
      <c r="AA356" s="106" t="s">
        <v>165</v>
      </c>
      <c r="AB356" s="116">
        <v>1000</v>
      </c>
      <c r="AC356" s="116">
        <v>300</v>
      </c>
      <c r="AD356" s="116">
        <v>16</v>
      </c>
      <c r="AE356" s="116">
        <v>22</v>
      </c>
      <c r="AF356" s="116"/>
      <c r="AG356" s="55" t="str">
        <f t="shared" si="26"/>
        <v>Hy-1,00030016.022.0</v>
      </c>
      <c r="AH356" s="58">
        <v>287.7</v>
      </c>
      <c r="AI356" s="107">
        <v>438000</v>
      </c>
      <c r="AJ356" s="107">
        <v>9940</v>
      </c>
      <c r="AK356" s="117">
        <v>39</v>
      </c>
      <c r="AL356" s="117">
        <v>5.88</v>
      </c>
      <c r="AM356" s="117">
        <v>7.4</v>
      </c>
      <c r="AN356" s="118">
        <v>8770</v>
      </c>
      <c r="AO356" s="108">
        <v>662</v>
      </c>
      <c r="AP356" s="118">
        <v>10200</v>
      </c>
      <c r="AQ356" s="107">
        <v>1050</v>
      </c>
      <c r="AR356" s="109"/>
    </row>
    <row r="357" spans="27:44" ht="13.5" customHeight="1" x14ac:dyDescent="0.2">
      <c r="AA357" s="106" t="s">
        <v>165</v>
      </c>
      <c r="AB357" s="116">
        <v>1000</v>
      </c>
      <c r="AC357" s="116">
        <v>300</v>
      </c>
      <c r="AD357" s="116">
        <v>16</v>
      </c>
      <c r="AE357" s="116">
        <v>25</v>
      </c>
      <c r="AF357" s="116"/>
      <c r="AG357" s="55" t="str">
        <f t="shared" si="26"/>
        <v>Hy-1,00030016.025.0</v>
      </c>
      <c r="AH357" s="58">
        <v>304.8</v>
      </c>
      <c r="AI357" s="107">
        <v>477000</v>
      </c>
      <c r="AJ357" s="107">
        <v>11300</v>
      </c>
      <c r="AK357" s="117">
        <v>39.6</v>
      </c>
      <c r="AL357" s="117">
        <v>6.09</v>
      </c>
      <c r="AM357" s="117">
        <v>7.54</v>
      </c>
      <c r="AN357" s="118">
        <v>9540</v>
      </c>
      <c r="AO357" s="108">
        <v>752</v>
      </c>
      <c r="AP357" s="118">
        <v>11100</v>
      </c>
      <c r="AQ357" s="107">
        <v>1190</v>
      </c>
      <c r="AR357" s="109"/>
    </row>
    <row r="358" spans="27:44" ht="13.5" customHeight="1" x14ac:dyDescent="0.2">
      <c r="AA358" s="106" t="s">
        <v>165</v>
      </c>
      <c r="AB358" s="116">
        <v>1000</v>
      </c>
      <c r="AC358" s="116">
        <v>300</v>
      </c>
      <c r="AD358" s="116">
        <v>16</v>
      </c>
      <c r="AE358" s="116">
        <v>28</v>
      </c>
      <c r="AF358" s="116"/>
      <c r="AG358" s="55" t="str">
        <f t="shared" si="26"/>
        <v>Hy-1,00030016.028.0</v>
      </c>
      <c r="AH358" s="58">
        <v>321.8</v>
      </c>
      <c r="AI358" s="107">
        <v>515000</v>
      </c>
      <c r="AJ358" s="107">
        <v>12600</v>
      </c>
      <c r="AK358" s="117">
        <v>40</v>
      </c>
      <c r="AL358" s="117">
        <v>6.27</v>
      </c>
      <c r="AM358" s="117">
        <v>7.66</v>
      </c>
      <c r="AN358" s="118">
        <v>10300</v>
      </c>
      <c r="AO358" s="108">
        <v>842</v>
      </c>
      <c r="AP358" s="118">
        <v>11900</v>
      </c>
      <c r="AQ358" s="107">
        <v>1320</v>
      </c>
      <c r="AR358" s="109"/>
    </row>
    <row r="359" spans="27:44" ht="13.5" customHeight="1" x14ac:dyDescent="0.2">
      <c r="AA359" s="106" t="s">
        <v>165</v>
      </c>
      <c r="AB359" s="116">
        <v>1000</v>
      </c>
      <c r="AC359" s="116">
        <v>300</v>
      </c>
      <c r="AD359" s="116">
        <v>16</v>
      </c>
      <c r="AE359" s="116">
        <v>32</v>
      </c>
      <c r="AF359" s="116"/>
      <c r="AG359" s="55" t="str">
        <f t="shared" si="26"/>
        <v>Hy-1,00030016.032.0</v>
      </c>
      <c r="AH359" s="58">
        <v>344.5</v>
      </c>
      <c r="AI359" s="107">
        <v>565000</v>
      </c>
      <c r="AJ359" s="107">
        <v>14400</v>
      </c>
      <c r="AK359" s="117">
        <v>40.5</v>
      </c>
      <c r="AL359" s="117">
        <v>6.47</v>
      </c>
      <c r="AM359" s="117">
        <v>7.78</v>
      </c>
      <c r="AN359" s="118">
        <v>11300</v>
      </c>
      <c r="AO359" s="108">
        <v>962</v>
      </c>
      <c r="AP359" s="118">
        <v>12900</v>
      </c>
      <c r="AQ359" s="107">
        <v>1500</v>
      </c>
      <c r="AR359" s="109"/>
    </row>
    <row r="360" spans="27:44" ht="13.5" customHeight="1" x14ac:dyDescent="0.2">
      <c r="AA360" s="106" t="s">
        <v>165</v>
      </c>
      <c r="AB360" s="116">
        <v>1000</v>
      </c>
      <c r="AC360" s="116">
        <v>300</v>
      </c>
      <c r="AD360" s="116">
        <v>19</v>
      </c>
      <c r="AE360" s="116">
        <v>25</v>
      </c>
      <c r="AF360" s="116"/>
      <c r="AG360" s="55" t="str">
        <f t="shared" si="26"/>
        <v>Hy-1,00030019.025.0</v>
      </c>
      <c r="AH360" s="58">
        <v>333.3</v>
      </c>
      <c r="AI360" s="107">
        <v>498000</v>
      </c>
      <c r="AJ360" s="107">
        <v>11300</v>
      </c>
      <c r="AK360" s="117">
        <v>38.700000000000003</v>
      </c>
      <c r="AL360" s="117">
        <v>5.83</v>
      </c>
      <c r="AM360" s="117">
        <v>7.39</v>
      </c>
      <c r="AN360" s="118">
        <v>9970</v>
      </c>
      <c r="AO360" s="108">
        <v>754</v>
      </c>
      <c r="AP360" s="118">
        <v>11700</v>
      </c>
      <c r="AQ360" s="107">
        <v>1210</v>
      </c>
      <c r="AR360" s="109"/>
    </row>
    <row r="361" spans="27:44" ht="13.5" customHeight="1" x14ac:dyDescent="0.2">
      <c r="AA361" s="106" t="s">
        <v>165</v>
      </c>
      <c r="AB361" s="116">
        <v>1000</v>
      </c>
      <c r="AC361" s="116">
        <v>300</v>
      </c>
      <c r="AD361" s="116">
        <v>19</v>
      </c>
      <c r="AE361" s="116">
        <v>28</v>
      </c>
      <c r="AF361" s="116"/>
      <c r="AG361" s="55" t="str">
        <f t="shared" si="26"/>
        <v>Hy-1,00030019.028.0</v>
      </c>
      <c r="AH361" s="58">
        <v>350.1</v>
      </c>
      <c r="AI361" s="107">
        <v>536000</v>
      </c>
      <c r="AJ361" s="107">
        <v>12700</v>
      </c>
      <c r="AK361" s="117">
        <v>39.4</v>
      </c>
      <c r="AL361" s="117">
        <v>6.01</v>
      </c>
      <c r="AM361" s="117">
        <v>7.52</v>
      </c>
      <c r="AN361" s="118">
        <v>10700</v>
      </c>
      <c r="AO361" s="108">
        <v>844</v>
      </c>
      <c r="AP361" s="118">
        <v>12500</v>
      </c>
      <c r="AQ361" s="107">
        <v>1350</v>
      </c>
      <c r="AR361" s="109"/>
    </row>
    <row r="362" spans="27:44" ht="13.5" customHeight="1" x14ac:dyDescent="0.2">
      <c r="AA362" s="106" t="s">
        <v>165</v>
      </c>
      <c r="AB362" s="116">
        <v>1000</v>
      </c>
      <c r="AC362" s="116">
        <v>300</v>
      </c>
      <c r="AD362" s="116">
        <v>19</v>
      </c>
      <c r="AE362" s="116">
        <v>32</v>
      </c>
      <c r="AF362" s="116"/>
      <c r="AG362" s="55" t="str">
        <f t="shared" si="26"/>
        <v>Hy-1,00030019.032.0</v>
      </c>
      <c r="AH362" s="58">
        <v>372.6</v>
      </c>
      <c r="AI362" s="107">
        <v>586000</v>
      </c>
      <c r="AJ362" s="107">
        <v>14500</v>
      </c>
      <c r="AK362" s="117">
        <v>39.6</v>
      </c>
      <c r="AL362" s="117">
        <v>6.23</v>
      </c>
      <c r="AM362" s="117">
        <v>7.66</v>
      </c>
      <c r="AN362" s="118">
        <v>11700</v>
      </c>
      <c r="AO362" s="108">
        <v>964</v>
      </c>
      <c r="AP362" s="118">
        <v>13600</v>
      </c>
      <c r="AQ362" s="107">
        <v>1530</v>
      </c>
      <c r="AR362" s="109"/>
    </row>
    <row r="363" spans="27:44" ht="13.5" customHeight="1" x14ac:dyDescent="0.2">
      <c r="AA363" s="106" t="s">
        <v>165</v>
      </c>
      <c r="AB363" s="116">
        <v>1000</v>
      </c>
      <c r="AC363" s="116">
        <v>300</v>
      </c>
      <c r="AD363" s="116">
        <v>19</v>
      </c>
      <c r="AE363" s="116">
        <v>36</v>
      </c>
      <c r="AF363" s="116"/>
      <c r="AG363" s="55" t="str">
        <f t="shared" si="26"/>
        <v>Hy-1,00030019.036.0</v>
      </c>
      <c r="AH363" s="58">
        <v>395.1</v>
      </c>
      <c r="AI363" s="107">
        <v>634000</v>
      </c>
      <c r="AJ363" s="107">
        <v>16300</v>
      </c>
      <c r="AK363" s="117">
        <v>40.1</v>
      </c>
      <c r="AL363" s="117">
        <v>6.41</v>
      </c>
      <c r="AM363" s="117">
        <v>7.77</v>
      </c>
      <c r="AN363" s="118">
        <v>12700</v>
      </c>
      <c r="AO363" s="108">
        <v>1080</v>
      </c>
      <c r="AP363" s="118">
        <v>14600</v>
      </c>
      <c r="AQ363" s="107">
        <v>1710</v>
      </c>
      <c r="AR363" s="109"/>
    </row>
    <row r="364" spans="27:44" ht="13.5" customHeight="1" x14ac:dyDescent="0.2">
      <c r="AA364" s="106" t="s">
        <v>165</v>
      </c>
      <c r="AB364" s="116">
        <v>1000</v>
      </c>
      <c r="AC364" s="116">
        <v>350</v>
      </c>
      <c r="AD364" s="116">
        <v>16</v>
      </c>
      <c r="AE364" s="116">
        <v>22</v>
      </c>
      <c r="AF364" s="116"/>
      <c r="AG364" s="55" t="str">
        <f t="shared" si="26"/>
        <v>Hy-1,00035016.022.0</v>
      </c>
      <c r="AH364" s="58">
        <v>309.7</v>
      </c>
      <c r="AI364" s="107">
        <v>491000</v>
      </c>
      <c r="AJ364" s="107">
        <v>15800</v>
      </c>
      <c r="AK364" s="117">
        <v>39.799999999999997</v>
      </c>
      <c r="AL364" s="117">
        <v>7.13</v>
      </c>
      <c r="AM364" s="117">
        <v>8.8000000000000007</v>
      </c>
      <c r="AN364" s="118">
        <v>9820</v>
      </c>
      <c r="AO364" s="108">
        <v>900</v>
      </c>
      <c r="AP364" s="118">
        <v>11300</v>
      </c>
      <c r="AQ364" s="107">
        <v>1410</v>
      </c>
      <c r="AR364" s="109"/>
    </row>
    <row r="365" spans="27:44" ht="13.5" customHeight="1" x14ac:dyDescent="0.2">
      <c r="AA365" s="106" t="s">
        <v>165</v>
      </c>
      <c r="AB365" s="116">
        <v>1000</v>
      </c>
      <c r="AC365" s="116">
        <v>350</v>
      </c>
      <c r="AD365" s="116">
        <v>16</v>
      </c>
      <c r="AE365" s="116">
        <v>25</v>
      </c>
      <c r="AF365" s="116"/>
      <c r="AG365" s="55" t="str">
        <f t="shared" si="26"/>
        <v>Hy-1,00035016.025.0</v>
      </c>
      <c r="AH365" s="58">
        <v>329.8</v>
      </c>
      <c r="AI365" s="107">
        <v>536000</v>
      </c>
      <c r="AJ365" s="107">
        <v>17900</v>
      </c>
      <c r="AK365" s="117">
        <v>40.299999999999997</v>
      </c>
      <c r="AL365" s="117">
        <v>7.37</v>
      </c>
      <c r="AM365" s="117">
        <v>8.9499999999999993</v>
      </c>
      <c r="AN365" s="118">
        <v>10700</v>
      </c>
      <c r="AO365" s="108">
        <v>10200</v>
      </c>
      <c r="AP365" s="118">
        <v>12300</v>
      </c>
      <c r="AQ365" s="107">
        <v>1600</v>
      </c>
      <c r="AR365" s="109"/>
    </row>
    <row r="366" spans="27:44" ht="13.5" customHeight="1" x14ac:dyDescent="0.2">
      <c r="AA366" s="106" t="s">
        <v>165</v>
      </c>
      <c r="AB366" s="116">
        <v>1000</v>
      </c>
      <c r="AC366" s="116">
        <v>350</v>
      </c>
      <c r="AD366" s="116">
        <v>16</v>
      </c>
      <c r="AE366" s="116">
        <v>28</v>
      </c>
      <c r="AF366" s="116"/>
      <c r="AG366" s="55" t="str">
        <f t="shared" si="26"/>
        <v>Hy-1,00035016.028.0</v>
      </c>
      <c r="AH366" s="58">
        <v>349.8</v>
      </c>
      <c r="AI366" s="107">
        <v>581000</v>
      </c>
      <c r="AJ366" s="107">
        <v>20000</v>
      </c>
      <c r="AK366" s="117">
        <v>40.799999999999997</v>
      </c>
      <c r="AL366" s="117">
        <v>7.57</v>
      </c>
      <c r="AM366" s="117">
        <v>9.07</v>
      </c>
      <c r="AN366" s="118">
        <v>11600</v>
      </c>
      <c r="AO366" s="108">
        <v>1150</v>
      </c>
      <c r="AP366" s="118">
        <v>13200</v>
      </c>
      <c r="AQ366" s="107">
        <v>1780</v>
      </c>
      <c r="AR366" s="109"/>
    </row>
    <row r="367" spans="27:44" ht="13.5" customHeight="1" x14ac:dyDescent="0.2">
      <c r="AA367" s="106" t="s">
        <v>165</v>
      </c>
      <c r="AB367" s="116">
        <v>1000</v>
      </c>
      <c r="AC367" s="116">
        <v>350</v>
      </c>
      <c r="AD367" s="116">
        <v>16</v>
      </c>
      <c r="AE367" s="116">
        <v>32</v>
      </c>
      <c r="AF367" s="116"/>
      <c r="AG367" s="55" t="str">
        <f t="shared" si="26"/>
        <v>Hy-1,00035016.032.0</v>
      </c>
      <c r="AH367" s="58">
        <v>376.5</v>
      </c>
      <c r="AI367" s="107">
        <v>640000</v>
      </c>
      <c r="AJ367" s="107">
        <v>22900</v>
      </c>
      <c r="AK367" s="117">
        <v>41.2</v>
      </c>
      <c r="AL367" s="117">
        <v>7.8</v>
      </c>
      <c r="AM367" s="117">
        <v>9.2100000000000009</v>
      </c>
      <c r="AN367" s="118">
        <v>12800</v>
      </c>
      <c r="AO367" s="108">
        <v>1310</v>
      </c>
      <c r="AP367" s="118">
        <v>14500</v>
      </c>
      <c r="AQ367" s="107">
        <v>2020</v>
      </c>
      <c r="AR367" s="109"/>
    </row>
    <row r="368" spans="27:44" ht="13.5" customHeight="1" x14ac:dyDescent="0.2">
      <c r="AA368" s="106" t="s">
        <v>165</v>
      </c>
      <c r="AB368" s="116">
        <v>1000</v>
      </c>
      <c r="AC368" s="116">
        <v>350</v>
      </c>
      <c r="AD368" s="116">
        <v>19</v>
      </c>
      <c r="AE368" s="116">
        <v>25</v>
      </c>
      <c r="AF368" s="116"/>
      <c r="AG368" s="55" t="str">
        <f t="shared" si="26"/>
        <v>Hy-1,00035019.025.0</v>
      </c>
      <c r="AH368" s="58">
        <v>358.3</v>
      </c>
      <c r="AI368" s="107">
        <v>558000</v>
      </c>
      <c r="AJ368" s="107">
        <v>17900</v>
      </c>
      <c r="AK368" s="117">
        <v>39.5</v>
      </c>
      <c r="AL368" s="117">
        <v>7.07</v>
      </c>
      <c r="AM368" s="117">
        <v>8.7899999999999991</v>
      </c>
      <c r="AN368" s="118">
        <v>11200</v>
      </c>
      <c r="AO368" s="108">
        <v>1020</v>
      </c>
      <c r="AP368" s="118">
        <v>12900</v>
      </c>
      <c r="AQ368" s="107">
        <v>1620</v>
      </c>
      <c r="AR368" s="109"/>
    </row>
    <row r="369" spans="27:44" ht="13.5" customHeight="1" x14ac:dyDescent="0.2">
      <c r="AA369" s="106" t="s">
        <v>165</v>
      </c>
      <c r="AB369" s="116">
        <v>1000</v>
      </c>
      <c r="AC369" s="116">
        <v>350</v>
      </c>
      <c r="AD369" s="116">
        <v>19</v>
      </c>
      <c r="AE369" s="116">
        <v>28</v>
      </c>
      <c r="AF369" s="116"/>
      <c r="AG369" s="55" t="str">
        <f t="shared" si="26"/>
        <v>Hy-1,00035019.028.0</v>
      </c>
      <c r="AH369" s="58">
        <v>378.1</v>
      </c>
      <c r="AI369" s="107">
        <v>602000</v>
      </c>
      <c r="AJ369" s="107">
        <v>20100</v>
      </c>
      <c r="AK369" s="117">
        <v>39.9</v>
      </c>
      <c r="AL369" s="117">
        <v>7.28</v>
      </c>
      <c r="AM369" s="117">
        <v>8.92</v>
      </c>
      <c r="AN369" s="118">
        <v>12000</v>
      </c>
      <c r="AO369" s="108">
        <v>1150</v>
      </c>
      <c r="AP369" s="118">
        <v>13900</v>
      </c>
      <c r="AQ369" s="107">
        <v>1800</v>
      </c>
      <c r="AR369" s="109"/>
    </row>
    <row r="370" spans="27:44" ht="13.5" customHeight="1" x14ac:dyDescent="0.2">
      <c r="AA370" s="106" t="s">
        <v>165</v>
      </c>
      <c r="AB370" s="116">
        <v>1000</v>
      </c>
      <c r="AC370" s="116">
        <v>350</v>
      </c>
      <c r="AD370" s="116">
        <v>19</v>
      </c>
      <c r="AE370" s="116">
        <v>32</v>
      </c>
      <c r="AF370" s="116"/>
      <c r="AG370" s="55" t="str">
        <f t="shared" si="26"/>
        <v>Hy-1,00035019.032.0</v>
      </c>
      <c r="AH370" s="58">
        <v>404.6</v>
      </c>
      <c r="AI370" s="107">
        <v>661000</v>
      </c>
      <c r="AJ370" s="107">
        <v>22900</v>
      </c>
      <c r="AK370" s="117">
        <v>40.4</v>
      </c>
      <c r="AL370" s="117">
        <v>7.53</v>
      </c>
      <c r="AM370" s="117">
        <v>9.07</v>
      </c>
      <c r="AN370" s="118">
        <v>13200</v>
      </c>
      <c r="AO370" s="108">
        <v>1310</v>
      </c>
      <c r="AP370" s="118">
        <v>15100</v>
      </c>
      <c r="AQ370" s="107">
        <v>2050</v>
      </c>
      <c r="AR370" s="109"/>
    </row>
    <row r="371" spans="27:44" ht="13.5" customHeight="1" x14ac:dyDescent="0.2">
      <c r="AA371" s="106" t="s">
        <v>165</v>
      </c>
      <c r="AB371" s="116">
        <v>1000</v>
      </c>
      <c r="AC371" s="116">
        <v>350</v>
      </c>
      <c r="AD371" s="116">
        <v>19</v>
      </c>
      <c r="AE371" s="116">
        <v>36</v>
      </c>
      <c r="AF371" s="116"/>
      <c r="AG371" s="55" t="str">
        <f t="shared" si="26"/>
        <v>Hy-1,00035019.036.0</v>
      </c>
      <c r="AH371" s="58">
        <v>431.1</v>
      </c>
      <c r="AI371" s="107">
        <v>718000</v>
      </c>
      <c r="AJ371" s="107">
        <v>25800</v>
      </c>
      <c r="AK371" s="117">
        <v>40.799999999999997</v>
      </c>
      <c r="AL371" s="117">
        <v>7.73</v>
      </c>
      <c r="AM371" s="117">
        <v>9.1999999999999993</v>
      </c>
      <c r="AN371" s="118">
        <v>14400</v>
      </c>
      <c r="AO371" s="108">
        <v>1470</v>
      </c>
      <c r="AP371" s="118">
        <v>16400</v>
      </c>
      <c r="AQ371" s="107">
        <v>2290</v>
      </c>
      <c r="AR371" s="109"/>
    </row>
    <row r="372" spans="27:44" ht="13.5" customHeight="1" x14ac:dyDescent="0.2">
      <c r="AA372" s="106" t="s">
        <v>165</v>
      </c>
      <c r="AB372" s="122">
        <v>1000</v>
      </c>
      <c r="AC372" s="122">
        <v>400</v>
      </c>
      <c r="AD372" s="123">
        <v>16</v>
      </c>
      <c r="AE372" s="123">
        <v>22</v>
      </c>
      <c r="AF372" s="123"/>
      <c r="AG372" s="55" t="str">
        <f t="shared" si="26"/>
        <v>Hy-1,00040016.022.0</v>
      </c>
      <c r="AH372" s="58">
        <v>331.7</v>
      </c>
      <c r="AI372" s="107">
        <v>544000</v>
      </c>
      <c r="AJ372" s="107">
        <v>23500</v>
      </c>
      <c r="AK372" s="124">
        <v>40.5</v>
      </c>
      <c r="AL372" s="124">
        <v>8.42</v>
      </c>
      <c r="AM372" s="124">
        <v>10.199999999999999</v>
      </c>
      <c r="AN372" s="125">
        <v>10900</v>
      </c>
      <c r="AO372" s="108">
        <v>1180</v>
      </c>
      <c r="AP372" s="125">
        <v>12400</v>
      </c>
      <c r="AQ372" s="107">
        <v>1820</v>
      </c>
      <c r="AR372" s="109"/>
    </row>
    <row r="373" spans="27:44" ht="13.5" customHeight="1" x14ac:dyDescent="0.2">
      <c r="AA373" s="106" t="s">
        <v>165</v>
      </c>
      <c r="AB373" s="122">
        <v>1000</v>
      </c>
      <c r="AC373" s="122">
        <v>400</v>
      </c>
      <c r="AD373" s="123">
        <v>16</v>
      </c>
      <c r="AE373" s="123">
        <v>25</v>
      </c>
      <c r="AF373" s="123"/>
      <c r="AG373" s="55" t="str">
        <f t="shared" si="26"/>
        <v>Hy-1,00040016.025.0</v>
      </c>
      <c r="AH373" s="58">
        <v>354.8</v>
      </c>
      <c r="AI373" s="107">
        <v>596000</v>
      </c>
      <c r="AJ373" s="107">
        <v>26700</v>
      </c>
      <c r="AK373" s="124">
        <v>41</v>
      </c>
      <c r="AL373" s="124">
        <v>8.68</v>
      </c>
      <c r="AM373" s="124">
        <v>10.4</v>
      </c>
      <c r="AN373" s="125">
        <v>11900</v>
      </c>
      <c r="AO373" s="108">
        <v>1340</v>
      </c>
      <c r="AP373" s="125">
        <v>13500</v>
      </c>
      <c r="AQ373" s="107">
        <v>2060</v>
      </c>
      <c r="AR373" s="109"/>
    </row>
    <row r="374" spans="27:44" ht="13.5" customHeight="1" x14ac:dyDescent="0.2">
      <c r="AA374" s="106" t="s">
        <v>165</v>
      </c>
      <c r="AB374" s="122">
        <v>1000</v>
      </c>
      <c r="AC374" s="122">
        <v>400</v>
      </c>
      <c r="AD374" s="123">
        <v>16</v>
      </c>
      <c r="AE374" s="123">
        <v>28</v>
      </c>
      <c r="AF374" s="123"/>
      <c r="AG374" s="55" t="str">
        <f t="shared" si="26"/>
        <v>Hy-1,00040016.028.0</v>
      </c>
      <c r="AH374" s="58">
        <v>377.8</v>
      </c>
      <c r="AI374" s="107">
        <v>647000</v>
      </c>
      <c r="AJ374" s="107">
        <v>29900</v>
      </c>
      <c r="AK374" s="124">
        <v>41.4</v>
      </c>
      <c r="AL374" s="124">
        <v>8.9</v>
      </c>
      <c r="AM374" s="124">
        <v>10.5</v>
      </c>
      <c r="AN374" s="125">
        <v>12900</v>
      </c>
      <c r="AO374" s="108">
        <v>1500</v>
      </c>
      <c r="AP374" s="125">
        <v>14600</v>
      </c>
      <c r="AQ374" s="107">
        <v>2300</v>
      </c>
      <c r="AR374" s="109"/>
    </row>
    <row r="375" spans="27:44" ht="13.5" customHeight="1" x14ac:dyDescent="0.2">
      <c r="AA375" s="106" t="s">
        <v>165</v>
      </c>
      <c r="AB375" s="122">
        <v>1000</v>
      </c>
      <c r="AC375" s="122">
        <v>400</v>
      </c>
      <c r="AD375" s="123">
        <v>16</v>
      </c>
      <c r="AE375" s="123">
        <v>32</v>
      </c>
      <c r="AF375" s="123"/>
      <c r="AG375" s="55" t="str">
        <f t="shared" si="26"/>
        <v>Hy-1,00040016.032.0</v>
      </c>
      <c r="AH375" s="58">
        <v>408.5</v>
      </c>
      <c r="AI375" s="107">
        <v>715000</v>
      </c>
      <c r="AJ375" s="107">
        <v>34200</v>
      </c>
      <c r="AK375" s="124">
        <v>41.8</v>
      </c>
      <c r="AL375" s="124">
        <v>9.15</v>
      </c>
      <c r="AM375" s="124">
        <v>10.6</v>
      </c>
      <c r="AN375" s="125">
        <v>14300</v>
      </c>
      <c r="AO375" s="108">
        <v>1710</v>
      </c>
      <c r="AP375" s="125">
        <v>16000</v>
      </c>
      <c r="AQ375" s="107">
        <v>2620</v>
      </c>
      <c r="AR375" s="109"/>
    </row>
    <row r="376" spans="27:44" ht="13.5" customHeight="1" x14ac:dyDescent="0.2">
      <c r="AA376" s="106" t="s">
        <v>165</v>
      </c>
      <c r="AB376" s="122">
        <v>1000</v>
      </c>
      <c r="AC376" s="122">
        <v>400</v>
      </c>
      <c r="AD376" s="123">
        <v>19</v>
      </c>
      <c r="AE376" s="123">
        <v>25</v>
      </c>
      <c r="AF376" s="123"/>
      <c r="AG376" s="55" t="str">
        <f t="shared" si="26"/>
        <v>Hy-1,00040019.025.0</v>
      </c>
      <c r="AH376" s="58">
        <v>383.3</v>
      </c>
      <c r="AI376" s="107">
        <v>617000</v>
      </c>
      <c r="AJ376" s="107">
        <v>26700</v>
      </c>
      <c r="AK376" s="124">
        <v>40.1</v>
      </c>
      <c r="AL376" s="124">
        <v>8.35</v>
      </c>
      <c r="AM376" s="124">
        <v>10.199999999999999</v>
      </c>
      <c r="AN376" s="125">
        <v>12300</v>
      </c>
      <c r="AO376" s="108">
        <v>1340</v>
      </c>
      <c r="AP376" s="125">
        <v>14200</v>
      </c>
      <c r="AQ376" s="107">
        <v>2090</v>
      </c>
      <c r="AR376" s="109"/>
    </row>
    <row r="377" spans="27:44" ht="13.5" customHeight="1" x14ac:dyDescent="0.2">
      <c r="AA377" s="106" t="s">
        <v>165</v>
      </c>
      <c r="AB377" s="122">
        <v>1000</v>
      </c>
      <c r="AC377" s="122">
        <v>400</v>
      </c>
      <c r="AD377" s="123">
        <v>19</v>
      </c>
      <c r="AE377" s="123">
        <v>28</v>
      </c>
      <c r="AF377" s="123"/>
      <c r="AG377" s="55" t="str">
        <f t="shared" si="26"/>
        <v>Hy-1,00040019.028.0</v>
      </c>
      <c r="AH377" s="58">
        <v>406.1</v>
      </c>
      <c r="AI377" s="107">
        <v>669000</v>
      </c>
      <c r="AJ377" s="107">
        <v>29900</v>
      </c>
      <c r="AK377" s="124">
        <v>40.6</v>
      </c>
      <c r="AL377" s="124">
        <v>8.58</v>
      </c>
      <c r="AM377" s="124">
        <v>10.3</v>
      </c>
      <c r="AN377" s="125">
        <v>13400</v>
      </c>
      <c r="AO377" s="108">
        <v>1500</v>
      </c>
      <c r="AP377" s="125">
        <v>15200</v>
      </c>
      <c r="AQ377" s="107">
        <v>2330</v>
      </c>
      <c r="AR377" s="109"/>
    </row>
    <row r="378" spans="27:44" ht="13.5" customHeight="1" x14ac:dyDescent="0.2">
      <c r="AA378" s="106" t="s">
        <v>165</v>
      </c>
      <c r="AB378" s="122">
        <v>1000</v>
      </c>
      <c r="AC378" s="122">
        <v>400</v>
      </c>
      <c r="AD378" s="123">
        <v>19</v>
      </c>
      <c r="AE378" s="123">
        <v>32</v>
      </c>
      <c r="AF378" s="123"/>
      <c r="AG378" s="55" t="str">
        <f t="shared" si="26"/>
        <v>Hy-1,00040019.032.0</v>
      </c>
      <c r="AH378" s="58">
        <v>436.6</v>
      </c>
      <c r="AI378" s="107">
        <v>736000</v>
      </c>
      <c r="AJ378" s="107">
        <v>34200</v>
      </c>
      <c r="AK378" s="124">
        <v>41</v>
      </c>
      <c r="AL378" s="124">
        <v>8.85</v>
      </c>
      <c r="AM378" s="124">
        <v>10.5</v>
      </c>
      <c r="AN378" s="125">
        <v>14700</v>
      </c>
      <c r="AO378" s="108">
        <v>1710</v>
      </c>
      <c r="AP378" s="125">
        <v>16700</v>
      </c>
      <c r="AQ378" s="107">
        <v>2650</v>
      </c>
      <c r="AR378" s="109"/>
    </row>
    <row r="379" spans="27:44" ht="13.5" customHeight="1" x14ac:dyDescent="0.2">
      <c r="AA379" s="106" t="s">
        <v>165</v>
      </c>
      <c r="AB379" s="122">
        <v>1000</v>
      </c>
      <c r="AC379" s="122">
        <v>400</v>
      </c>
      <c r="AD379" s="123">
        <v>19</v>
      </c>
      <c r="AE379" s="123">
        <v>36</v>
      </c>
      <c r="AF379" s="123"/>
      <c r="AG379" s="55" t="str">
        <f t="shared" si="26"/>
        <v>Hy-1,00040019.036.0</v>
      </c>
      <c r="AH379" s="58">
        <v>467</v>
      </c>
      <c r="AI379" s="107">
        <v>802000</v>
      </c>
      <c r="AJ379" s="107">
        <v>38500</v>
      </c>
      <c r="AK379" s="124">
        <v>41.4</v>
      </c>
      <c r="AL379" s="124">
        <v>9.07</v>
      </c>
      <c r="AM379" s="124">
        <v>10.6</v>
      </c>
      <c r="AN379" s="125">
        <v>16000</v>
      </c>
      <c r="AO379" s="108">
        <v>1920</v>
      </c>
      <c r="AP379" s="125">
        <v>18100</v>
      </c>
      <c r="AQ379" s="107">
        <v>2970</v>
      </c>
      <c r="AR379" s="109"/>
    </row>
    <row r="380" spans="27:44" ht="13.5" customHeight="1" x14ac:dyDescent="0.2">
      <c r="AA380" s="106"/>
      <c r="AB380" s="99"/>
      <c r="AC380" s="99"/>
      <c r="AD380" s="99"/>
      <c r="AE380" s="99"/>
      <c r="AF380" s="99"/>
      <c r="AG380" s="99"/>
      <c r="AH380" s="101"/>
      <c r="AI380" s="108"/>
      <c r="AJ380" s="108"/>
      <c r="AK380" s="109"/>
      <c r="AL380" s="109"/>
      <c r="AM380" s="109"/>
      <c r="AN380" s="108"/>
      <c r="AO380" s="108"/>
      <c r="AP380" s="108"/>
      <c r="AQ380" s="107"/>
      <c r="AR380" s="109"/>
    </row>
    <row r="381" spans="27:44" ht="13.5" customHeight="1" x14ac:dyDescent="0.2">
      <c r="AA381" s="9" t="s">
        <v>166</v>
      </c>
      <c r="AB381" s="50">
        <v>200</v>
      </c>
      <c r="AC381" s="50">
        <f>AB381</f>
        <v>200</v>
      </c>
      <c r="AD381" s="50">
        <v>6</v>
      </c>
      <c r="AE381" s="50">
        <f>AD381</f>
        <v>6</v>
      </c>
      <c r="AF381" s="50"/>
      <c r="AG381" s="55" t="str">
        <f>RIGHT(AA381,3)&amp;FIXED(AB381,0)&amp;FIXED(AC381,0)&amp;FIXED(AD381,1)&amp;FIXED(AE381,1)</f>
        <v>CR-2002006.06.0</v>
      </c>
      <c r="AH381" s="50">
        <v>45.32</v>
      </c>
      <c r="AI381" s="112">
        <v>2800</v>
      </c>
      <c r="AJ381" s="112"/>
      <c r="AK381" s="48"/>
      <c r="AL381" s="48"/>
      <c r="AM381" s="48"/>
      <c r="AN381" s="108">
        <v>280</v>
      </c>
      <c r="AO381" s="112"/>
      <c r="AP381" s="112">
        <v>327</v>
      </c>
      <c r="AQ381" s="107"/>
      <c r="AR381" s="109"/>
    </row>
    <row r="382" spans="27:44" ht="13.5" customHeight="1" x14ac:dyDescent="0.2">
      <c r="AA382" s="9" t="s">
        <v>175</v>
      </c>
      <c r="AB382" s="50">
        <f>AB381</f>
        <v>200</v>
      </c>
      <c r="AC382" s="50">
        <f t="shared" ref="AC382:AC445" si="27">AB382</f>
        <v>200</v>
      </c>
      <c r="AD382" s="50">
        <v>8</v>
      </c>
      <c r="AE382" s="50">
        <f t="shared" ref="AE382:AE445" si="28">AD382</f>
        <v>8</v>
      </c>
      <c r="AF382" s="50"/>
      <c r="AG382" s="55" t="str">
        <f t="shared" ref="AG382:AG445" si="29">RIGHT(AA382,3)&amp;FIXED(AB382,0)&amp;FIXED(AC382,0)&amp;FIXED(AD382,1)&amp;FIXED(AE382,1)</f>
        <v>CR-2002008.08.0</v>
      </c>
      <c r="AH382" s="50">
        <v>59.24</v>
      </c>
      <c r="AI382" s="112">
        <v>3570</v>
      </c>
      <c r="AJ382" s="112"/>
      <c r="AK382" s="48"/>
      <c r="AL382" s="48"/>
      <c r="AM382" s="57"/>
      <c r="AN382" s="108">
        <v>357</v>
      </c>
      <c r="AO382" s="107"/>
      <c r="AP382" s="112">
        <v>421</v>
      </c>
      <c r="AQ382" s="112"/>
      <c r="AR382" s="109"/>
    </row>
    <row r="383" spans="27:44" ht="13.5" customHeight="1" x14ac:dyDescent="0.2">
      <c r="AA383" s="9" t="s">
        <v>167</v>
      </c>
      <c r="AB383" s="50">
        <f>AB382</f>
        <v>200</v>
      </c>
      <c r="AC383" s="50">
        <f t="shared" si="27"/>
        <v>200</v>
      </c>
      <c r="AD383" s="50">
        <v>9</v>
      </c>
      <c r="AE383" s="50">
        <f t="shared" si="28"/>
        <v>9</v>
      </c>
      <c r="AF383" s="50"/>
      <c r="AG383" s="55" t="str">
        <f t="shared" si="29"/>
        <v>CR-2002009.09.0</v>
      </c>
      <c r="AH383" s="50">
        <v>65.98</v>
      </c>
      <c r="AI383" s="112">
        <v>3920</v>
      </c>
      <c r="AJ383" s="112"/>
      <c r="AK383" s="48"/>
      <c r="AL383" s="48"/>
      <c r="AM383" s="57"/>
      <c r="AN383" s="108">
        <v>392</v>
      </c>
      <c r="AO383" s="107"/>
      <c r="AP383" s="112">
        <v>465</v>
      </c>
      <c r="AQ383" s="112"/>
      <c r="AR383" s="109"/>
    </row>
    <row r="384" spans="27:44" ht="13.5" customHeight="1" x14ac:dyDescent="0.2">
      <c r="AA384" s="9" t="s">
        <v>176</v>
      </c>
      <c r="AB384" s="50">
        <f>AB383</f>
        <v>200</v>
      </c>
      <c r="AC384" s="50">
        <f t="shared" si="27"/>
        <v>200</v>
      </c>
      <c r="AD384" s="50">
        <v>12</v>
      </c>
      <c r="AE384" s="50">
        <f t="shared" si="28"/>
        <v>12</v>
      </c>
      <c r="AF384" s="50"/>
      <c r="AG384" s="55" t="str">
        <f t="shared" si="29"/>
        <v>CR-20020012.012.0</v>
      </c>
      <c r="AH384" s="50">
        <v>85.3</v>
      </c>
      <c r="AI384" s="112">
        <v>4860</v>
      </c>
      <c r="AJ384" s="112"/>
      <c r="AK384" s="48"/>
      <c r="AL384" s="48"/>
      <c r="AM384" s="57"/>
      <c r="AN384" s="108">
        <v>486</v>
      </c>
      <c r="AO384" s="107"/>
      <c r="AP384" s="112">
        <v>588</v>
      </c>
      <c r="AQ384" s="112"/>
      <c r="AR384" s="109"/>
    </row>
    <row r="385" spans="27:44" ht="13.5" customHeight="1" x14ac:dyDescent="0.2">
      <c r="AA385" s="9" t="s">
        <v>168</v>
      </c>
      <c r="AB385" s="50">
        <v>250</v>
      </c>
      <c r="AC385" s="50">
        <f t="shared" si="27"/>
        <v>250</v>
      </c>
      <c r="AD385" s="50">
        <v>6</v>
      </c>
      <c r="AE385" s="50">
        <f t="shared" si="28"/>
        <v>6</v>
      </c>
      <c r="AF385" s="50"/>
      <c r="AG385" s="55" t="str">
        <f t="shared" si="29"/>
        <v>CR-2502506.06.0</v>
      </c>
      <c r="AH385" s="50">
        <v>57.32</v>
      </c>
      <c r="AI385" s="112">
        <v>5620</v>
      </c>
      <c r="AJ385" s="112"/>
      <c r="AK385" s="48"/>
      <c r="AL385" s="48"/>
      <c r="AM385" s="57"/>
      <c r="AN385" s="108">
        <v>450</v>
      </c>
      <c r="AO385" s="107"/>
      <c r="AP385" s="112">
        <v>521</v>
      </c>
      <c r="AQ385" s="112"/>
      <c r="AR385" s="109"/>
    </row>
    <row r="386" spans="27:44" ht="13.5" customHeight="1" x14ac:dyDescent="0.2">
      <c r="AA386" s="9" t="s">
        <v>168</v>
      </c>
      <c r="AB386" s="50">
        <f>AB385</f>
        <v>250</v>
      </c>
      <c r="AC386" s="50">
        <f t="shared" si="27"/>
        <v>250</v>
      </c>
      <c r="AD386" s="50">
        <v>8</v>
      </c>
      <c r="AE386" s="50">
        <f t="shared" si="28"/>
        <v>8</v>
      </c>
      <c r="AF386" s="50"/>
      <c r="AG386" s="55" t="str">
        <f t="shared" si="29"/>
        <v>CR-2502508.08.0</v>
      </c>
      <c r="AH386" s="50">
        <v>75.239999999999995</v>
      </c>
      <c r="AI386" s="112">
        <v>7230</v>
      </c>
      <c r="AJ386" s="112"/>
      <c r="AK386" s="48"/>
      <c r="AL386" s="48"/>
      <c r="AM386" s="57"/>
      <c r="AN386" s="108">
        <v>578</v>
      </c>
      <c r="AO386" s="107"/>
      <c r="AP386" s="112">
        <v>676</v>
      </c>
      <c r="AQ386" s="112"/>
      <c r="AR386" s="109"/>
    </row>
    <row r="387" spans="27:44" ht="13.5" customHeight="1" x14ac:dyDescent="0.2">
      <c r="AA387" s="9" t="s">
        <v>166</v>
      </c>
      <c r="AB387" s="50">
        <f>AB386</f>
        <v>250</v>
      </c>
      <c r="AC387" s="50">
        <f t="shared" si="27"/>
        <v>250</v>
      </c>
      <c r="AD387" s="50">
        <v>9</v>
      </c>
      <c r="AE387" s="50">
        <f t="shared" si="28"/>
        <v>9</v>
      </c>
      <c r="AF387" s="50"/>
      <c r="AG387" s="55" t="str">
        <f t="shared" si="29"/>
        <v>CR-2502509.09.0</v>
      </c>
      <c r="AH387" s="50">
        <v>83.98</v>
      </c>
      <c r="AI387" s="112">
        <v>7980</v>
      </c>
      <c r="AJ387" s="112"/>
      <c r="AK387" s="48"/>
      <c r="AL387" s="48"/>
      <c r="AM387" s="57"/>
      <c r="AN387" s="108">
        <v>639</v>
      </c>
      <c r="AO387" s="107"/>
      <c r="AP387" s="112">
        <v>750</v>
      </c>
      <c r="AQ387" s="112"/>
      <c r="AR387" s="109"/>
    </row>
    <row r="388" spans="27:44" ht="13.5" customHeight="1" x14ac:dyDescent="0.2">
      <c r="AA388" s="9" t="s">
        <v>176</v>
      </c>
      <c r="AB388" s="50">
        <f>AB387</f>
        <v>250</v>
      </c>
      <c r="AC388" s="50">
        <f t="shared" si="27"/>
        <v>250</v>
      </c>
      <c r="AD388" s="50">
        <v>12</v>
      </c>
      <c r="AE388" s="50">
        <f t="shared" si="28"/>
        <v>12</v>
      </c>
      <c r="AF388" s="50"/>
      <c r="AG388" s="55" t="str">
        <f t="shared" si="29"/>
        <v>CR-25025012.012.0</v>
      </c>
      <c r="AH388" s="50">
        <v>109.3</v>
      </c>
      <c r="AI388" s="112">
        <v>10100</v>
      </c>
      <c r="AJ388" s="112"/>
      <c r="AK388" s="48"/>
      <c r="AL388" s="48"/>
      <c r="AM388" s="57"/>
      <c r="AN388" s="108">
        <v>805</v>
      </c>
      <c r="AO388" s="107"/>
      <c r="AP388" s="112">
        <v>959</v>
      </c>
      <c r="AQ388" s="112"/>
      <c r="AR388" s="109"/>
    </row>
    <row r="389" spans="27:44" ht="13.5" customHeight="1" x14ac:dyDescent="0.2">
      <c r="AA389" s="9" t="s">
        <v>166</v>
      </c>
      <c r="AB389" s="50">
        <f>AB388</f>
        <v>250</v>
      </c>
      <c r="AC389" s="50">
        <f t="shared" si="27"/>
        <v>250</v>
      </c>
      <c r="AD389" s="50">
        <v>14</v>
      </c>
      <c r="AE389" s="50">
        <f t="shared" si="28"/>
        <v>14</v>
      </c>
      <c r="AF389" s="50"/>
      <c r="AG389" s="55" t="str">
        <f t="shared" si="29"/>
        <v>CR-25025014.014.0</v>
      </c>
      <c r="AH389" s="50">
        <v>125.4</v>
      </c>
      <c r="AI389" s="112">
        <v>11300</v>
      </c>
      <c r="AJ389" s="112"/>
      <c r="AK389" s="48"/>
      <c r="AL389" s="48"/>
      <c r="AM389" s="57"/>
      <c r="AN389" s="108">
        <v>903</v>
      </c>
      <c r="AO389" s="107"/>
      <c r="AP389" s="112">
        <v>1090</v>
      </c>
      <c r="AQ389" s="112"/>
      <c r="AR389" s="109"/>
    </row>
    <row r="390" spans="27:44" ht="13.5" customHeight="1" x14ac:dyDescent="0.2">
      <c r="AA390" s="9" t="s">
        <v>167</v>
      </c>
      <c r="AB390" s="50">
        <f>AB389</f>
        <v>250</v>
      </c>
      <c r="AC390" s="50">
        <f t="shared" si="27"/>
        <v>250</v>
      </c>
      <c r="AD390" s="50">
        <v>16</v>
      </c>
      <c r="AE390" s="50">
        <f t="shared" si="28"/>
        <v>16</v>
      </c>
      <c r="AF390" s="50"/>
      <c r="AG390" s="55" t="str">
        <f t="shared" si="29"/>
        <v>CR-25025016.016.0</v>
      </c>
      <c r="AH390" s="50">
        <v>141</v>
      </c>
      <c r="AI390" s="112">
        <v>12400</v>
      </c>
      <c r="AJ390" s="112"/>
      <c r="AK390" s="48"/>
      <c r="AL390" s="48"/>
      <c r="AM390" s="57"/>
      <c r="AN390" s="108">
        <v>992</v>
      </c>
      <c r="AO390" s="107"/>
      <c r="AP390" s="112">
        <v>1210</v>
      </c>
      <c r="AQ390" s="112"/>
      <c r="AR390" s="109"/>
    </row>
    <row r="391" spans="27:44" ht="13.5" customHeight="1" x14ac:dyDescent="0.2">
      <c r="AA391" s="9" t="s">
        <v>177</v>
      </c>
      <c r="AB391" s="50">
        <v>300</v>
      </c>
      <c r="AC391" s="50">
        <f t="shared" si="27"/>
        <v>300</v>
      </c>
      <c r="AD391" s="50">
        <v>6</v>
      </c>
      <c r="AE391" s="50">
        <f t="shared" si="28"/>
        <v>6</v>
      </c>
      <c r="AF391" s="50"/>
      <c r="AG391" s="55" t="str">
        <f t="shared" si="29"/>
        <v>CR-3003006.06.0</v>
      </c>
      <c r="AH391" s="50">
        <v>69.319999999999993</v>
      </c>
      <c r="AI391" s="112">
        <v>9890</v>
      </c>
      <c r="AJ391" s="112"/>
      <c r="AK391" s="48"/>
      <c r="AL391" s="48"/>
      <c r="AM391" s="48"/>
      <c r="AN391" s="108">
        <v>660</v>
      </c>
      <c r="AO391" s="112"/>
      <c r="AP391" s="112">
        <v>760</v>
      </c>
      <c r="AQ391" s="112"/>
      <c r="AR391" s="109"/>
    </row>
    <row r="392" spans="27:44" ht="13.5" customHeight="1" x14ac:dyDescent="0.2">
      <c r="AA392" s="9" t="s">
        <v>177</v>
      </c>
      <c r="AB392" s="50">
        <f t="shared" ref="AB392:AB397" si="30">AB391</f>
        <v>300</v>
      </c>
      <c r="AC392" s="50">
        <f t="shared" si="27"/>
        <v>300</v>
      </c>
      <c r="AD392" s="50">
        <v>8</v>
      </c>
      <c r="AE392" s="50">
        <f t="shared" si="28"/>
        <v>8</v>
      </c>
      <c r="AF392" s="50"/>
      <c r="AG392" s="55" t="str">
        <f t="shared" si="29"/>
        <v>CR-3003008.08.0</v>
      </c>
      <c r="AH392" s="50">
        <v>91.24</v>
      </c>
      <c r="AI392" s="112">
        <v>12800</v>
      </c>
      <c r="AJ392" s="112"/>
      <c r="AK392" s="48"/>
      <c r="AL392" s="48"/>
      <c r="AM392" s="48"/>
      <c r="AN392" s="108">
        <v>853</v>
      </c>
      <c r="AO392" s="112"/>
      <c r="AP392" s="112">
        <v>991</v>
      </c>
      <c r="AQ392" s="112"/>
      <c r="AR392" s="109"/>
    </row>
    <row r="393" spans="27:44" ht="13.5" customHeight="1" x14ac:dyDescent="0.2">
      <c r="AA393" s="9" t="s">
        <v>166</v>
      </c>
      <c r="AB393" s="50">
        <f t="shared" si="30"/>
        <v>300</v>
      </c>
      <c r="AC393" s="50">
        <f t="shared" si="27"/>
        <v>300</v>
      </c>
      <c r="AD393" s="50">
        <v>9</v>
      </c>
      <c r="AE393" s="50">
        <f t="shared" si="28"/>
        <v>9</v>
      </c>
      <c r="AF393" s="50"/>
      <c r="AG393" s="55" t="str">
        <f t="shared" si="29"/>
        <v>CR-3003009.09.0</v>
      </c>
      <c r="AH393" s="50">
        <v>102</v>
      </c>
      <c r="AI393" s="112">
        <v>14200</v>
      </c>
      <c r="AJ393" s="112"/>
      <c r="AK393" s="48"/>
      <c r="AL393" s="48"/>
      <c r="AM393" s="48"/>
      <c r="AN393" s="108">
        <v>946</v>
      </c>
      <c r="AO393" s="112"/>
      <c r="AP393" s="112">
        <v>1100</v>
      </c>
      <c r="AQ393" s="112"/>
      <c r="AR393" s="109"/>
    </row>
    <row r="394" spans="27:44" ht="13.5" customHeight="1" x14ac:dyDescent="0.2">
      <c r="AA394" s="9" t="s">
        <v>166</v>
      </c>
      <c r="AB394" s="50">
        <f t="shared" si="30"/>
        <v>300</v>
      </c>
      <c r="AC394" s="50">
        <f t="shared" si="27"/>
        <v>300</v>
      </c>
      <c r="AD394" s="50">
        <v>12</v>
      </c>
      <c r="AE394" s="50">
        <f t="shared" si="28"/>
        <v>12</v>
      </c>
      <c r="AF394" s="50"/>
      <c r="AG394" s="55" t="str">
        <f t="shared" si="29"/>
        <v>CR-30030012.012.0</v>
      </c>
      <c r="AH394" s="50">
        <v>133.30000000000001</v>
      </c>
      <c r="AI394" s="112">
        <v>18100</v>
      </c>
      <c r="AJ394" s="112"/>
      <c r="AK394" s="48"/>
      <c r="AL394" s="48"/>
      <c r="AM394" s="57"/>
      <c r="AN394" s="108">
        <v>1200</v>
      </c>
      <c r="AO394" s="107"/>
      <c r="AP394" s="112">
        <v>1420</v>
      </c>
      <c r="AQ394" s="112"/>
      <c r="AR394" s="109"/>
    </row>
    <row r="395" spans="27:44" ht="13.5" customHeight="1" x14ac:dyDescent="0.2">
      <c r="AA395" s="9" t="s">
        <v>166</v>
      </c>
      <c r="AB395" s="50">
        <f t="shared" si="30"/>
        <v>300</v>
      </c>
      <c r="AC395" s="50">
        <f t="shared" si="27"/>
        <v>300</v>
      </c>
      <c r="AD395" s="50">
        <v>14</v>
      </c>
      <c r="AE395" s="50">
        <f t="shared" si="28"/>
        <v>14</v>
      </c>
      <c r="AF395" s="50"/>
      <c r="AG395" s="55" t="str">
        <f t="shared" si="29"/>
        <v>CR-30030014.014.0</v>
      </c>
      <c r="AH395" s="50">
        <v>153.4</v>
      </c>
      <c r="AI395" s="112">
        <v>20400</v>
      </c>
      <c r="AJ395" s="112"/>
      <c r="AK395" s="48"/>
      <c r="AL395" s="48"/>
      <c r="AM395" s="57"/>
      <c r="AN395" s="108">
        <v>1360</v>
      </c>
      <c r="AO395" s="107"/>
      <c r="AP395" s="112">
        <v>1620</v>
      </c>
      <c r="AQ395" s="112"/>
      <c r="AR395" s="109"/>
    </row>
    <row r="396" spans="27:44" ht="13.5" customHeight="1" x14ac:dyDescent="0.2">
      <c r="AA396" s="9" t="s">
        <v>166</v>
      </c>
      <c r="AB396" s="50">
        <f t="shared" si="30"/>
        <v>300</v>
      </c>
      <c r="AC396" s="50">
        <f t="shared" si="27"/>
        <v>300</v>
      </c>
      <c r="AD396" s="50">
        <v>16</v>
      </c>
      <c r="AE396" s="50">
        <f t="shared" si="28"/>
        <v>16</v>
      </c>
      <c r="AF396" s="50"/>
      <c r="AG396" s="55" t="str">
        <f t="shared" si="29"/>
        <v>CR-30030016.016.0</v>
      </c>
      <c r="AH396" s="50">
        <v>173</v>
      </c>
      <c r="AI396" s="112">
        <v>22600</v>
      </c>
      <c r="AJ396" s="112"/>
      <c r="AK396" s="48"/>
      <c r="AL396" s="48"/>
      <c r="AM396" s="48"/>
      <c r="AN396" s="108">
        <v>1510</v>
      </c>
      <c r="AO396" s="112"/>
      <c r="AP396" s="112">
        <v>1810</v>
      </c>
      <c r="AQ396" s="112"/>
      <c r="AR396" s="109"/>
    </row>
    <row r="397" spans="27:44" ht="13.5" customHeight="1" x14ac:dyDescent="0.2">
      <c r="AA397" s="9" t="s">
        <v>166</v>
      </c>
      <c r="AB397" s="50">
        <f t="shared" si="30"/>
        <v>300</v>
      </c>
      <c r="AC397" s="50">
        <f t="shared" si="27"/>
        <v>300</v>
      </c>
      <c r="AD397" s="50">
        <v>19</v>
      </c>
      <c r="AE397" s="50">
        <f t="shared" si="28"/>
        <v>19</v>
      </c>
      <c r="AF397" s="50"/>
      <c r="AG397" s="55" t="str">
        <f t="shared" si="29"/>
        <v>CR-30030019.019.0</v>
      </c>
      <c r="AH397" s="50">
        <v>201.2</v>
      </c>
      <c r="AI397" s="112">
        <v>25500</v>
      </c>
      <c r="AJ397" s="112"/>
      <c r="AK397" s="48"/>
      <c r="AL397" s="48"/>
      <c r="AM397" s="48"/>
      <c r="AN397" s="108">
        <v>1700</v>
      </c>
      <c r="AO397" s="112"/>
      <c r="AP397" s="112">
        <v>2070</v>
      </c>
      <c r="AQ397" s="112"/>
      <c r="AR397" s="109"/>
    </row>
    <row r="398" spans="27:44" ht="13.5" customHeight="1" x14ac:dyDescent="0.2">
      <c r="AA398" s="9" t="s">
        <v>166</v>
      </c>
      <c r="AB398" s="50">
        <v>350</v>
      </c>
      <c r="AC398" s="50">
        <f t="shared" si="27"/>
        <v>350</v>
      </c>
      <c r="AD398" s="50">
        <v>9</v>
      </c>
      <c r="AE398" s="50">
        <f t="shared" si="28"/>
        <v>9</v>
      </c>
      <c r="AF398" s="50"/>
      <c r="AG398" s="55" t="str">
        <f t="shared" si="29"/>
        <v>CR-3503509.09.0</v>
      </c>
      <c r="AH398" s="50">
        <v>120</v>
      </c>
      <c r="AI398" s="112">
        <v>23000</v>
      </c>
      <c r="AJ398" s="112"/>
      <c r="AK398" s="48"/>
      <c r="AL398" s="48"/>
      <c r="AM398" s="48"/>
      <c r="AN398" s="108">
        <v>1310</v>
      </c>
      <c r="AO398" s="112"/>
      <c r="AP398" s="112">
        <v>1520</v>
      </c>
      <c r="AQ398" s="112"/>
      <c r="AR398" s="109"/>
    </row>
    <row r="399" spans="27:44" ht="13.5" customHeight="1" x14ac:dyDescent="0.2">
      <c r="AA399" s="9" t="s">
        <v>166</v>
      </c>
      <c r="AB399" s="50">
        <f>AB398</f>
        <v>350</v>
      </c>
      <c r="AC399" s="50">
        <f t="shared" si="27"/>
        <v>350</v>
      </c>
      <c r="AD399" s="50">
        <v>12</v>
      </c>
      <c r="AE399" s="50">
        <f t="shared" si="28"/>
        <v>12</v>
      </c>
      <c r="AF399" s="50"/>
      <c r="AG399" s="55" t="str">
        <f t="shared" si="29"/>
        <v>CR-35035012.012.0</v>
      </c>
      <c r="AH399" s="50">
        <v>157.30000000000001</v>
      </c>
      <c r="AI399" s="112">
        <v>29400</v>
      </c>
      <c r="AJ399" s="112"/>
      <c r="AK399" s="48"/>
      <c r="AL399" s="48"/>
      <c r="AM399" s="48"/>
      <c r="AN399" s="108">
        <v>1680</v>
      </c>
      <c r="AO399" s="112"/>
      <c r="AP399" s="112">
        <v>1970</v>
      </c>
      <c r="AQ399" s="112"/>
      <c r="AR399" s="109"/>
    </row>
    <row r="400" spans="27:44" ht="13.5" customHeight="1" x14ac:dyDescent="0.2">
      <c r="AA400" s="9" t="s">
        <v>167</v>
      </c>
      <c r="AB400" s="50">
        <f>AB399</f>
        <v>350</v>
      </c>
      <c r="AC400" s="50">
        <f t="shared" si="27"/>
        <v>350</v>
      </c>
      <c r="AD400" s="50">
        <v>14</v>
      </c>
      <c r="AE400" s="50">
        <f t="shared" si="28"/>
        <v>14</v>
      </c>
      <c r="AF400" s="50"/>
      <c r="AG400" s="55" t="str">
        <f t="shared" si="29"/>
        <v>CR-35035014.014.0</v>
      </c>
      <c r="AH400" s="50">
        <v>181.4</v>
      </c>
      <c r="AI400" s="112">
        <v>33400</v>
      </c>
      <c r="AJ400" s="112"/>
      <c r="AK400" s="48"/>
      <c r="AL400" s="48"/>
      <c r="AM400" s="48"/>
      <c r="AN400" s="108">
        <v>1910</v>
      </c>
      <c r="AO400" s="112"/>
      <c r="AP400" s="112">
        <v>2260</v>
      </c>
      <c r="AQ400" s="112"/>
      <c r="AR400" s="109"/>
    </row>
    <row r="401" spans="27:44" ht="13.5" customHeight="1" x14ac:dyDescent="0.2">
      <c r="AA401" s="9" t="s">
        <v>166</v>
      </c>
      <c r="AB401" s="50">
        <f>AB400</f>
        <v>350</v>
      </c>
      <c r="AC401" s="50">
        <f t="shared" si="27"/>
        <v>350</v>
      </c>
      <c r="AD401" s="50">
        <v>16</v>
      </c>
      <c r="AE401" s="50">
        <f t="shared" si="28"/>
        <v>16</v>
      </c>
      <c r="AF401" s="50"/>
      <c r="AG401" s="55" t="str">
        <f t="shared" si="29"/>
        <v>CR-35035016.016.0</v>
      </c>
      <c r="AH401" s="50">
        <v>205</v>
      </c>
      <c r="AI401" s="112">
        <v>37200</v>
      </c>
      <c r="AJ401" s="112"/>
      <c r="AK401" s="48"/>
      <c r="AL401" s="48"/>
      <c r="AM401" s="48"/>
      <c r="AN401" s="108">
        <v>2130</v>
      </c>
      <c r="AO401" s="112"/>
      <c r="AP401" s="112">
        <v>2530</v>
      </c>
      <c r="AQ401" s="112"/>
      <c r="AR401" s="109"/>
    </row>
    <row r="402" spans="27:44" ht="13.5" customHeight="1" x14ac:dyDescent="0.2">
      <c r="AA402" s="9" t="s">
        <v>166</v>
      </c>
      <c r="AB402" s="50">
        <f>AB401</f>
        <v>350</v>
      </c>
      <c r="AC402" s="50">
        <f t="shared" si="27"/>
        <v>350</v>
      </c>
      <c r="AD402" s="50">
        <v>19</v>
      </c>
      <c r="AE402" s="50">
        <f t="shared" si="28"/>
        <v>19</v>
      </c>
      <c r="AF402" s="50"/>
      <c r="AG402" s="55" t="str">
        <f t="shared" si="29"/>
        <v>CR-35035019.019.0</v>
      </c>
      <c r="AH402" s="50">
        <v>239.2</v>
      </c>
      <c r="AI402" s="112">
        <v>42400</v>
      </c>
      <c r="AJ402" s="112"/>
      <c r="AK402" s="48"/>
      <c r="AL402" s="48"/>
      <c r="AM402" s="48"/>
      <c r="AN402" s="108">
        <v>2420</v>
      </c>
      <c r="AO402" s="112"/>
      <c r="AP402" s="112">
        <v>2910</v>
      </c>
      <c r="AQ402" s="112"/>
      <c r="AR402" s="109"/>
    </row>
    <row r="403" spans="27:44" ht="13.5" customHeight="1" x14ac:dyDescent="0.2">
      <c r="AA403" s="9" t="s">
        <v>176</v>
      </c>
      <c r="AB403" s="50">
        <f>AB402</f>
        <v>350</v>
      </c>
      <c r="AC403" s="50">
        <f t="shared" si="27"/>
        <v>350</v>
      </c>
      <c r="AD403" s="50">
        <v>22</v>
      </c>
      <c r="AE403" s="50">
        <f t="shared" si="28"/>
        <v>22</v>
      </c>
      <c r="AF403" s="50"/>
      <c r="AG403" s="55" t="str">
        <f t="shared" si="29"/>
        <v>CR-35035022.022.0</v>
      </c>
      <c r="AH403" s="50">
        <v>272</v>
      </c>
      <c r="AI403" s="112">
        <v>47100</v>
      </c>
      <c r="AJ403" s="112"/>
      <c r="AK403" s="48"/>
      <c r="AL403" s="48"/>
      <c r="AM403" s="48"/>
      <c r="AN403" s="108">
        <v>2690</v>
      </c>
      <c r="AO403" s="112"/>
      <c r="AP403" s="112">
        <v>3270</v>
      </c>
      <c r="AQ403" s="112"/>
      <c r="AR403" s="109"/>
    </row>
    <row r="404" spans="27:44" ht="13.5" customHeight="1" x14ac:dyDescent="0.2">
      <c r="AA404" s="9" t="s">
        <v>167</v>
      </c>
      <c r="AB404" s="50">
        <v>400</v>
      </c>
      <c r="AC404" s="50">
        <f t="shared" si="27"/>
        <v>400</v>
      </c>
      <c r="AD404" s="50">
        <v>9</v>
      </c>
      <c r="AE404" s="50">
        <f t="shared" si="28"/>
        <v>9</v>
      </c>
      <c r="AF404" s="50"/>
      <c r="AG404" s="55" t="str">
        <f t="shared" si="29"/>
        <v>CR-4004009.09.0</v>
      </c>
      <c r="AH404" s="50">
        <v>138</v>
      </c>
      <c r="AI404" s="112">
        <v>34800</v>
      </c>
      <c r="AJ404" s="112"/>
      <c r="AK404" s="48"/>
      <c r="AL404" s="48"/>
      <c r="AM404" s="48"/>
      <c r="AN404" s="108">
        <v>1740</v>
      </c>
      <c r="AO404" s="112"/>
      <c r="AP404" s="112">
        <v>2010</v>
      </c>
      <c r="AQ404" s="112"/>
      <c r="AR404" s="109"/>
    </row>
    <row r="405" spans="27:44" ht="13.5" customHeight="1" x14ac:dyDescent="0.2">
      <c r="AA405" s="9" t="s">
        <v>167</v>
      </c>
      <c r="AB405" s="50">
        <f>AB404</f>
        <v>400</v>
      </c>
      <c r="AC405" s="50">
        <f t="shared" si="27"/>
        <v>400</v>
      </c>
      <c r="AD405" s="50">
        <v>12</v>
      </c>
      <c r="AE405" s="50">
        <f t="shared" si="28"/>
        <v>12</v>
      </c>
      <c r="AF405" s="50"/>
      <c r="AG405" s="55" t="str">
        <f t="shared" si="29"/>
        <v>CR-40040012.012.0</v>
      </c>
      <c r="AH405" s="50">
        <v>181.3</v>
      </c>
      <c r="AI405" s="112">
        <v>44800</v>
      </c>
      <c r="AJ405" s="112"/>
      <c r="AK405" s="48"/>
      <c r="AL405" s="48"/>
      <c r="AM405" s="48"/>
      <c r="AN405" s="108">
        <v>2240</v>
      </c>
      <c r="AO405" s="112"/>
      <c r="AP405" s="112">
        <v>2610</v>
      </c>
      <c r="AQ405" s="112"/>
      <c r="AR405" s="109"/>
    </row>
    <row r="406" spans="27:44" ht="13.5" customHeight="1" x14ac:dyDescent="0.2">
      <c r="AA406" s="9" t="s">
        <v>178</v>
      </c>
      <c r="AB406" s="50">
        <f>AB405</f>
        <v>400</v>
      </c>
      <c r="AC406" s="50">
        <f t="shared" si="27"/>
        <v>400</v>
      </c>
      <c r="AD406" s="50">
        <v>14</v>
      </c>
      <c r="AE406" s="50">
        <f t="shared" si="28"/>
        <v>14</v>
      </c>
      <c r="AF406" s="50"/>
      <c r="AG406" s="55" t="str">
        <f t="shared" si="29"/>
        <v>CR-40040014.014.0</v>
      </c>
      <c r="AH406" s="50">
        <v>209.4</v>
      </c>
      <c r="AI406" s="112">
        <v>51100</v>
      </c>
      <c r="AJ406" s="112"/>
      <c r="AK406" s="48"/>
      <c r="AL406" s="48"/>
      <c r="AM406" s="48"/>
      <c r="AN406" s="108">
        <v>2560</v>
      </c>
      <c r="AO406" s="112"/>
      <c r="AP406" s="112">
        <v>3000</v>
      </c>
      <c r="AQ406" s="112"/>
      <c r="AR406" s="109"/>
    </row>
    <row r="407" spans="27:44" ht="13.5" customHeight="1" x14ac:dyDescent="0.2">
      <c r="AA407" s="9" t="s">
        <v>166</v>
      </c>
      <c r="AB407" s="50">
        <f>AB406</f>
        <v>400</v>
      </c>
      <c r="AC407" s="50">
        <f t="shared" si="27"/>
        <v>400</v>
      </c>
      <c r="AD407" s="50">
        <v>16</v>
      </c>
      <c r="AE407" s="50">
        <f t="shared" si="28"/>
        <v>16</v>
      </c>
      <c r="AF407" s="50"/>
      <c r="AG407" s="55" t="str">
        <f t="shared" si="29"/>
        <v>CR-40040016.016.0</v>
      </c>
      <c r="AH407" s="50">
        <v>237</v>
      </c>
      <c r="AI407" s="112">
        <v>57100</v>
      </c>
      <c r="AJ407" s="112"/>
      <c r="AK407" s="48"/>
      <c r="AL407" s="48"/>
      <c r="AM407" s="48"/>
      <c r="AN407" s="108">
        <v>2850</v>
      </c>
      <c r="AO407" s="112"/>
      <c r="AP407" s="112">
        <v>3370</v>
      </c>
      <c r="AQ407" s="112"/>
      <c r="AR407" s="109"/>
    </row>
    <row r="408" spans="27:44" ht="13.5" customHeight="1" x14ac:dyDescent="0.2">
      <c r="AA408" s="9" t="s">
        <v>179</v>
      </c>
      <c r="AB408" s="50">
        <f>AB407</f>
        <v>400</v>
      </c>
      <c r="AC408" s="50">
        <f t="shared" si="27"/>
        <v>400</v>
      </c>
      <c r="AD408" s="50">
        <v>19</v>
      </c>
      <c r="AE408" s="50">
        <f t="shared" si="28"/>
        <v>19</v>
      </c>
      <c r="AF408" s="50"/>
      <c r="AG408" s="55" t="str">
        <f t="shared" si="29"/>
        <v>CR-40040019.019.0</v>
      </c>
      <c r="AH408" s="50">
        <v>277.2</v>
      </c>
      <c r="AI408" s="112">
        <v>65400</v>
      </c>
      <c r="AJ408" s="112"/>
      <c r="AK408" s="48"/>
      <c r="AL408" s="48"/>
      <c r="AM408" s="48"/>
      <c r="AN408" s="108">
        <v>3270</v>
      </c>
      <c r="AO408" s="112"/>
      <c r="AP408" s="112">
        <v>3900</v>
      </c>
      <c r="AQ408" s="108"/>
      <c r="AR408" s="109"/>
    </row>
    <row r="409" spans="27:44" ht="13.5" customHeight="1" x14ac:dyDescent="0.2">
      <c r="AA409" s="9" t="s">
        <v>180</v>
      </c>
      <c r="AB409" s="50">
        <f>AB408</f>
        <v>400</v>
      </c>
      <c r="AC409" s="50">
        <f t="shared" si="27"/>
        <v>400</v>
      </c>
      <c r="AD409" s="50">
        <v>22</v>
      </c>
      <c r="AE409" s="50">
        <f t="shared" si="28"/>
        <v>22</v>
      </c>
      <c r="AF409" s="50"/>
      <c r="AG409" s="55" t="str">
        <f t="shared" si="29"/>
        <v>CR-40040022.022.0</v>
      </c>
      <c r="AH409" s="50">
        <v>316</v>
      </c>
      <c r="AI409" s="112">
        <v>73000</v>
      </c>
      <c r="AJ409" s="112"/>
      <c r="AK409" s="48"/>
      <c r="AL409" s="48"/>
      <c r="AM409" s="48"/>
      <c r="AN409" s="108">
        <v>3650</v>
      </c>
      <c r="AO409" s="112"/>
      <c r="AP409" s="112">
        <v>4390</v>
      </c>
      <c r="AQ409" s="108"/>
      <c r="AR409" s="109"/>
    </row>
    <row r="410" spans="27:44" ht="13.5" customHeight="1" x14ac:dyDescent="0.2">
      <c r="AA410" s="9" t="s">
        <v>181</v>
      </c>
      <c r="AB410" s="50">
        <v>450</v>
      </c>
      <c r="AC410" s="50">
        <f t="shared" si="27"/>
        <v>450</v>
      </c>
      <c r="AD410" s="50">
        <v>12</v>
      </c>
      <c r="AE410" s="50">
        <f t="shared" si="28"/>
        <v>12</v>
      </c>
      <c r="AF410" s="50"/>
      <c r="AG410" s="55" t="str">
        <f t="shared" si="29"/>
        <v>CR-45045012.012.0</v>
      </c>
      <c r="AH410" s="50">
        <v>205.3</v>
      </c>
      <c r="AI410" s="112">
        <v>64800</v>
      </c>
      <c r="AJ410" s="112"/>
      <c r="AK410" s="48"/>
      <c r="AL410" s="48"/>
      <c r="AM410" s="48"/>
      <c r="AN410" s="108">
        <v>2880</v>
      </c>
      <c r="AO410" s="112"/>
      <c r="AP410" s="112">
        <v>3340</v>
      </c>
      <c r="AQ410" s="108"/>
      <c r="AR410" s="109"/>
    </row>
    <row r="411" spans="27:44" ht="13.5" customHeight="1" x14ac:dyDescent="0.2">
      <c r="AA411" s="9" t="s">
        <v>181</v>
      </c>
      <c r="AB411" s="50">
        <f>AB410</f>
        <v>450</v>
      </c>
      <c r="AC411" s="50">
        <f t="shared" si="27"/>
        <v>450</v>
      </c>
      <c r="AD411" s="50">
        <v>14</v>
      </c>
      <c r="AE411" s="50">
        <f t="shared" si="28"/>
        <v>14</v>
      </c>
      <c r="AF411" s="50"/>
      <c r="AG411" s="55" t="str">
        <f t="shared" si="29"/>
        <v>CR-45045014.014.0</v>
      </c>
      <c r="AH411" s="50">
        <v>237.4</v>
      </c>
      <c r="AI411" s="112">
        <v>74100</v>
      </c>
      <c r="AJ411" s="112"/>
      <c r="AK411" s="48"/>
      <c r="AL411" s="48"/>
      <c r="AM411" s="48"/>
      <c r="AN411" s="108">
        <v>3290</v>
      </c>
      <c r="AO411" s="112"/>
      <c r="AP411" s="112">
        <v>3840</v>
      </c>
      <c r="AQ411" s="108"/>
      <c r="AR411" s="109"/>
    </row>
    <row r="412" spans="27:44" ht="13.5" customHeight="1" x14ac:dyDescent="0.2">
      <c r="AA412" s="9" t="s">
        <v>179</v>
      </c>
      <c r="AB412" s="50">
        <f>AB411</f>
        <v>450</v>
      </c>
      <c r="AC412" s="50">
        <f t="shared" si="27"/>
        <v>450</v>
      </c>
      <c r="AD412" s="50">
        <v>16</v>
      </c>
      <c r="AE412" s="50">
        <f t="shared" si="28"/>
        <v>16</v>
      </c>
      <c r="AF412" s="50"/>
      <c r="AG412" s="55" t="str">
        <f t="shared" si="29"/>
        <v>CR-45045016.016.0</v>
      </c>
      <c r="AH412" s="50">
        <v>269</v>
      </c>
      <c r="AI412" s="112">
        <v>82900</v>
      </c>
      <c r="AJ412" s="112"/>
      <c r="AK412" s="48"/>
      <c r="AL412" s="48"/>
      <c r="AM412" s="48"/>
      <c r="AN412" s="108">
        <v>3690</v>
      </c>
      <c r="AO412" s="112"/>
      <c r="AP412" s="112">
        <v>4330</v>
      </c>
      <c r="AQ412" s="108"/>
      <c r="AR412" s="109"/>
    </row>
    <row r="413" spans="27:44" ht="13.5" customHeight="1" x14ac:dyDescent="0.2">
      <c r="AA413" s="9" t="s">
        <v>178</v>
      </c>
      <c r="AB413" s="50">
        <f>AB412</f>
        <v>450</v>
      </c>
      <c r="AC413" s="50">
        <f t="shared" si="27"/>
        <v>450</v>
      </c>
      <c r="AD413" s="50">
        <v>19</v>
      </c>
      <c r="AE413" s="50">
        <f t="shared" si="28"/>
        <v>19</v>
      </c>
      <c r="AF413" s="50"/>
      <c r="AG413" s="55" t="str">
        <f t="shared" si="29"/>
        <v>CR-45045019.019.0</v>
      </c>
      <c r="AH413" s="50">
        <v>315.2</v>
      </c>
      <c r="AI413" s="112">
        <v>95500</v>
      </c>
      <c r="AJ413" s="112"/>
      <c r="AK413" s="48"/>
      <c r="AL413" s="48"/>
      <c r="AM413" s="48"/>
      <c r="AN413" s="108">
        <v>4240</v>
      </c>
      <c r="AO413" s="112"/>
      <c r="AP413" s="112">
        <v>5020</v>
      </c>
      <c r="AQ413" s="108"/>
      <c r="AR413" s="109"/>
    </row>
    <row r="414" spans="27:44" ht="13.5" customHeight="1" x14ac:dyDescent="0.2">
      <c r="AA414" s="9" t="s">
        <v>179</v>
      </c>
      <c r="AB414" s="50">
        <f>AB413</f>
        <v>450</v>
      </c>
      <c r="AC414" s="50">
        <f t="shared" si="27"/>
        <v>450</v>
      </c>
      <c r="AD414" s="50">
        <v>22</v>
      </c>
      <c r="AE414" s="50">
        <f t="shared" si="28"/>
        <v>22</v>
      </c>
      <c r="AF414" s="50"/>
      <c r="AG414" s="55" t="str">
        <f t="shared" si="29"/>
        <v>CR-45045022.022.0</v>
      </c>
      <c r="AH414" s="50">
        <v>360</v>
      </c>
      <c r="AI414" s="112">
        <v>103000</v>
      </c>
      <c r="AJ414" s="112"/>
      <c r="AK414" s="48"/>
      <c r="AL414" s="48"/>
      <c r="AM414" s="48"/>
      <c r="AN414" s="108">
        <v>4760</v>
      </c>
      <c r="AO414" s="112"/>
      <c r="AP414" s="112">
        <v>5490</v>
      </c>
      <c r="AQ414" s="108"/>
      <c r="AR414" s="109"/>
    </row>
    <row r="415" spans="27:44" ht="13.5" customHeight="1" x14ac:dyDescent="0.2">
      <c r="AA415" s="9" t="s">
        <v>181</v>
      </c>
      <c r="AB415" s="50">
        <v>500</v>
      </c>
      <c r="AC415" s="50">
        <f t="shared" si="27"/>
        <v>500</v>
      </c>
      <c r="AD415" s="50">
        <v>16</v>
      </c>
      <c r="AE415" s="50">
        <f t="shared" si="28"/>
        <v>16</v>
      </c>
      <c r="AF415" s="50"/>
      <c r="AG415" s="55" t="str">
        <f t="shared" si="29"/>
        <v>CR-50050016.016.0</v>
      </c>
      <c r="AH415" s="50">
        <v>301</v>
      </c>
      <c r="AI415" s="112">
        <v>116000</v>
      </c>
      <c r="AJ415" s="112"/>
      <c r="AK415" s="48"/>
      <c r="AL415" s="48"/>
      <c r="AM415" s="48"/>
      <c r="AN415" s="108">
        <v>4630</v>
      </c>
      <c r="AO415" s="112"/>
      <c r="AP415" s="112">
        <v>5410</v>
      </c>
      <c r="AQ415" s="108"/>
      <c r="AR415" s="109"/>
    </row>
    <row r="416" spans="27:44" ht="13.5" customHeight="1" x14ac:dyDescent="0.2">
      <c r="AA416" s="9" t="s">
        <v>181</v>
      </c>
      <c r="AB416" s="50">
        <f>AB415</f>
        <v>500</v>
      </c>
      <c r="AC416" s="50">
        <f t="shared" si="27"/>
        <v>500</v>
      </c>
      <c r="AD416" s="50">
        <v>19</v>
      </c>
      <c r="AE416" s="50">
        <f t="shared" si="28"/>
        <v>19</v>
      </c>
      <c r="AF416" s="50"/>
      <c r="AG416" s="55" t="str">
        <f t="shared" si="29"/>
        <v>CR-50050019.019.0</v>
      </c>
      <c r="AH416" s="50">
        <v>353.2</v>
      </c>
      <c r="AI416" s="112">
        <v>134000</v>
      </c>
      <c r="AJ416" s="112"/>
      <c r="AK416" s="48"/>
      <c r="AL416" s="48"/>
      <c r="AM416" s="48"/>
      <c r="AN416" s="108">
        <v>5340</v>
      </c>
      <c r="AO416" s="112"/>
      <c r="AP416" s="112">
        <v>6290</v>
      </c>
      <c r="AQ416" s="108"/>
      <c r="AR416" s="109"/>
    </row>
    <row r="417" spans="27:44" ht="13.5" customHeight="1" x14ac:dyDescent="0.2">
      <c r="AA417" s="9" t="s">
        <v>178</v>
      </c>
      <c r="AB417" s="50">
        <f>AB416</f>
        <v>500</v>
      </c>
      <c r="AC417" s="50">
        <f t="shared" si="27"/>
        <v>500</v>
      </c>
      <c r="AD417" s="50">
        <v>22</v>
      </c>
      <c r="AE417" s="50">
        <f t="shared" si="28"/>
        <v>22</v>
      </c>
      <c r="AF417" s="50"/>
      <c r="AG417" s="55" t="str">
        <f t="shared" si="29"/>
        <v>CR-50050022.022.0</v>
      </c>
      <c r="AH417" s="50">
        <v>404</v>
      </c>
      <c r="AI417" s="112">
        <v>150000</v>
      </c>
      <c r="AJ417" s="112"/>
      <c r="AK417" s="48"/>
      <c r="AL417" s="48"/>
      <c r="AM417" s="48"/>
      <c r="AN417" s="108">
        <v>6010</v>
      </c>
      <c r="AO417" s="112"/>
      <c r="AP417" s="112">
        <v>7130</v>
      </c>
      <c r="AQ417" s="108"/>
      <c r="AR417" s="109"/>
    </row>
    <row r="418" spans="27:44" ht="13.5" customHeight="1" x14ac:dyDescent="0.2">
      <c r="AA418" s="9" t="s">
        <v>182</v>
      </c>
      <c r="AB418" s="50">
        <v>550</v>
      </c>
      <c r="AC418" s="50">
        <f t="shared" si="27"/>
        <v>550</v>
      </c>
      <c r="AD418" s="50">
        <v>16</v>
      </c>
      <c r="AE418" s="50">
        <f t="shared" si="28"/>
        <v>16</v>
      </c>
      <c r="AF418" s="50"/>
      <c r="AG418" s="55" t="str">
        <f t="shared" si="29"/>
        <v>CR-55055016.016.0</v>
      </c>
      <c r="AH418" s="50">
        <v>333</v>
      </c>
      <c r="AI418" s="112">
        <v>156000</v>
      </c>
      <c r="AJ418" s="112"/>
      <c r="AK418" s="48"/>
      <c r="AL418" s="48"/>
      <c r="AM418" s="48"/>
      <c r="AN418" s="108">
        <v>5670</v>
      </c>
      <c r="AO418" s="112"/>
      <c r="AP418" s="112">
        <v>6610</v>
      </c>
      <c r="AQ418" s="108"/>
      <c r="AR418" s="109"/>
    </row>
    <row r="419" spans="27:44" ht="13.5" customHeight="1" x14ac:dyDescent="0.2">
      <c r="AA419" s="9" t="s">
        <v>182</v>
      </c>
      <c r="AB419" s="50">
        <f>AB418</f>
        <v>550</v>
      </c>
      <c r="AC419" s="50">
        <f t="shared" si="27"/>
        <v>550</v>
      </c>
      <c r="AD419" s="50">
        <v>19</v>
      </c>
      <c r="AE419" s="50">
        <f t="shared" si="28"/>
        <v>19</v>
      </c>
      <c r="AF419" s="50"/>
      <c r="AG419" s="55" t="str">
        <f t="shared" si="29"/>
        <v>CR-55055019.019.0</v>
      </c>
      <c r="AH419" s="50">
        <v>391.2</v>
      </c>
      <c r="AI419" s="112">
        <v>181000</v>
      </c>
      <c r="AJ419" s="112"/>
      <c r="AK419" s="48"/>
      <c r="AL419" s="48"/>
      <c r="AM419" s="48"/>
      <c r="AN419" s="108">
        <v>6570</v>
      </c>
      <c r="AO419" s="112"/>
      <c r="AP419" s="112">
        <v>7700</v>
      </c>
      <c r="AQ419" s="108"/>
      <c r="AR419" s="109"/>
    </row>
    <row r="420" spans="27:44" ht="13.5" customHeight="1" x14ac:dyDescent="0.2">
      <c r="AA420" s="9" t="s">
        <v>183</v>
      </c>
      <c r="AB420" s="50">
        <f>AB419</f>
        <v>550</v>
      </c>
      <c r="AC420" s="50">
        <f t="shared" si="27"/>
        <v>550</v>
      </c>
      <c r="AD420" s="50">
        <v>22</v>
      </c>
      <c r="AE420" s="50">
        <f t="shared" si="28"/>
        <v>22</v>
      </c>
      <c r="AF420" s="50"/>
      <c r="AG420" s="55" t="str">
        <f t="shared" si="29"/>
        <v>CR-55055022.022.0</v>
      </c>
      <c r="AH420" s="50">
        <v>448</v>
      </c>
      <c r="AI420" s="112">
        <v>204000</v>
      </c>
      <c r="AJ420" s="112"/>
      <c r="AK420" s="48"/>
      <c r="AL420" s="48"/>
      <c r="AM420" s="48"/>
      <c r="AN420" s="108">
        <v>7420</v>
      </c>
      <c r="AO420" s="112"/>
      <c r="AP420" s="112">
        <v>8750</v>
      </c>
      <c r="AQ420" s="108"/>
      <c r="AR420" s="109"/>
    </row>
    <row r="421" spans="27:44" ht="13.5" customHeight="1" x14ac:dyDescent="0.2">
      <c r="AA421" s="9"/>
      <c r="AB421" s="50"/>
      <c r="AC421" s="50"/>
      <c r="AD421" s="50"/>
      <c r="AE421" s="50"/>
      <c r="AF421" s="50"/>
      <c r="AG421" s="55" t="str">
        <f t="shared" si="29"/>
        <v>000.00.0</v>
      </c>
      <c r="AH421" s="50"/>
      <c r="AI421" s="112"/>
      <c r="AJ421" s="112"/>
      <c r="AK421" s="48"/>
      <c r="AL421" s="48"/>
      <c r="AM421" s="48"/>
      <c r="AN421" s="108"/>
      <c r="AO421" s="112"/>
      <c r="AP421" s="112"/>
      <c r="AQ421" s="108"/>
      <c r="AR421" s="109"/>
    </row>
    <row r="422" spans="27:44" ht="13.5" customHeight="1" x14ac:dyDescent="0.2">
      <c r="AA422" s="9" t="s">
        <v>184</v>
      </c>
      <c r="AB422">
        <v>300</v>
      </c>
      <c r="AC422">
        <f t="shared" si="27"/>
        <v>300</v>
      </c>
      <c r="AD422">
        <v>12</v>
      </c>
      <c r="AE422">
        <f t="shared" si="28"/>
        <v>12</v>
      </c>
      <c r="AF422"/>
      <c r="AG422" s="55" t="str">
        <f t="shared" si="29"/>
        <v>CP-30030012.012.0</v>
      </c>
      <c r="AH422" s="50">
        <v>130.80000000000001</v>
      </c>
      <c r="AI422" s="112">
        <v>17500</v>
      </c>
      <c r="AJ422" s="112"/>
      <c r="AK422" s="48"/>
      <c r="AL422" s="48"/>
      <c r="AM422" s="57"/>
      <c r="AN422" s="108">
        <v>1160</v>
      </c>
      <c r="AO422" s="107"/>
      <c r="AP422" s="112">
        <v>1380</v>
      </c>
      <c r="AQ422" s="108"/>
      <c r="AR422" s="109"/>
    </row>
    <row r="423" spans="27:44" ht="13.5" customHeight="1" x14ac:dyDescent="0.2">
      <c r="AA423" s="9" t="s">
        <v>184</v>
      </c>
      <c r="AB423">
        <f>AB422</f>
        <v>300</v>
      </c>
      <c r="AC423">
        <f t="shared" si="27"/>
        <v>300</v>
      </c>
      <c r="AD423">
        <v>16</v>
      </c>
      <c r="AE423">
        <f t="shared" si="28"/>
        <v>16</v>
      </c>
      <c r="AF423"/>
      <c r="AG423" s="55" t="str">
        <f t="shared" si="29"/>
        <v>CP-30030016.016.0</v>
      </c>
      <c r="AH423" s="50">
        <v>168.6</v>
      </c>
      <c r="AI423" s="112">
        <v>21500</v>
      </c>
      <c r="AJ423" s="112"/>
      <c r="AK423" s="48"/>
      <c r="AL423" s="48"/>
      <c r="AM423" s="48"/>
      <c r="AN423" s="108">
        <v>1440</v>
      </c>
      <c r="AO423" s="112"/>
      <c r="AP423" s="112">
        <v>1740</v>
      </c>
      <c r="AQ423" s="108"/>
      <c r="AR423" s="109"/>
    </row>
    <row r="424" spans="27:44" ht="13.5" customHeight="1" x14ac:dyDescent="0.2">
      <c r="AA424" s="9" t="s">
        <v>171</v>
      </c>
      <c r="AB424">
        <f>AB423</f>
        <v>300</v>
      </c>
      <c r="AC424">
        <f t="shared" si="27"/>
        <v>300</v>
      </c>
      <c r="AD424">
        <v>19</v>
      </c>
      <c r="AE424">
        <f t="shared" si="28"/>
        <v>19</v>
      </c>
      <c r="AF424"/>
      <c r="AG424" s="55" t="str">
        <f t="shared" si="29"/>
        <v>CP-30030019.019.0</v>
      </c>
      <c r="AH424" s="50">
        <v>195</v>
      </c>
      <c r="AI424" s="112">
        <v>24100</v>
      </c>
      <c r="AJ424" s="112"/>
      <c r="AK424" s="48"/>
      <c r="AL424" s="48"/>
      <c r="AM424" s="48"/>
      <c r="AN424" s="108">
        <v>1600</v>
      </c>
      <c r="AO424" s="112"/>
      <c r="AP424" s="112">
        <v>1970</v>
      </c>
      <c r="AQ424" s="108"/>
      <c r="AR424" s="109"/>
    </row>
    <row r="425" spans="27:44" ht="13.5" customHeight="1" x14ac:dyDescent="0.2">
      <c r="AA425" s="9" t="s">
        <v>169</v>
      </c>
      <c r="AB425">
        <f>AB424</f>
        <v>300</v>
      </c>
      <c r="AC425">
        <f t="shared" si="27"/>
        <v>300</v>
      </c>
      <c r="AD425">
        <v>22</v>
      </c>
      <c r="AE425">
        <f t="shared" si="28"/>
        <v>22</v>
      </c>
      <c r="AF425"/>
      <c r="AG425" s="55" t="str">
        <f t="shared" si="29"/>
        <v>CP-30030022.022.0</v>
      </c>
      <c r="AH425" s="50">
        <v>219.7</v>
      </c>
      <c r="AI425" s="112">
        <v>26100</v>
      </c>
      <c r="AJ425" s="112"/>
      <c r="AK425" s="48"/>
      <c r="AL425" s="48"/>
      <c r="AM425" s="48"/>
      <c r="AN425" s="108">
        <v>1740</v>
      </c>
      <c r="AO425" s="112"/>
      <c r="AP425" s="112">
        <v>2180</v>
      </c>
      <c r="AQ425" s="108"/>
      <c r="AR425" s="109"/>
    </row>
    <row r="426" spans="27:44" ht="13.5" customHeight="1" x14ac:dyDescent="0.2">
      <c r="AA426" s="9"/>
      <c r="AB426"/>
      <c r="AC426"/>
      <c r="AD426"/>
      <c r="AE426"/>
      <c r="AF426"/>
      <c r="AG426" s="55" t="str">
        <f t="shared" si="29"/>
        <v>000.00.0</v>
      </c>
      <c r="AH426" s="50"/>
      <c r="AI426" s="112"/>
      <c r="AJ426" s="112"/>
      <c r="AK426" s="48"/>
      <c r="AL426" s="48"/>
      <c r="AM426" s="48"/>
      <c r="AN426" s="108"/>
      <c r="AO426" s="112"/>
      <c r="AP426" s="112"/>
      <c r="AQ426" s="108"/>
      <c r="AR426" s="109"/>
    </row>
    <row r="427" spans="27:44" ht="13.5" customHeight="1" x14ac:dyDescent="0.2">
      <c r="AA427" s="9" t="s">
        <v>171</v>
      </c>
      <c r="AB427">
        <v>350</v>
      </c>
      <c r="AC427">
        <f t="shared" si="27"/>
        <v>350</v>
      </c>
      <c r="AD427">
        <v>12</v>
      </c>
      <c r="AE427">
        <f t="shared" si="28"/>
        <v>12</v>
      </c>
      <c r="AF427"/>
      <c r="AG427" s="55" t="str">
        <f t="shared" si="29"/>
        <v>CP-35035012.012.0</v>
      </c>
      <c r="AH427" s="50">
        <v>154.80000000000001</v>
      </c>
      <c r="AI427" s="112">
        <v>28700</v>
      </c>
      <c r="AJ427" s="112"/>
      <c r="AK427" s="48"/>
      <c r="AL427" s="48"/>
      <c r="AM427" s="48"/>
      <c r="AN427" s="108">
        <v>1640</v>
      </c>
      <c r="AO427" s="112"/>
      <c r="AP427" s="112">
        <v>1930</v>
      </c>
      <c r="AQ427" s="108"/>
      <c r="AR427" s="109"/>
    </row>
    <row r="428" spans="27:44" ht="13.5" customHeight="1" x14ac:dyDescent="0.2">
      <c r="AA428" s="9" t="s">
        <v>171</v>
      </c>
      <c r="AB428">
        <f>AB427</f>
        <v>350</v>
      </c>
      <c r="AC428">
        <f t="shared" si="27"/>
        <v>350</v>
      </c>
      <c r="AD428">
        <v>16</v>
      </c>
      <c r="AE428">
        <f t="shared" si="28"/>
        <v>16</v>
      </c>
      <c r="AF428"/>
      <c r="AG428" s="55" t="str">
        <f t="shared" si="29"/>
        <v>CP-35035016.016.0</v>
      </c>
      <c r="AH428" s="50">
        <v>200.6</v>
      </c>
      <c r="AI428" s="112">
        <v>35800</v>
      </c>
      <c r="AJ428" s="112"/>
      <c r="AK428" s="48"/>
      <c r="AL428" s="48"/>
      <c r="AM428" s="48"/>
      <c r="AN428" s="108">
        <v>2050</v>
      </c>
      <c r="AO428" s="112"/>
      <c r="AP428" s="112">
        <v>2450</v>
      </c>
      <c r="AQ428" s="108"/>
      <c r="AR428" s="109"/>
    </row>
    <row r="429" spans="27:44" ht="13.5" customHeight="1" x14ac:dyDescent="0.2">
      <c r="AA429" s="9" t="s">
        <v>171</v>
      </c>
      <c r="AB429">
        <f>AB428</f>
        <v>350</v>
      </c>
      <c r="AC429">
        <f t="shared" si="27"/>
        <v>350</v>
      </c>
      <c r="AD429">
        <v>19</v>
      </c>
      <c r="AE429">
        <f t="shared" si="28"/>
        <v>19</v>
      </c>
      <c r="AF429"/>
      <c r="AG429" s="55" t="str">
        <f t="shared" si="29"/>
        <v>CP-35035019.019.0</v>
      </c>
      <c r="AH429" s="50">
        <v>233</v>
      </c>
      <c r="AI429" s="112">
        <v>40400</v>
      </c>
      <c r="AJ429" s="112"/>
      <c r="AK429" s="48"/>
      <c r="AL429" s="48"/>
      <c r="AM429" s="48"/>
      <c r="AN429" s="108">
        <v>2310</v>
      </c>
      <c r="AO429" s="112"/>
      <c r="AP429" s="112">
        <v>2800</v>
      </c>
      <c r="AQ429" s="108"/>
      <c r="AR429" s="109"/>
    </row>
    <row r="430" spans="27:44" ht="13.5" customHeight="1" x14ac:dyDescent="0.2">
      <c r="AA430" s="9" t="s">
        <v>185</v>
      </c>
      <c r="AB430">
        <f>AB429</f>
        <v>350</v>
      </c>
      <c r="AC430">
        <f t="shared" si="27"/>
        <v>350</v>
      </c>
      <c r="AD430">
        <v>22</v>
      </c>
      <c r="AE430">
        <f t="shared" si="28"/>
        <v>22</v>
      </c>
      <c r="AF430"/>
      <c r="AG430" s="55" t="str">
        <f t="shared" si="29"/>
        <v>CP-35035022.022.0</v>
      </c>
      <c r="AH430" s="50">
        <v>263.7</v>
      </c>
      <c r="AI430" s="112">
        <v>44400</v>
      </c>
      <c r="AJ430" s="112"/>
      <c r="AK430" s="48"/>
      <c r="AL430" s="48"/>
      <c r="AM430" s="48"/>
      <c r="AN430" s="108">
        <v>2540</v>
      </c>
      <c r="AO430" s="112"/>
      <c r="AP430" s="112">
        <v>3120</v>
      </c>
      <c r="AQ430" s="108"/>
      <c r="AR430" s="109"/>
    </row>
    <row r="431" spans="27:44" ht="13.5" customHeight="1" x14ac:dyDescent="0.2">
      <c r="AA431" s="9" t="s">
        <v>171</v>
      </c>
      <c r="AB431">
        <f>AB430</f>
        <v>350</v>
      </c>
      <c r="AC431">
        <f t="shared" si="27"/>
        <v>350</v>
      </c>
      <c r="AD431">
        <v>25</v>
      </c>
      <c r="AE431">
        <f t="shared" si="28"/>
        <v>25</v>
      </c>
      <c r="AF431"/>
      <c r="AG431" s="55" t="str">
        <f t="shared" si="29"/>
        <v>CP-35035025.025.0</v>
      </c>
      <c r="AH431" s="50">
        <v>292.8</v>
      </c>
      <c r="AI431" s="112">
        <v>47700</v>
      </c>
      <c r="AJ431" s="112"/>
      <c r="AK431" s="48"/>
      <c r="AL431" s="48"/>
      <c r="AM431" s="48"/>
      <c r="AN431" s="108">
        <v>2730</v>
      </c>
      <c r="AO431" s="112"/>
      <c r="AP431" s="112">
        <v>3400</v>
      </c>
      <c r="AQ431" s="108"/>
      <c r="AR431" s="109"/>
    </row>
    <row r="432" spans="27:44" ht="13.5" customHeight="1" x14ac:dyDescent="0.2">
      <c r="AA432" s="9"/>
      <c r="AB432"/>
      <c r="AC432"/>
      <c r="AD432"/>
      <c r="AE432"/>
      <c r="AF432"/>
      <c r="AG432" s="55" t="str">
        <f t="shared" si="29"/>
        <v>000.00.0</v>
      </c>
      <c r="AH432" s="50"/>
      <c r="AI432" s="112"/>
      <c r="AJ432" s="112"/>
      <c r="AK432" s="48"/>
      <c r="AL432" s="48"/>
      <c r="AM432" s="48"/>
      <c r="AN432" s="108"/>
      <c r="AO432" s="112"/>
      <c r="AP432" s="112"/>
      <c r="AQ432" s="108"/>
      <c r="AR432" s="109"/>
    </row>
    <row r="433" spans="27:44" ht="13.5" customHeight="1" x14ac:dyDescent="0.2">
      <c r="AA433" s="9" t="s">
        <v>185</v>
      </c>
      <c r="AB433">
        <v>400</v>
      </c>
      <c r="AC433">
        <f t="shared" si="27"/>
        <v>400</v>
      </c>
      <c r="AD433">
        <v>12</v>
      </c>
      <c r="AE433">
        <f t="shared" si="28"/>
        <v>12</v>
      </c>
      <c r="AF433"/>
      <c r="AG433" s="55" t="str">
        <f t="shared" si="29"/>
        <v>CP-40040012.012.0</v>
      </c>
      <c r="AH433" s="50">
        <v>178.8</v>
      </c>
      <c r="AI433" s="112">
        <v>43800</v>
      </c>
      <c r="AJ433" s="112"/>
      <c r="AK433" s="48"/>
      <c r="AL433" s="48"/>
      <c r="AM433" s="48"/>
      <c r="AN433" s="108">
        <v>2190</v>
      </c>
      <c r="AO433" s="112"/>
      <c r="AP433" s="112">
        <v>2560</v>
      </c>
      <c r="AQ433" s="108"/>
      <c r="AR433" s="109"/>
    </row>
    <row r="434" spans="27:44" ht="13.5" customHeight="1" x14ac:dyDescent="0.2">
      <c r="AA434" s="9" t="s">
        <v>185</v>
      </c>
      <c r="AB434">
        <f>AB433</f>
        <v>400</v>
      </c>
      <c r="AC434">
        <f t="shared" si="27"/>
        <v>400</v>
      </c>
      <c r="AD434">
        <v>16</v>
      </c>
      <c r="AE434">
        <f t="shared" si="28"/>
        <v>16</v>
      </c>
      <c r="AF434"/>
      <c r="AG434" s="55" t="str">
        <f t="shared" si="29"/>
        <v>CP-40040016.016.0</v>
      </c>
      <c r="AH434" s="50">
        <v>232.6</v>
      </c>
      <c r="AI434" s="112">
        <v>55200</v>
      </c>
      <c r="AJ434" s="112"/>
      <c r="AK434" s="48"/>
      <c r="AL434" s="48"/>
      <c r="AM434" s="48"/>
      <c r="AN434" s="108">
        <v>2760</v>
      </c>
      <c r="AO434" s="112"/>
      <c r="AP434" s="112">
        <v>3280</v>
      </c>
      <c r="AQ434" s="108"/>
      <c r="AR434" s="109"/>
    </row>
    <row r="435" spans="27:44" ht="13.5" customHeight="1" x14ac:dyDescent="0.2">
      <c r="AA435" s="9" t="s">
        <v>170</v>
      </c>
      <c r="AB435">
        <f>AB434</f>
        <v>400</v>
      </c>
      <c r="AC435">
        <f t="shared" si="27"/>
        <v>400</v>
      </c>
      <c r="AD435">
        <v>19</v>
      </c>
      <c r="AE435">
        <f t="shared" si="28"/>
        <v>19</v>
      </c>
      <c r="AF435"/>
      <c r="AG435" s="55" t="str">
        <f t="shared" si="29"/>
        <v>CP-40040019.019.0</v>
      </c>
      <c r="AH435" s="50">
        <v>271</v>
      </c>
      <c r="AI435" s="112">
        <v>62800</v>
      </c>
      <c r="AJ435" s="112"/>
      <c r="AK435" s="48"/>
      <c r="AL435" s="48"/>
      <c r="AM435" s="48"/>
      <c r="AN435" s="108">
        <v>3140</v>
      </c>
      <c r="AO435" s="112"/>
      <c r="AP435" s="112">
        <v>3770</v>
      </c>
      <c r="AQ435" s="108"/>
      <c r="AR435" s="109"/>
    </row>
    <row r="436" spans="27:44" ht="13.5" customHeight="1" x14ac:dyDescent="0.2">
      <c r="AA436" s="9" t="s">
        <v>170</v>
      </c>
      <c r="AB436">
        <f>AB435</f>
        <v>400</v>
      </c>
      <c r="AC436">
        <f t="shared" si="27"/>
        <v>400</v>
      </c>
      <c r="AD436">
        <v>22</v>
      </c>
      <c r="AE436">
        <f t="shared" si="28"/>
        <v>22</v>
      </c>
      <c r="AF436"/>
      <c r="AG436" s="55" t="str">
        <f t="shared" si="29"/>
        <v>CP-40040022.022.0</v>
      </c>
      <c r="AH436" s="50">
        <v>307</v>
      </c>
      <c r="AI436" s="112">
        <v>69500</v>
      </c>
      <c r="AJ436" s="112"/>
      <c r="AK436" s="48"/>
      <c r="AL436" s="48"/>
      <c r="AM436" s="48"/>
      <c r="AN436" s="108">
        <v>3480</v>
      </c>
      <c r="AO436" s="112"/>
      <c r="AP436" s="112">
        <v>4220</v>
      </c>
      <c r="AQ436" s="108"/>
      <c r="AR436" s="109"/>
    </row>
    <row r="437" spans="27:44" ht="13.5" customHeight="1" x14ac:dyDescent="0.2">
      <c r="AA437" s="9" t="s">
        <v>186</v>
      </c>
      <c r="AB437">
        <f>AB436</f>
        <v>400</v>
      </c>
      <c r="AC437">
        <f t="shared" si="27"/>
        <v>400</v>
      </c>
      <c r="AD437">
        <v>25</v>
      </c>
      <c r="AE437">
        <f t="shared" si="28"/>
        <v>25</v>
      </c>
      <c r="AF437"/>
      <c r="AG437" s="55" t="str">
        <f t="shared" si="29"/>
        <v>CP-40040025.025.0</v>
      </c>
      <c r="AH437" s="50">
        <v>342.8</v>
      </c>
      <c r="AI437" s="112">
        <v>75400</v>
      </c>
      <c r="AJ437" s="112"/>
      <c r="AK437" s="48"/>
      <c r="AL437" s="48"/>
      <c r="AM437" s="48"/>
      <c r="AN437" s="108">
        <v>3770</v>
      </c>
      <c r="AO437" s="112"/>
      <c r="AP437" s="112">
        <v>4640</v>
      </c>
      <c r="AQ437" s="108"/>
      <c r="AR437" s="109"/>
    </row>
    <row r="438" spans="27:44" ht="13.5" customHeight="1" x14ac:dyDescent="0.2">
      <c r="AA438" s="9"/>
      <c r="AB438"/>
      <c r="AC438"/>
      <c r="AD438"/>
      <c r="AE438"/>
      <c r="AF438"/>
      <c r="AG438" s="55" t="str">
        <f t="shared" si="29"/>
        <v>000.00.0</v>
      </c>
      <c r="AH438" s="50"/>
      <c r="AI438" s="112"/>
      <c r="AJ438" s="112"/>
      <c r="AK438" s="48"/>
      <c r="AL438" s="48"/>
      <c r="AM438" s="48"/>
      <c r="AN438" s="108"/>
      <c r="AO438" s="112"/>
      <c r="AP438" s="112"/>
      <c r="AQ438" s="108"/>
      <c r="AR438" s="109"/>
    </row>
    <row r="439" spans="27:44" ht="13.5" customHeight="1" x14ac:dyDescent="0.2">
      <c r="AA439" s="9" t="s">
        <v>171</v>
      </c>
      <c r="AB439">
        <v>450</v>
      </c>
      <c r="AC439">
        <f t="shared" si="27"/>
        <v>450</v>
      </c>
      <c r="AD439">
        <v>12</v>
      </c>
      <c r="AE439">
        <f t="shared" si="28"/>
        <v>12</v>
      </c>
      <c r="AF439"/>
      <c r="AG439" s="55" t="str">
        <f t="shared" si="29"/>
        <v>CP-45045012.012.0</v>
      </c>
      <c r="AH439" s="50">
        <v>202.8</v>
      </c>
      <c r="AI439" s="112">
        <v>63500</v>
      </c>
      <c r="AJ439" s="112"/>
      <c r="AK439" s="48"/>
      <c r="AL439" s="48"/>
      <c r="AM439" s="48"/>
      <c r="AN439" s="108">
        <v>2820</v>
      </c>
      <c r="AO439" s="112"/>
      <c r="AP439" s="112">
        <v>3290</v>
      </c>
      <c r="AQ439" s="108"/>
      <c r="AR439" s="109"/>
    </row>
    <row r="440" spans="27:44" ht="13.5" customHeight="1" x14ac:dyDescent="0.2">
      <c r="AA440" s="9" t="s">
        <v>171</v>
      </c>
      <c r="AB440">
        <f>AB439</f>
        <v>450</v>
      </c>
      <c r="AC440">
        <f t="shared" si="27"/>
        <v>450</v>
      </c>
      <c r="AD440">
        <v>16</v>
      </c>
      <c r="AE440">
        <f t="shared" si="28"/>
        <v>16</v>
      </c>
      <c r="AF440"/>
      <c r="AG440" s="55" t="str">
        <f t="shared" si="29"/>
        <v>CP-45045016.016.0</v>
      </c>
      <c r="AH440" s="50">
        <v>264.60000000000002</v>
      </c>
      <c r="AI440" s="112">
        <v>80600</v>
      </c>
      <c r="AJ440" s="112"/>
      <c r="AK440" s="48"/>
      <c r="AL440" s="48"/>
      <c r="AM440" s="48"/>
      <c r="AN440" s="108">
        <v>3580</v>
      </c>
      <c r="AO440" s="112"/>
      <c r="AP440" s="112">
        <v>4230</v>
      </c>
      <c r="AQ440" s="108"/>
      <c r="AR440" s="109"/>
    </row>
    <row r="441" spans="27:44" ht="13.5" customHeight="1" x14ac:dyDescent="0.2">
      <c r="AA441" s="9" t="s">
        <v>185</v>
      </c>
      <c r="AB441">
        <f>AB440</f>
        <v>450</v>
      </c>
      <c r="AC441">
        <f t="shared" si="27"/>
        <v>450</v>
      </c>
      <c r="AD441">
        <v>19</v>
      </c>
      <c r="AE441">
        <f t="shared" si="28"/>
        <v>19</v>
      </c>
      <c r="AF441"/>
      <c r="AG441" s="55" t="str">
        <f t="shared" si="29"/>
        <v>CP-45045019.019.0</v>
      </c>
      <c r="AH441" s="50">
        <v>309</v>
      </c>
      <c r="AI441" s="112">
        <v>92200</v>
      </c>
      <c r="AJ441" s="112"/>
      <c r="AK441" s="48"/>
      <c r="AL441" s="48"/>
      <c r="AM441" s="48"/>
      <c r="AN441" s="108">
        <v>4100</v>
      </c>
      <c r="AO441" s="112"/>
      <c r="AP441" s="112">
        <v>4880</v>
      </c>
      <c r="AQ441" s="108"/>
      <c r="AR441" s="109"/>
    </row>
    <row r="442" spans="27:44" ht="13.5" customHeight="1" x14ac:dyDescent="0.2">
      <c r="AA442" s="9" t="s">
        <v>170</v>
      </c>
      <c r="AB442">
        <f>AB441</f>
        <v>450</v>
      </c>
      <c r="AC442">
        <f t="shared" si="27"/>
        <v>450</v>
      </c>
      <c r="AD442">
        <v>22</v>
      </c>
      <c r="AE442">
        <f t="shared" si="28"/>
        <v>22</v>
      </c>
      <c r="AF442"/>
      <c r="AG442" s="55" t="str">
        <f t="shared" si="29"/>
        <v>CP-45045022.022.0</v>
      </c>
      <c r="AH442" s="50">
        <v>351.7</v>
      </c>
      <c r="AI442" s="112">
        <v>103000</v>
      </c>
      <c r="AJ442" s="112"/>
      <c r="AK442" s="48"/>
      <c r="AL442" s="48"/>
      <c r="AM442" s="48"/>
      <c r="AN442" s="108">
        <v>4560</v>
      </c>
      <c r="AO442" s="112"/>
      <c r="AP442" s="112">
        <v>5490</v>
      </c>
      <c r="AQ442" s="108"/>
      <c r="AR442" s="109"/>
    </row>
    <row r="443" spans="27:44" ht="13.5" customHeight="1" x14ac:dyDescent="0.2">
      <c r="AA443" s="9" t="s">
        <v>170</v>
      </c>
      <c r="AB443">
        <f>AB442</f>
        <v>450</v>
      </c>
      <c r="AC443">
        <f t="shared" si="27"/>
        <v>450</v>
      </c>
      <c r="AD443">
        <v>25</v>
      </c>
      <c r="AE443">
        <f t="shared" si="28"/>
        <v>25</v>
      </c>
      <c r="AF443"/>
      <c r="AG443" s="55" t="str">
        <f t="shared" si="29"/>
        <v>CP-45045025.025.0</v>
      </c>
      <c r="AH443" s="50">
        <v>392.8</v>
      </c>
      <c r="AI443" s="112">
        <v>112000</v>
      </c>
      <c r="AJ443" s="112"/>
      <c r="AK443" s="48"/>
      <c r="AL443" s="48"/>
      <c r="AM443" s="48"/>
      <c r="AN443" s="108">
        <v>4980</v>
      </c>
      <c r="AO443" s="112"/>
      <c r="AP443" s="112">
        <v>6050</v>
      </c>
      <c r="AQ443" s="108"/>
      <c r="AR443" s="109"/>
    </row>
    <row r="444" spans="27:44" ht="13.5" customHeight="1" x14ac:dyDescent="0.2">
      <c r="AA444" s="9"/>
      <c r="AB444"/>
      <c r="AC444"/>
      <c r="AD444"/>
      <c r="AE444"/>
      <c r="AF444"/>
      <c r="AG444" s="55" t="str">
        <f t="shared" si="29"/>
        <v>000.00.0</v>
      </c>
      <c r="AH444" s="50"/>
      <c r="AI444" s="112"/>
      <c r="AJ444" s="112"/>
      <c r="AK444" s="48"/>
      <c r="AL444" s="48"/>
      <c r="AM444" s="48"/>
      <c r="AN444" s="108"/>
      <c r="AO444" s="112"/>
      <c r="AP444" s="112"/>
      <c r="AQ444" s="108"/>
      <c r="AR444" s="109"/>
    </row>
    <row r="445" spans="27:44" ht="13.5" customHeight="1" x14ac:dyDescent="0.2">
      <c r="AA445" s="9" t="s">
        <v>185</v>
      </c>
      <c r="AB445">
        <v>500</v>
      </c>
      <c r="AC445">
        <f t="shared" si="27"/>
        <v>500</v>
      </c>
      <c r="AD445">
        <v>16</v>
      </c>
      <c r="AE445">
        <f t="shared" si="28"/>
        <v>16</v>
      </c>
      <c r="AF445"/>
      <c r="AG445" s="55" t="str">
        <f t="shared" si="29"/>
        <v>CP-50050016.016.0</v>
      </c>
      <c r="AH445" s="50">
        <v>296.60000000000002</v>
      </c>
      <c r="AI445" s="112">
        <v>113000</v>
      </c>
      <c r="AJ445" s="112"/>
      <c r="AK445" s="48"/>
      <c r="AL445" s="48"/>
      <c r="AM445" s="48"/>
      <c r="AN445" s="108">
        <v>4510</v>
      </c>
      <c r="AO445" s="112"/>
      <c r="AP445" s="112">
        <v>5290</v>
      </c>
      <c r="AQ445" s="108"/>
      <c r="AR445" s="109"/>
    </row>
    <row r="446" spans="27:44" ht="13.5" customHeight="1" x14ac:dyDescent="0.2">
      <c r="AA446" s="9" t="s">
        <v>185</v>
      </c>
      <c r="AB446">
        <f>AB445</f>
        <v>500</v>
      </c>
      <c r="AC446">
        <f t="shared" ref="AC446:AC460" si="31">AB446</f>
        <v>500</v>
      </c>
      <c r="AD446">
        <v>19</v>
      </c>
      <c r="AE446">
        <f>AD446</f>
        <v>19</v>
      </c>
      <c r="AF446"/>
      <c r="AG446" s="55" t="str">
        <f t="shared" ref="AG446:AG509" si="32">RIGHT(AA446,3)&amp;FIXED(AB446,0)&amp;FIXED(AC446,0)&amp;FIXED(AD446,1)&amp;FIXED(AE446,1)</f>
        <v>CP-50050019.019.0</v>
      </c>
      <c r="AH446" s="50">
        <v>347</v>
      </c>
      <c r="AI446" s="112">
        <v>130000</v>
      </c>
      <c r="AJ446" s="112"/>
      <c r="AK446" s="48"/>
      <c r="AL446" s="48"/>
      <c r="AM446" s="48"/>
      <c r="AN446" s="108">
        <v>5180</v>
      </c>
      <c r="AO446" s="112"/>
      <c r="AP446" s="112">
        <v>6130</v>
      </c>
      <c r="AQ446" s="108"/>
      <c r="AR446" s="109"/>
    </row>
    <row r="447" spans="27:44" ht="13.5" customHeight="1" x14ac:dyDescent="0.2">
      <c r="AA447" s="9" t="s">
        <v>170</v>
      </c>
      <c r="AB447">
        <f>AB446</f>
        <v>500</v>
      </c>
      <c r="AC447">
        <f t="shared" si="31"/>
        <v>500</v>
      </c>
      <c r="AD447">
        <v>22</v>
      </c>
      <c r="AE447">
        <f>AD447</f>
        <v>22</v>
      </c>
      <c r="AF447"/>
      <c r="AG447" s="55" t="str">
        <f t="shared" si="32"/>
        <v>CP-50050022.022.0</v>
      </c>
      <c r="AH447" s="50">
        <v>395.7</v>
      </c>
      <c r="AI447" s="112">
        <v>145000</v>
      </c>
      <c r="AJ447" s="112"/>
      <c r="AK447" s="48"/>
      <c r="AL447" s="48"/>
      <c r="AM447" s="48"/>
      <c r="AN447" s="108">
        <v>5800</v>
      </c>
      <c r="AO447" s="112"/>
      <c r="AP447" s="112">
        <v>6920</v>
      </c>
      <c r="AQ447" s="108"/>
      <c r="AR447" s="109"/>
    </row>
    <row r="448" spans="27:44" ht="13.5" customHeight="1" x14ac:dyDescent="0.2">
      <c r="AA448" s="9" t="s">
        <v>185</v>
      </c>
      <c r="AB448">
        <f>AB447</f>
        <v>500</v>
      </c>
      <c r="AC448">
        <f t="shared" si="31"/>
        <v>500</v>
      </c>
      <c r="AD448">
        <v>25</v>
      </c>
      <c r="AE448">
        <f>AD448</f>
        <v>25</v>
      </c>
      <c r="AF448"/>
      <c r="AG448" s="55" t="str">
        <f t="shared" si="32"/>
        <v>CP-50050025.025.0</v>
      </c>
      <c r="AH448" s="50">
        <v>442.8</v>
      </c>
      <c r="AI448" s="112">
        <v>159000</v>
      </c>
      <c r="AJ448" s="112"/>
      <c r="AK448" s="48"/>
      <c r="AL448" s="48"/>
      <c r="AM448" s="48"/>
      <c r="AN448" s="108">
        <v>6360</v>
      </c>
      <c r="AO448" s="112"/>
      <c r="AP448" s="112">
        <v>7660</v>
      </c>
      <c r="AQ448" s="108"/>
      <c r="AR448" s="109"/>
    </row>
    <row r="449" spans="27:44" ht="13.5" customHeight="1" x14ac:dyDescent="0.2">
      <c r="AA449" s="9"/>
      <c r="AB449"/>
      <c r="AC449"/>
      <c r="AD449"/>
      <c r="AE449"/>
      <c r="AF449"/>
      <c r="AG449" s="55" t="str">
        <f t="shared" si="32"/>
        <v>000.00.0</v>
      </c>
      <c r="AH449" s="50"/>
      <c r="AI449" s="112"/>
      <c r="AJ449" s="112"/>
      <c r="AK449" s="48"/>
      <c r="AL449" s="48"/>
      <c r="AM449" s="48"/>
      <c r="AN449" s="108"/>
      <c r="AO449" s="112"/>
      <c r="AP449" s="112"/>
      <c r="AQ449" s="108"/>
      <c r="AR449" s="109"/>
    </row>
    <row r="450" spans="27:44" ht="13.5" customHeight="1" x14ac:dyDescent="0.2">
      <c r="AA450" s="9" t="s">
        <v>171</v>
      </c>
      <c r="AB450">
        <v>550</v>
      </c>
      <c r="AC450">
        <f t="shared" si="31"/>
        <v>550</v>
      </c>
      <c r="AD450">
        <v>16</v>
      </c>
      <c r="AE450">
        <f>AD450</f>
        <v>16</v>
      </c>
      <c r="AF450"/>
      <c r="AG450" s="55" t="str">
        <f t="shared" si="32"/>
        <v>CP-55055016.016.0</v>
      </c>
      <c r="AH450" s="50">
        <v>328.6</v>
      </c>
      <c r="AI450" s="108">
        <v>153000</v>
      </c>
      <c r="AJ450" s="112"/>
      <c r="AK450" s="48"/>
      <c r="AL450" s="48"/>
      <c r="AM450" s="48"/>
      <c r="AN450" s="108">
        <v>5550</v>
      </c>
      <c r="AO450" s="112"/>
      <c r="AP450" s="112">
        <v>6480</v>
      </c>
      <c r="AQ450" s="108"/>
      <c r="AR450" s="109"/>
    </row>
    <row r="451" spans="27:44" ht="13.5" customHeight="1" x14ac:dyDescent="0.2">
      <c r="AA451" s="9" t="s">
        <v>170</v>
      </c>
      <c r="AB451">
        <f>AB450</f>
        <v>550</v>
      </c>
      <c r="AC451">
        <f t="shared" si="31"/>
        <v>550</v>
      </c>
      <c r="AD451">
        <v>19</v>
      </c>
      <c r="AE451">
        <f>AD451</f>
        <v>19</v>
      </c>
      <c r="AF451"/>
      <c r="AG451" s="55" t="str">
        <f t="shared" si="32"/>
        <v>CP-55055019.019.0</v>
      </c>
      <c r="AH451" s="50">
        <v>385</v>
      </c>
      <c r="AI451" s="108">
        <v>176000</v>
      </c>
      <c r="AJ451" s="112"/>
      <c r="AK451" s="48"/>
      <c r="AL451" s="48"/>
      <c r="AM451" s="48"/>
      <c r="AN451" s="108">
        <v>6390</v>
      </c>
      <c r="AO451" s="112"/>
      <c r="AP451" s="112">
        <v>7530</v>
      </c>
      <c r="AQ451" s="108"/>
      <c r="AR451" s="109"/>
    </row>
    <row r="452" spans="27:44" ht="13.5" customHeight="1" x14ac:dyDescent="0.2">
      <c r="AA452" s="9" t="s">
        <v>187</v>
      </c>
      <c r="AB452">
        <f>AB451</f>
        <v>550</v>
      </c>
      <c r="AC452">
        <f t="shared" si="31"/>
        <v>550</v>
      </c>
      <c r="AD452">
        <v>22</v>
      </c>
      <c r="AE452">
        <f>AD452</f>
        <v>22</v>
      </c>
      <c r="AF452"/>
      <c r="AG452" s="55" t="str">
        <f t="shared" si="32"/>
        <v>CP-55055022.022.0</v>
      </c>
      <c r="AH452" s="50">
        <v>439.7</v>
      </c>
      <c r="AI452" s="108">
        <v>197000</v>
      </c>
      <c r="AJ452" s="112"/>
      <c r="AK452" s="48"/>
      <c r="AL452" s="48"/>
      <c r="AM452" s="48"/>
      <c r="AN452" s="108">
        <v>7180</v>
      </c>
      <c r="AO452" s="112"/>
      <c r="AP452" s="112">
        <v>8520</v>
      </c>
      <c r="AQ452" s="108"/>
      <c r="AR452" s="109"/>
    </row>
    <row r="453" spans="27:44" ht="13.5" customHeight="1" x14ac:dyDescent="0.2">
      <c r="AA453" s="9" t="s">
        <v>171</v>
      </c>
      <c r="AB453">
        <f>AB452</f>
        <v>550</v>
      </c>
      <c r="AC453">
        <f t="shared" si="31"/>
        <v>550</v>
      </c>
      <c r="AD453">
        <v>25</v>
      </c>
      <c r="AE453">
        <f>AD453</f>
        <v>25</v>
      </c>
      <c r="AF453"/>
      <c r="AG453" s="55" t="str">
        <f t="shared" si="32"/>
        <v>CP-55055025.025.0</v>
      </c>
      <c r="AH453" s="50">
        <v>492.8</v>
      </c>
      <c r="AI453" s="108">
        <v>217000</v>
      </c>
      <c r="AJ453" s="112"/>
      <c r="AK453" s="48"/>
      <c r="AL453" s="48"/>
      <c r="AM453" s="48"/>
      <c r="AN453" s="108">
        <v>7900</v>
      </c>
      <c r="AO453" s="112"/>
      <c r="AP453" s="112">
        <v>9460</v>
      </c>
      <c r="AQ453" s="108"/>
      <c r="AR453" s="109"/>
    </row>
    <row r="454" spans="27:44" ht="13.5" customHeight="1" x14ac:dyDescent="0.2">
      <c r="AA454" s="9" t="s">
        <v>170</v>
      </c>
      <c r="AB454">
        <f>AB453</f>
        <v>550</v>
      </c>
      <c r="AC454">
        <f t="shared" si="31"/>
        <v>550</v>
      </c>
      <c r="AD454">
        <v>28</v>
      </c>
      <c r="AE454">
        <f>AD454</f>
        <v>28</v>
      </c>
      <c r="AF454"/>
      <c r="AG454" s="55" t="str">
        <f t="shared" si="32"/>
        <v>CP-55055028.028.0</v>
      </c>
      <c r="AH454" s="50">
        <v>544.29999999999995</v>
      </c>
      <c r="AI454" s="108">
        <v>236000</v>
      </c>
      <c r="AJ454" s="112"/>
      <c r="AK454" s="48"/>
      <c r="AL454" s="48"/>
      <c r="AM454" s="48"/>
      <c r="AN454" s="108">
        <v>8570</v>
      </c>
      <c r="AO454" s="112"/>
      <c r="AP454" s="112">
        <v>10300</v>
      </c>
      <c r="AQ454" s="108"/>
      <c r="AR454" s="109"/>
    </row>
    <row r="455" spans="27:44" ht="13.5" customHeight="1" x14ac:dyDescent="0.2">
      <c r="AA455" s="9"/>
      <c r="AB455"/>
      <c r="AC455"/>
      <c r="AD455"/>
      <c r="AE455"/>
      <c r="AF455"/>
      <c r="AG455" s="55" t="str">
        <f t="shared" si="32"/>
        <v>000.00.0</v>
      </c>
      <c r="AH455" s="50"/>
      <c r="AI455" s="112"/>
      <c r="AJ455" s="112"/>
      <c r="AK455" s="48"/>
      <c r="AL455" s="48"/>
      <c r="AM455" s="48"/>
      <c r="AN455" s="108"/>
      <c r="AO455" s="112"/>
      <c r="AP455" s="112"/>
      <c r="AQ455" s="108"/>
      <c r="AR455" s="109"/>
    </row>
    <row r="456" spans="27:44" ht="13.5" customHeight="1" x14ac:dyDescent="0.2">
      <c r="AA456" s="9" t="s">
        <v>184</v>
      </c>
      <c r="AB456">
        <v>600</v>
      </c>
      <c r="AC456">
        <f t="shared" si="31"/>
        <v>600</v>
      </c>
      <c r="AD456">
        <v>16</v>
      </c>
      <c r="AE456">
        <f>AD456</f>
        <v>16</v>
      </c>
      <c r="AF456"/>
      <c r="AG456" s="55" t="str">
        <f t="shared" si="32"/>
        <v>CP-60060016.016.0</v>
      </c>
      <c r="AH456" s="50">
        <v>360.6</v>
      </c>
      <c r="AI456" s="112">
        <v>201000</v>
      </c>
      <c r="AJ456" s="112"/>
      <c r="AK456" s="48"/>
      <c r="AL456" s="48"/>
      <c r="AM456" s="48"/>
      <c r="AN456" s="108">
        <v>6690</v>
      </c>
      <c r="AO456" s="112"/>
      <c r="AP456" s="112">
        <v>7790</v>
      </c>
      <c r="AQ456" s="108"/>
      <c r="AR456" s="109"/>
    </row>
    <row r="457" spans="27:44" ht="13.5" customHeight="1" x14ac:dyDescent="0.2">
      <c r="AA457" s="9" t="s">
        <v>188</v>
      </c>
      <c r="AB457">
        <f>AB456</f>
        <v>600</v>
      </c>
      <c r="AC457">
        <f t="shared" si="31"/>
        <v>600</v>
      </c>
      <c r="AD457">
        <v>19</v>
      </c>
      <c r="AE457">
        <f>AD457</f>
        <v>19</v>
      </c>
      <c r="AF457"/>
      <c r="AG457" s="55" t="str">
        <f t="shared" si="32"/>
        <v>CP-60060019.019.0</v>
      </c>
      <c r="AH457" s="50">
        <v>423</v>
      </c>
      <c r="AI457" s="112">
        <v>232000</v>
      </c>
      <c r="AJ457" s="112"/>
      <c r="AK457" s="48"/>
      <c r="AL457" s="48"/>
      <c r="AM457" s="48"/>
      <c r="AN457" s="108">
        <v>7730</v>
      </c>
      <c r="AO457" s="112"/>
      <c r="AP457" s="112">
        <v>9070</v>
      </c>
      <c r="AQ457" s="108"/>
      <c r="AR457" s="109"/>
    </row>
    <row r="458" spans="27:44" ht="13.5" customHeight="1" x14ac:dyDescent="0.2">
      <c r="AA458" s="9" t="s">
        <v>170</v>
      </c>
      <c r="AB458">
        <f>AB457</f>
        <v>600</v>
      </c>
      <c r="AC458">
        <f t="shared" si="31"/>
        <v>600</v>
      </c>
      <c r="AD458">
        <v>22</v>
      </c>
      <c r="AE458">
        <f>AD458</f>
        <v>22</v>
      </c>
      <c r="AF458"/>
      <c r="AG458" s="55" t="str">
        <f t="shared" si="32"/>
        <v>CP-60060022.022.0</v>
      </c>
      <c r="AH458" s="50">
        <v>483.7</v>
      </c>
      <c r="AI458" s="112">
        <v>261000</v>
      </c>
      <c r="AJ458" s="112"/>
      <c r="AK458" s="48"/>
      <c r="AL458" s="48"/>
      <c r="AM458" s="48"/>
      <c r="AN458" s="108">
        <v>8710</v>
      </c>
      <c r="AO458" s="112"/>
      <c r="AP458" s="112">
        <v>10300</v>
      </c>
      <c r="AQ458" s="108"/>
      <c r="AR458" s="109"/>
    </row>
    <row r="459" spans="27:44" ht="13.5" customHeight="1" x14ac:dyDescent="0.2">
      <c r="AA459" s="9" t="s">
        <v>171</v>
      </c>
      <c r="AB459">
        <f>AB458</f>
        <v>600</v>
      </c>
      <c r="AC459">
        <f t="shared" si="31"/>
        <v>600</v>
      </c>
      <c r="AD459">
        <v>25</v>
      </c>
      <c r="AE459">
        <f>AD459</f>
        <v>25</v>
      </c>
      <c r="AF459"/>
      <c r="AG459" s="55" t="str">
        <f t="shared" si="32"/>
        <v>CP-60060025.025.0</v>
      </c>
      <c r="AH459" s="50">
        <v>542.79999999999995</v>
      </c>
      <c r="AI459" s="112">
        <v>288000</v>
      </c>
      <c r="AJ459" s="112"/>
      <c r="AK459" s="48"/>
      <c r="AL459" s="48"/>
      <c r="AM459" s="48"/>
      <c r="AN459" s="108">
        <v>9620</v>
      </c>
      <c r="AO459" s="112"/>
      <c r="AP459" s="112">
        <v>1140</v>
      </c>
      <c r="AQ459" s="108"/>
      <c r="AR459" s="109"/>
    </row>
    <row r="460" spans="27:44" ht="13.5" customHeight="1" x14ac:dyDescent="0.2">
      <c r="AA460" s="9" t="s">
        <v>186</v>
      </c>
      <c r="AB460">
        <f>AB459</f>
        <v>600</v>
      </c>
      <c r="AC460">
        <f t="shared" si="31"/>
        <v>600</v>
      </c>
      <c r="AD460">
        <v>28</v>
      </c>
      <c r="AE460">
        <f>AD460</f>
        <v>28</v>
      </c>
      <c r="AF460"/>
      <c r="AG460" s="55" t="str">
        <f t="shared" si="32"/>
        <v>CP-60060028.028.0</v>
      </c>
      <c r="AH460" s="50">
        <v>600.29999999999995</v>
      </c>
      <c r="AI460" s="112">
        <v>314000</v>
      </c>
      <c r="AJ460" s="112"/>
      <c r="AK460" s="48"/>
      <c r="AL460" s="48"/>
      <c r="AM460" s="48"/>
      <c r="AN460" s="108">
        <v>10500</v>
      </c>
      <c r="AO460" s="112"/>
      <c r="AP460" s="112">
        <v>12500</v>
      </c>
      <c r="AQ460" s="108"/>
      <c r="AR460" s="109"/>
    </row>
    <row r="461" spans="27:44" ht="13.5" customHeight="1" x14ac:dyDescent="0.2">
      <c r="AA461" s="106"/>
      <c r="AB461" s="100"/>
      <c r="AC461" s="100"/>
      <c r="AD461" s="101"/>
      <c r="AE461" s="101"/>
      <c r="AF461" s="101"/>
      <c r="AG461" s="55" t="str">
        <f t="shared" si="32"/>
        <v>000.00.0</v>
      </c>
      <c r="AH461" s="101"/>
      <c r="AI461" s="108"/>
      <c r="AJ461" s="108"/>
      <c r="AK461" s="109"/>
      <c r="AL461" s="109"/>
      <c r="AM461" s="109"/>
      <c r="AN461" s="108"/>
      <c r="AO461" s="108"/>
      <c r="AP461" s="108"/>
      <c r="AQ461" s="108"/>
      <c r="AR461" s="109"/>
    </row>
    <row r="462" spans="27:44" ht="13.5" customHeight="1" x14ac:dyDescent="0.2">
      <c r="AA462" t="s">
        <v>189</v>
      </c>
      <c r="AB462" s="100">
        <v>60</v>
      </c>
      <c r="AC462" s="100">
        <v>30</v>
      </c>
      <c r="AD462" s="101">
        <v>10</v>
      </c>
      <c r="AE462" s="101">
        <v>1.6</v>
      </c>
      <c r="AF462" s="101"/>
      <c r="AG462" s="55" t="str">
        <f t="shared" si="32"/>
        <v>C -603010.01.6</v>
      </c>
      <c r="AH462" s="109">
        <v>2.0720000000000001</v>
      </c>
      <c r="AI462" s="100">
        <v>11.6</v>
      </c>
      <c r="AJ462" s="100">
        <v>2.56</v>
      </c>
      <c r="AK462" s="100"/>
      <c r="AL462" s="100"/>
      <c r="AM462" s="109"/>
      <c r="AN462" s="109">
        <v>3.88</v>
      </c>
      <c r="AO462" s="109">
        <v>1.32</v>
      </c>
      <c r="AP462" s="109"/>
      <c r="AQ462" s="109"/>
      <c r="AR462" s="109"/>
    </row>
    <row r="463" spans="27:44" ht="13.5" customHeight="1" x14ac:dyDescent="0.2">
      <c r="AA463" t="s">
        <v>189</v>
      </c>
      <c r="AB463" s="100">
        <f>AB462</f>
        <v>60</v>
      </c>
      <c r="AC463" s="100">
        <f>AC462</f>
        <v>30</v>
      </c>
      <c r="AD463" s="101">
        <f>AD462</f>
        <v>10</v>
      </c>
      <c r="AE463" s="101">
        <v>2.2999999999999998</v>
      </c>
      <c r="AF463" s="101"/>
      <c r="AG463" s="55" t="str">
        <f t="shared" si="32"/>
        <v>C -603010.02.3</v>
      </c>
      <c r="AH463" s="109">
        <v>2.8719999999999999</v>
      </c>
      <c r="AI463" s="100">
        <v>15.6</v>
      </c>
      <c r="AJ463" s="100">
        <v>3.32</v>
      </c>
      <c r="AK463" s="100"/>
      <c r="AL463" s="100"/>
      <c r="AM463" s="109"/>
      <c r="AN463" s="109">
        <v>5.2</v>
      </c>
      <c r="AO463" s="109">
        <v>1.71</v>
      </c>
      <c r="AP463" s="109"/>
      <c r="AQ463" s="109"/>
      <c r="AR463" s="109"/>
    </row>
    <row r="464" spans="27:44" ht="13.5" customHeight="1" x14ac:dyDescent="0.2">
      <c r="AA464" t="s">
        <v>190</v>
      </c>
      <c r="AB464" s="100">
        <v>75</v>
      </c>
      <c r="AC464" s="100">
        <v>45</v>
      </c>
      <c r="AD464" s="101">
        <v>15</v>
      </c>
      <c r="AE464" s="101">
        <v>1.6</v>
      </c>
      <c r="AF464" s="101"/>
      <c r="AG464" s="55" t="str">
        <f t="shared" si="32"/>
        <v>C -754515.01.6</v>
      </c>
      <c r="AH464" s="109">
        <v>2.952</v>
      </c>
      <c r="AI464" s="100">
        <v>27.1</v>
      </c>
      <c r="AJ464" s="100">
        <v>8.7100000000000009</v>
      </c>
      <c r="AK464" s="100"/>
      <c r="AL464" s="100"/>
      <c r="AM464" s="109"/>
      <c r="AN464" s="109">
        <v>7.24</v>
      </c>
      <c r="AO464" s="109">
        <v>3.13</v>
      </c>
      <c r="AP464" s="109"/>
      <c r="AQ464" s="109"/>
      <c r="AR464" s="109"/>
    </row>
    <row r="465" spans="27:44" ht="13.5" customHeight="1" x14ac:dyDescent="0.2">
      <c r="AA465" t="s">
        <v>190</v>
      </c>
      <c r="AB465" s="100">
        <f>AB464</f>
        <v>75</v>
      </c>
      <c r="AC465" s="100">
        <f>AC464</f>
        <v>45</v>
      </c>
      <c r="AD465" s="101">
        <f>AD464</f>
        <v>15</v>
      </c>
      <c r="AE465" s="101">
        <v>2.2999999999999998</v>
      </c>
      <c r="AF465" s="101"/>
      <c r="AG465" s="55" t="str">
        <f t="shared" si="32"/>
        <v>C -754515.02.3</v>
      </c>
      <c r="AH465" s="109">
        <v>4.1369999999999996</v>
      </c>
      <c r="AI465" s="100">
        <v>37.1</v>
      </c>
      <c r="AJ465" s="100">
        <v>11.8</v>
      </c>
      <c r="AK465" s="100"/>
      <c r="AL465" s="100"/>
      <c r="AM465" s="109"/>
      <c r="AN465" s="109">
        <v>9.9</v>
      </c>
      <c r="AO465" s="109">
        <v>4.24</v>
      </c>
      <c r="AP465" s="109"/>
      <c r="AQ465" s="109"/>
      <c r="AR465" s="109"/>
    </row>
    <row r="466" spans="27:44" ht="13.5" customHeight="1" x14ac:dyDescent="0.2">
      <c r="AA466" t="s">
        <v>191</v>
      </c>
      <c r="AB466" s="100">
        <v>100</v>
      </c>
      <c r="AC466" s="100">
        <v>50</v>
      </c>
      <c r="AD466" s="101">
        <v>20</v>
      </c>
      <c r="AE466" s="101">
        <v>1.6</v>
      </c>
      <c r="AF466" s="101"/>
      <c r="AG466" s="55" t="str">
        <f t="shared" si="32"/>
        <v>C -1005020.01.6</v>
      </c>
      <c r="AH466" s="109">
        <v>3.6720000000000002</v>
      </c>
      <c r="AI466" s="100">
        <v>54.8</v>
      </c>
      <c r="AJ466" s="100">
        <v>14</v>
      </c>
      <c r="AK466" s="100"/>
      <c r="AL466" s="100"/>
      <c r="AM466" s="109"/>
      <c r="AN466" s="109">
        <v>11.7</v>
      </c>
      <c r="AO466" s="109">
        <v>4.47</v>
      </c>
      <c r="AP466" s="109"/>
      <c r="AQ466" s="109"/>
      <c r="AR466" s="109"/>
    </row>
    <row r="467" spans="27:44" ht="13.5" customHeight="1" x14ac:dyDescent="0.2">
      <c r="AA467" t="s">
        <v>191</v>
      </c>
      <c r="AB467" s="100">
        <f t="shared" ref="AB467:AD468" si="33">AB466</f>
        <v>100</v>
      </c>
      <c r="AC467" s="100">
        <f t="shared" si="33"/>
        <v>50</v>
      </c>
      <c r="AD467" s="101">
        <f t="shared" si="33"/>
        <v>20</v>
      </c>
      <c r="AE467" s="101">
        <v>2.2999999999999998</v>
      </c>
      <c r="AF467" s="101"/>
      <c r="AG467" s="55" t="str">
        <f t="shared" si="32"/>
        <v>C -1005020.02.3</v>
      </c>
      <c r="AH467" s="109">
        <v>5.1719999999999997</v>
      </c>
      <c r="AI467" s="100">
        <v>80.7</v>
      </c>
      <c r="AJ467" s="100">
        <v>19</v>
      </c>
      <c r="AK467" s="100"/>
      <c r="AL467" s="100"/>
      <c r="AM467" s="109"/>
      <c r="AN467" s="109">
        <v>16.100000000000001</v>
      </c>
      <c r="AO467" s="109">
        <v>6.06</v>
      </c>
      <c r="AP467" s="109"/>
      <c r="AQ467" s="109"/>
      <c r="AR467" s="109"/>
    </row>
    <row r="468" spans="27:44" ht="13.5" customHeight="1" x14ac:dyDescent="0.2">
      <c r="AA468" t="s">
        <v>173</v>
      </c>
      <c r="AB468" s="100">
        <f t="shared" si="33"/>
        <v>100</v>
      </c>
      <c r="AC468" s="100">
        <f t="shared" si="33"/>
        <v>50</v>
      </c>
      <c r="AD468" s="101">
        <f t="shared" si="33"/>
        <v>20</v>
      </c>
      <c r="AE468" s="101">
        <v>3.2</v>
      </c>
      <c r="AF468" s="101"/>
      <c r="AG468" s="55" t="str">
        <f t="shared" si="32"/>
        <v>C -1005020.03.2</v>
      </c>
      <c r="AH468" s="109">
        <v>7.0069999999999997</v>
      </c>
      <c r="AI468" s="100">
        <v>107</v>
      </c>
      <c r="AJ468" s="100">
        <v>24.5</v>
      </c>
      <c r="AK468" s="100"/>
      <c r="AL468" s="100"/>
      <c r="AM468" s="109"/>
      <c r="AN468" s="109">
        <v>21.3</v>
      </c>
      <c r="AO468" s="109">
        <v>7.81</v>
      </c>
      <c r="AP468" s="109"/>
      <c r="AQ468" s="109"/>
      <c r="AR468" s="109"/>
    </row>
    <row r="469" spans="27:44" ht="13.5" customHeight="1" x14ac:dyDescent="0.2">
      <c r="AA469" t="s">
        <v>173</v>
      </c>
      <c r="AB469" s="100">
        <v>120</v>
      </c>
      <c r="AC469" s="100">
        <v>60</v>
      </c>
      <c r="AD469" s="101">
        <v>20</v>
      </c>
      <c r="AE469" s="101">
        <v>2.2999999999999998</v>
      </c>
      <c r="AF469" s="101"/>
      <c r="AG469" s="55" t="str">
        <f t="shared" si="32"/>
        <v>C -1206020.02.3</v>
      </c>
      <c r="AH469" s="109">
        <v>6.0919999999999996</v>
      </c>
      <c r="AI469" s="100">
        <v>140</v>
      </c>
      <c r="AJ469" s="100">
        <v>31.3</v>
      </c>
      <c r="AK469" s="100"/>
      <c r="AL469" s="100"/>
      <c r="AM469" s="109"/>
      <c r="AN469" s="109">
        <v>23.3</v>
      </c>
      <c r="AO469" s="109">
        <v>8.1</v>
      </c>
      <c r="AP469" s="109"/>
      <c r="AQ469" s="109"/>
      <c r="AR469" s="109"/>
    </row>
    <row r="470" spans="27:44" ht="13.5" customHeight="1" x14ac:dyDescent="0.2">
      <c r="AA470" t="s">
        <v>173</v>
      </c>
      <c r="AB470" s="100">
        <f>AB469</f>
        <v>120</v>
      </c>
      <c r="AC470" s="100">
        <f>AC469</f>
        <v>60</v>
      </c>
      <c r="AD470" s="101">
        <f>AD469</f>
        <v>20</v>
      </c>
      <c r="AE470" s="101">
        <v>3.2</v>
      </c>
      <c r="AF470" s="101"/>
      <c r="AG470" s="55" t="str">
        <f t="shared" si="32"/>
        <v>C -1206020.03.2</v>
      </c>
      <c r="AH470" s="109">
        <v>8.2870000000000008</v>
      </c>
      <c r="AI470" s="100">
        <v>186</v>
      </c>
      <c r="AJ470" s="100">
        <v>40.9</v>
      </c>
      <c r="AK470" s="100"/>
      <c r="AL470" s="100"/>
      <c r="AM470" s="109"/>
      <c r="AN470" s="109">
        <v>31</v>
      </c>
      <c r="AO470" s="109">
        <v>10.5</v>
      </c>
      <c r="AP470" s="109"/>
      <c r="AQ470" s="109"/>
      <c r="AR470" s="109"/>
    </row>
    <row r="471" spans="27:44" ht="13.5" customHeight="1" x14ac:dyDescent="0.2">
      <c r="AA471" t="s">
        <v>174</v>
      </c>
      <c r="AB471" s="100">
        <v>125</v>
      </c>
      <c r="AC471" s="100">
        <v>50</v>
      </c>
      <c r="AD471" s="101">
        <f>AD470</f>
        <v>20</v>
      </c>
      <c r="AE471" s="101">
        <v>2.2999999999999998</v>
      </c>
      <c r="AF471" s="101"/>
      <c r="AG471" s="55" t="str">
        <f t="shared" si="32"/>
        <v>C -1255020.02.3</v>
      </c>
      <c r="AH471" s="109">
        <v>5.7469999999999999</v>
      </c>
      <c r="AI471" s="100">
        <v>137</v>
      </c>
      <c r="AJ471" s="100">
        <v>20.6</v>
      </c>
      <c r="AK471" s="100"/>
      <c r="AL471" s="100"/>
      <c r="AM471" s="109"/>
      <c r="AN471" s="109">
        <v>21.9</v>
      </c>
      <c r="AO471" s="109">
        <v>6.22</v>
      </c>
      <c r="AP471" s="109"/>
      <c r="AQ471" s="109"/>
      <c r="AR471" s="109"/>
    </row>
    <row r="472" spans="27:44" ht="13.5" customHeight="1" x14ac:dyDescent="0.2">
      <c r="AA472" t="s">
        <v>172</v>
      </c>
      <c r="AB472" s="100">
        <f>AB471</f>
        <v>125</v>
      </c>
      <c r="AC472" s="100">
        <f>AC471</f>
        <v>50</v>
      </c>
      <c r="AD472" s="101">
        <f>AD471</f>
        <v>20</v>
      </c>
      <c r="AE472" s="101">
        <v>3.2</v>
      </c>
      <c r="AF472" s="101"/>
      <c r="AG472" s="55" t="str">
        <f t="shared" si="32"/>
        <v>C -1255020.03.2</v>
      </c>
      <c r="AH472" s="109">
        <v>7.8070000000000004</v>
      </c>
      <c r="AI472" s="100">
        <v>181</v>
      </c>
      <c r="AJ472" s="100">
        <v>26.6</v>
      </c>
      <c r="AK472" s="100"/>
      <c r="AL472" s="100"/>
      <c r="AM472" s="109"/>
      <c r="AN472" s="109">
        <v>29</v>
      </c>
      <c r="AO472" s="109">
        <v>8.02</v>
      </c>
      <c r="AP472" s="109"/>
      <c r="AQ472" s="109"/>
      <c r="AR472" s="109"/>
    </row>
    <row r="473" spans="27:44" ht="13.5" customHeight="1" x14ac:dyDescent="0.2">
      <c r="AA473" t="s">
        <v>192</v>
      </c>
      <c r="AB473" s="100">
        <v>150</v>
      </c>
      <c r="AC473" s="100">
        <v>50</v>
      </c>
      <c r="AD473" s="101">
        <f>AD470</f>
        <v>20</v>
      </c>
      <c r="AE473" s="101">
        <v>3.2</v>
      </c>
      <c r="AF473" s="101"/>
      <c r="AG473" s="55" t="str">
        <f t="shared" si="32"/>
        <v>C -1505020.03.2</v>
      </c>
      <c r="AH473" s="109">
        <v>8.6069999999999993</v>
      </c>
      <c r="AI473" s="100">
        <v>280</v>
      </c>
      <c r="AJ473" s="100">
        <v>28.3</v>
      </c>
      <c r="AK473" s="100"/>
      <c r="AL473" s="100"/>
      <c r="AM473" s="109"/>
      <c r="AN473" s="109">
        <v>37.4</v>
      </c>
      <c r="AO473" s="109">
        <v>8.19</v>
      </c>
      <c r="AP473" s="109"/>
      <c r="AQ473" s="109"/>
      <c r="AR473" s="109"/>
    </row>
    <row r="474" spans="27:44" ht="13.5" customHeight="1" x14ac:dyDescent="0.2">
      <c r="AA474" t="s">
        <v>189</v>
      </c>
      <c r="AB474" s="100">
        <f>AB473</f>
        <v>150</v>
      </c>
      <c r="AC474" s="100">
        <v>65</v>
      </c>
      <c r="AD474" s="101">
        <f>AD473</f>
        <v>20</v>
      </c>
      <c r="AE474" s="101">
        <v>3.2</v>
      </c>
      <c r="AF474" s="101"/>
      <c r="AG474" s="55" t="str">
        <f t="shared" si="32"/>
        <v>C -1506520.03.2</v>
      </c>
      <c r="AH474" s="109">
        <v>9.5670000000000002</v>
      </c>
      <c r="AI474" s="100">
        <v>332</v>
      </c>
      <c r="AJ474" s="100">
        <v>53.8</v>
      </c>
      <c r="AK474" s="100"/>
      <c r="AL474" s="100"/>
      <c r="AM474" s="109"/>
      <c r="AN474" s="109">
        <v>44.3</v>
      </c>
      <c r="AO474" s="109">
        <v>12.2</v>
      </c>
      <c r="AP474" s="109"/>
      <c r="AQ474" s="109"/>
      <c r="AR474" s="109"/>
    </row>
    <row r="475" spans="27:44" ht="13.5" customHeight="1" x14ac:dyDescent="0.2">
      <c r="AA475" t="s">
        <v>193</v>
      </c>
      <c r="AB475" s="100">
        <v>150</v>
      </c>
      <c r="AC475" s="100">
        <v>75</v>
      </c>
      <c r="AD475" s="101">
        <f>AD472</f>
        <v>20</v>
      </c>
      <c r="AE475" s="101">
        <v>3.2</v>
      </c>
      <c r="AF475" s="101"/>
      <c r="AG475" s="55" t="str">
        <f t="shared" si="32"/>
        <v>C -1507520.03.2</v>
      </c>
      <c r="AH475" s="109">
        <v>10.210000000000001</v>
      </c>
      <c r="AI475" s="100">
        <v>366</v>
      </c>
      <c r="AJ475" s="100">
        <v>76.400000000000006</v>
      </c>
      <c r="AK475" s="100"/>
      <c r="AL475" s="100"/>
      <c r="AM475" s="109"/>
      <c r="AN475" s="109">
        <v>48.9</v>
      </c>
      <c r="AO475" s="109">
        <v>15.3</v>
      </c>
      <c r="AP475" s="109"/>
      <c r="AQ475" s="109"/>
      <c r="AR475" s="109"/>
    </row>
    <row r="476" spans="27:44" ht="13.5" customHeight="1" x14ac:dyDescent="0.2">
      <c r="AA476" t="s">
        <v>189</v>
      </c>
      <c r="AB476" s="100">
        <f>AB475</f>
        <v>150</v>
      </c>
      <c r="AC476" s="100">
        <f>AC475</f>
        <v>75</v>
      </c>
      <c r="AD476" s="101">
        <v>25</v>
      </c>
      <c r="AE476" s="101">
        <v>3.2</v>
      </c>
      <c r="AF476" s="101"/>
      <c r="AG476" s="55" t="str">
        <f t="shared" si="32"/>
        <v>C -1507525.03.2</v>
      </c>
      <c r="AH476" s="109">
        <v>10.53</v>
      </c>
      <c r="AI476" s="100">
        <v>375</v>
      </c>
      <c r="AJ476" s="100">
        <v>83.6</v>
      </c>
      <c r="AK476" s="100"/>
      <c r="AL476" s="100"/>
      <c r="AM476" s="109"/>
      <c r="AN476" s="109">
        <v>50</v>
      </c>
      <c r="AO476" s="109">
        <v>17.3</v>
      </c>
      <c r="AP476" s="109"/>
      <c r="AQ476" s="109"/>
      <c r="AR476" s="109"/>
    </row>
    <row r="477" spans="27:44" ht="13.5" customHeight="1" x14ac:dyDescent="0.2">
      <c r="AA477" t="s">
        <v>194</v>
      </c>
      <c r="AB477" s="100">
        <v>200</v>
      </c>
      <c r="AC477" s="100">
        <f>AC476</f>
        <v>75</v>
      </c>
      <c r="AD477" s="101">
        <v>20</v>
      </c>
      <c r="AE477" s="101">
        <v>3.2</v>
      </c>
      <c r="AF477" s="101"/>
      <c r="AG477" s="55" t="str">
        <f t="shared" si="32"/>
        <v>C -2007520.03.2</v>
      </c>
      <c r="AH477" s="109">
        <v>11.81</v>
      </c>
      <c r="AI477" s="100">
        <v>716</v>
      </c>
      <c r="AJ477" s="100">
        <v>84.1</v>
      </c>
      <c r="AK477" s="100"/>
      <c r="AL477" s="100"/>
      <c r="AM477" s="109"/>
      <c r="AN477" s="109">
        <v>71.599999999999994</v>
      </c>
      <c r="AO477" s="109">
        <v>15.8</v>
      </c>
      <c r="AP477" s="109"/>
      <c r="AQ477" s="109"/>
      <c r="AR477" s="109"/>
    </row>
    <row r="478" spans="27:44" ht="13.5" customHeight="1" x14ac:dyDescent="0.2">
      <c r="AA478" t="s">
        <v>194</v>
      </c>
      <c r="AB478" s="100">
        <f>AB477</f>
        <v>200</v>
      </c>
      <c r="AC478" s="100">
        <f>AC477</f>
        <v>75</v>
      </c>
      <c r="AD478" s="101">
        <v>25</v>
      </c>
      <c r="AE478" s="101">
        <v>3.2</v>
      </c>
      <c r="AF478" s="101"/>
      <c r="AG478" s="55" t="str">
        <f t="shared" si="32"/>
        <v>C -2007525.03.2</v>
      </c>
      <c r="AH478" s="109">
        <v>12.13</v>
      </c>
      <c r="AI478" s="100">
        <v>736</v>
      </c>
      <c r="AJ478" s="100">
        <v>92</v>
      </c>
      <c r="AK478" s="100"/>
      <c r="AL478" s="100"/>
      <c r="AM478" s="109"/>
      <c r="AN478" s="109">
        <v>73.599999999999994</v>
      </c>
      <c r="AO478" s="109">
        <v>17.8</v>
      </c>
      <c r="AP478" s="109"/>
      <c r="AQ478" s="109"/>
      <c r="AR478" s="109"/>
    </row>
    <row r="479" spans="27:44" ht="13.5" customHeight="1" x14ac:dyDescent="0.2">
      <c r="AA479" s="99"/>
      <c r="AB479" s="126"/>
      <c r="AC479" s="100"/>
      <c r="AD479" s="101"/>
      <c r="AE479" s="101"/>
      <c r="AF479" s="101"/>
      <c r="AG479" s="55" t="str">
        <f t="shared" si="32"/>
        <v>000.00.0</v>
      </c>
      <c r="AH479" s="109"/>
      <c r="AI479" s="100"/>
      <c r="AJ479" s="100"/>
      <c r="AK479" s="100"/>
      <c r="AL479" s="100"/>
      <c r="AM479" s="109"/>
      <c r="AN479" s="101"/>
      <c r="AO479" s="101"/>
      <c r="AP479" s="101"/>
      <c r="AQ479" s="58"/>
      <c r="AR479" s="109"/>
    </row>
    <row r="480" spans="27:44" ht="13.5" customHeight="1" x14ac:dyDescent="0.2">
      <c r="AA480" s="99" t="s">
        <v>195</v>
      </c>
      <c r="AB480" s="126">
        <v>65</v>
      </c>
      <c r="AC480" s="100">
        <v>65</v>
      </c>
      <c r="AD480" s="101">
        <v>6</v>
      </c>
      <c r="AE480" s="101"/>
      <c r="AF480" s="101"/>
      <c r="AG480" s="55" t="str">
        <f t="shared" si="32"/>
        <v>L -65656.00.0</v>
      </c>
      <c r="AH480" s="109">
        <v>7.5270000000000001</v>
      </c>
      <c r="AI480" s="100">
        <v>29.4</v>
      </c>
      <c r="AJ480" s="100">
        <v>29.4</v>
      </c>
      <c r="AK480" s="100"/>
      <c r="AL480" s="100"/>
      <c r="AM480" s="109"/>
      <c r="AN480" s="109">
        <v>6.26</v>
      </c>
      <c r="AO480" s="109"/>
      <c r="AP480" s="109"/>
      <c r="AQ480" s="109"/>
      <c r="AR480" s="109">
        <v>1.81</v>
      </c>
    </row>
    <row r="481" spans="27:44" ht="13.5" customHeight="1" x14ac:dyDescent="0.2">
      <c r="AA481" s="99" t="s">
        <v>195</v>
      </c>
      <c r="AB481" s="126">
        <v>75</v>
      </c>
      <c r="AC481" s="100">
        <v>75</v>
      </c>
      <c r="AD481" s="101">
        <v>6</v>
      </c>
      <c r="AE481" s="101"/>
      <c r="AF481" s="101"/>
      <c r="AG481" s="55" t="str">
        <f t="shared" si="32"/>
        <v>L -75756.00.0</v>
      </c>
      <c r="AH481" s="109">
        <v>8.7270000000000003</v>
      </c>
      <c r="AI481" s="100">
        <v>46.1</v>
      </c>
      <c r="AJ481" s="100">
        <v>46.1</v>
      </c>
      <c r="AK481" s="100"/>
      <c r="AL481" s="100"/>
      <c r="AM481" s="109"/>
      <c r="AN481" s="109">
        <v>8.4700000000000006</v>
      </c>
      <c r="AO481" s="109"/>
      <c r="AP481" s="109"/>
      <c r="AQ481" s="109"/>
      <c r="AR481" s="109">
        <v>2.06</v>
      </c>
    </row>
    <row r="482" spans="27:44" ht="13.5" customHeight="1" x14ac:dyDescent="0.2">
      <c r="AA482" s="99" t="s">
        <v>195</v>
      </c>
      <c r="AB482" s="126">
        <v>75</v>
      </c>
      <c r="AC482" s="100">
        <v>75</v>
      </c>
      <c r="AD482" s="101">
        <v>9</v>
      </c>
      <c r="AE482" s="101"/>
      <c r="AF482" s="101"/>
      <c r="AG482" s="55" t="str">
        <f t="shared" si="32"/>
        <v>L -75759.00.0</v>
      </c>
      <c r="AH482" s="109">
        <v>12.69</v>
      </c>
      <c r="AI482" s="100">
        <v>102</v>
      </c>
      <c r="AJ482" s="100">
        <v>102</v>
      </c>
      <c r="AK482" s="100"/>
      <c r="AL482" s="100"/>
      <c r="AM482" s="109"/>
      <c r="AN482" s="109">
        <v>12.1</v>
      </c>
      <c r="AO482" s="109"/>
      <c r="AP482" s="109"/>
      <c r="AQ482" s="109"/>
      <c r="AR482" s="109">
        <v>2.17</v>
      </c>
    </row>
    <row r="483" spans="27:44" ht="13.5" customHeight="1" x14ac:dyDescent="0.2">
      <c r="AA483" s="99" t="s">
        <v>195</v>
      </c>
      <c r="AB483" s="126">
        <v>90</v>
      </c>
      <c r="AC483" s="100">
        <v>90</v>
      </c>
      <c r="AD483" s="101">
        <v>7</v>
      </c>
      <c r="AE483" s="101"/>
      <c r="AF483" s="101"/>
      <c r="AG483" s="55" t="str">
        <f t="shared" si="32"/>
        <v>L -90907.00.0</v>
      </c>
      <c r="AH483" s="109">
        <v>12.22</v>
      </c>
      <c r="AI483" s="100">
        <v>93</v>
      </c>
      <c r="AJ483" s="100">
        <v>93</v>
      </c>
      <c r="AK483" s="100"/>
      <c r="AL483" s="100"/>
      <c r="AM483" s="109"/>
      <c r="AN483" s="109">
        <v>14.2</v>
      </c>
      <c r="AO483" s="109"/>
      <c r="AP483" s="109"/>
      <c r="AQ483" s="109"/>
      <c r="AR483" s="109">
        <v>2.46</v>
      </c>
    </row>
    <row r="484" spans="27:44" ht="13.5" customHeight="1" x14ac:dyDescent="0.2">
      <c r="AA484" s="99" t="s">
        <v>195</v>
      </c>
      <c r="AB484" s="126">
        <v>90</v>
      </c>
      <c r="AC484" s="100">
        <v>90</v>
      </c>
      <c r="AD484" s="101">
        <v>10</v>
      </c>
      <c r="AE484" s="101"/>
      <c r="AF484" s="101"/>
      <c r="AG484" s="55" t="str">
        <f t="shared" si="32"/>
        <v>L -909010.00.0</v>
      </c>
      <c r="AH484" s="109">
        <v>17</v>
      </c>
      <c r="AI484" s="100">
        <v>125</v>
      </c>
      <c r="AJ484" s="100">
        <v>125</v>
      </c>
      <c r="AK484" s="100"/>
      <c r="AL484" s="100"/>
      <c r="AM484" s="109"/>
      <c r="AN484" s="109">
        <v>19.5</v>
      </c>
      <c r="AO484" s="109"/>
      <c r="AP484" s="109"/>
      <c r="AQ484" s="109"/>
      <c r="AR484" s="109">
        <v>2.57</v>
      </c>
    </row>
    <row r="485" spans="27:44" ht="13.5" customHeight="1" x14ac:dyDescent="0.2">
      <c r="AA485" s="99" t="s">
        <v>195</v>
      </c>
      <c r="AB485" s="126">
        <v>100</v>
      </c>
      <c r="AC485" s="100">
        <v>100</v>
      </c>
      <c r="AD485" s="101">
        <v>7</v>
      </c>
      <c r="AE485" s="101"/>
      <c r="AF485" s="101"/>
      <c r="AG485" s="55" t="str">
        <f t="shared" si="32"/>
        <v>L -1001007.00.0</v>
      </c>
      <c r="AH485" s="109">
        <v>13.62</v>
      </c>
      <c r="AI485" s="100">
        <v>129</v>
      </c>
      <c r="AJ485" s="100">
        <v>129</v>
      </c>
      <c r="AK485" s="100"/>
      <c r="AL485" s="100"/>
      <c r="AM485" s="109"/>
      <c r="AN485" s="109">
        <v>17.7</v>
      </c>
      <c r="AO485" s="109"/>
      <c r="AP485" s="109"/>
      <c r="AQ485" s="109"/>
      <c r="AR485" s="109">
        <v>2.71</v>
      </c>
    </row>
    <row r="486" spans="27:44" ht="13.5" customHeight="1" x14ac:dyDescent="0.2">
      <c r="AA486" s="99" t="s">
        <v>195</v>
      </c>
      <c r="AB486" s="126">
        <v>100</v>
      </c>
      <c r="AC486" s="100">
        <v>100</v>
      </c>
      <c r="AD486" s="101">
        <v>10</v>
      </c>
      <c r="AE486" s="101"/>
      <c r="AF486" s="101"/>
      <c r="AG486" s="55" t="str">
        <f t="shared" si="32"/>
        <v>L -10010010.00.0</v>
      </c>
      <c r="AH486" s="109">
        <v>19</v>
      </c>
      <c r="AI486" s="100">
        <v>175</v>
      </c>
      <c r="AJ486" s="100">
        <v>175</v>
      </c>
      <c r="AK486" s="100"/>
      <c r="AL486" s="100"/>
      <c r="AM486" s="109"/>
      <c r="AN486" s="109">
        <v>24.4</v>
      </c>
      <c r="AO486" s="109"/>
      <c r="AP486" s="109"/>
      <c r="AQ486" s="109"/>
      <c r="AR486" s="109">
        <v>2.82</v>
      </c>
    </row>
    <row r="487" spans="27:44" ht="13.5" customHeight="1" x14ac:dyDescent="0.2">
      <c r="AA487" s="99" t="s">
        <v>195</v>
      </c>
      <c r="AB487" s="126">
        <v>100</v>
      </c>
      <c r="AC487" s="100">
        <v>100</v>
      </c>
      <c r="AD487" s="101">
        <v>13</v>
      </c>
      <c r="AE487" s="101"/>
      <c r="AF487" s="101"/>
      <c r="AG487" s="55" t="str">
        <f t="shared" si="32"/>
        <v>L -10010013.00.0</v>
      </c>
      <c r="AH487" s="109">
        <v>24.31</v>
      </c>
      <c r="AI487" s="100">
        <v>220</v>
      </c>
      <c r="AJ487" s="100">
        <v>220</v>
      </c>
      <c r="AK487" s="100"/>
      <c r="AL487" s="100"/>
      <c r="AM487" s="109"/>
      <c r="AN487" s="109">
        <v>31.1</v>
      </c>
      <c r="AO487" s="109"/>
      <c r="AP487" s="109"/>
      <c r="AQ487" s="109"/>
      <c r="AR487" s="109">
        <v>2.94</v>
      </c>
    </row>
    <row r="488" spans="27:44" ht="13.5" customHeight="1" x14ac:dyDescent="0.2">
      <c r="AA488" s="99" t="s">
        <v>195</v>
      </c>
      <c r="AB488" s="126">
        <v>130</v>
      </c>
      <c r="AC488" s="100">
        <v>130</v>
      </c>
      <c r="AD488" s="101">
        <v>9</v>
      </c>
      <c r="AE488" s="101"/>
      <c r="AF488" s="101"/>
      <c r="AG488" s="55" t="str">
        <f t="shared" si="32"/>
        <v>L -1301309.00.0</v>
      </c>
      <c r="AH488" s="109">
        <v>22.74</v>
      </c>
      <c r="AI488" s="100">
        <v>366</v>
      </c>
      <c r="AJ488" s="100">
        <v>366</v>
      </c>
      <c r="AK488" s="100"/>
      <c r="AL488" s="100"/>
      <c r="AM488" s="109"/>
      <c r="AN488" s="109">
        <v>38.700000000000003</v>
      </c>
      <c r="AO488" s="109"/>
      <c r="AP488" s="109"/>
      <c r="AQ488" s="109"/>
      <c r="AR488" s="109">
        <v>3.53</v>
      </c>
    </row>
    <row r="489" spans="27:44" ht="13.5" customHeight="1" x14ac:dyDescent="0.2">
      <c r="AA489" s="99" t="s">
        <v>195</v>
      </c>
      <c r="AB489" s="126">
        <v>130</v>
      </c>
      <c r="AC489" s="100">
        <v>130</v>
      </c>
      <c r="AD489" s="101">
        <v>12</v>
      </c>
      <c r="AE489" s="101"/>
      <c r="AF489" s="101"/>
      <c r="AG489" s="55" t="str">
        <f t="shared" si="32"/>
        <v>L -13013012.00.0</v>
      </c>
      <c r="AH489" s="109">
        <v>29.76</v>
      </c>
      <c r="AI489" s="100">
        <v>467</v>
      </c>
      <c r="AJ489" s="100">
        <v>467</v>
      </c>
      <c r="AK489" s="100"/>
      <c r="AL489" s="100"/>
      <c r="AM489" s="109"/>
      <c r="AN489" s="109">
        <v>49.9</v>
      </c>
      <c r="AO489" s="109"/>
      <c r="AP489" s="109"/>
      <c r="AQ489" s="109"/>
      <c r="AR489" s="109">
        <v>3.64</v>
      </c>
    </row>
    <row r="490" spans="27:44" ht="13.5" customHeight="1" x14ac:dyDescent="0.2">
      <c r="AA490" s="99" t="s">
        <v>195</v>
      </c>
      <c r="AB490" s="126">
        <v>130</v>
      </c>
      <c r="AC490" s="100">
        <v>130</v>
      </c>
      <c r="AD490" s="101">
        <v>15</v>
      </c>
      <c r="AE490" s="101"/>
      <c r="AF490" s="101"/>
      <c r="AG490" s="55" t="str">
        <f t="shared" si="32"/>
        <v>L -13013015.00.0</v>
      </c>
      <c r="AH490" s="109">
        <v>36.75</v>
      </c>
      <c r="AI490" s="100">
        <v>568</v>
      </c>
      <c r="AJ490" s="100">
        <v>568</v>
      </c>
      <c r="AK490" s="100"/>
      <c r="AL490" s="100"/>
      <c r="AM490" s="109"/>
      <c r="AN490" s="109">
        <v>61.5</v>
      </c>
      <c r="AO490" s="109"/>
      <c r="AP490" s="109"/>
      <c r="AQ490" s="109"/>
      <c r="AR490" s="109">
        <v>3.76</v>
      </c>
    </row>
    <row r="491" spans="27:44" ht="13.5" customHeight="1" x14ac:dyDescent="0.2">
      <c r="AA491" s="99"/>
      <c r="AB491" s="126"/>
      <c r="AC491" s="100"/>
      <c r="AD491" s="101"/>
      <c r="AE491" s="101"/>
      <c r="AF491" s="101"/>
      <c r="AG491" s="55" t="str">
        <f t="shared" si="32"/>
        <v>000.00.0</v>
      </c>
      <c r="AH491" s="109"/>
      <c r="AI491" s="100"/>
      <c r="AJ491" s="100"/>
      <c r="AK491" s="100"/>
      <c r="AL491" s="100"/>
      <c r="AM491" s="109"/>
      <c r="AN491" s="109"/>
      <c r="AO491" s="109"/>
      <c r="AP491" s="109"/>
      <c r="AQ491" s="109"/>
      <c r="AR491" s="109"/>
    </row>
    <row r="492" spans="27:44" ht="13.5" customHeight="1" x14ac:dyDescent="0.2">
      <c r="AA492" s="99" t="s">
        <v>196</v>
      </c>
      <c r="AB492" s="100">
        <v>75</v>
      </c>
      <c r="AC492" s="100">
        <v>40</v>
      </c>
      <c r="AD492" s="101">
        <v>5</v>
      </c>
      <c r="AE492" s="101">
        <v>7</v>
      </c>
      <c r="AF492" s="101"/>
      <c r="AG492" s="55" t="str">
        <f t="shared" si="32"/>
        <v>HN-75405.07.0</v>
      </c>
      <c r="AH492" s="109">
        <v>8.8179999999999996</v>
      </c>
      <c r="AI492" s="100">
        <v>75.3</v>
      </c>
      <c r="AJ492" s="100">
        <v>12.2</v>
      </c>
      <c r="AK492" s="100"/>
      <c r="AL492" s="100"/>
      <c r="AM492" s="109"/>
      <c r="AN492" s="109">
        <v>20.100000000000001</v>
      </c>
      <c r="AO492" s="109">
        <v>4.47</v>
      </c>
      <c r="AP492" s="109"/>
      <c r="AQ492" s="109"/>
      <c r="AR492" s="109">
        <v>1.28</v>
      </c>
    </row>
    <row r="493" spans="27:44" ht="13.5" customHeight="1" x14ac:dyDescent="0.2">
      <c r="AA493" s="99" t="s">
        <v>196</v>
      </c>
      <c r="AB493" s="100">
        <v>100</v>
      </c>
      <c r="AC493" s="100">
        <v>50</v>
      </c>
      <c r="AD493" s="101">
        <v>5</v>
      </c>
      <c r="AE493" s="101">
        <v>7.5</v>
      </c>
      <c r="AF493" s="101"/>
      <c r="AG493" s="55" t="str">
        <f t="shared" si="32"/>
        <v>HN-100505.07.5</v>
      </c>
      <c r="AH493" s="109">
        <v>11.92</v>
      </c>
      <c r="AI493" s="100">
        <v>188</v>
      </c>
      <c r="AJ493" s="100">
        <v>26</v>
      </c>
      <c r="AK493" s="100"/>
      <c r="AL493" s="100"/>
      <c r="AM493" s="109"/>
      <c r="AN493" s="109">
        <v>37.6</v>
      </c>
      <c r="AO493" s="109">
        <v>7.52</v>
      </c>
      <c r="AP493" s="109"/>
      <c r="AQ493" s="109"/>
      <c r="AR493" s="109">
        <v>1.54</v>
      </c>
    </row>
    <row r="494" spans="27:44" ht="13.5" customHeight="1" x14ac:dyDescent="0.2">
      <c r="AA494" s="99" t="s">
        <v>196</v>
      </c>
      <c r="AB494" s="100">
        <v>125</v>
      </c>
      <c r="AC494" s="100">
        <v>65</v>
      </c>
      <c r="AD494" s="101">
        <v>6</v>
      </c>
      <c r="AE494" s="101">
        <v>8</v>
      </c>
      <c r="AF494" s="101"/>
      <c r="AG494" s="55" t="str">
        <f t="shared" si="32"/>
        <v>HN-125656.08.0</v>
      </c>
      <c r="AH494" s="109">
        <v>17.11</v>
      </c>
      <c r="AI494" s="100">
        <v>424</v>
      </c>
      <c r="AJ494" s="100">
        <v>61.8</v>
      </c>
      <c r="AK494" s="100"/>
      <c r="AL494" s="100"/>
      <c r="AM494" s="109"/>
      <c r="AN494" s="109">
        <v>67.8</v>
      </c>
      <c r="AO494" s="109">
        <v>13.4</v>
      </c>
      <c r="AP494" s="109"/>
      <c r="AQ494" s="109"/>
      <c r="AR494" s="109">
        <v>1.9</v>
      </c>
    </row>
    <row r="495" spans="27:44" ht="13.5" customHeight="1" x14ac:dyDescent="0.2">
      <c r="AA495" s="99" t="s">
        <v>196</v>
      </c>
      <c r="AB495" s="100">
        <v>150</v>
      </c>
      <c r="AC495" s="100">
        <v>75</v>
      </c>
      <c r="AD495" s="101">
        <v>6.5</v>
      </c>
      <c r="AE495" s="101">
        <v>10</v>
      </c>
      <c r="AF495" s="101"/>
      <c r="AG495" s="55" t="str">
        <f t="shared" si="32"/>
        <v>HN-150756.510.0</v>
      </c>
      <c r="AH495" s="109">
        <v>23.71</v>
      </c>
      <c r="AI495" s="100">
        <v>861</v>
      </c>
      <c r="AJ495" s="100">
        <v>117</v>
      </c>
      <c r="AK495" s="100"/>
      <c r="AL495" s="100"/>
      <c r="AM495" s="109"/>
      <c r="AN495" s="109">
        <v>115</v>
      </c>
      <c r="AO495" s="109">
        <v>22.4</v>
      </c>
      <c r="AP495" s="109"/>
      <c r="AQ495" s="109"/>
      <c r="AR495" s="109">
        <v>2.2799999999999998</v>
      </c>
    </row>
    <row r="496" spans="27:44" ht="13.5" customHeight="1" x14ac:dyDescent="0.2">
      <c r="AA496" s="99" t="s">
        <v>196</v>
      </c>
      <c r="AB496" s="100">
        <v>150</v>
      </c>
      <c r="AC496" s="100">
        <v>75</v>
      </c>
      <c r="AD496" s="101">
        <v>9</v>
      </c>
      <c r="AE496" s="101">
        <v>12.5</v>
      </c>
      <c r="AF496" s="101"/>
      <c r="AG496" s="55" t="str">
        <f t="shared" si="32"/>
        <v>HN-150759.012.5</v>
      </c>
      <c r="AH496" s="109">
        <v>30.59</v>
      </c>
      <c r="AI496" s="100">
        <v>1050</v>
      </c>
      <c r="AJ496" s="100">
        <v>147</v>
      </c>
      <c r="AK496" s="100"/>
      <c r="AL496" s="100"/>
      <c r="AM496" s="109"/>
      <c r="AN496" s="109">
        <v>140</v>
      </c>
      <c r="AO496" s="109">
        <v>28.3</v>
      </c>
      <c r="AP496" s="109"/>
      <c r="AQ496" s="109"/>
      <c r="AR496" s="109">
        <v>2.31</v>
      </c>
    </row>
    <row r="497" spans="27:44" ht="13.5" customHeight="1" x14ac:dyDescent="0.2">
      <c r="AA497" s="99" t="s">
        <v>196</v>
      </c>
      <c r="AB497" s="100">
        <v>180</v>
      </c>
      <c r="AC497" s="100">
        <v>75</v>
      </c>
      <c r="AD497" s="101">
        <v>7</v>
      </c>
      <c r="AE497" s="101">
        <v>10.5</v>
      </c>
      <c r="AF497" s="101"/>
      <c r="AG497" s="55" t="str">
        <f t="shared" si="32"/>
        <v>HN-180757.010.5</v>
      </c>
      <c r="AH497" s="109">
        <v>27.2</v>
      </c>
      <c r="AI497" s="100">
        <v>1380</v>
      </c>
      <c r="AJ497" s="100">
        <v>131</v>
      </c>
      <c r="AK497" s="100"/>
      <c r="AL497" s="100"/>
      <c r="AM497" s="109"/>
      <c r="AN497" s="109">
        <v>153</v>
      </c>
      <c r="AO497" s="109">
        <v>24.3</v>
      </c>
      <c r="AP497" s="109"/>
      <c r="AQ497" s="109"/>
      <c r="AR497" s="109">
        <v>2.13</v>
      </c>
    </row>
    <row r="498" spans="27:44" ht="13.5" customHeight="1" x14ac:dyDescent="0.2">
      <c r="AA498" s="99" t="s">
        <v>196</v>
      </c>
      <c r="AB498" s="100">
        <v>200</v>
      </c>
      <c r="AC498" s="100">
        <v>80</v>
      </c>
      <c r="AD498" s="101">
        <v>7.5</v>
      </c>
      <c r="AE498" s="101">
        <v>11</v>
      </c>
      <c r="AF498" s="101"/>
      <c r="AG498" s="55" t="str">
        <f t="shared" si="32"/>
        <v>HN-200807.511.0</v>
      </c>
      <c r="AH498" s="109">
        <v>31.3</v>
      </c>
      <c r="AI498" s="100">
        <v>1950</v>
      </c>
      <c r="AJ498" s="100">
        <v>168</v>
      </c>
      <c r="AK498" s="100"/>
      <c r="AL498" s="100"/>
      <c r="AM498" s="109"/>
      <c r="AN498" s="109">
        <v>195</v>
      </c>
      <c r="AO498" s="109">
        <v>29.1</v>
      </c>
      <c r="AP498" s="109"/>
      <c r="AQ498" s="109"/>
      <c r="AR498" s="109">
        <v>2.21</v>
      </c>
    </row>
    <row r="499" spans="27:44" ht="13.5" customHeight="1" x14ac:dyDescent="0.2">
      <c r="AA499" s="99" t="s">
        <v>196</v>
      </c>
      <c r="AB499" s="100">
        <v>200</v>
      </c>
      <c r="AC499" s="100">
        <v>90</v>
      </c>
      <c r="AD499" s="101">
        <v>8</v>
      </c>
      <c r="AE499" s="101">
        <v>13.5</v>
      </c>
      <c r="AF499" s="101"/>
      <c r="AG499" s="55" t="str">
        <f t="shared" si="32"/>
        <v>HN-200908.013.5</v>
      </c>
      <c r="AH499" s="109">
        <v>38.65</v>
      </c>
      <c r="AI499" s="100">
        <v>2490</v>
      </c>
      <c r="AJ499" s="100">
        <v>277</v>
      </c>
      <c r="AK499" s="100"/>
      <c r="AL499" s="100"/>
      <c r="AM499" s="109"/>
      <c r="AN499" s="109">
        <v>249</v>
      </c>
      <c r="AO499" s="109">
        <v>44.2</v>
      </c>
      <c r="AP499" s="109"/>
      <c r="AQ499" s="109"/>
      <c r="AR499" s="109">
        <v>2.74</v>
      </c>
    </row>
    <row r="500" spans="27:44" ht="13.5" customHeight="1" x14ac:dyDescent="0.2">
      <c r="AA500" s="99" t="s">
        <v>196</v>
      </c>
      <c r="AB500" s="100">
        <v>250</v>
      </c>
      <c r="AC500" s="100">
        <v>90</v>
      </c>
      <c r="AD500" s="101">
        <v>9</v>
      </c>
      <c r="AE500" s="101">
        <v>13</v>
      </c>
      <c r="AF500" s="101"/>
      <c r="AG500" s="55" t="str">
        <f t="shared" si="32"/>
        <v>HN-250909.013.0</v>
      </c>
      <c r="AH500" s="109">
        <v>44.07</v>
      </c>
      <c r="AI500" s="100">
        <v>4180</v>
      </c>
      <c r="AJ500" s="100">
        <v>294</v>
      </c>
      <c r="AK500" s="100"/>
      <c r="AL500" s="100"/>
      <c r="AM500" s="109"/>
      <c r="AN500" s="109">
        <v>334</v>
      </c>
      <c r="AO500" s="109">
        <v>44.5</v>
      </c>
      <c r="AP500" s="109"/>
      <c r="AQ500" s="109"/>
      <c r="AR500" s="109">
        <v>2.4</v>
      </c>
    </row>
    <row r="501" spans="27:44" ht="13.5" customHeight="1" x14ac:dyDescent="0.2">
      <c r="AA501" s="99" t="s">
        <v>196</v>
      </c>
      <c r="AB501" s="100">
        <v>250</v>
      </c>
      <c r="AC501" s="100">
        <v>90</v>
      </c>
      <c r="AD501" s="101">
        <v>11</v>
      </c>
      <c r="AE501" s="101">
        <v>14.5</v>
      </c>
      <c r="AF501" s="101"/>
      <c r="AG501" s="55" t="str">
        <f t="shared" si="32"/>
        <v>HN-2509011.014.5</v>
      </c>
      <c r="AH501" s="109">
        <v>51.17</v>
      </c>
      <c r="AI501" s="100">
        <v>4680</v>
      </c>
      <c r="AJ501" s="100">
        <v>329</v>
      </c>
      <c r="AK501" s="100"/>
      <c r="AL501" s="100"/>
      <c r="AM501" s="109"/>
      <c r="AN501" s="109">
        <v>374</v>
      </c>
      <c r="AO501" s="109">
        <v>49.9</v>
      </c>
      <c r="AP501" s="109"/>
      <c r="AQ501" s="109"/>
      <c r="AR501" s="109">
        <v>2.4</v>
      </c>
    </row>
    <row r="502" spans="27:44" ht="13.5" customHeight="1" x14ac:dyDescent="0.2">
      <c r="AA502" s="99" t="s">
        <v>196</v>
      </c>
      <c r="AB502" s="100">
        <v>300</v>
      </c>
      <c r="AC502" s="100">
        <v>90</v>
      </c>
      <c r="AD502" s="101">
        <v>9</v>
      </c>
      <c r="AE502" s="101">
        <v>13</v>
      </c>
      <c r="AF502" s="101"/>
      <c r="AG502" s="55" t="str">
        <f t="shared" si="32"/>
        <v>HN-300909.013.0</v>
      </c>
      <c r="AH502" s="109">
        <v>48.57</v>
      </c>
      <c r="AI502" s="100">
        <v>6440</v>
      </c>
      <c r="AJ502" s="100">
        <v>309</v>
      </c>
      <c r="AK502" s="100"/>
      <c r="AL502" s="100"/>
      <c r="AM502" s="109"/>
      <c r="AN502" s="109">
        <v>429</v>
      </c>
      <c r="AO502" s="109">
        <v>45.7</v>
      </c>
      <c r="AP502" s="109"/>
      <c r="AQ502" s="109"/>
      <c r="AR502" s="109">
        <v>2.2200000000000002</v>
      </c>
    </row>
    <row r="503" spans="27:44" ht="13.5" customHeight="1" x14ac:dyDescent="0.2">
      <c r="AA503" s="99" t="s">
        <v>196</v>
      </c>
      <c r="AB503" s="100">
        <v>300</v>
      </c>
      <c r="AC503" s="100">
        <v>90</v>
      </c>
      <c r="AD503" s="101">
        <v>10</v>
      </c>
      <c r="AE503" s="101">
        <v>15.5</v>
      </c>
      <c r="AF503" s="101"/>
      <c r="AG503" s="55" t="str">
        <f t="shared" si="32"/>
        <v>HN-3009010.015.5</v>
      </c>
      <c r="AH503" s="109">
        <v>55.74</v>
      </c>
      <c r="AI503" s="100">
        <v>7410</v>
      </c>
      <c r="AJ503" s="100">
        <v>360</v>
      </c>
      <c r="AK503" s="100"/>
      <c r="AL503" s="100"/>
      <c r="AM503" s="109"/>
      <c r="AN503" s="109">
        <v>494</v>
      </c>
      <c r="AO503" s="109">
        <v>54.1</v>
      </c>
      <c r="AP503" s="109"/>
      <c r="AQ503" s="109"/>
      <c r="AR503" s="109">
        <v>2.34</v>
      </c>
    </row>
    <row r="504" spans="27:44" ht="13.5" customHeight="1" x14ac:dyDescent="0.2">
      <c r="AA504" s="99" t="s">
        <v>196</v>
      </c>
      <c r="AB504" s="100">
        <v>300</v>
      </c>
      <c r="AC504" s="100">
        <v>90</v>
      </c>
      <c r="AD504" s="101">
        <v>12</v>
      </c>
      <c r="AE504" s="101">
        <v>16</v>
      </c>
      <c r="AF504" s="101"/>
      <c r="AG504" s="55" t="str">
        <f t="shared" si="32"/>
        <v>HN-3009012.016.0</v>
      </c>
      <c r="AH504" s="109">
        <v>61.9</v>
      </c>
      <c r="AI504" s="100">
        <v>7870</v>
      </c>
      <c r="AJ504" s="100">
        <v>379</v>
      </c>
      <c r="AK504" s="100"/>
      <c r="AL504" s="100"/>
      <c r="AM504" s="109"/>
      <c r="AN504" s="109">
        <v>525</v>
      </c>
      <c r="AO504" s="109">
        <v>56.4</v>
      </c>
      <c r="AP504" s="109"/>
      <c r="AQ504" s="109"/>
      <c r="AR504" s="109">
        <v>2.2799999999999998</v>
      </c>
    </row>
    <row r="505" spans="27:44" ht="13.5" customHeight="1" x14ac:dyDescent="0.2">
      <c r="AA505" s="99" t="s">
        <v>196</v>
      </c>
      <c r="AB505" s="100">
        <v>380</v>
      </c>
      <c r="AC505" s="100">
        <v>100</v>
      </c>
      <c r="AD505" s="101">
        <v>10.5</v>
      </c>
      <c r="AE505" s="101">
        <v>16</v>
      </c>
      <c r="AF505" s="101"/>
      <c r="AG505" s="55" t="str">
        <f t="shared" si="32"/>
        <v>HN-38010010.516.0</v>
      </c>
      <c r="AH505" s="109">
        <v>69.39</v>
      </c>
      <c r="AI505" s="100">
        <v>14500</v>
      </c>
      <c r="AJ505" s="100">
        <v>535</v>
      </c>
      <c r="AK505" s="100"/>
      <c r="AL505" s="100"/>
      <c r="AM505" s="109"/>
      <c r="AN505" s="109">
        <v>763</v>
      </c>
      <c r="AO505" s="109">
        <v>70.5</v>
      </c>
      <c r="AP505" s="109"/>
      <c r="AQ505" s="109"/>
      <c r="AR505" s="109">
        <v>2.41</v>
      </c>
    </row>
    <row r="506" spans="27:44" ht="13.5" customHeight="1" x14ac:dyDescent="0.2">
      <c r="AA506" s="99" t="s">
        <v>196</v>
      </c>
      <c r="AB506" s="100">
        <v>380</v>
      </c>
      <c r="AC506" s="100">
        <v>100</v>
      </c>
      <c r="AD506" s="101">
        <v>13</v>
      </c>
      <c r="AE506" s="101">
        <v>16.5</v>
      </c>
      <c r="AF506" s="101"/>
      <c r="AG506" s="55" t="str">
        <f t="shared" si="32"/>
        <v>HN-38010013.016.5</v>
      </c>
      <c r="AH506" s="109">
        <v>78.959999999999994</v>
      </c>
      <c r="AI506" s="100">
        <v>15600</v>
      </c>
      <c r="AJ506" s="100">
        <v>565</v>
      </c>
      <c r="AK506" s="100"/>
      <c r="AL506" s="100"/>
      <c r="AM506" s="109"/>
      <c r="AN506" s="109">
        <v>823</v>
      </c>
      <c r="AO506" s="109">
        <v>73.599999999999994</v>
      </c>
      <c r="AP506" s="109"/>
      <c r="AQ506" s="109"/>
      <c r="AR506" s="109">
        <v>2.33</v>
      </c>
    </row>
    <row r="507" spans="27:44" ht="13.5" customHeight="1" x14ac:dyDescent="0.2">
      <c r="AA507" s="99" t="s">
        <v>196</v>
      </c>
      <c r="AB507" s="100">
        <v>380</v>
      </c>
      <c r="AC507" s="100">
        <v>100</v>
      </c>
      <c r="AD507" s="101">
        <v>13</v>
      </c>
      <c r="AE507" s="101">
        <v>20</v>
      </c>
      <c r="AF507" s="101"/>
      <c r="AG507" s="55" t="str">
        <f t="shared" si="32"/>
        <v>HN-38010013.020.0</v>
      </c>
      <c r="AH507" s="109">
        <v>85.71</v>
      </c>
      <c r="AI507" s="100">
        <v>17600</v>
      </c>
      <c r="AJ507" s="100">
        <v>655</v>
      </c>
      <c r="AK507" s="100"/>
      <c r="AL507" s="100"/>
      <c r="AM507" s="109"/>
      <c r="AN507" s="109">
        <v>926</v>
      </c>
      <c r="AO507" s="109">
        <v>87.8</v>
      </c>
      <c r="AP507" s="109"/>
      <c r="AQ507" s="109"/>
      <c r="AR507" s="109">
        <v>2.54</v>
      </c>
    </row>
    <row r="508" spans="27:44" ht="13.5" customHeight="1" x14ac:dyDescent="0.2">
      <c r="AA508" s="99"/>
      <c r="AB508" s="100"/>
      <c r="AC508" s="100"/>
      <c r="AD508" s="101"/>
      <c r="AE508" s="101"/>
      <c r="AF508" s="101"/>
      <c r="AG508" s="55" t="str">
        <f t="shared" si="32"/>
        <v>000.00.0</v>
      </c>
      <c r="AH508" s="109"/>
      <c r="AI508" s="100"/>
      <c r="AJ508" s="100"/>
      <c r="AK508" s="100"/>
      <c r="AL508" s="100"/>
      <c r="AM508" s="109"/>
      <c r="AN508" s="109"/>
      <c r="AO508" s="109"/>
      <c r="AP508" s="109"/>
      <c r="AQ508" s="109"/>
      <c r="AR508" s="109"/>
    </row>
    <row r="509" spans="27:44" ht="13.5" customHeight="1" x14ac:dyDescent="0.2">
      <c r="AA509" s="99" t="s">
        <v>197</v>
      </c>
      <c r="AB509" s="100">
        <v>100</v>
      </c>
      <c r="AC509" s="99">
        <f>AB509</f>
        <v>100</v>
      </c>
      <c r="AD509" s="101">
        <v>2.2999999999999998</v>
      </c>
      <c r="AE509" s="101"/>
      <c r="AF509" s="101"/>
      <c r="AG509" s="55" t="str">
        <f t="shared" si="32"/>
        <v>KP-1001002.30.0</v>
      </c>
      <c r="AH509" s="109">
        <v>8.8520000000000003</v>
      </c>
      <c r="AI509" s="100">
        <v>140</v>
      </c>
      <c r="AJ509" s="100">
        <v>140</v>
      </c>
      <c r="AK509" s="100"/>
      <c r="AL509" s="100"/>
      <c r="AM509" s="109"/>
      <c r="AN509" s="109">
        <v>27.9</v>
      </c>
      <c r="AO509" s="109">
        <f>AN509</f>
        <v>27.9</v>
      </c>
      <c r="AP509" s="109">
        <v>32.299999999999997</v>
      </c>
      <c r="AQ509" s="109">
        <f>AP509</f>
        <v>32.299999999999997</v>
      </c>
      <c r="AR509" s="109"/>
    </row>
    <row r="510" spans="27:44" ht="13.5" customHeight="1" x14ac:dyDescent="0.2">
      <c r="AA510" s="99" t="str">
        <f>AA509</f>
        <v>KP-</v>
      </c>
      <c r="AB510" s="99">
        <f>AB509</f>
        <v>100</v>
      </c>
      <c r="AC510" s="99">
        <f>AB510</f>
        <v>100</v>
      </c>
      <c r="AD510" s="99">
        <v>3.2</v>
      </c>
      <c r="AE510" s="101"/>
      <c r="AF510" s="101"/>
      <c r="AG510" s="55" t="str">
        <f t="shared" ref="AG510:AG518" si="34">RIGHT(AA510,3)&amp;FIXED(AB510,0)&amp;FIXED(AC510,0)&amp;FIXED(AD510,1)&amp;FIXED(AE510,1)</f>
        <v>KP-1001003.20.0</v>
      </c>
      <c r="AH510" s="109">
        <v>12.13</v>
      </c>
      <c r="AI510" s="100">
        <v>187</v>
      </c>
      <c r="AJ510" s="100">
        <v>187</v>
      </c>
      <c r="AK510" s="100"/>
      <c r="AL510" s="100"/>
      <c r="AM510" s="109"/>
      <c r="AN510" s="109">
        <v>37.5</v>
      </c>
      <c r="AO510" s="109">
        <f t="shared" ref="AO510:AQ513" si="35">AN510</f>
        <v>37.5</v>
      </c>
      <c r="AP510" s="109">
        <v>43.7</v>
      </c>
      <c r="AQ510" s="109">
        <f t="shared" si="35"/>
        <v>43.7</v>
      </c>
      <c r="AR510" s="109"/>
    </row>
    <row r="511" spans="27:44" ht="13.5" customHeight="1" x14ac:dyDescent="0.2">
      <c r="AA511" s="99" t="str">
        <f t="shared" ref="AA511:AB517" si="36">AA510</f>
        <v>KP-</v>
      </c>
      <c r="AB511" s="99">
        <v>125</v>
      </c>
      <c r="AC511" s="99">
        <f>AB511</f>
        <v>125</v>
      </c>
      <c r="AD511" s="99">
        <v>3.2</v>
      </c>
      <c r="AE511" s="101"/>
      <c r="AF511" s="101"/>
      <c r="AG511" s="55" t="str">
        <f t="shared" si="34"/>
        <v>KP-1251253.20.0</v>
      </c>
      <c r="AH511" s="109">
        <v>15.33</v>
      </c>
      <c r="AI511" s="100">
        <v>376</v>
      </c>
      <c r="AJ511" s="100">
        <v>376</v>
      </c>
      <c r="AK511" s="100"/>
      <c r="AL511" s="100"/>
      <c r="AM511" s="109"/>
      <c r="AN511" s="109">
        <v>60.1</v>
      </c>
      <c r="AO511" s="109">
        <f t="shared" si="35"/>
        <v>60.1</v>
      </c>
      <c r="AP511" s="109">
        <v>69.599999999999994</v>
      </c>
      <c r="AQ511" s="109">
        <f t="shared" si="35"/>
        <v>69.599999999999994</v>
      </c>
      <c r="AR511" s="109"/>
    </row>
    <row r="512" spans="27:44" ht="13.5" customHeight="1" x14ac:dyDescent="0.2">
      <c r="AA512" s="99" t="str">
        <f t="shared" si="36"/>
        <v>KP-</v>
      </c>
      <c r="AB512" s="99">
        <f t="shared" si="36"/>
        <v>125</v>
      </c>
      <c r="AC512" s="99">
        <f>AB512</f>
        <v>125</v>
      </c>
      <c r="AD512" s="99">
        <v>4.5</v>
      </c>
      <c r="AE512" s="101"/>
      <c r="AF512" s="101"/>
      <c r="AG512" s="55" t="str">
        <f t="shared" si="34"/>
        <v>KP-1251254.50.0</v>
      </c>
      <c r="AH512" s="109">
        <v>21.17</v>
      </c>
      <c r="AI512" s="100">
        <v>506</v>
      </c>
      <c r="AJ512" s="100">
        <v>506</v>
      </c>
      <c r="AK512" s="100"/>
      <c r="AL512" s="100"/>
      <c r="AM512" s="109"/>
      <c r="AN512" s="109">
        <v>80.900000000000006</v>
      </c>
      <c r="AO512" s="109">
        <f t="shared" si="35"/>
        <v>80.900000000000006</v>
      </c>
      <c r="AP512" s="109">
        <v>94.8</v>
      </c>
      <c r="AQ512" s="109">
        <f t="shared" si="35"/>
        <v>94.8</v>
      </c>
      <c r="AR512" s="109"/>
    </row>
    <row r="513" spans="27:44" ht="13.5" customHeight="1" x14ac:dyDescent="0.2">
      <c r="AA513" s="99" t="str">
        <f t="shared" si="36"/>
        <v>KP-</v>
      </c>
      <c r="AB513" s="99">
        <v>150</v>
      </c>
      <c r="AC513" s="99">
        <f>AB513</f>
        <v>150</v>
      </c>
      <c r="AD513" s="99">
        <v>4.5</v>
      </c>
      <c r="AE513" s="101"/>
      <c r="AF513" s="101"/>
      <c r="AG513" s="55" t="str">
        <f t="shared" si="34"/>
        <v>KP-1501504.50.0</v>
      </c>
      <c r="AH513" s="109">
        <v>25.67</v>
      </c>
      <c r="AI513" s="100">
        <v>896</v>
      </c>
      <c r="AJ513" s="100">
        <v>896</v>
      </c>
      <c r="AK513" s="100"/>
      <c r="AL513" s="100"/>
      <c r="AM513" s="109"/>
      <c r="AN513" s="109">
        <v>120</v>
      </c>
      <c r="AO513" s="109">
        <f t="shared" si="35"/>
        <v>120</v>
      </c>
      <c r="AP513" s="109">
        <v>139</v>
      </c>
      <c r="AQ513" s="109">
        <f t="shared" si="35"/>
        <v>139</v>
      </c>
      <c r="AR513" s="109"/>
    </row>
    <row r="514" spans="27:44" ht="13.5" customHeight="1" x14ac:dyDescent="0.2">
      <c r="AA514" s="99" t="str">
        <f t="shared" si="36"/>
        <v>KP-</v>
      </c>
      <c r="AB514" s="99">
        <v>100</v>
      </c>
      <c r="AC514" s="99">
        <v>50</v>
      </c>
      <c r="AD514" s="99">
        <v>2.2999999999999998</v>
      </c>
      <c r="AE514" s="101"/>
      <c r="AF514" s="101"/>
      <c r="AG514" s="55" t="str">
        <f t="shared" si="34"/>
        <v>KP-100502.30.0</v>
      </c>
      <c r="AH514" s="109">
        <v>6.5519999999999996</v>
      </c>
      <c r="AI514" s="100">
        <v>84.8</v>
      </c>
      <c r="AJ514" s="100">
        <v>29</v>
      </c>
      <c r="AK514" s="100"/>
      <c r="AL514" s="100"/>
      <c r="AM514" s="109"/>
      <c r="AN514" s="109">
        <v>17</v>
      </c>
      <c r="AO514" s="109">
        <v>11.6</v>
      </c>
      <c r="AP514" s="109">
        <v>21</v>
      </c>
      <c r="AQ514" s="109">
        <v>13</v>
      </c>
      <c r="AR514" s="109"/>
    </row>
    <row r="515" spans="27:44" ht="13.5" customHeight="1" x14ac:dyDescent="0.2">
      <c r="AA515" s="99" t="str">
        <f t="shared" si="36"/>
        <v>KP-</v>
      </c>
      <c r="AB515" s="99">
        <f t="shared" si="36"/>
        <v>100</v>
      </c>
      <c r="AC515" s="99">
        <v>50</v>
      </c>
      <c r="AD515" s="99">
        <v>3.2</v>
      </c>
      <c r="AE515" s="101"/>
      <c r="AF515" s="101"/>
      <c r="AG515" s="55" t="str">
        <f t="shared" si="34"/>
        <v>KP-100503.20.0</v>
      </c>
      <c r="AH515" s="109">
        <v>8.9269999999999996</v>
      </c>
      <c r="AI515" s="100">
        <v>112</v>
      </c>
      <c r="AJ515" s="100">
        <v>38</v>
      </c>
      <c r="AK515" s="100"/>
      <c r="AL515" s="100"/>
      <c r="AM515" s="109"/>
      <c r="AN515" s="109">
        <v>22.5</v>
      </c>
      <c r="AO515" s="109">
        <v>15.2</v>
      </c>
      <c r="AP515" s="109">
        <v>28.2</v>
      </c>
      <c r="AQ515" s="109">
        <v>17.399999999999999</v>
      </c>
      <c r="AR515" s="109"/>
    </row>
    <row r="516" spans="27:44" ht="13.5" customHeight="1" x14ac:dyDescent="0.2">
      <c r="AA516" s="99" t="str">
        <f t="shared" si="36"/>
        <v>KP-</v>
      </c>
      <c r="AB516" s="99">
        <v>125</v>
      </c>
      <c r="AC516" s="99">
        <v>75</v>
      </c>
      <c r="AD516" s="99">
        <v>2.2999999999999998</v>
      </c>
      <c r="AE516" s="101"/>
      <c r="AF516" s="101"/>
      <c r="AG516" s="55" t="str">
        <f t="shared" si="34"/>
        <v>KP-125752.30.0</v>
      </c>
      <c r="AH516" s="109">
        <v>8.8520000000000003</v>
      </c>
      <c r="AI516" s="100">
        <v>192</v>
      </c>
      <c r="AJ516" s="100">
        <v>87.5</v>
      </c>
      <c r="AK516" s="100"/>
      <c r="AL516" s="100"/>
      <c r="AM516" s="109"/>
      <c r="AN516" s="109">
        <v>30.6</v>
      </c>
      <c r="AO516" s="109">
        <v>23.3</v>
      </c>
      <c r="AP516" s="109">
        <v>37</v>
      </c>
      <c r="AQ516" s="109">
        <v>26.1</v>
      </c>
      <c r="AR516" s="109"/>
    </row>
    <row r="517" spans="27:44" ht="13.5" customHeight="1" x14ac:dyDescent="0.2">
      <c r="AA517" s="99" t="str">
        <f t="shared" si="36"/>
        <v>KP-</v>
      </c>
      <c r="AB517" s="99">
        <f t="shared" si="36"/>
        <v>125</v>
      </c>
      <c r="AC517" s="99">
        <v>75</v>
      </c>
      <c r="AD517" s="99">
        <v>3.2</v>
      </c>
      <c r="AE517" s="101"/>
      <c r="AF517" s="101"/>
      <c r="AG517" s="55" t="str">
        <f t="shared" si="34"/>
        <v>KP-125753.20.0</v>
      </c>
      <c r="AH517" s="109">
        <v>12.13</v>
      </c>
      <c r="AI517" s="100">
        <v>257</v>
      </c>
      <c r="AJ517" s="100">
        <v>117</v>
      </c>
      <c r="AK517" s="100"/>
      <c r="AL517" s="100"/>
      <c r="AM517" s="109"/>
      <c r="AN517" s="109">
        <v>41.1</v>
      </c>
      <c r="AO517" s="109">
        <v>31.1</v>
      </c>
      <c r="AP517" s="109">
        <v>50.1</v>
      </c>
      <c r="AQ517" s="109">
        <v>35.299999999999997</v>
      </c>
      <c r="AR517" s="109"/>
    </row>
    <row r="518" spans="27:44" ht="13.5" customHeight="1" x14ac:dyDescent="0.2">
      <c r="AA518" s="99" t="str">
        <f>AA515</f>
        <v>KP-</v>
      </c>
      <c r="AB518" s="99">
        <v>150</v>
      </c>
      <c r="AC518" s="99">
        <v>75</v>
      </c>
      <c r="AD518" s="99">
        <v>3.2</v>
      </c>
      <c r="AE518" s="101"/>
      <c r="AF518" s="101"/>
      <c r="AG518" s="55" t="str">
        <f t="shared" si="34"/>
        <v>KP-150753.20.0</v>
      </c>
      <c r="AH518" s="109">
        <v>13.73</v>
      </c>
      <c r="AI518" s="100">
        <v>402</v>
      </c>
      <c r="AJ518" s="100">
        <v>137</v>
      </c>
      <c r="AK518" s="100"/>
      <c r="AL518" s="100"/>
      <c r="AM518" s="109"/>
      <c r="AN518" s="109">
        <v>53.6</v>
      </c>
      <c r="AO518" s="109">
        <v>36.6</v>
      </c>
      <c r="AP518" s="109">
        <v>66.3</v>
      </c>
      <c r="AQ518" s="109">
        <v>41</v>
      </c>
      <c r="AR518" s="109"/>
    </row>
    <row r="519" spans="27:44" ht="13.5" customHeight="1" x14ac:dyDescent="0.2">
      <c r="AA519" s="99"/>
      <c r="AB519" s="100"/>
      <c r="AC519" s="100"/>
      <c r="AD519" s="101"/>
      <c r="AE519" s="101"/>
      <c r="AF519" s="101"/>
      <c r="AG519" s="99"/>
      <c r="AH519" s="109"/>
      <c r="AI519" s="100"/>
      <c r="AJ519" s="100"/>
      <c r="AK519" s="100"/>
      <c r="AL519" s="100"/>
      <c r="AM519" s="109"/>
      <c r="AN519" s="109"/>
      <c r="AO519" s="109"/>
      <c r="AP519" s="109"/>
      <c r="AQ519" s="109"/>
      <c r="AR519" s="109"/>
    </row>
    <row r="520" spans="27:44" ht="13.5" customHeight="1" x14ac:dyDescent="0.2">
      <c r="AA520" s="99"/>
      <c r="AB520" s="100"/>
      <c r="AC520" s="100"/>
      <c r="AD520" s="101"/>
      <c r="AE520" s="101"/>
      <c r="AF520" s="101"/>
      <c r="AG520" s="99" t="s">
        <v>198</v>
      </c>
      <c r="AH520" s="109"/>
      <c r="AI520" s="100"/>
      <c r="AJ520" s="100"/>
      <c r="AK520" s="100"/>
      <c r="AL520" s="100"/>
      <c r="AM520" s="109"/>
      <c r="AN520" s="109"/>
      <c r="AO520" s="109"/>
      <c r="AP520" s="109"/>
      <c r="AQ520" s="109"/>
      <c r="AR520" s="109"/>
    </row>
    <row r="521" spans="27:44" ht="13.5" customHeight="1" x14ac:dyDescent="0.2">
      <c r="AA521" s="54"/>
      <c r="AB521" s="56"/>
      <c r="AC521" s="56"/>
      <c r="AD521" s="58"/>
      <c r="AE521" s="58"/>
      <c r="AF521" s="58"/>
      <c r="AH521" s="57"/>
      <c r="AI521" s="56"/>
      <c r="AJ521" s="56"/>
      <c r="AK521" s="57"/>
      <c r="AL521" s="57"/>
      <c r="AM521" s="57"/>
      <c r="AN521" s="57"/>
      <c r="AO521" s="57"/>
      <c r="AP521" s="57"/>
      <c r="AQ521" s="57"/>
    </row>
    <row r="522" spans="27:44" ht="13.5" customHeight="1" x14ac:dyDescent="0.2">
      <c r="AA522" s="54"/>
      <c r="AB522" s="56"/>
      <c r="AC522" s="56"/>
      <c r="AD522" s="58"/>
      <c r="AE522" s="58"/>
      <c r="AF522" s="58"/>
      <c r="AH522" s="57"/>
      <c r="AI522" s="56"/>
      <c r="AJ522" s="56"/>
      <c r="AK522" s="57"/>
      <c r="AL522" s="57"/>
      <c r="AM522" s="57"/>
      <c r="AN522" s="57"/>
      <c r="AO522" s="57"/>
      <c r="AP522" s="57"/>
      <c r="AQ522" s="57"/>
    </row>
    <row r="523" spans="27:44" ht="13.5" customHeight="1" x14ac:dyDescent="0.2">
      <c r="AA523" s="54"/>
      <c r="AB523" s="56"/>
      <c r="AC523" s="56"/>
      <c r="AD523" s="58"/>
      <c r="AE523" s="58"/>
      <c r="AF523" s="58"/>
      <c r="AH523" s="57"/>
      <c r="AI523" s="56"/>
      <c r="AJ523" s="56"/>
      <c r="AK523" s="57"/>
      <c r="AL523" s="57"/>
      <c r="AM523" s="57"/>
      <c r="AN523" s="57"/>
      <c r="AO523" s="57"/>
      <c r="AP523" s="57"/>
      <c r="AQ523" s="57"/>
    </row>
    <row r="524" spans="27:44" ht="13.5" customHeight="1" x14ac:dyDescent="0.2">
      <c r="AA524" s="54"/>
      <c r="AB524" s="56"/>
      <c r="AC524" s="56"/>
      <c r="AD524" s="58"/>
      <c r="AE524" s="58"/>
      <c r="AF524" s="58"/>
      <c r="AH524" s="57"/>
      <c r="AI524" s="56"/>
      <c r="AJ524" s="56"/>
      <c r="AK524" s="57"/>
      <c r="AL524" s="57"/>
      <c r="AM524" s="57"/>
      <c r="AN524" s="57"/>
      <c r="AO524" s="57"/>
      <c r="AP524" s="57"/>
      <c r="AQ524" s="57"/>
    </row>
    <row r="525" spans="27:44" ht="13.5" customHeight="1" x14ac:dyDescent="0.2">
      <c r="AA525" s="54"/>
      <c r="AB525" s="56"/>
      <c r="AC525" s="56"/>
      <c r="AD525" s="58"/>
      <c r="AE525" s="58"/>
      <c r="AF525" s="58"/>
      <c r="AH525" s="57"/>
      <c r="AI525" s="56"/>
      <c r="AJ525" s="56"/>
      <c r="AK525" s="57"/>
      <c r="AL525" s="57"/>
      <c r="AM525" s="57"/>
      <c r="AN525" s="57"/>
      <c r="AO525" s="57"/>
      <c r="AP525" s="57"/>
      <c r="AQ525" s="57"/>
    </row>
    <row r="526" spans="27:44" ht="13.5" customHeight="1" x14ac:dyDescent="0.2">
      <c r="AA526" s="54"/>
      <c r="AB526" s="56"/>
      <c r="AC526" s="56"/>
      <c r="AD526" s="58"/>
      <c r="AE526" s="58"/>
      <c r="AF526" s="58"/>
      <c r="AH526" s="57"/>
      <c r="AI526" s="56"/>
      <c r="AJ526" s="56"/>
      <c r="AK526" s="57"/>
      <c r="AL526" s="57"/>
      <c r="AM526" s="57"/>
      <c r="AN526" s="57"/>
      <c r="AO526" s="57"/>
      <c r="AP526" s="57"/>
      <c r="AQ526" s="57"/>
    </row>
    <row r="527" spans="27:44" ht="13.5" customHeight="1" x14ac:dyDescent="0.2">
      <c r="AA527" s="54"/>
      <c r="AB527" s="56"/>
      <c r="AC527" s="56"/>
      <c r="AD527" s="58"/>
      <c r="AE527" s="58"/>
      <c r="AF527" s="58"/>
      <c r="AH527" s="57"/>
      <c r="AI527" s="56"/>
      <c r="AJ527" s="56"/>
      <c r="AK527" s="57"/>
      <c r="AL527" s="57"/>
      <c r="AM527" s="57"/>
      <c r="AN527" s="57"/>
      <c r="AO527" s="57"/>
      <c r="AP527" s="57"/>
      <c r="AQ527" s="57"/>
    </row>
    <row r="528" spans="27:44" ht="13.5" customHeight="1" x14ac:dyDescent="0.2">
      <c r="AA528" s="54"/>
      <c r="AB528" s="56"/>
      <c r="AC528" s="56"/>
      <c r="AD528" s="58"/>
      <c r="AE528" s="58"/>
      <c r="AF528" s="58"/>
      <c r="AH528" s="57"/>
      <c r="AI528" s="56"/>
      <c r="AJ528" s="56"/>
      <c r="AK528" s="57"/>
      <c r="AL528" s="57"/>
      <c r="AM528" s="57"/>
      <c r="AN528" s="57"/>
      <c r="AO528" s="57"/>
      <c r="AP528" s="57"/>
      <c r="AQ528" s="57"/>
    </row>
    <row r="529" spans="27:43" ht="13.5" customHeight="1" x14ac:dyDescent="0.2">
      <c r="AA529" s="54"/>
      <c r="AB529" s="56"/>
      <c r="AC529" s="56"/>
      <c r="AD529" s="58"/>
      <c r="AE529" s="58"/>
      <c r="AF529" s="58"/>
      <c r="AH529" s="57"/>
      <c r="AI529" s="56"/>
      <c r="AJ529" s="56"/>
      <c r="AK529" s="57"/>
      <c r="AL529" s="57"/>
      <c r="AM529" s="57"/>
      <c r="AN529" s="57"/>
      <c r="AO529" s="57"/>
      <c r="AP529" s="57"/>
      <c r="AQ529" s="57"/>
    </row>
    <row r="530" spans="27:43" ht="13.5" customHeight="1" x14ac:dyDescent="0.2">
      <c r="AA530" s="54"/>
      <c r="AB530" s="56"/>
      <c r="AC530" s="56"/>
      <c r="AD530" s="58"/>
      <c r="AE530" s="58"/>
      <c r="AF530" s="58"/>
      <c r="AH530" s="57"/>
      <c r="AI530" s="56"/>
      <c r="AJ530" s="56"/>
      <c r="AK530" s="57"/>
      <c r="AL530" s="57"/>
      <c r="AM530" s="57"/>
      <c r="AN530" s="57"/>
      <c r="AO530" s="57"/>
      <c r="AP530" s="57"/>
      <c r="AQ530" s="57"/>
    </row>
    <row r="531" spans="27:43" ht="13.5" customHeight="1" x14ac:dyDescent="0.2">
      <c r="AA531" s="54"/>
      <c r="AB531" s="56"/>
      <c r="AC531" s="56"/>
      <c r="AD531" s="58"/>
      <c r="AE531" s="58"/>
      <c r="AF531" s="58"/>
      <c r="AH531" s="57"/>
      <c r="AI531" s="56"/>
      <c r="AJ531" s="56"/>
      <c r="AK531" s="57"/>
      <c r="AL531" s="57"/>
      <c r="AM531" s="57"/>
      <c r="AN531" s="57"/>
      <c r="AO531" s="57"/>
      <c r="AP531" s="57"/>
      <c r="AQ531" s="57"/>
    </row>
    <row r="532" spans="27:43" ht="13.5" customHeight="1" x14ac:dyDescent="0.2">
      <c r="AA532" s="54"/>
      <c r="AB532" s="56"/>
      <c r="AC532" s="56"/>
      <c r="AD532" s="58"/>
      <c r="AE532" s="58"/>
      <c r="AF532" s="58"/>
      <c r="AH532" s="56"/>
      <c r="AI532" s="56"/>
      <c r="AJ532" s="56"/>
      <c r="AK532" s="57"/>
      <c r="AL532" s="57"/>
      <c r="AM532" s="57"/>
      <c r="AN532" s="57"/>
      <c r="AO532" s="57"/>
      <c r="AP532" s="57"/>
      <c r="AQ532" s="57"/>
    </row>
    <row r="533" spans="27:43" ht="13.5" customHeight="1" x14ac:dyDescent="0.2">
      <c r="AA533" s="54"/>
      <c r="AB533" s="56"/>
      <c r="AC533" s="56"/>
      <c r="AD533" s="58"/>
      <c r="AE533" s="58"/>
      <c r="AF533" s="58"/>
      <c r="AH533" s="56"/>
      <c r="AI533" s="56"/>
      <c r="AJ533" s="56"/>
      <c r="AK533" s="57"/>
      <c r="AL533" s="57"/>
      <c r="AM533" s="57"/>
      <c r="AN533" s="57"/>
      <c r="AO533" s="57"/>
      <c r="AP533" s="57"/>
      <c r="AQ533" s="57"/>
    </row>
    <row r="534" spans="27:43" ht="13.5" customHeight="1" x14ac:dyDescent="0.2">
      <c r="AA534" s="54"/>
      <c r="AB534" s="56"/>
      <c r="AC534" s="56"/>
      <c r="AD534" s="58"/>
      <c r="AE534" s="58"/>
      <c r="AF534" s="58"/>
      <c r="AH534" s="56"/>
      <c r="AI534" s="56"/>
      <c r="AJ534" s="56"/>
      <c r="AK534" s="57"/>
      <c r="AL534" s="57"/>
      <c r="AM534" s="57"/>
      <c r="AN534" s="57"/>
      <c r="AO534" s="57"/>
      <c r="AP534" s="57"/>
      <c r="AQ534" s="57"/>
    </row>
    <row r="535" spans="27:43" ht="13.5" customHeight="1" x14ac:dyDescent="0.2">
      <c r="AA535" s="54"/>
      <c r="AB535" s="56"/>
      <c r="AC535" s="56"/>
      <c r="AD535" s="58"/>
      <c r="AE535" s="58"/>
      <c r="AF535" s="58"/>
      <c r="AH535" s="56"/>
      <c r="AI535" s="56"/>
      <c r="AJ535" s="56"/>
      <c r="AK535" s="57"/>
      <c r="AL535" s="57"/>
      <c r="AM535" s="57"/>
      <c r="AN535" s="57"/>
      <c r="AO535" s="57"/>
      <c r="AP535" s="57"/>
      <c r="AQ535" s="57"/>
    </row>
    <row r="629" spans="2:6" ht="13.5" customHeight="1" x14ac:dyDescent="0.2">
      <c r="B629" s="54"/>
      <c r="C629" s="54"/>
      <c r="D629" s="54"/>
      <c r="E629" s="54"/>
      <c r="F629" s="54"/>
    </row>
    <row r="630" spans="2:6" ht="13.5" customHeight="1" x14ac:dyDescent="0.2">
      <c r="B630" s="54"/>
      <c r="C630" s="54"/>
      <c r="D630" s="54"/>
      <c r="E630" s="54"/>
      <c r="F630" s="54"/>
    </row>
    <row r="631" spans="2:6" ht="13.5" customHeight="1" x14ac:dyDescent="0.2">
      <c r="B631" s="54"/>
      <c r="C631" s="54"/>
      <c r="D631" s="54"/>
      <c r="E631" s="54"/>
      <c r="F631" s="54"/>
    </row>
    <row r="632" spans="2:6" ht="13.5" customHeight="1" x14ac:dyDescent="0.2">
      <c r="B632" s="54"/>
      <c r="C632" s="54"/>
      <c r="D632" s="54"/>
      <c r="E632" s="54"/>
      <c r="F632" s="54"/>
    </row>
    <row r="633" spans="2:6" ht="13.5" customHeight="1" x14ac:dyDescent="0.2">
      <c r="B633" s="54"/>
      <c r="C633" s="54"/>
      <c r="D633" s="54"/>
      <c r="E633" s="54"/>
      <c r="F633" s="54"/>
    </row>
    <row r="634" spans="2:6" ht="13.5" customHeight="1" x14ac:dyDescent="0.2">
      <c r="B634" s="54"/>
      <c r="C634" s="54"/>
      <c r="D634" s="54"/>
      <c r="E634" s="54"/>
      <c r="F634" s="54"/>
    </row>
    <row r="635" spans="2:6" ht="13.5" customHeight="1" x14ac:dyDescent="0.2">
      <c r="B635" s="54"/>
      <c r="C635" s="54"/>
      <c r="D635" s="54"/>
      <c r="E635" s="54"/>
      <c r="F635" s="54"/>
    </row>
    <row r="636" spans="2:6" ht="13.5" customHeight="1" x14ac:dyDescent="0.2">
      <c r="B636" s="54"/>
      <c r="C636" s="54"/>
      <c r="D636" s="54"/>
      <c r="E636" s="54"/>
      <c r="F636" s="54"/>
    </row>
    <row r="637" spans="2:6" ht="13.5" customHeight="1" x14ac:dyDescent="0.2">
      <c r="B637" s="54"/>
      <c r="C637" s="54"/>
      <c r="D637" s="54"/>
      <c r="E637" s="54"/>
      <c r="F637" s="54"/>
    </row>
    <row r="638" spans="2:6" ht="13.5" customHeight="1" x14ac:dyDescent="0.2">
      <c r="B638" s="54"/>
      <c r="C638" s="54"/>
      <c r="D638" s="54"/>
      <c r="E638" s="54"/>
      <c r="F638" s="54"/>
    </row>
    <row r="639" spans="2:6" ht="13.5" customHeight="1" x14ac:dyDescent="0.2">
      <c r="B639" s="54"/>
      <c r="C639" s="54"/>
      <c r="D639" s="54"/>
      <c r="E639" s="54"/>
      <c r="F639" s="54"/>
    </row>
    <row r="640" spans="2:6" ht="13.5" customHeight="1" x14ac:dyDescent="0.2">
      <c r="B640" s="54"/>
      <c r="C640" s="54"/>
      <c r="D640" s="54"/>
      <c r="E640" s="54"/>
      <c r="F640" s="54"/>
    </row>
    <row r="641" spans="2:6" ht="13.5" customHeight="1" x14ac:dyDescent="0.2">
      <c r="B641" s="54"/>
      <c r="C641" s="54"/>
      <c r="D641" s="54"/>
      <c r="E641" s="54"/>
      <c r="F641" s="54"/>
    </row>
    <row r="642" spans="2:6" ht="13.5" customHeight="1" x14ac:dyDescent="0.2">
      <c r="B642" s="54"/>
      <c r="C642" s="54"/>
      <c r="D642" s="54"/>
      <c r="E642" s="54"/>
      <c r="F642" s="54"/>
    </row>
    <row r="643" spans="2:6" ht="13.5" customHeight="1" x14ac:dyDescent="0.2">
      <c r="B643" s="54"/>
      <c r="C643" s="54"/>
      <c r="D643" s="54"/>
      <c r="E643" s="54"/>
      <c r="F643" s="54"/>
    </row>
    <row r="644" spans="2:6" ht="13.5" customHeight="1" x14ac:dyDescent="0.2">
      <c r="B644" s="54"/>
      <c r="C644" s="54"/>
      <c r="D644" s="54"/>
      <c r="E644" s="54"/>
      <c r="F644" s="54"/>
    </row>
    <row r="645" spans="2:6" ht="13.5" customHeight="1" x14ac:dyDescent="0.2">
      <c r="B645" s="54"/>
      <c r="C645" s="54"/>
      <c r="D645" s="54"/>
      <c r="E645" s="54"/>
      <c r="F645" s="54"/>
    </row>
    <row r="646" spans="2:6" ht="13.5" customHeight="1" x14ac:dyDescent="0.2">
      <c r="B646" s="54"/>
      <c r="C646" s="54"/>
      <c r="D646" s="54"/>
      <c r="E646" s="54"/>
      <c r="F646" s="54"/>
    </row>
    <row r="647" spans="2:6" ht="13.5" customHeight="1" x14ac:dyDescent="0.2">
      <c r="B647" s="54"/>
      <c r="C647" s="54"/>
      <c r="D647" s="54"/>
      <c r="E647" s="54"/>
      <c r="F647" s="54"/>
    </row>
    <row r="648" spans="2:6" ht="13.5" customHeight="1" x14ac:dyDescent="0.2">
      <c r="B648" s="54"/>
      <c r="C648" s="54"/>
      <c r="D648" s="54"/>
      <c r="E648" s="54"/>
      <c r="F648" s="54"/>
    </row>
    <row r="649" spans="2:6" ht="13.5" customHeight="1" x14ac:dyDescent="0.2">
      <c r="B649" s="54"/>
      <c r="C649" s="54"/>
      <c r="D649" s="54"/>
      <c r="E649" s="54"/>
      <c r="F649" s="54"/>
    </row>
    <row r="650" spans="2:6" ht="13.5" customHeight="1" x14ac:dyDescent="0.2">
      <c r="B650" s="54"/>
      <c r="C650" s="54"/>
      <c r="D650" s="54"/>
      <c r="E650" s="54"/>
      <c r="F650" s="54"/>
    </row>
    <row r="651" spans="2:6" ht="13.5" customHeight="1" x14ac:dyDescent="0.2">
      <c r="B651" s="54"/>
      <c r="C651" s="54"/>
      <c r="D651" s="54"/>
      <c r="E651" s="54"/>
      <c r="F651" s="54"/>
    </row>
    <row r="652" spans="2:6" ht="13.5" customHeight="1" x14ac:dyDescent="0.2">
      <c r="B652" s="54"/>
      <c r="C652" s="54"/>
      <c r="D652" s="54"/>
      <c r="E652" s="54"/>
      <c r="F652" s="54"/>
    </row>
    <row r="653" spans="2:6" ht="13.5" customHeight="1" x14ac:dyDescent="0.2">
      <c r="B653" s="54"/>
      <c r="C653" s="54"/>
      <c r="D653" s="54"/>
      <c r="E653" s="54"/>
      <c r="F653" s="54"/>
    </row>
    <row r="654" spans="2:6" ht="13.5" customHeight="1" x14ac:dyDescent="0.2">
      <c r="B654" s="54"/>
      <c r="C654" s="54"/>
      <c r="D654" s="54"/>
      <c r="E654" s="54"/>
      <c r="F654" s="54"/>
    </row>
    <row r="655" spans="2:6" ht="13.5" customHeight="1" x14ac:dyDescent="0.2">
      <c r="B655" s="54"/>
      <c r="C655" s="54"/>
      <c r="D655" s="54"/>
      <c r="E655" s="54"/>
      <c r="F655" s="54"/>
    </row>
    <row r="656" spans="2:6" ht="13.5" customHeight="1" x14ac:dyDescent="0.2">
      <c r="B656" s="54"/>
      <c r="C656" s="54"/>
      <c r="D656" s="54"/>
      <c r="E656" s="54"/>
      <c r="F656" s="54"/>
    </row>
    <row r="657" spans="2:6" ht="13.5" customHeight="1" x14ac:dyDescent="0.2">
      <c r="B657" s="54"/>
      <c r="C657" s="54"/>
      <c r="D657" s="54"/>
      <c r="E657" s="54"/>
      <c r="F657" s="54"/>
    </row>
    <row r="658" spans="2:6" ht="13.5" customHeight="1" x14ac:dyDescent="0.2">
      <c r="B658" s="54"/>
      <c r="C658" s="54"/>
      <c r="D658" s="54"/>
      <c r="E658" s="54"/>
      <c r="F658" s="54"/>
    </row>
    <row r="659" spans="2:6" ht="13.5" customHeight="1" x14ac:dyDescent="0.2">
      <c r="B659" s="54"/>
      <c r="C659" s="54"/>
      <c r="D659" s="54"/>
      <c r="E659" s="54"/>
      <c r="F659" s="54"/>
    </row>
    <row r="660" spans="2:6" ht="13.5" customHeight="1" x14ac:dyDescent="0.2">
      <c r="B660" s="54"/>
      <c r="C660" s="54"/>
      <c r="D660" s="54"/>
      <c r="E660" s="54"/>
      <c r="F660" s="54"/>
    </row>
    <row r="661" spans="2:6" ht="13.5" customHeight="1" x14ac:dyDescent="0.2">
      <c r="B661" s="54"/>
      <c r="C661" s="54"/>
      <c r="D661" s="54"/>
      <c r="E661" s="54"/>
      <c r="F661" s="54"/>
    </row>
    <row r="662" spans="2:6" ht="13.5" customHeight="1" x14ac:dyDescent="0.2">
      <c r="B662" s="54"/>
      <c r="C662" s="54"/>
      <c r="D662" s="54"/>
      <c r="E662" s="54"/>
      <c r="F662" s="54"/>
    </row>
    <row r="663" spans="2:6" ht="13.5" customHeight="1" x14ac:dyDescent="0.2">
      <c r="B663" s="54"/>
      <c r="C663" s="54"/>
      <c r="D663" s="54"/>
      <c r="E663" s="54"/>
      <c r="F663" s="54"/>
    </row>
    <row r="664" spans="2:6" ht="13.5" customHeight="1" x14ac:dyDescent="0.2">
      <c r="B664" s="54"/>
      <c r="C664" s="54"/>
      <c r="D664" s="54"/>
      <c r="E664" s="54"/>
      <c r="F664" s="54"/>
    </row>
    <row r="665" spans="2:6" ht="13.5" customHeight="1" x14ac:dyDescent="0.2">
      <c r="B665" s="54"/>
      <c r="C665" s="54"/>
      <c r="D665" s="54"/>
      <c r="E665" s="54"/>
      <c r="F665" s="54"/>
    </row>
    <row r="666" spans="2:6" ht="13.5" customHeight="1" x14ac:dyDescent="0.2">
      <c r="B666" s="54"/>
      <c r="C666" s="54"/>
      <c r="D666" s="54"/>
      <c r="E666" s="54"/>
      <c r="F666" s="54"/>
    </row>
    <row r="667" spans="2:6" ht="13.5" customHeight="1" x14ac:dyDescent="0.2">
      <c r="B667" s="54"/>
      <c r="C667" s="54"/>
      <c r="D667" s="54"/>
      <c r="E667" s="54"/>
      <c r="F667" s="54"/>
    </row>
    <row r="668" spans="2:6" ht="13.5" customHeight="1" x14ac:dyDescent="0.2">
      <c r="B668" s="54"/>
      <c r="C668" s="54"/>
      <c r="D668" s="54"/>
      <c r="E668" s="54"/>
      <c r="F668" s="54"/>
    </row>
    <row r="669" spans="2:6" ht="13.5" customHeight="1" x14ac:dyDescent="0.2">
      <c r="B669" s="54"/>
      <c r="C669" s="54"/>
      <c r="D669" s="54"/>
      <c r="E669" s="54"/>
      <c r="F669" s="54"/>
    </row>
    <row r="670" spans="2:6" ht="13.5" customHeight="1" x14ac:dyDescent="0.2">
      <c r="B670" s="54"/>
      <c r="C670" s="54"/>
      <c r="D670" s="54"/>
      <c r="E670" s="54"/>
      <c r="F670" s="54"/>
    </row>
    <row r="755" spans="2:6" ht="13.5" customHeight="1" x14ac:dyDescent="0.2">
      <c r="B755" s="54"/>
      <c r="C755" s="54"/>
      <c r="D755" s="54"/>
      <c r="E755" s="54"/>
      <c r="F755" s="54"/>
    </row>
    <row r="756" spans="2:6" ht="13.5" customHeight="1" x14ac:dyDescent="0.2">
      <c r="B756" s="54"/>
      <c r="C756" s="54"/>
      <c r="D756" s="54"/>
      <c r="E756" s="54"/>
      <c r="F756" s="54"/>
    </row>
    <row r="757" spans="2:6" ht="13.5" customHeight="1" x14ac:dyDescent="0.2">
      <c r="B757" s="54"/>
      <c r="C757" s="54"/>
      <c r="D757" s="54"/>
      <c r="E757" s="54"/>
      <c r="F757" s="54"/>
    </row>
    <row r="758" spans="2:6" ht="13.5" customHeight="1" x14ac:dyDescent="0.2">
      <c r="B758" s="54"/>
      <c r="C758" s="54"/>
      <c r="D758" s="54"/>
      <c r="E758" s="54"/>
      <c r="F758" s="54"/>
    </row>
    <row r="759" spans="2:6" ht="13.5" customHeight="1" x14ac:dyDescent="0.2">
      <c r="B759" s="54"/>
      <c r="C759" s="54"/>
      <c r="D759" s="54"/>
      <c r="E759" s="54"/>
      <c r="F759" s="54"/>
    </row>
    <row r="760" spans="2:6" ht="13.5" customHeight="1" x14ac:dyDescent="0.2">
      <c r="B760" s="54"/>
      <c r="C760" s="54"/>
      <c r="D760" s="54"/>
      <c r="E760" s="54"/>
      <c r="F760" s="54"/>
    </row>
    <row r="761" spans="2:6" ht="13.5" customHeight="1" x14ac:dyDescent="0.2">
      <c r="B761" s="54"/>
      <c r="C761" s="54"/>
      <c r="D761" s="54"/>
      <c r="E761" s="54"/>
      <c r="F761" s="54"/>
    </row>
    <row r="762" spans="2:6" ht="13.5" customHeight="1" x14ac:dyDescent="0.2">
      <c r="B762" s="54"/>
      <c r="C762" s="54"/>
      <c r="D762" s="54"/>
      <c r="E762" s="54"/>
      <c r="F762" s="54"/>
    </row>
    <row r="763" spans="2:6" ht="13.5" customHeight="1" x14ac:dyDescent="0.2">
      <c r="B763" s="54"/>
      <c r="C763" s="54"/>
      <c r="D763" s="54"/>
      <c r="E763" s="54"/>
      <c r="F763" s="54"/>
    </row>
    <row r="764" spans="2:6" ht="13.5" customHeight="1" x14ac:dyDescent="0.2">
      <c r="B764" s="54"/>
      <c r="C764" s="54"/>
      <c r="D764" s="54"/>
      <c r="E764" s="54"/>
      <c r="F764" s="54"/>
    </row>
    <row r="765" spans="2:6" ht="13.5" customHeight="1" x14ac:dyDescent="0.2">
      <c r="B765" s="54"/>
      <c r="C765" s="54"/>
      <c r="D765" s="54"/>
      <c r="E765" s="54"/>
      <c r="F765" s="54"/>
    </row>
    <row r="766" spans="2:6" ht="13.5" customHeight="1" x14ac:dyDescent="0.2">
      <c r="B766" s="54"/>
      <c r="C766" s="54"/>
      <c r="D766" s="54"/>
      <c r="E766" s="54"/>
      <c r="F766" s="54"/>
    </row>
    <row r="767" spans="2:6" ht="13.5" customHeight="1" x14ac:dyDescent="0.2">
      <c r="B767" s="54"/>
      <c r="C767" s="54"/>
      <c r="D767" s="54"/>
      <c r="E767" s="54"/>
      <c r="F767" s="54"/>
    </row>
    <row r="768" spans="2:6" ht="13.5" customHeight="1" x14ac:dyDescent="0.2">
      <c r="B768" s="54"/>
      <c r="C768" s="54"/>
      <c r="D768" s="54"/>
      <c r="E768" s="54"/>
      <c r="F768" s="54"/>
    </row>
    <row r="769" spans="2:6" ht="13.5" customHeight="1" x14ac:dyDescent="0.2">
      <c r="B769" s="54"/>
      <c r="C769" s="54"/>
      <c r="D769" s="54"/>
      <c r="E769" s="54"/>
      <c r="F769" s="54"/>
    </row>
  </sheetData>
  <mergeCells count="3">
    <mergeCell ref="I61:J61"/>
    <mergeCell ref="G61:H61"/>
    <mergeCell ref="E61:F61"/>
  </mergeCells>
  <phoneticPr fontId="3"/>
  <pageMargins left="0.78740157480314965" right="0.19685039370078741" top="0.98425196850393704" bottom="0.39370078740157483" header="0" footer="0"/>
  <pageSetup paperSize="9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2"/>
  <sheetViews>
    <sheetView zoomScaleNormal="100" workbookViewId="0">
      <selection activeCell="J17" sqref="J17"/>
    </sheetView>
  </sheetViews>
  <sheetFormatPr defaultColWidth="5.77734375" defaultRowHeight="13.5" customHeight="1" x14ac:dyDescent="0.2"/>
  <cols>
    <col min="1" max="3" width="3.77734375" style="155" customWidth="1"/>
    <col min="4" max="20" width="5.77734375" style="155" customWidth="1"/>
    <col min="21" max="21" width="3.77734375" style="155" customWidth="1"/>
    <col min="22" max="256" width="5.77734375" style="155"/>
    <col min="257" max="259" width="3.77734375" style="155" customWidth="1"/>
    <col min="260" max="276" width="5.77734375" style="155" customWidth="1"/>
    <col min="277" max="277" width="3.77734375" style="155" customWidth="1"/>
    <col min="278" max="512" width="5.77734375" style="155"/>
    <col min="513" max="515" width="3.77734375" style="155" customWidth="1"/>
    <col min="516" max="532" width="5.77734375" style="155" customWidth="1"/>
    <col min="533" max="533" width="3.77734375" style="155" customWidth="1"/>
    <col min="534" max="768" width="5.77734375" style="155"/>
    <col min="769" max="771" width="3.77734375" style="155" customWidth="1"/>
    <col min="772" max="788" width="5.77734375" style="155" customWidth="1"/>
    <col min="789" max="789" width="3.77734375" style="155" customWidth="1"/>
    <col min="790" max="1024" width="5.77734375" style="155"/>
    <col min="1025" max="1027" width="3.77734375" style="155" customWidth="1"/>
    <col min="1028" max="1044" width="5.77734375" style="155" customWidth="1"/>
    <col min="1045" max="1045" width="3.77734375" style="155" customWidth="1"/>
    <col min="1046" max="1280" width="5.77734375" style="155"/>
    <col min="1281" max="1283" width="3.77734375" style="155" customWidth="1"/>
    <col min="1284" max="1300" width="5.77734375" style="155" customWidth="1"/>
    <col min="1301" max="1301" width="3.77734375" style="155" customWidth="1"/>
    <col min="1302" max="1536" width="5.77734375" style="155"/>
    <col min="1537" max="1539" width="3.77734375" style="155" customWidth="1"/>
    <col min="1540" max="1556" width="5.77734375" style="155" customWidth="1"/>
    <col min="1557" max="1557" width="3.77734375" style="155" customWidth="1"/>
    <col min="1558" max="1792" width="5.77734375" style="155"/>
    <col min="1793" max="1795" width="3.77734375" style="155" customWidth="1"/>
    <col min="1796" max="1812" width="5.77734375" style="155" customWidth="1"/>
    <col min="1813" max="1813" width="3.77734375" style="155" customWidth="1"/>
    <col min="1814" max="2048" width="5.77734375" style="155"/>
    <col min="2049" max="2051" width="3.77734375" style="155" customWidth="1"/>
    <col min="2052" max="2068" width="5.77734375" style="155" customWidth="1"/>
    <col min="2069" max="2069" width="3.77734375" style="155" customWidth="1"/>
    <col min="2070" max="2304" width="5.77734375" style="155"/>
    <col min="2305" max="2307" width="3.77734375" style="155" customWidth="1"/>
    <col min="2308" max="2324" width="5.77734375" style="155" customWidth="1"/>
    <col min="2325" max="2325" width="3.77734375" style="155" customWidth="1"/>
    <col min="2326" max="2560" width="5.77734375" style="155"/>
    <col min="2561" max="2563" width="3.77734375" style="155" customWidth="1"/>
    <col min="2564" max="2580" width="5.77734375" style="155" customWidth="1"/>
    <col min="2581" max="2581" width="3.77734375" style="155" customWidth="1"/>
    <col min="2582" max="2816" width="5.77734375" style="155"/>
    <col min="2817" max="2819" width="3.77734375" style="155" customWidth="1"/>
    <col min="2820" max="2836" width="5.77734375" style="155" customWidth="1"/>
    <col min="2837" max="2837" width="3.77734375" style="155" customWidth="1"/>
    <col min="2838" max="3072" width="5.77734375" style="155"/>
    <col min="3073" max="3075" width="3.77734375" style="155" customWidth="1"/>
    <col min="3076" max="3092" width="5.77734375" style="155" customWidth="1"/>
    <col min="3093" max="3093" width="3.77734375" style="155" customWidth="1"/>
    <col min="3094" max="3328" width="5.77734375" style="155"/>
    <col min="3329" max="3331" width="3.77734375" style="155" customWidth="1"/>
    <col min="3332" max="3348" width="5.77734375" style="155" customWidth="1"/>
    <col min="3349" max="3349" width="3.77734375" style="155" customWidth="1"/>
    <col min="3350" max="3584" width="5.77734375" style="155"/>
    <col min="3585" max="3587" width="3.77734375" style="155" customWidth="1"/>
    <col min="3588" max="3604" width="5.77734375" style="155" customWidth="1"/>
    <col min="3605" max="3605" width="3.77734375" style="155" customWidth="1"/>
    <col min="3606" max="3840" width="5.77734375" style="155"/>
    <col min="3841" max="3843" width="3.77734375" style="155" customWidth="1"/>
    <col min="3844" max="3860" width="5.77734375" style="155" customWidth="1"/>
    <col min="3861" max="3861" width="3.77734375" style="155" customWidth="1"/>
    <col min="3862" max="4096" width="5.77734375" style="155"/>
    <col min="4097" max="4099" width="3.77734375" style="155" customWidth="1"/>
    <col min="4100" max="4116" width="5.77734375" style="155" customWidth="1"/>
    <col min="4117" max="4117" width="3.77734375" style="155" customWidth="1"/>
    <col min="4118" max="4352" width="5.77734375" style="155"/>
    <col min="4353" max="4355" width="3.77734375" style="155" customWidth="1"/>
    <col min="4356" max="4372" width="5.77734375" style="155" customWidth="1"/>
    <col min="4373" max="4373" width="3.77734375" style="155" customWidth="1"/>
    <col min="4374" max="4608" width="5.77734375" style="155"/>
    <col min="4609" max="4611" width="3.77734375" style="155" customWidth="1"/>
    <col min="4612" max="4628" width="5.77734375" style="155" customWidth="1"/>
    <col min="4629" max="4629" width="3.77734375" style="155" customWidth="1"/>
    <col min="4630" max="4864" width="5.77734375" style="155"/>
    <col min="4865" max="4867" width="3.77734375" style="155" customWidth="1"/>
    <col min="4868" max="4884" width="5.77734375" style="155" customWidth="1"/>
    <col min="4885" max="4885" width="3.77734375" style="155" customWidth="1"/>
    <col min="4886" max="5120" width="5.77734375" style="155"/>
    <col min="5121" max="5123" width="3.77734375" style="155" customWidth="1"/>
    <col min="5124" max="5140" width="5.77734375" style="155" customWidth="1"/>
    <col min="5141" max="5141" width="3.77734375" style="155" customWidth="1"/>
    <col min="5142" max="5376" width="5.77734375" style="155"/>
    <col min="5377" max="5379" width="3.77734375" style="155" customWidth="1"/>
    <col min="5380" max="5396" width="5.77734375" style="155" customWidth="1"/>
    <col min="5397" max="5397" width="3.77734375" style="155" customWidth="1"/>
    <col min="5398" max="5632" width="5.77734375" style="155"/>
    <col min="5633" max="5635" width="3.77734375" style="155" customWidth="1"/>
    <col min="5636" max="5652" width="5.77734375" style="155" customWidth="1"/>
    <col min="5653" max="5653" width="3.77734375" style="155" customWidth="1"/>
    <col min="5654" max="5888" width="5.77734375" style="155"/>
    <col min="5889" max="5891" width="3.77734375" style="155" customWidth="1"/>
    <col min="5892" max="5908" width="5.77734375" style="155" customWidth="1"/>
    <col min="5909" max="5909" width="3.77734375" style="155" customWidth="1"/>
    <col min="5910" max="6144" width="5.77734375" style="155"/>
    <col min="6145" max="6147" width="3.77734375" style="155" customWidth="1"/>
    <col min="6148" max="6164" width="5.77734375" style="155" customWidth="1"/>
    <col min="6165" max="6165" width="3.77734375" style="155" customWidth="1"/>
    <col min="6166" max="6400" width="5.77734375" style="155"/>
    <col min="6401" max="6403" width="3.77734375" style="155" customWidth="1"/>
    <col min="6404" max="6420" width="5.77734375" style="155" customWidth="1"/>
    <col min="6421" max="6421" width="3.77734375" style="155" customWidth="1"/>
    <col min="6422" max="6656" width="5.77734375" style="155"/>
    <col min="6657" max="6659" width="3.77734375" style="155" customWidth="1"/>
    <col min="6660" max="6676" width="5.77734375" style="155" customWidth="1"/>
    <col min="6677" max="6677" width="3.77734375" style="155" customWidth="1"/>
    <col min="6678" max="6912" width="5.77734375" style="155"/>
    <col min="6913" max="6915" width="3.77734375" style="155" customWidth="1"/>
    <col min="6916" max="6932" width="5.77734375" style="155" customWidth="1"/>
    <col min="6933" max="6933" width="3.77734375" style="155" customWidth="1"/>
    <col min="6934" max="7168" width="5.77734375" style="155"/>
    <col min="7169" max="7171" width="3.77734375" style="155" customWidth="1"/>
    <col min="7172" max="7188" width="5.77734375" style="155" customWidth="1"/>
    <col min="7189" max="7189" width="3.77734375" style="155" customWidth="1"/>
    <col min="7190" max="7424" width="5.77734375" style="155"/>
    <col min="7425" max="7427" width="3.77734375" style="155" customWidth="1"/>
    <col min="7428" max="7444" width="5.77734375" style="155" customWidth="1"/>
    <col min="7445" max="7445" width="3.77734375" style="155" customWidth="1"/>
    <col min="7446" max="7680" width="5.77734375" style="155"/>
    <col min="7681" max="7683" width="3.77734375" style="155" customWidth="1"/>
    <col min="7684" max="7700" width="5.77734375" style="155" customWidth="1"/>
    <col min="7701" max="7701" width="3.77734375" style="155" customWidth="1"/>
    <col min="7702" max="7936" width="5.77734375" style="155"/>
    <col min="7937" max="7939" width="3.77734375" style="155" customWidth="1"/>
    <col min="7940" max="7956" width="5.77734375" style="155" customWidth="1"/>
    <col min="7957" max="7957" width="3.77734375" style="155" customWidth="1"/>
    <col min="7958" max="8192" width="5.77734375" style="155"/>
    <col min="8193" max="8195" width="3.77734375" style="155" customWidth="1"/>
    <col min="8196" max="8212" width="5.77734375" style="155" customWidth="1"/>
    <col min="8213" max="8213" width="3.77734375" style="155" customWidth="1"/>
    <col min="8214" max="8448" width="5.77734375" style="155"/>
    <col min="8449" max="8451" width="3.77734375" style="155" customWidth="1"/>
    <col min="8452" max="8468" width="5.77734375" style="155" customWidth="1"/>
    <col min="8469" max="8469" width="3.77734375" style="155" customWidth="1"/>
    <col min="8470" max="8704" width="5.77734375" style="155"/>
    <col min="8705" max="8707" width="3.77734375" style="155" customWidth="1"/>
    <col min="8708" max="8724" width="5.77734375" style="155" customWidth="1"/>
    <col min="8725" max="8725" width="3.77734375" style="155" customWidth="1"/>
    <col min="8726" max="8960" width="5.77734375" style="155"/>
    <col min="8961" max="8963" width="3.77734375" style="155" customWidth="1"/>
    <col min="8964" max="8980" width="5.77734375" style="155" customWidth="1"/>
    <col min="8981" max="8981" width="3.77734375" style="155" customWidth="1"/>
    <col min="8982" max="9216" width="5.77734375" style="155"/>
    <col min="9217" max="9219" width="3.77734375" style="155" customWidth="1"/>
    <col min="9220" max="9236" width="5.77734375" style="155" customWidth="1"/>
    <col min="9237" max="9237" width="3.77734375" style="155" customWidth="1"/>
    <col min="9238" max="9472" width="5.77734375" style="155"/>
    <col min="9473" max="9475" width="3.77734375" style="155" customWidth="1"/>
    <col min="9476" max="9492" width="5.77734375" style="155" customWidth="1"/>
    <col min="9493" max="9493" width="3.77734375" style="155" customWidth="1"/>
    <col min="9494" max="9728" width="5.77734375" style="155"/>
    <col min="9729" max="9731" width="3.77734375" style="155" customWidth="1"/>
    <col min="9732" max="9748" width="5.77734375" style="155" customWidth="1"/>
    <col min="9749" max="9749" width="3.77734375" style="155" customWidth="1"/>
    <col min="9750" max="9984" width="5.77734375" style="155"/>
    <col min="9985" max="9987" width="3.77734375" style="155" customWidth="1"/>
    <col min="9988" max="10004" width="5.77734375" style="155" customWidth="1"/>
    <col min="10005" max="10005" width="3.77734375" style="155" customWidth="1"/>
    <col min="10006" max="10240" width="5.77734375" style="155"/>
    <col min="10241" max="10243" width="3.77734375" style="155" customWidth="1"/>
    <col min="10244" max="10260" width="5.77734375" style="155" customWidth="1"/>
    <col min="10261" max="10261" width="3.77734375" style="155" customWidth="1"/>
    <col min="10262" max="10496" width="5.77734375" style="155"/>
    <col min="10497" max="10499" width="3.77734375" style="155" customWidth="1"/>
    <col min="10500" max="10516" width="5.77734375" style="155" customWidth="1"/>
    <col min="10517" max="10517" width="3.77734375" style="155" customWidth="1"/>
    <col min="10518" max="10752" width="5.77734375" style="155"/>
    <col min="10753" max="10755" width="3.77734375" style="155" customWidth="1"/>
    <col min="10756" max="10772" width="5.77734375" style="155" customWidth="1"/>
    <col min="10773" max="10773" width="3.77734375" style="155" customWidth="1"/>
    <col min="10774" max="11008" width="5.77734375" style="155"/>
    <col min="11009" max="11011" width="3.77734375" style="155" customWidth="1"/>
    <col min="11012" max="11028" width="5.77734375" style="155" customWidth="1"/>
    <col min="11029" max="11029" width="3.77734375" style="155" customWidth="1"/>
    <col min="11030" max="11264" width="5.77734375" style="155"/>
    <col min="11265" max="11267" width="3.77734375" style="155" customWidth="1"/>
    <col min="11268" max="11284" width="5.77734375" style="155" customWidth="1"/>
    <col min="11285" max="11285" width="3.77734375" style="155" customWidth="1"/>
    <col min="11286" max="11520" width="5.77734375" style="155"/>
    <col min="11521" max="11523" width="3.77734375" style="155" customWidth="1"/>
    <col min="11524" max="11540" width="5.77734375" style="155" customWidth="1"/>
    <col min="11541" max="11541" width="3.77734375" style="155" customWidth="1"/>
    <col min="11542" max="11776" width="5.77734375" style="155"/>
    <col min="11777" max="11779" width="3.77734375" style="155" customWidth="1"/>
    <col min="11780" max="11796" width="5.77734375" style="155" customWidth="1"/>
    <col min="11797" max="11797" width="3.77734375" style="155" customWidth="1"/>
    <col min="11798" max="12032" width="5.77734375" style="155"/>
    <col min="12033" max="12035" width="3.77734375" style="155" customWidth="1"/>
    <col min="12036" max="12052" width="5.77734375" style="155" customWidth="1"/>
    <col min="12053" max="12053" width="3.77734375" style="155" customWidth="1"/>
    <col min="12054" max="12288" width="5.77734375" style="155"/>
    <col min="12289" max="12291" width="3.77734375" style="155" customWidth="1"/>
    <col min="12292" max="12308" width="5.77734375" style="155" customWidth="1"/>
    <col min="12309" max="12309" width="3.77734375" style="155" customWidth="1"/>
    <col min="12310" max="12544" width="5.77734375" style="155"/>
    <col min="12545" max="12547" width="3.77734375" style="155" customWidth="1"/>
    <col min="12548" max="12564" width="5.77734375" style="155" customWidth="1"/>
    <col min="12565" max="12565" width="3.77734375" style="155" customWidth="1"/>
    <col min="12566" max="12800" width="5.77734375" style="155"/>
    <col min="12801" max="12803" width="3.77734375" style="155" customWidth="1"/>
    <col min="12804" max="12820" width="5.77734375" style="155" customWidth="1"/>
    <col min="12821" max="12821" width="3.77734375" style="155" customWidth="1"/>
    <col min="12822" max="13056" width="5.77734375" style="155"/>
    <col min="13057" max="13059" width="3.77734375" style="155" customWidth="1"/>
    <col min="13060" max="13076" width="5.77734375" style="155" customWidth="1"/>
    <col min="13077" max="13077" width="3.77734375" style="155" customWidth="1"/>
    <col min="13078" max="13312" width="5.77734375" style="155"/>
    <col min="13313" max="13315" width="3.77734375" style="155" customWidth="1"/>
    <col min="13316" max="13332" width="5.77734375" style="155" customWidth="1"/>
    <col min="13333" max="13333" width="3.77734375" style="155" customWidth="1"/>
    <col min="13334" max="13568" width="5.77734375" style="155"/>
    <col min="13569" max="13571" width="3.77734375" style="155" customWidth="1"/>
    <col min="13572" max="13588" width="5.77734375" style="155" customWidth="1"/>
    <col min="13589" max="13589" width="3.77734375" style="155" customWidth="1"/>
    <col min="13590" max="13824" width="5.77734375" style="155"/>
    <col min="13825" max="13827" width="3.77734375" style="155" customWidth="1"/>
    <col min="13828" max="13844" width="5.77734375" style="155" customWidth="1"/>
    <col min="13845" max="13845" width="3.77734375" style="155" customWidth="1"/>
    <col min="13846" max="14080" width="5.77734375" style="155"/>
    <col min="14081" max="14083" width="3.77734375" style="155" customWidth="1"/>
    <col min="14084" max="14100" width="5.77734375" style="155" customWidth="1"/>
    <col min="14101" max="14101" width="3.77734375" style="155" customWidth="1"/>
    <col min="14102" max="14336" width="5.77734375" style="155"/>
    <col min="14337" max="14339" width="3.77734375" style="155" customWidth="1"/>
    <col min="14340" max="14356" width="5.77734375" style="155" customWidth="1"/>
    <col min="14357" max="14357" width="3.77734375" style="155" customWidth="1"/>
    <col min="14358" max="14592" width="5.77734375" style="155"/>
    <col min="14593" max="14595" width="3.77734375" style="155" customWidth="1"/>
    <col min="14596" max="14612" width="5.77734375" style="155" customWidth="1"/>
    <col min="14613" max="14613" width="3.77734375" style="155" customWidth="1"/>
    <col min="14614" max="14848" width="5.77734375" style="155"/>
    <col min="14849" max="14851" width="3.77734375" style="155" customWidth="1"/>
    <col min="14852" max="14868" width="5.77734375" style="155" customWidth="1"/>
    <col min="14869" max="14869" width="3.77734375" style="155" customWidth="1"/>
    <col min="14870" max="15104" width="5.77734375" style="155"/>
    <col min="15105" max="15107" width="3.77734375" style="155" customWidth="1"/>
    <col min="15108" max="15124" width="5.77734375" style="155" customWidth="1"/>
    <col min="15125" max="15125" width="3.77734375" style="155" customWidth="1"/>
    <col min="15126" max="15360" width="5.77734375" style="155"/>
    <col min="15361" max="15363" width="3.77734375" style="155" customWidth="1"/>
    <col min="15364" max="15380" width="5.77734375" style="155" customWidth="1"/>
    <col min="15381" max="15381" width="3.77734375" style="155" customWidth="1"/>
    <col min="15382" max="15616" width="5.77734375" style="155"/>
    <col min="15617" max="15619" width="3.77734375" style="155" customWidth="1"/>
    <col min="15620" max="15636" width="5.77734375" style="155" customWidth="1"/>
    <col min="15637" max="15637" width="3.77734375" style="155" customWidth="1"/>
    <col min="15638" max="15872" width="5.77734375" style="155"/>
    <col min="15873" max="15875" width="3.77734375" style="155" customWidth="1"/>
    <col min="15876" max="15892" width="5.77734375" style="155" customWidth="1"/>
    <col min="15893" max="15893" width="3.77734375" style="155" customWidth="1"/>
    <col min="15894" max="16128" width="5.77734375" style="155"/>
    <col min="16129" max="16131" width="3.77734375" style="155" customWidth="1"/>
    <col min="16132" max="16148" width="5.77734375" style="155" customWidth="1"/>
    <col min="16149" max="16149" width="3.77734375" style="155" customWidth="1"/>
    <col min="16150" max="16384" width="5.77734375" style="155"/>
  </cols>
  <sheetData>
    <row r="2" spans="2:18" ht="13.5" customHeight="1" x14ac:dyDescent="0.2">
      <c r="B2" s="51" t="s">
        <v>301</v>
      </c>
    </row>
    <row r="4" spans="2:18" ht="13.5" customHeight="1" x14ac:dyDescent="0.2">
      <c r="B4" s="156" t="s">
        <v>460</v>
      </c>
      <c r="C4" s="157"/>
    </row>
    <row r="6" spans="2:18" ht="13.5" customHeight="1" x14ac:dyDescent="0.2">
      <c r="B6" s="157" t="s">
        <v>302</v>
      </c>
      <c r="C6" s="157"/>
      <c r="R6" s="157"/>
    </row>
    <row r="7" spans="2:18" ht="13.5" customHeight="1" x14ac:dyDescent="0.2">
      <c r="C7" s="157" t="s">
        <v>303</v>
      </c>
      <c r="E7" s="158"/>
      <c r="F7" s="157" t="s">
        <v>304</v>
      </c>
      <c r="G7" s="158"/>
      <c r="H7" s="159" t="s">
        <v>305</v>
      </c>
      <c r="I7" s="160">
        <f>MIN(RIGHT(F7,2)/30,0.49+RIGHT(F7,2)/100)*IF(LEFT(F7,2)="Fc",1,0.9)</f>
        <v>0.7</v>
      </c>
      <c r="J7" s="135" t="s">
        <v>306</v>
      </c>
      <c r="K7" s="158"/>
      <c r="L7" s="159" t="s">
        <v>307</v>
      </c>
      <c r="M7" s="160">
        <f>1.5*I7</f>
        <v>1.0499999999999998</v>
      </c>
      <c r="N7" s="135" t="s">
        <v>306</v>
      </c>
      <c r="O7" s="157"/>
      <c r="R7" s="157"/>
    </row>
    <row r="8" spans="2:18" ht="13.5" customHeight="1" x14ac:dyDescent="0.2">
      <c r="C8" s="157"/>
      <c r="E8" s="158"/>
      <c r="F8" s="157" t="s">
        <v>308</v>
      </c>
      <c r="G8" s="158"/>
      <c r="H8" s="159"/>
      <c r="I8" s="160">
        <f>MIN(RIGHT(F8,2)/30,0.49+RIGHT(F8,2)/100)*IF(LEFT(F8,2)="Fc",1,0.9)</f>
        <v>0.73</v>
      </c>
      <c r="J8" s="135"/>
      <c r="K8" s="158"/>
      <c r="L8" s="159"/>
      <c r="M8" s="160">
        <f>1.5*I8</f>
        <v>1.095</v>
      </c>
      <c r="N8" s="135"/>
      <c r="O8" s="157"/>
      <c r="R8" s="157"/>
    </row>
    <row r="9" spans="2:18" ht="13.5" customHeight="1" x14ac:dyDescent="0.2">
      <c r="C9" s="157"/>
      <c r="E9" s="158"/>
      <c r="F9" s="157" t="s">
        <v>309</v>
      </c>
      <c r="G9" s="158"/>
      <c r="H9" s="159"/>
      <c r="I9" s="160">
        <f>MIN(RIGHT(F9,2)/30,0.49+RIGHT(F9,2)/100)*IF(LEFT(F9,2)="Fc",1,0.9)</f>
        <v>0.76</v>
      </c>
      <c r="J9" s="135"/>
      <c r="K9" s="158"/>
      <c r="L9" s="159"/>
      <c r="M9" s="160">
        <f>1.5*I9</f>
        <v>1.1400000000000001</v>
      </c>
      <c r="N9" s="135"/>
      <c r="O9" s="157"/>
      <c r="R9" s="157"/>
    </row>
    <row r="10" spans="2:18" ht="13.5" customHeight="1" x14ac:dyDescent="0.2">
      <c r="O10" s="157"/>
      <c r="R10" s="157"/>
    </row>
    <row r="11" spans="2:18" ht="13.5" customHeight="1" x14ac:dyDescent="0.2">
      <c r="C11" s="157" t="s">
        <v>310</v>
      </c>
      <c r="E11" s="161" t="s">
        <v>311</v>
      </c>
      <c r="F11" s="157" t="s">
        <v>312</v>
      </c>
      <c r="G11" s="158"/>
      <c r="H11" s="159" t="s">
        <v>313</v>
      </c>
      <c r="I11" s="93">
        <f>MIN(215,RIGHT(F11,3)/1.5)</f>
        <v>196.66666666666666</v>
      </c>
      <c r="J11" s="135" t="s">
        <v>314</v>
      </c>
      <c r="K11" s="157"/>
      <c r="L11" s="159" t="s">
        <v>315</v>
      </c>
      <c r="M11" s="93">
        <f>MIN(390,RIGHT(F11,3))</f>
        <v>295</v>
      </c>
      <c r="N11" s="135" t="s">
        <v>306</v>
      </c>
      <c r="O11" s="157"/>
      <c r="R11" s="157"/>
    </row>
    <row r="12" spans="2:18" ht="13.5" customHeight="1" x14ac:dyDescent="0.2">
      <c r="E12" s="159" t="s">
        <v>316</v>
      </c>
      <c r="F12" s="157" t="s">
        <v>317</v>
      </c>
      <c r="G12" s="157"/>
      <c r="H12" s="157"/>
      <c r="I12" s="93">
        <f>MIN(215,RIGHT(F12,3)/1.5)</f>
        <v>215</v>
      </c>
      <c r="J12" s="157"/>
      <c r="K12" s="157"/>
      <c r="L12" s="157"/>
      <c r="M12" s="93">
        <f>MIN(390,RIGHT(F12,3))</f>
        <v>345</v>
      </c>
      <c r="N12" s="158"/>
      <c r="O12" s="157"/>
      <c r="P12" s="157"/>
      <c r="Q12" s="157"/>
      <c r="R12" s="157"/>
    </row>
    <row r="13" spans="2:18" ht="13.5" customHeight="1" x14ac:dyDescent="0.2">
      <c r="P13" s="157"/>
      <c r="Q13" s="157"/>
      <c r="R13" s="157"/>
    </row>
    <row r="14" spans="2:18" ht="13.5" customHeight="1" x14ac:dyDescent="0.2">
      <c r="C14" s="155" t="s">
        <v>465</v>
      </c>
      <c r="F14" s="25" t="s">
        <v>466</v>
      </c>
      <c r="H14" s="163" t="s">
        <v>467</v>
      </c>
      <c r="I14" s="195">
        <v>30</v>
      </c>
      <c r="J14" s="155" t="s">
        <v>468</v>
      </c>
      <c r="P14" s="157"/>
      <c r="Q14" s="157"/>
      <c r="R14" s="157"/>
    </row>
    <row r="15" spans="2:18" ht="13.5" customHeight="1" x14ac:dyDescent="0.2">
      <c r="P15" s="157"/>
      <c r="Q15" s="157"/>
      <c r="R15" s="157"/>
    </row>
    <row r="16" spans="2:18" ht="13.5" customHeight="1" x14ac:dyDescent="0.2">
      <c r="B16" s="158" t="s">
        <v>318</v>
      </c>
      <c r="P16" s="157"/>
      <c r="Q16" s="157"/>
      <c r="R16" s="157"/>
    </row>
    <row r="17" spans="2:18" ht="13.5" customHeight="1" x14ac:dyDescent="0.2">
      <c r="B17" s="158"/>
      <c r="C17" s="173" t="s">
        <v>406</v>
      </c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P17" s="157"/>
      <c r="Q17" s="157"/>
      <c r="R17" s="157"/>
    </row>
    <row r="18" spans="2:18" ht="13.5" customHeight="1" x14ac:dyDescent="0.2">
      <c r="B18" s="158"/>
      <c r="C18" s="173"/>
      <c r="D18" s="173" t="s">
        <v>407</v>
      </c>
      <c r="E18" s="173"/>
      <c r="F18" s="173"/>
      <c r="G18" s="172" t="s">
        <v>408</v>
      </c>
      <c r="H18" s="173">
        <v>250</v>
      </c>
      <c r="I18" s="173" t="s">
        <v>70</v>
      </c>
      <c r="J18" s="173"/>
      <c r="K18" s="173"/>
      <c r="L18" s="173"/>
      <c r="M18" s="173"/>
      <c r="P18" s="157"/>
      <c r="Q18" s="157"/>
      <c r="R18" s="157"/>
    </row>
    <row r="19" spans="2:18" ht="13.5" customHeight="1" x14ac:dyDescent="0.2">
      <c r="B19" s="158"/>
      <c r="C19" s="173"/>
      <c r="D19" s="173" t="s">
        <v>410</v>
      </c>
      <c r="E19" s="173"/>
      <c r="F19" s="173"/>
      <c r="G19" s="172" t="s">
        <v>411</v>
      </c>
      <c r="H19" s="173">
        <v>600</v>
      </c>
      <c r="I19" s="173" t="s">
        <v>127</v>
      </c>
      <c r="J19" s="173"/>
      <c r="K19" s="173"/>
      <c r="L19" s="173"/>
      <c r="M19" s="173"/>
      <c r="P19" s="157"/>
      <c r="Q19" s="157"/>
      <c r="R19" s="157"/>
    </row>
    <row r="20" spans="2:18" ht="13.5" customHeight="1" x14ac:dyDescent="0.2">
      <c r="B20" s="158"/>
      <c r="C20" s="173"/>
      <c r="D20" s="173" t="s">
        <v>413</v>
      </c>
      <c r="E20" s="173"/>
      <c r="F20" s="173"/>
      <c r="G20" s="172" t="s">
        <v>414</v>
      </c>
      <c r="H20" s="173">
        <v>1600</v>
      </c>
      <c r="I20" s="173" t="s">
        <v>127</v>
      </c>
      <c r="J20" s="172" t="s">
        <v>139</v>
      </c>
      <c r="K20" s="173">
        <f>1000*H18/H20</f>
        <v>156.25</v>
      </c>
      <c r="L20" s="173" t="s">
        <v>140</v>
      </c>
      <c r="M20" s="173"/>
      <c r="P20" s="157"/>
      <c r="Q20" s="157"/>
      <c r="R20" s="157"/>
    </row>
    <row r="21" spans="2:18" ht="13.5" customHeight="1" x14ac:dyDescent="0.2">
      <c r="B21" s="158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P21" s="157"/>
      <c r="Q21" s="157"/>
      <c r="R21" s="157"/>
    </row>
    <row r="22" spans="2:18" ht="13.5" customHeight="1" x14ac:dyDescent="0.2">
      <c r="B22" s="158"/>
      <c r="C22" s="173" t="s">
        <v>417</v>
      </c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P22" s="157"/>
      <c r="Q22" s="157"/>
      <c r="R22" s="157"/>
    </row>
    <row r="23" spans="2:18" ht="13.5" customHeight="1" x14ac:dyDescent="0.2">
      <c r="B23" s="158"/>
      <c r="C23" s="173"/>
      <c r="D23" s="173" t="s">
        <v>418</v>
      </c>
      <c r="E23" s="173"/>
      <c r="F23" s="173"/>
      <c r="G23" s="172" t="s">
        <v>61</v>
      </c>
      <c r="H23" s="183">
        <v>1.5</v>
      </c>
      <c r="I23" s="173"/>
      <c r="J23" s="173"/>
      <c r="K23" s="173"/>
      <c r="L23" s="173"/>
      <c r="M23" s="173"/>
      <c r="P23" s="157"/>
      <c r="Q23" s="157"/>
      <c r="R23" s="157"/>
    </row>
    <row r="24" spans="2:18" ht="13.5" customHeight="1" x14ac:dyDescent="0.2">
      <c r="B24" s="158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P24" s="157"/>
      <c r="Q24" s="157"/>
      <c r="R24" s="157"/>
    </row>
    <row r="25" spans="2:18" ht="13.5" customHeight="1" x14ac:dyDescent="0.2">
      <c r="B25" s="158"/>
      <c r="C25" s="173" t="s">
        <v>420</v>
      </c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P25" s="157"/>
      <c r="Q25" s="157"/>
      <c r="R25" s="157"/>
    </row>
    <row r="26" spans="2:18" ht="13.5" customHeight="1" x14ac:dyDescent="0.2">
      <c r="P26" s="157"/>
      <c r="Q26" s="157"/>
      <c r="R26" s="157"/>
    </row>
    <row r="27" spans="2:18" ht="13.5" customHeight="1" x14ac:dyDescent="0.2">
      <c r="B27" s="155" t="s">
        <v>319</v>
      </c>
      <c r="P27" s="157"/>
      <c r="Q27" s="157"/>
      <c r="R27" s="157"/>
    </row>
    <row r="28" spans="2:18" ht="13.5" customHeight="1" x14ac:dyDescent="0.2">
      <c r="C28" s="162" t="s">
        <v>461</v>
      </c>
      <c r="H28" s="8" t="s">
        <v>107</v>
      </c>
    </row>
    <row r="29" spans="2:18" ht="13.5" customHeight="1" x14ac:dyDescent="0.2">
      <c r="H29" s="155" t="s">
        <v>320</v>
      </c>
      <c r="J29" s="49" t="s">
        <v>321</v>
      </c>
      <c r="K29" s="3" t="s">
        <v>322</v>
      </c>
      <c r="L29" s="160">
        <f>VLOOKUP(J29,$F$7:$M$8,8,0)*$H$23</f>
        <v>1.6425000000000001</v>
      </c>
      <c r="M29" s="22" t="s">
        <v>323</v>
      </c>
    </row>
    <row r="30" spans="2:18" ht="13.5" customHeight="1" x14ac:dyDescent="0.2">
      <c r="D30" s="243">
        <v>600</v>
      </c>
      <c r="H30" t="s">
        <v>324</v>
      </c>
      <c r="J30" s="49" t="s">
        <v>325</v>
      </c>
      <c r="K30" s="9" t="s">
        <v>326</v>
      </c>
      <c r="L30">
        <f>VLOOKUP(J30,$F$11:$M$12,8,0)*$H$23</f>
        <v>442.5</v>
      </c>
      <c r="M30" s="5" t="s">
        <v>327</v>
      </c>
    </row>
    <row r="31" spans="2:18" ht="13.5" customHeight="1" x14ac:dyDescent="0.2">
      <c r="D31" s="243"/>
    </row>
    <row r="32" spans="2:18" ht="13.5" customHeight="1" x14ac:dyDescent="0.2">
      <c r="C32" s="171"/>
      <c r="H32" s="155" t="s">
        <v>328</v>
      </c>
      <c r="J32" s="159" t="s">
        <v>462</v>
      </c>
      <c r="K32" s="155">
        <f>K20</f>
        <v>156.25</v>
      </c>
      <c r="L32" s="157" t="s">
        <v>464</v>
      </c>
    </row>
    <row r="33" spans="3:21" ht="13.5" customHeight="1" x14ac:dyDescent="0.2">
      <c r="C33" s="171"/>
      <c r="I33" s="162"/>
      <c r="J33" s="159" t="s">
        <v>463</v>
      </c>
      <c r="K33" s="93">
        <f>K32*D30/10^3</f>
        <v>93.75</v>
      </c>
      <c r="L33" s="157" t="s">
        <v>151</v>
      </c>
    </row>
    <row r="34" spans="3:21" ht="13.5" customHeight="1" x14ac:dyDescent="0.2">
      <c r="C34" s="171"/>
      <c r="D34" s="171"/>
      <c r="J34" s="165" t="s">
        <v>366</v>
      </c>
      <c r="K34" s="93">
        <f>K32</f>
        <v>156.25</v>
      </c>
      <c r="L34" s="157" t="s">
        <v>329</v>
      </c>
    </row>
    <row r="36" spans="3:21" ht="13.5" customHeight="1" x14ac:dyDescent="0.2">
      <c r="H36" s="155" t="s">
        <v>330</v>
      </c>
      <c r="O36" s="157"/>
      <c r="P36" s="157"/>
      <c r="Q36" s="157"/>
    </row>
    <row r="37" spans="3:21" ht="13.5" customHeight="1" x14ac:dyDescent="0.2">
      <c r="H37" s="163" t="s">
        <v>331</v>
      </c>
      <c r="I37" s="195">
        <v>150</v>
      </c>
      <c r="J37" s="155" t="s">
        <v>332</v>
      </c>
      <c r="K37" s="163" t="s">
        <v>333</v>
      </c>
      <c r="L37" s="195">
        <f>I37-(I14+10)</f>
        <v>110</v>
      </c>
      <c r="M37" s="155" t="s">
        <v>332</v>
      </c>
      <c r="N37" s="166" t="s">
        <v>334</v>
      </c>
      <c r="O37" s="195">
        <f>L37*7/8</f>
        <v>96.25</v>
      </c>
      <c r="P37" s="25" t="s">
        <v>335</v>
      </c>
    </row>
    <row r="39" spans="3:21" ht="13.5" customHeight="1" x14ac:dyDescent="0.2">
      <c r="H39" s="163" t="s">
        <v>336</v>
      </c>
      <c r="I39" s="95">
        <f>10^6*K33/O37/L30</f>
        <v>2201.1886418666081</v>
      </c>
      <c r="J39" s="135" t="s">
        <v>337</v>
      </c>
      <c r="K39" s="244" t="s">
        <v>469</v>
      </c>
      <c r="L39" s="244"/>
      <c r="M39" s="9" t="s">
        <v>338</v>
      </c>
      <c r="N39" s="38">
        <f>VLOOKUP(LEFT(K39,SEARCH("-",K39)-1),マスター!$B$2:$D$14,2)*1000/RIGHT(K39,2)</f>
        <v>2653.3333333333335</v>
      </c>
      <c r="O39" s="8" t="s">
        <v>337</v>
      </c>
      <c r="Q39" s="163" t="s">
        <v>339</v>
      </c>
      <c r="R39" s="164">
        <f>I39/N39</f>
        <v>0.82959370924620901</v>
      </c>
      <c r="S39" s="8" t="str">
        <f>IF(R39&lt;1,"(ok)","(ng)")</f>
        <v>(ok)</v>
      </c>
    </row>
    <row r="40" spans="3:21" ht="13.5" customHeight="1" x14ac:dyDescent="0.2">
      <c r="H40" s="163" t="s">
        <v>340</v>
      </c>
      <c r="I40" s="164">
        <f>K34/O37</f>
        <v>1.6233766233766234</v>
      </c>
      <c r="J40" s="135" t="s">
        <v>341</v>
      </c>
      <c r="N40" s="157"/>
      <c r="O40" s="157"/>
      <c r="P40" s="157"/>
      <c r="Q40" s="9" t="s">
        <v>342</v>
      </c>
      <c r="R40" s="39">
        <f>I40/L29</f>
        <v>0.98835715274071434</v>
      </c>
      <c r="S40" s="8" t="str">
        <f>IF(R40&lt;1,"(ok)","(ng)")</f>
        <v>(ok)</v>
      </c>
    </row>
    <row r="41" spans="3:21" ht="13.5" customHeight="1" x14ac:dyDescent="0.2">
      <c r="J41" s="163"/>
      <c r="L41" s="135"/>
      <c r="P41" s="157"/>
      <c r="Q41" s="157"/>
      <c r="R41" s="157"/>
      <c r="S41" s="9"/>
      <c r="T41" s="39"/>
      <c r="U41" s="8"/>
    </row>
    <row r="42" spans="3:21" ht="13.5" customHeight="1" x14ac:dyDescent="0.2">
      <c r="J42" s="163"/>
      <c r="L42" s="135"/>
      <c r="P42" s="157"/>
      <c r="Q42" s="157"/>
      <c r="R42" s="157"/>
      <c r="S42" s="9"/>
      <c r="T42" s="39"/>
      <c r="U42" s="8"/>
    </row>
  </sheetData>
  <mergeCells count="2">
    <mergeCell ref="D30:D31"/>
    <mergeCell ref="K39:L39"/>
  </mergeCells>
  <phoneticPr fontId="4"/>
  <conditionalFormatting sqref="S39:S40 U41:U42">
    <cfRule type="cellIs" dxfId="1" priority="1" stopIfTrue="1" operator="equal">
      <formula>"(ng)"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1:U60"/>
  <sheetViews>
    <sheetView topLeftCell="A56" zoomScaleNormal="100" workbookViewId="0">
      <selection activeCell="J17" sqref="J17"/>
    </sheetView>
  </sheetViews>
  <sheetFormatPr defaultColWidth="5.77734375" defaultRowHeight="13.5" customHeight="1" x14ac:dyDescent="0.2"/>
  <cols>
    <col min="1" max="3" width="2.77734375" style="8" customWidth="1"/>
    <col min="4" max="5" width="5.77734375" style="8" customWidth="1"/>
    <col min="6" max="9" width="5.77734375" style="8"/>
    <col min="10" max="11" width="5.77734375" style="8" customWidth="1"/>
    <col min="12" max="12" width="5.77734375" style="8"/>
    <col min="13" max="14" width="5.77734375" style="8" customWidth="1"/>
    <col min="15" max="15" width="5.77734375" style="8"/>
    <col min="16" max="17" width="5.77734375" style="8" customWidth="1"/>
    <col min="18" max="18" width="5.77734375" style="8"/>
    <col min="19" max="21" width="5.77734375" style="8" customWidth="1"/>
    <col min="22" max="22" width="2.77734375" style="8" customWidth="1"/>
    <col min="23" max="16384" width="5.77734375" style="8"/>
  </cols>
  <sheetData>
    <row r="1" spans="2:21" ht="13.5" customHeight="1" x14ac:dyDescent="0.2">
      <c r="U1" s="20"/>
    </row>
    <row r="2" spans="2:21" ht="13.5" customHeight="1" x14ac:dyDescent="0.2">
      <c r="B2" s="8" t="s">
        <v>149</v>
      </c>
    </row>
    <row r="4" spans="2:21" ht="13.5" customHeight="1" x14ac:dyDescent="0.2">
      <c r="C4" s="8" t="s">
        <v>104</v>
      </c>
    </row>
    <row r="5" spans="2:21" ht="13.5" customHeight="1" x14ac:dyDescent="0.2">
      <c r="D5" s="8" t="s">
        <v>129</v>
      </c>
      <c r="G5" s="9" t="s">
        <v>106</v>
      </c>
      <c r="H5" s="8">
        <v>350</v>
      </c>
      <c r="I5" s="8" t="s">
        <v>7</v>
      </c>
    </row>
    <row r="6" spans="2:21" ht="13.5" customHeight="1" x14ac:dyDescent="0.2">
      <c r="D6" s="8" t="s">
        <v>130</v>
      </c>
      <c r="H6" s="8">
        <v>250</v>
      </c>
    </row>
    <row r="8" spans="2:21" ht="13.5" customHeight="1" x14ac:dyDescent="0.2">
      <c r="C8" s="5" t="s">
        <v>105</v>
      </c>
    </row>
    <row r="9" spans="2:21" ht="13.5" customHeight="1" x14ac:dyDescent="0.2">
      <c r="C9" s="22"/>
      <c r="D9" s="5" t="s">
        <v>8</v>
      </c>
    </row>
    <row r="10" spans="2:21" ht="13.5" customHeight="1" x14ac:dyDescent="0.2">
      <c r="E10" s="5" t="s">
        <v>9</v>
      </c>
      <c r="G10" s="23" t="s">
        <v>10</v>
      </c>
      <c r="H10" s="24">
        <v>20</v>
      </c>
      <c r="I10" s="5" t="s">
        <v>11</v>
      </c>
      <c r="J10" s="22"/>
      <c r="K10" s="25"/>
      <c r="L10" s="22"/>
      <c r="M10" s="22"/>
    </row>
    <row r="11" spans="2:21" ht="13.5" customHeight="1" x14ac:dyDescent="0.2">
      <c r="C11" s="22"/>
      <c r="D11" s="26"/>
      <c r="E11" s="5" t="s">
        <v>12</v>
      </c>
      <c r="G11" s="27" t="s">
        <v>13</v>
      </c>
      <c r="H11" s="28">
        <v>30</v>
      </c>
      <c r="I11" s="26" t="s">
        <v>14</v>
      </c>
      <c r="J11" s="20" t="s">
        <v>15</v>
      </c>
      <c r="K11" s="22">
        <f>H10*H11</f>
        <v>600</v>
      </c>
      <c r="L11" s="5" t="s">
        <v>17</v>
      </c>
      <c r="M11" s="22"/>
    </row>
    <row r="12" spans="2:21" ht="13.5" customHeight="1" x14ac:dyDescent="0.2">
      <c r="C12" s="22"/>
      <c r="D12" s="26"/>
      <c r="E12" s="22"/>
      <c r="F12" s="26"/>
      <c r="G12" s="26"/>
      <c r="H12" s="22"/>
      <c r="I12" s="25"/>
      <c r="J12" s="22"/>
      <c r="K12" s="22"/>
    </row>
    <row r="13" spans="2:21" ht="13.5" customHeight="1" x14ac:dyDescent="0.2">
      <c r="C13" s="22"/>
      <c r="D13" s="29" t="s">
        <v>18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2:21" ht="13.5" customHeight="1" x14ac:dyDescent="0.2">
      <c r="C14" s="22"/>
      <c r="D14" s="29"/>
      <c r="E14" s="14" t="s">
        <v>0</v>
      </c>
      <c r="F14" s="14"/>
      <c r="G14" s="29"/>
      <c r="H14" s="30" t="s">
        <v>128</v>
      </c>
      <c r="I14" s="31" t="s">
        <v>19</v>
      </c>
      <c r="J14" s="15">
        <f>IF(H14="Ⅳ",5,5)</f>
        <v>5</v>
      </c>
      <c r="K14" s="29" t="s">
        <v>20</v>
      </c>
      <c r="L14" s="27" t="s">
        <v>21</v>
      </c>
      <c r="M14" s="15">
        <f>IF(H14="Ⅰ",250,IF(H14="Ⅱ",350,IF(H14="Ⅲ",450,450)))</f>
        <v>450</v>
      </c>
      <c r="N14" s="29" t="s">
        <v>20</v>
      </c>
      <c r="O14" s="27" t="s">
        <v>22</v>
      </c>
      <c r="P14" s="18">
        <f>IF(H14="Ⅰ",0.1,IF(H14="Ⅱ",0.15,IF(H14="Ⅲ",0.2,0.2)))</f>
        <v>0.2</v>
      </c>
      <c r="Q14" s="29"/>
      <c r="R14" s="29"/>
      <c r="S14" s="29"/>
    </row>
    <row r="15" spans="2:21" ht="13.5" customHeight="1" x14ac:dyDescent="0.2">
      <c r="C15" s="22"/>
      <c r="D15" s="29"/>
      <c r="E15" s="16" t="s">
        <v>23</v>
      </c>
      <c r="F15" s="16"/>
      <c r="G15" s="29"/>
      <c r="H15" s="29"/>
      <c r="I15" s="32" t="s">
        <v>24</v>
      </c>
      <c r="J15" s="33">
        <v>13.66</v>
      </c>
      <c r="K15" s="29" t="s">
        <v>25</v>
      </c>
      <c r="L15" s="29"/>
      <c r="M15" s="16"/>
      <c r="N15" s="29"/>
      <c r="O15" s="27" t="s">
        <v>26</v>
      </c>
      <c r="P15" s="34">
        <f>1.7*(MAX(J15,J14)/M14)^P14</f>
        <v>0.84507753819083686</v>
      </c>
      <c r="Q15" s="29"/>
      <c r="R15" s="29"/>
      <c r="S15" s="29"/>
    </row>
    <row r="16" spans="2:21" ht="13.5" customHeight="1" x14ac:dyDescent="0.2">
      <c r="C16" s="22"/>
      <c r="D16" s="29"/>
      <c r="E16" s="29"/>
      <c r="F16" s="29"/>
      <c r="G16" s="29"/>
      <c r="H16" s="29"/>
      <c r="I16" s="29"/>
      <c r="J16" s="18"/>
      <c r="K16" s="29"/>
      <c r="L16" s="29"/>
      <c r="M16" s="29"/>
      <c r="N16" s="29"/>
      <c r="O16" s="29"/>
      <c r="P16" s="29"/>
      <c r="Q16" s="29"/>
      <c r="R16" s="29"/>
      <c r="S16" s="29"/>
    </row>
    <row r="17" spans="4:20" ht="13.5" customHeight="1" x14ac:dyDescent="0.2">
      <c r="D17" s="29"/>
      <c r="E17" s="16" t="s">
        <v>1</v>
      </c>
      <c r="F17" s="16"/>
      <c r="G17" s="29" t="s">
        <v>27</v>
      </c>
      <c r="H17" s="29"/>
      <c r="I17" s="14" t="s">
        <v>28</v>
      </c>
      <c r="J17" s="35">
        <v>34</v>
      </c>
      <c r="K17" s="14" t="s">
        <v>29</v>
      </c>
      <c r="L17" s="29"/>
      <c r="M17" s="29"/>
      <c r="N17" s="29"/>
      <c r="O17" s="27" t="s">
        <v>30</v>
      </c>
      <c r="P17" s="36">
        <f>0.6*P15^2*J17^2</f>
        <v>495.33863319672975</v>
      </c>
      <c r="Q17" s="16" t="s">
        <v>31</v>
      </c>
      <c r="R17" s="29"/>
      <c r="S17" s="29"/>
    </row>
    <row r="18" spans="4:20" ht="13.5" customHeight="1" x14ac:dyDescent="0.2">
      <c r="D18" s="29"/>
      <c r="E18" s="29"/>
      <c r="F18" s="29"/>
      <c r="G18" s="29"/>
      <c r="H18" s="29"/>
      <c r="I18" s="29"/>
      <c r="J18" s="29"/>
      <c r="K18" s="29"/>
      <c r="L18" s="16"/>
      <c r="M18" s="16"/>
      <c r="N18" s="29"/>
      <c r="O18" s="29"/>
      <c r="P18" s="29"/>
      <c r="Q18" s="29"/>
      <c r="R18" s="29"/>
      <c r="S18" s="29"/>
    </row>
    <row r="19" spans="4:20" ht="13.5" customHeight="1" x14ac:dyDescent="0.2">
      <c r="D19" s="14"/>
      <c r="E19" s="29"/>
      <c r="F19" s="29"/>
      <c r="G19" s="29" t="s">
        <v>32</v>
      </c>
      <c r="H19" s="29"/>
      <c r="I19" s="29"/>
      <c r="J19" s="16" t="s">
        <v>33</v>
      </c>
      <c r="K19" s="29"/>
      <c r="L19" s="32" t="s">
        <v>34</v>
      </c>
      <c r="M19" s="21">
        <f>ATAN(0/100)*180/PI()</f>
        <v>0</v>
      </c>
      <c r="N19" s="29" t="s">
        <v>35</v>
      </c>
      <c r="Q19" s="29"/>
      <c r="R19" s="29"/>
      <c r="S19" s="29"/>
    </row>
    <row r="20" spans="4:20" ht="13.5" customHeight="1" x14ac:dyDescent="0.2">
      <c r="D20" s="29"/>
      <c r="E20" s="29"/>
      <c r="G20" s="29"/>
      <c r="H20" s="29"/>
      <c r="I20" s="29"/>
      <c r="J20" s="29" t="s">
        <v>101</v>
      </c>
      <c r="K20" s="29"/>
      <c r="L20" s="32" t="s">
        <v>36</v>
      </c>
      <c r="M20" s="37">
        <f>IF(M19&lt;10,0,IF(M19&lt;30,0.2-0.2*(M19-10)/20,IF(M19&lt;45,0.4-0.2*(M19-30)/15,0.8-0.4*(M19-45)/45)))</f>
        <v>0</v>
      </c>
      <c r="N20" s="29" t="s">
        <v>37</v>
      </c>
      <c r="O20" s="37">
        <f>IF(H14="Ⅰ",IF(J15&lt;5,2.2,IF(J15&lt;40,2.2-0.3*(J15-5)/35,1.9)),IF(H14="Ⅱ",IF(J15&lt;5,2.6,IF(J15&lt;40,2.6-0.5*(J15-5)/35,2.1)),IF(J15&lt;5,3.1,IF(J15&lt;40,3.1-0.8*(J15-5)/35,2.3))))</f>
        <v>2.9020571428571431</v>
      </c>
      <c r="R20" s="32" t="s">
        <v>100</v>
      </c>
      <c r="S20" s="37">
        <f>M20*O20</f>
        <v>0</v>
      </c>
      <c r="T20" s="29"/>
    </row>
    <row r="21" spans="4:20" ht="13.5" customHeight="1" x14ac:dyDescent="0.2">
      <c r="D21" s="29"/>
      <c r="E21" s="29"/>
      <c r="G21" s="29"/>
      <c r="H21" s="29"/>
      <c r="I21" s="29"/>
      <c r="J21" s="29" t="s">
        <v>69</v>
      </c>
      <c r="K21" s="29"/>
      <c r="L21" s="8" t="s">
        <v>113</v>
      </c>
      <c r="R21" s="32" t="s">
        <v>38</v>
      </c>
      <c r="S21" s="37">
        <v>-2.5</v>
      </c>
      <c r="T21" s="29"/>
    </row>
    <row r="22" spans="4:20" ht="13.5" customHeight="1" x14ac:dyDescent="0.2">
      <c r="D22" s="29"/>
      <c r="E22" s="29"/>
      <c r="F22" s="29"/>
      <c r="G22" s="29"/>
      <c r="H22" s="29"/>
      <c r="I22" s="29"/>
      <c r="J22" s="29"/>
      <c r="K22" s="29"/>
      <c r="L22" s="29" t="s">
        <v>115</v>
      </c>
      <c r="M22" s="29"/>
      <c r="N22" s="29"/>
      <c r="O22" s="29"/>
      <c r="Q22" s="29"/>
      <c r="R22" s="29"/>
      <c r="S22" s="37">
        <v>-3.2</v>
      </c>
      <c r="T22" s="29"/>
    </row>
    <row r="23" spans="4:20" ht="13.5" customHeight="1" x14ac:dyDescent="0.2">
      <c r="D23" s="29"/>
      <c r="E23" s="29"/>
      <c r="F23" s="29"/>
      <c r="G23" s="29"/>
      <c r="H23" s="29"/>
      <c r="I23" s="29"/>
      <c r="J23" s="29"/>
      <c r="K23" s="29"/>
      <c r="L23" s="29" t="s">
        <v>116</v>
      </c>
      <c r="M23" s="29"/>
      <c r="N23" s="29"/>
      <c r="O23" s="29"/>
      <c r="Q23" s="29"/>
      <c r="R23" s="29"/>
      <c r="S23" s="37">
        <f>IF(M19&lt;10,-4.3,IF(M19&lt;20,-4.3-1.1*(M19-10)/10,-3.2))</f>
        <v>-4.3</v>
      </c>
      <c r="T23" s="29"/>
    </row>
    <row r="24" spans="4:20" ht="13.5" customHeight="1" x14ac:dyDescent="0.2">
      <c r="D24" s="29"/>
      <c r="E24" s="29"/>
      <c r="F24" s="29"/>
      <c r="G24" s="29"/>
      <c r="H24" s="29"/>
      <c r="I24" s="29"/>
      <c r="J24" s="29"/>
      <c r="K24" s="29"/>
      <c r="L24" s="29" t="s">
        <v>114</v>
      </c>
      <c r="M24" s="29"/>
      <c r="N24" s="29"/>
      <c r="O24" s="29"/>
      <c r="Q24" s="29"/>
      <c r="R24" s="29"/>
      <c r="S24" s="37">
        <f>IF(M19&lt;10,-3.2,IF(M19&lt;20,-3.2-2.1*(M19-10)/10,IF(M19&lt;30,-5.4+2.1*(M19-20)/10,-3.2)))</f>
        <v>-3.2</v>
      </c>
      <c r="T24" s="29"/>
    </row>
    <row r="25" spans="4:20" ht="13.5" customHeight="1" x14ac:dyDescent="0.2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Q25" s="29"/>
      <c r="R25" s="29"/>
      <c r="S25" s="29"/>
      <c r="T25" s="29"/>
    </row>
    <row r="26" spans="4:20" ht="13.5" customHeight="1" x14ac:dyDescent="0.2">
      <c r="D26" s="29"/>
      <c r="E26" s="29"/>
      <c r="F26" s="29"/>
      <c r="G26" s="29" t="s">
        <v>39</v>
      </c>
      <c r="H26" s="29"/>
      <c r="I26" s="29"/>
      <c r="J26" s="29" t="s">
        <v>117</v>
      </c>
      <c r="K26" s="29"/>
      <c r="L26" s="29">
        <v>1</v>
      </c>
      <c r="M26" s="29" t="str">
        <f>CHOOSE(L26,"閉鎖","開放")&amp;"型の建物"</f>
        <v>閉鎖型の建物</v>
      </c>
      <c r="N26" s="29"/>
      <c r="O26" s="29"/>
      <c r="Q26" s="29"/>
      <c r="R26" s="29"/>
      <c r="S26" s="29"/>
      <c r="T26" s="29"/>
    </row>
    <row r="27" spans="4:20" ht="13.5" customHeight="1" x14ac:dyDescent="0.2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Q27" s="29"/>
      <c r="R27" s="29"/>
      <c r="S27" s="29"/>
      <c r="T27" s="29"/>
    </row>
    <row r="28" spans="4:20" ht="13.5" customHeight="1" x14ac:dyDescent="0.2">
      <c r="D28" s="29"/>
      <c r="E28" s="29"/>
      <c r="F28" s="29"/>
      <c r="G28" s="29"/>
      <c r="H28" s="29"/>
      <c r="I28" s="29"/>
      <c r="J28" s="29" t="s">
        <v>102</v>
      </c>
      <c r="K28" s="29"/>
      <c r="L28" s="29"/>
      <c r="M28" s="29" t="str">
        <f>CHOOSE(L26,"外圧係数が正の場合","風上開放の場合")</f>
        <v>外圧係数が正の場合</v>
      </c>
      <c r="N28" s="29"/>
      <c r="R28" s="32" t="s">
        <v>40</v>
      </c>
      <c r="S28" s="37">
        <f>CHOOSE(L26,-0.5,1.5)</f>
        <v>-0.5</v>
      </c>
      <c r="T28" s="29"/>
    </row>
    <row r="29" spans="4:20" ht="13.5" customHeight="1" x14ac:dyDescent="0.2">
      <c r="D29" s="29"/>
      <c r="E29" s="29"/>
      <c r="F29" s="29"/>
      <c r="G29" s="29"/>
      <c r="H29" s="29"/>
      <c r="I29" s="29"/>
      <c r="J29" s="29" t="s">
        <v>103</v>
      </c>
      <c r="K29" s="29"/>
      <c r="L29" s="29"/>
      <c r="M29" s="29" t="str">
        <f>CHOOSE(L26,"外圧係数が負の場合","風下開放の場合")</f>
        <v>外圧係数が負の場合</v>
      </c>
      <c r="N29" s="29"/>
      <c r="R29" s="29"/>
      <c r="S29" s="37">
        <f>CHOOSE(L26,0,-1.2)</f>
        <v>0</v>
      </c>
      <c r="T29" s="29"/>
    </row>
    <row r="30" spans="4:20" ht="13.5" customHeight="1" x14ac:dyDescent="0.2">
      <c r="F30" s="29"/>
      <c r="G30" s="29"/>
      <c r="H30" s="29"/>
      <c r="I30" s="29"/>
      <c r="J30" s="29"/>
      <c r="K30" s="29"/>
      <c r="L30" s="29"/>
      <c r="M30" s="29"/>
      <c r="N30" s="29"/>
      <c r="O30" s="29"/>
      <c r="Q30" s="29"/>
      <c r="R30" s="29"/>
      <c r="S30" s="29"/>
      <c r="T30" s="29"/>
    </row>
    <row r="31" spans="4:20" ht="13.5" customHeight="1" x14ac:dyDescent="0.2">
      <c r="F31" s="29"/>
      <c r="G31" s="29" t="s">
        <v>41</v>
      </c>
      <c r="H31" s="29"/>
      <c r="I31" s="29"/>
      <c r="J31" s="29"/>
      <c r="K31" s="29"/>
      <c r="L31" s="29"/>
      <c r="M31" s="29"/>
      <c r="N31" s="29"/>
      <c r="P31" s="32" t="s">
        <v>42</v>
      </c>
      <c r="Q31" s="37">
        <f>S20-S28</f>
        <v>0.5</v>
      </c>
      <c r="R31" s="32" t="s">
        <v>43</v>
      </c>
      <c r="S31" s="38">
        <f>P17*Q31</f>
        <v>247.66931659836487</v>
      </c>
      <c r="T31" s="16" t="s">
        <v>16</v>
      </c>
    </row>
    <row r="32" spans="4:20" ht="13.5" customHeight="1" x14ac:dyDescent="0.2">
      <c r="G32" s="29"/>
      <c r="H32" s="29"/>
      <c r="I32" s="29"/>
      <c r="J32" s="29"/>
      <c r="K32" s="29"/>
      <c r="L32" s="29"/>
      <c r="M32" s="29"/>
      <c r="N32" s="29"/>
      <c r="O32" s="29"/>
      <c r="Q32" s="37">
        <f>MIN(S21:S24)-S29</f>
        <v>-4.3</v>
      </c>
      <c r="R32" s="29"/>
      <c r="S32" s="38">
        <f>P17*Q32</f>
        <v>-2129.9561227459376</v>
      </c>
      <c r="T32" s="16" t="s">
        <v>16</v>
      </c>
    </row>
    <row r="33" spans="3:20" ht="13.5" customHeight="1" x14ac:dyDescent="0.2">
      <c r="G33" s="29"/>
      <c r="H33" s="29"/>
      <c r="I33" s="29"/>
      <c r="J33" s="29"/>
      <c r="K33" s="29"/>
      <c r="L33" s="29"/>
      <c r="M33" s="29"/>
      <c r="N33" s="29"/>
      <c r="O33" s="29"/>
      <c r="Q33" s="37"/>
      <c r="R33" s="29"/>
      <c r="S33" s="38"/>
      <c r="T33" s="16"/>
    </row>
    <row r="34" spans="3:20" ht="13.5" customHeight="1" x14ac:dyDescent="0.2">
      <c r="C34" s="8" t="s">
        <v>281</v>
      </c>
      <c r="F34" s="22"/>
      <c r="G34" s="22"/>
      <c r="H34" s="22"/>
      <c r="I34" s="22"/>
      <c r="J34" s="22"/>
      <c r="K34" s="17"/>
      <c r="L34" s="22"/>
      <c r="M34" s="22"/>
      <c r="R34" s="29"/>
      <c r="S34" s="29"/>
    </row>
    <row r="35" spans="3:20" ht="13.5" customHeight="1" x14ac:dyDescent="0.2">
      <c r="D35" s="8" t="s">
        <v>282</v>
      </c>
      <c r="G35" s="22"/>
      <c r="H35" s="22"/>
      <c r="I35" s="22"/>
      <c r="J35" s="22"/>
      <c r="K35" s="22"/>
      <c r="L35" s="17"/>
      <c r="M35" s="22"/>
      <c r="R35" s="29"/>
      <c r="S35" s="29"/>
    </row>
    <row r="36" spans="3:20" ht="13.5" customHeight="1" x14ac:dyDescent="0.2">
      <c r="E36" s="8" t="s">
        <v>119</v>
      </c>
      <c r="G36" s="5" t="s">
        <v>121</v>
      </c>
      <c r="H36" s="22"/>
      <c r="I36" s="22"/>
      <c r="J36" s="22"/>
      <c r="K36" s="22"/>
      <c r="L36" s="22"/>
      <c r="M36" s="22"/>
      <c r="N36" s="22"/>
      <c r="S36" s="29"/>
      <c r="T36" s="29"/>
    </row>
    <row r="37" spans="3:20" ht="13.5" customHeight="1" x14ac:dyDescent="0.2">
      <c r="G37" s="5" t="s">
        <v>122</v>
      </c>
      <c r="H37" s="22"/>
      <c r="I37" s="22"/>
      <c r="J37" s="22"/>
      <c r="K37" s="22"/>
      <c r="L37" s="22"/>
      <c r="M37" s="22"/>
      <c r="N37" s="22"/>
      <c r="S37" s="29"/>
      <c r="T37" s="29"/>
    </row>
    <row r="38" spans="3:20" ht="13.5" customHeight="1" x14ac:dyDescent="0.2">
      <c r="G38" s="22"/>
      <c r="H38" s="22"/>
      <c r="I38" s="22"/>
      <c r="J38" s="22"/>
      <c r="K38" s="22"/>
      <c r="L38" s="22"/>
      <c r="M38" s="22"/>
      <c r="N38" s="22"/>
      <c r="S38" s="29"/>
      <c r="T38" s="29"/>
    </row>
    <row r="39" spans="3:20" ht="13.5" customHeight="1" x14ac:dyDescent="0.2">
      <c r="E39" s="8" t="s">
        <v>120</v>
      </c>
      <c r="G39" s="5" t="s">
        <v>121</v>
      </c>
      <c r="H39" s="22"/>
      <c r="I39" s="22"/>
      <c r="J39" s="22"/>
      <c r="K39" s="22"/>
      <c r="L39" s="22"/>
      <c r="M39" s="22"/>
      <c r="N39" s="22"/>
      <c r="S39" s="29"/>
      <c r="T39" s="29"/>
    </row>
    <row r="40" spans="3:20" ht="13.5" customHeight="1" x14ac:dyDescent="0.2">
      <c r="G40" s="5" t="s">
        <v>123</v>
      </c>
      <c r="H40" s="22"/>
      <c r="I40" s="22"/>
      <c r="J40" s="22"/>
      <c r="K40" s="22"/>
      <c r="L40" s="5" t="s">
        <v>124</v>
      </c>
      <c r="M40" s="22"/>
      <c r="N40" s="22"/>
      <c r="S40" s="29"/>
      <c r="T40" s="29"/>
    </row>
    <row r="41" spans="3:20" ht="13.5" customHeight="1" x14ac:dyDescent="0.2">
      <c r="G41" s="5" t="s">
        <v>125</v>
      </c>
      <c r="H41" s="22"/>
      <c r="I41" s="22"/>
      <c r="J41" s="22"/>
      <c r="K41" s="22"/>
      <c r="L41" s="5" t="s">
        <v>126</v>
      </c>
      <c r="M41" s="22"/>
      <c r="N41" s="22"/>
      <c r="S41" s="29"/>
      <c r="T41" s="29"/>
    </row>
    <row r="42" spans="3:20" ht="13.5" customHeight="1" x14ac:dyDescent="0.2">
      <c r="F42" s="5"/>
      <c r="G42" s="22"/>
      <c r="H42" s="22"/>
      <c r="I42" s="22"/>
      <c r="J42" s="22"/>
      <c r="K42" s="5"/>
      <c r="L42" s="17"/>
      <c r="M42" s="22"/>
      <c r="N42" s="22"/>
      <c r="S42" s="29"/>
      <c r="T42" s="29"/>
    </row>
    <row r="43" spans="3:20" ht="13.5" customHeight="1" x14ac:dyDescent="0.2">
      <c r="D43" s="8" t="s">
        <v>283</v>
      </c>
      <c r="F43" s="5"/>
      <c r="G43" s="22"/>
      <c r="H43" s="22"/>
      <c r="I43" s="22"/>
      <c r="J43" s="22"/>
      <c r="K43" s="5"/>
      <c r="L43" s="17"/>
      <c r="M43" s="22"/>
      <c r="N43" s="22"/>
      <c r="S43" s="29"/>
      <c r="T43" s="29"/>
    </row>
    <row r="44" spans="3:20" ht="13.5" customHeight="1" x14ac:dyDescent="0.2">
      <c r="F44" s="5"/>
      <c r="G44" s="22"/>
      <c r="H44" s="22"/>
      <c r="I44" s="22"/>
      <c r="J44" s="22"/>
      <c r="K44" s="5"/>
      <c r="L44" s="17"/>
      <c r="M44" s="22"/>
      <c r="N44" s="22"/>
      <c r="S44" s="29"/>
      <c r="T44" s="29"/>
    </row>
    <row r="45" spans="3:20" ht="13.5" customHeight="1" x14ac:dyDescent="0.2">
      <c r="C45" s="8" t="s">
        <v>118</v>
      </c>
      <c r="F45" s="22"/>
      <c r="G45" s="22"/>
      <c r="H45" s="22"/>
      <c r="I45" s="22"/>
      <c r="J45" s="22"/>
      <c r="K45" s="22"/>
      <c r="L45" s="17"/>
      <c r="M45" s="22"/>
      <c r="N45" s="22"/>
      <c r="S45" s="29"/>
      <c r="T45" s="29"/>
    </row>
    <row r="46" spans="3:20" ht="13.5" customHeight="1" x14ac:dyDescent="0.2">
      <c r="F46" s="22"/>
      <c r="G46" s="22"/>
      <c r="H46" s="22"/>
      <c r="I46" s="22"/>
      <c r="J46" s="22"/>
      <c r="K46" s="22"/>
      <c r="L46" s="17"/>
      <c r="M46" s="22"/>
      <c r="N46" s="22"/>
      <c r="S46" s="29"/>
      <c r="T46" s="29"/>
    </row>
    <row r="47" spans="3:20" ht="13.5" customHeight="1" x14ac:dyDescent="0.2">
      <c r="C47" s="22"/>
      <c r="D47" s="22"/>
      <c r="E47" s="22"/>
      <c r="F47" s="22"/>
      <c r="G47" s="245" t="s">
        <v>348</v>
      </c>
      <c r="H47" s="245"/>
      <c r="I47" s="245"/>
      <c r="J47" s="245"/>
      <c r="K47" s="245"/>
      <c r="L47" s="3" t="s">
        <v>111</v>
      </c>
      <c r="M47" s="42">
        <v>137.19999999999999</v>
      </c>
      <c r="N47" s="16" t="s">
        <v>3</v>
      </c>
      <c r="O47" s="9" t="s">
        <v>54</v>
      </c>
      <c r="P47" s="44">
        <f>VLOOKUP(G47,マスター!$B$63:$F$98,4,0)</f>
        <v>98.66</v>
      </c>
      <c r="Q47" s="22" t="s">
        <v>55</v>
      </c>
      <c r="R47" s="9" t="s">
        <v>50</v>
      </c>
      <c r="S47" s="41">
        <f>VLOOKUP(G47,マスター!$B$63:$F$98,5,0)</f>
        <v>22.42</v>
      </c>
      <c r="T47" s="22" t="s">
        <v>51</v>
      </c>
    </row>
    <row r="48" spans="3:20" ht="13.5" customHeight="1" x14ac:dyDescent="0.2">
      <c r="C48" s="22"/>
      <c r="D48" s="94">
        <f>12000/4</f>
        <v>3000</v>
      </c>
      <c r="E48" s="95">
        <f>D48</f>
        <v>3000</v>
      </c>
      <c r="F48" s="40"/>
      <c r="L48" s="3" t="s">
        <v>112</v>
      </c>
      <c r="M48" s="42">
        <f>M47</f>
        <v>137.19999999999999</v>
      </c>
      <c r="N48" s="16" t="s">
        <v>3</v>
      </c>
      <c r="S48" s="29"/>
      <c r="T48" s="29"/>
    </row>
    <row r="50" spans="8:20" ht="13.5" customHeight="1" x14ac:dyDescent="0.2">
      <c r="H50" s="8" t="str">
        <f>IF(H10=20,"L:G+P","L:G+P+0.7･S")</f>
        <v>L:G+P</v>
      </c>
      <c r="J50" s="9" t="s">
        <v>44</v>
      </c>
      <c r="K50" s="39">
        <f>(H5+IF(H10=20,0,0.7*K11))/1000</f>
        <v>0.35</v>
      </c>
      <c r="L50" s="8" t="s">
        <v>45</v>
      </c>
      <c r="M50" s="9" t="s">
        <v>46</v>
      </c>
      <c r="N50" s="39">
        <f>ABS(K50*D48^2/8)/10^6</f>
        <v>0.39374999999999999</v>
      </c>
      <c r="O50" s="8" t="s">
        <v>47</v>
      </c>
      <c r="P50" s="9" t="s">
        <v>52</v>
      </c>
      <c r="Q50" s="43">
        <f>10^6*N50/(S47*10^3)</f>
        <v>17.562444246208742</v>
      </c>
      <c r="R50" s="16" t="s">
        <v>3</v>
      </c>
      <c r="S50" s="9" t="s">
        <v>53</v>
      </c>
      <c r="T50" s="39">
        <f>Q50/M47</f>
        <v>0.1280061533980229</v>
      </c>
    </row>
    <row r="51" spans="8:20" ht="13.5" customHeight="1" x14ac:dyDescent="0.2">
      <c r="M51" s="9" t="s">
        <v>48</v>
      </c>
      <c r="N51" s="39">
        <f>ABS(K50*D48/2)/10^3</f>
        <v>0.52500000000000002</v>
      </c>
      <c r="O51" s="8" t="s">
        <v>49</v>
      </c>
      <c r="P51" s="9" t="s">
        <v>56</v>
      </c>
      <c r="Q51" s="39">
        <f>K50*D48^4/205000/(P47*10^4)*IF(0&lt;F48,3/384,IF(E48=0,5/384,1/185))</f>
        <v>0.75768094042235856</v>
      </c>
      <c r="R51" s="8" t="s">
        <v>63</v>
      </c>
      <c r="S51" s="9" t="s">
        <v>57</v>
      </c>
      <c r="T51" s="43">
        <f>ABS(D48/Q51)</f>
        <v>3959.4502645502635</v>
      </c>
    </row>
    <row r="53" spans="8:20" ht="13.5" customHeight="1" x14ac:dyDescent="0.2">
      <c r="H53" s="8" t="s">
        <v>108</v>
      </c>
      <c r="J53" s="9" t="s">
        <v>44</v>
      </c>
      <c r="K53" s="39">
        <f>(H5+K11)/1000</f>
        <v>0.95</v>
      </c>
      <c r="L53" s="8" t="s">
        <v>45</v>
      </c>
      <c r="M53" s="9" t="s">
        <v>46</v>
      </c>
      <c r="N53" s="39">
        <f>ABS(K53*D48^2/8)/10^6</f>
        <v>1.0687500000000001</v>
      </c>
      <c r="O53" s="8" t="s">
        <v>47</v>
      </c>
      <c r="P53" s="9" t="s">
        <v>52</v>
      </c>
      <c r="Q53" s="43">
        <f>10^6*N53/(S47*10^3)</f>
        <v>47.66949152542373</v>
      </c>
      <c r="R53" s="16" t="s">
        <v>3</v>
      </c>
      <c r="S53" s="9" t="s">
        <v>53</v>
      </c>
      <c r="T53" s="39">
        <f>Q53/M48</f>
        <v>0.34744527350891935</v>
      </c>
    </row>
    <row r="54" spans="8:20" ht="13.5" customHeight="1" x14ac:dyDescent="0.2">
      <c r="M54" s="9" t="s">
        <v>48</v>
      </c>
      <c r="N54" s="39">
        <f>ABS(K53*D48/2)/10^3</f>
        <v>1.425</v>
      </c>
      <c r="O54" s="8" t="s">
        <v>49</v>
      </c>
      <c r="P54" s="9" t="s">
        <v>56</v>
      </c>
      <c r="Q54" s="39">
        <f>K53*D48^4/205000/(P47*10^4)*IF(0&lt;F48,3/384,IF(E48=0,5/384,1/185))</f>
        <v>2.0565625525749729</v>
      </c>
      <c r="R54" s="8" t="s">
        <v>63</v>
      </c>
      <c r="S54" s="9" t="s">
        <v>57</v>
      </c>
      <c r="T54" s="43">
        <f>ABS(D48/Q54)</f>
        <v>1458.7448343079921</v>
      </c>
    </row>
    <row r="56" spans="8:20" ht="13.5" customHeight="1" x14ac:dyDescent="0.2">
      <c r="H56" s="8" t="s">
        <v>109</v>
      </c>
      <c r="J56" s="9" t="s">
        <v>44</v>
      </c>
      <c r="K56" s="39">
        <f>(H5+S31)/1000</f>
        <v>0.59766931659836486</v>
      </c>
      <c r="L56" s="8" t="s">
        <v>45</v>
      </c>
      <c r="M56" s="9" t="s">
        <v>46</v>
      </c>
      <c r="N56" s="39">
        <f>ABS(K56*D48^2/8)/10^6</f>
        <v>0.6723779811731605</v>
      </c>
      <c r="O56" s="8" t="s">
        <v>47</v>
      </c>
      <c r="P56" s="9" t="s">
        <v>52</v>
      </c>
      <c r="Q56" s="43">
        <f>10^6*N56/(S47*10^3)</f>
        <v>29.990097286938468</v>
      </c>
      <c r="R56" s="16" t="s">
        <v>3</v>
      </c>
      <c r="S56" s="9" t="s">
        <v>53</v>
      </c>
      <c r="T56" s="39">
        <f>Q56/M48</f>
        <v>0.21858671491937662</v>
      </c>
    </row>
    <row r="57" spans="8:20" ht="13.5" customHeight="1" x14ac:dyDescent="0.2">
      <c r="M57" s="9" t="s">
        <v>48</v>
      </c>
      <c r="N57" s="39">
        <f>ABS(K56*D48/2)/10^3</f>
        <v>0.8965039748975473</v>
      </c>
      <c r="O57" s="8" t="s">
        <v>49</v>
      </c>
      <c r="P57" s="9" t="s">
        <v>56</v>
      </c>
      <c r="Q57" s="39">
        <f>K56*D48^4/205000/(P47*10^4)*IF(0&lt;F48,3/384,IF(E48=0,5/384,1/185))</f>
        <v>1.2938361424623923</v>
      </c>
      <c r="R57" s="8" t="s">
        <v>63</v>
      </c>
      <c r="S57" s="9" t="s">
        <v>57</v>
      </c>
      <c r="T57" s="43">
        <f>ABS(D48/Q57)</f>
        <v>2318.6861933617693</v>
      </c>
    </row>
    <row r="59" spans="8:20" ht="13.5" customHeight="1" x14ac:dyDescent="0.2">
      <c r="H59" s="8" t="s">
        <v>110</v>
      </c>
      <c r="J59" s="9" t="s">
        <v>44</v>
      </c>
      <c r="K59" s="39">
        <f>(H6+S32)/1000</f>
        <v>-1.8799561227459376</v>
      </c>
      <c r="L59" s="8" t="s">
        <v>45</v>
      </c>
      <c r="M59" s="9" t="s">
        <v>46</v>
      </c>
      <c r="N59" s="39">
        <f>ABS(K59*D48^2/8)/10^6</f>
        <v>2.11495063808918</v>
      </c>
      <c r="O59" s="8" t="s">
        <v>47</v>
      </c>
      <c r="P59" s="9" t="s">
        <v>52</v>
      </c>
      <c r="Q59" s="43">
        <f>10^6*N59/(S47*10^3)</f>
        <v>94.333213117269409</v>
      </c>
      <c r="R59" s="16" t="s">
        <v>3</v>
      </c>
      <c r="S59" s="9" t="s">
        <v>53</v>
      </c>
      <c r="T59" s="39">
        <f>Q59/M48</f>
        <v>0.68755986237076838</v>
      </c>
    </row>
    <row r="60" spans="8:20" ht="13.5" customHeight="1" x14ac:dyDescent="0.2">
      <c r="M60" s="9" t="s">
        <v>48</v>
      </c>
      <c r="N60" s="39">
        <f>ABS(K59*D48/2)/10^3</f>
        <v>2.8199341841189067</v>
      </c>
      <c r="O60" s="8" t="s">
        <v>49</v>
      </c>
      <c r="P60" s="9" t="s">
        <v>56</v>
      </c>
      <c r="Q60" s="39">
        <f>K59*D48^4/205000/(P47*10^4)*IF(0&lt;F48,3/384,IF(E48=0,5/384,1/185))</f>
        <v>-4.0697340658140355</v>
      </c>
      <c r="R60" s="8" t="s">
        <v>63</v>
      </c>
      <c r="S60" s="9" t="s">
        <v>57</v>
      </c>
      <c r="T60" s="43">
        <f>ABS(D48/Q60)</f>
        <v>737.14890247993014</v>
      </c>
    </row>
  </sheetData>
  <mergeCells count="1">
    <mergeCell ref="G47:K47"/>
  </mergeCells>
  <phoneticPr fontId="3"/>
  <pageMargins left="0.59055118110236227" right="0.19685039370078741" top="0.78740157480314965" bottom="0.39370078740157483" header="0.51181102362204722" footer="0.51181102362204722"/>
  <pageSetup paperSize="9" orientation="portrait" blackAndWhite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6"/>
  <sheetViews>
    <sheetView topLeftCell="A21" zoomScaleNormal="100" workbookViewId="0">
      <selection activeCell="J17" sqref="J17"/>
    </sheetView>
  </sheetViews>
  <sheetFormatPr defaultColWidth="5.77734375" defaultRowHeight="13.5" customHeight="1" x14ac:dyDescent="0.2"/>
  <cols>
    <col min="1" max="2" width="3" customWidth="1"/>
    <col min="11" max="11" width="6" customWidth="1"/>
    <col min="12" max="12" width="5.77734375" customWidth="1"/>
    <col min="16" max="16" width="5.77734375" customWidth="1"/>
  </cols>
  <sheetData>
    <row r="2" spans="2:14" ht="13.5" customHeight="1" x14ac:dyDescent="0.2">
      <c r="B2" t="s">
        <v>349</v>
      </c>
    </row>
    <row r="4" spans="2:14" ht="13.5" customHeight="1" x14ac:dyDescent="0.2">
      <c r="B4" t="s">
        <v>350</v>
      </c>
      <c r="F4" t="s">
        <v>351</v>
      </c>
      <c r="I4" s="9" t="s">
        <v>354</v>
      </c>
      <c r="J4">
        <v>1000</v>
      </c>
      <c r="K4" t="s">
        <v>352</v>
      </c>
    </row>
    <row r="5" spans="2:14" ht="13.5" customHeight="1" x14ac:dyDescent="0.2">
      <c r="F5" s="2" t="s">
        <v>353</v>
      </c>
      <c r="G5" s="2"/>
      <c r="H5" s="2"/>
      <c r="I5" s="52" t="s">
        <v>355</v>
      </c>
      <c r="J5" s="2">
        <v>1500</v>
      </c>
      <c r="K5" s="2"/>
    </row>
    <row r="6" spans="2:14" ht="13.5" customHeight="1" x14ac:dyDescent="0.2">
      <c r="I6" s="9" t="s">
        <v>356</v>
      </c>
      <c r="J6">
        <f>J4+J5</f>
        <v>2500</v>
      </c>
      <c r="K6" t="s">
        <v>352</v>
      </c>
    </row>
    <row r="8" spans="2:14" ht="13.5" customHeight="1" x14ac:dyDescent="0.2">
      <c r="B8" t="s">
        <v>358</v>
      </c>
      <c r="F8" t="s">
        <v>357</v>
      </c>
      <c r="I8" s="9" t="s">
        <v>152</v>
      </c>
      <c r="J8" s="48">
        <v>8.1</v>
      </c>
      <c r="K8" t="s">
        <v>359</v>
      </c>
    </row>
    <row r="9" spans="2:14" ht="13.5" customHeight="1" x14ac:dyDescent="0.2">
      <c r="I9" s="9" t="s">
        <v>153</v>
      </c>
      <c r="J9" s="48">
        <v>8.1</v>
      </c>
      <c r="K9" t="s">
        <v>20</v>
      </c>
    </row>
    <row r="10" spans="2:14" ht="13.5" customHeight="1" x14ac:dyDescent="0.2">
      <c r="F10" t="s">
        <v>360</v>
      </c>
      <c r="I10" s="9" t="s">
        <v>361</v>
      </c>
      <c r="J10" s="168">
        <v>3</v>
      </c>
      <c r="L10" s="9" t="s">
        <v>362</v>
      </c>
      <c r="M10" s="47">
        <f>J6*J8*J9*J10/1000</f>
        <v>492.07499999999999</v>
      </c>
      <c r="N10" t="s">
        <v>49</v>
      </c>
    </row>
    <row r="16" spans="2:14" ht="13.5" customHeight="1" x14ac:dyDescent="0.2">
      <c r="F16" t="s">
        <v>363</v>
      </c>
      <c r="K16" s="9" t="s">
        <v>361</v>
      </c>
      <c r="L16" s="168">
        <v>4</v>
      </c>
    </row>
    <row r="17" spans="4:17" ht="13.5" customHeight="1" x14ac:dyDescent="0.2">
      <c r="K17" s="9" t="s">
        <v>364</v>
      </c>
      <c r="L17">
        <f>M10/L16</f>
        <v>123.01875</v>
      </c>
      <c r="M17" t="s">
        <v>49</v>
      </c>
    </row>
    <row r="19" spans="4:17" ht="13.5" customHeight="1" x14ac:dyDescent="0.2">
      <c r="D19" s="168">
        <v>80</v>
      </c>
      <c r="K19" s="9" t="s">
        <v>365</v>
      </c>
      <c r="L19" s="48">
        <f>L17*D19/1000</f>
        <v>9.8414999999999999</v>
      </c>
      <c r="M19" t="s">
        <v>47</v>
      </c>
    </row>
    <row r="20" spans="4:17" ht="13.5" customHeight="1" x14ac:dyDescent="0.2">
      <c r="K20" s="9" t="s">
        <v>366</v>
      </c>
      <c r="L20">
        <f>L17</f>
        <v>123.01875</v>
      </c>
      <c r="M20" t="s">
        <v>49</v>
      </c>
    </row>
    <row r="22" spans="4:17" ht="13.5" customHeight="1" x14ac:dyDescent="0.2">
      <c r="F22" s="9" t="s">
        <v>367</v>
      </c>
      <c r="G22">
        <v>16</v>
      </c>
      <c r="H22">
        <f>80+(N22-1)*P22</f>
        <v>160</v>
      </c>
      <c r="I22" s="9" t="s">
        <v>71</v>
      </c>
      <c r="J22" t="s">
        <v>384</v>
      </c>
      <c r="K22" s="9" t="s">
        <v>62</v>
      </c>
      <c r="L22" s="50">
        <f>IF(J22="SS400",235,325)</f>
        <v>325</v>
      </c>
      <c r="M22" t="s">
        <v>370</v>
      </c>
      <c r="N22">
        <v>2</v>
      </c>
      <c r="O22" s="169" t="s">
        <v>385</v>
      </c>
      <c r="P22" s="170">
        <v>80</v>
      </c>
    </row>
    <row r="23" spans="4:17" ht="13.5" customHeight="1" x14ac:dyDescent="0.2">
      <c r="G23" s="9" t="s">
        <v>68</v>
      </c>
      <c r="H23" s="50">
        <f>G22*H22/100</f>
        <v>25.6</v>
      </c>
      <c r="I23" t="s">
        <v>368</v>
      </c>
      <c r="J23" s="9" t="s">
        <v>369</v>
      </c>
      <c r="K23" s="50">
        <f>G22*H22^2/6000</f>
        <v>68.266666666666666</v>
      </c>
      <c r="L23" t="s">
        <v>368</v>
      </c>
    </row>
    <row r="25" spans="4:17" ht="13.5" customHeight="1" x14ac:dyDescent="0.2">
      <c r="G25" t="s">
        <v>374</v>
      </c>
      <c r="I25" s="9" t="s">
        <v>371</v>
      </c>
      <c r="J25">
        <f>10^6*L19/(10^3*K23)/L22</f>
        <v>0.4435772235576923</v>
      </c>
    </row>
    <row r="26" spans="4:17" ht="13.5" customHeight="1" x14ac:dyDescent="0.2">
      <c r="I26" s="9" t="s">
        <v>372</v>
      </c>
      <c r="J26">
        <f>1000*L20/(100*H23)/(L22/SQRT(3))</f>
        <v>0.25609942942742048</v>
      </c>
      <c r="O26" s="9" t="s">
        <v>373</v>
      </c>
      <c r="P26" s="48">
        <f>SQRT(J25^2+3*J26^2)</f>
        <v>0.62731292551509088</v>
      </c>
      <c r="Q26" t="str">
        <f>IF(P26&lt;1,"&lt; 1.0  (ok)","&gt; 1.0  (ng)")</f>
        <v>&lt; 1.0  (ok)</v>
      </c>
    </row>
    <row r="28" spans="4:17" ht="13.5" customHeight="1" x14ac:dyDescent="0.2">
      <c r="G28" t="s">
        <v>72</v>
      </c>
      <c r="I28" s="9" t="s">
        <v>376</v>
      </c>
      <c r="J28">
        <f>IF(O22="-M16",60.3,IF(O22="-M20",94.2,IF(O22="-M22",114,0)))*1.5</f>
        <v>141.30000000000001</v>
      </c>
      <c r="K28" t="s">
        <v>49</v>
      </c>
      <c r="O28" s="9" t="s">
        <v>375</v>
      </c>
      <c r="P28" s="48">
        <f>L20/(J28*N22)</f>
        <v>0.43531050955414008</v>
      </c>
      <c r="Q28" t="str">
        <f>IF(P28&lt;1,"&lt; 1.0  (ok)","&gt; 1.0  (ng)")</f>
        <v>&lt; 1.0  (ok)</v>
      </c>
    </row>
    <row r="31" spans="4:17" ht="13.5" customHeight="1" x14ac:dyDescent="0.2">
      <c r="F31" t="s">
        <v>377</v>
      </c>
      <c r="G31">
        <v>12</v>
      </c>
      <c r="H31">
        <v>80</v>
      </c>
      <c r="I31" s="9" t="s">
        <v>71</v>
      </c>
      <c r="J31" t="str">
        <f>J22</f>
        <v>SM490</v>
      </c>
      <c r="K31" s="9" t="s">
        <v>62</v>
      </c>
      <c r="L31" s="50">
        <f>IF(J31="SS400",235,325)</f>
        <v>325</v>
      </c>
      <c r="M31" t="s">
        <v>370</v>
      </c>
      <c r="N31" s="9" t="s">
        <v>67</v>
      </c>
      <c r="O31">
        <f>IF(J31="SS400",120,102)</f>
        <v>102</v>
      </c>
    </row>
    <row r="32" spans="4:17" ht="13.5" customHeight="1" x14ac:dyDescent="0.2">
      <c r="G32" s="9" t="s">
        <v>378</v>
      </c>
      <c r="H32" s="50">
        <f>2*G31*H31/100</f>
        <v>19.2</v>
      </c>
      <c r="I32" t="s">
        <v>368</v>
      </c>
      <c r="J32" s="9" t="s">
        <v>68</v>
      </c>
      <c r="K32" s="50">
        <f>H32-(RIGHT(O22,2)+2)*G31*2/100</f>
        <v>13.919999999999998</v>
      </c>
      <c r="L32" t="s">
        <v>368</v>
      </c>
    </row>
    <row r="33" spans="7:17" ht="13.5" customHeight="1" x14ac:dyDescent="0.2">
      <c r="G33" s="9" t="s">
        <v>64</v>
      </c>
      <c r="H33">
        <f>40*2+100</f>
        <v>180</v>
      </c>
      <c r="I33" t="s">
        <v>58</v>
      </c>
      <c r="J33" s="9" t="s">
        <v>65</v>
      </c>
      <c r="K33">
        <f>SQRT((H31*G31^3/1200)/(G31*H31))*10</f>
        <v>3.4641016151377544</v>
      </c>
      <c r="L33" t="s">
        <v>58</v>
      </c>
      <c r="M33" t="s">
        <v>379</v>
      </c>
      <c r="N33">
        <f>H33/K33</f>
        <v>51.96152422706632</v>
      </c>
      <c r="O33" s="9" t="s">
        <v>66</v>
      </c>
      <c r="P33" s="50">
        <f>IF(N33&lt;O31,(1-0.4*(N33/O31)^2)/(1.5+(2/3)*(N33/O31)^2),18/(65*(N33/O31)^2))*L31*1</f>
        <v>174.09513960703202</v>
      </c>
      <c r="Q33" t="s">
        <v>370</v>
      </c>
    </row>
    <row r="35" spans="7:17" ht="13.5" customHeight="1" x14ac:dyDescent="0.2">
      <c r="I35" s="9" t="s">
        <v>380</v>
      </c>
      <c r="J35" s="50">
        <f>1000*L17/(100*H32)</f>
        <v>64.072265625</v>
      </c>
      <c r="K35" t="s">
        <v>370</v>
      </c>
      <c r="M35" s="9" t="s">
        <v>382</v>
      </c>
      <c r="N35" s="48">
        <f>J35/P33</f>
        <v>0.3680301803348679</v>
      </c>
      <c r="O35" t="str">
        <f t="shared" ref="O35:O36" si="0">IF(N35&lt;1,"&lt; 1.0  (ok)","&gt; 1.0  (ng)")</f>
        <v>&lt; 1.0  (ok)</v>
      </c>
    </row>
    <row r="36" spans="7:17" ht="13.5" customHeight="1" x14ac:dyDescent="0.2">
      <c r="I36" s="9" t="s">
        <v>381</v>
      </c>
      <c r="J36" s="50">
        <f>1000*L17/(100*K32)</f>
        <v>88.375538793103459</v>
      </c>
      <c r="K36" t="s">
        <v>370</v>
      </c>
      <c r="M36" s="9" t="s">
        <v>383</v>
      </c>
      <c r="N36" s="48">
        <f>J36/L31</f>
        <v>0.27192473474801065</v>
      </c>
      <c r="O36" t="str">
        <f t="shared" si="0"/>
        <v>&lt; 1.0  (ok)</v>
      </c>
    </row>
  </sheetData>
  <phoneticPr fontId="4"/>
  <pageMargins left="0.59055118110236227" right="0.19685039370078741" top="0.78740157480314965" bottom="0.39370078740157483" header="0.31496062992125984" footer="0.31496062992125984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topLeftCell="A21" workbookViewId="0">
      <selection activeCell="C9" sqref="C9"/>
    </sheetView>
  </sheetViews>
  <sheetFormatPr defaultColWidth="5.77734375" defaultRowHeight="13.5" customHeight="1" x14ac:dyDescent="0.2"/>
  <cols>
    <col min="1" max="3" width="2.77734375" style="173" customWidth="1"/>
    <col min="4" max="21" width="5.77734375" style="173" customWidth="1"/>
    <col min="22" max="22" width="2.77734375" style="17" customWidth="1"/>
    <col min="23" max="24" width="5.77734375" style="173" customWidth="1"/>
    <col min="25" max="30" width="5.77734375" style="173"/>
    <col min="31" max="34" width="7.109375" style="173" bestFit="1" customWidth="1"/>
    <col min="35" max="35" width="8.109375" style="173" bestFit="1" customWidth="1"/>
    <col min="36" max="37" width="7.109375" style="173" bestFit="1" customWidth="1"/>
    <col min="38" max="40" width="8.109375" style="173" bestFit="1" customWidth="1"/>
    <col min="41" max="41" width="6" style="173" bestFit="1" customWidth="1"/>
    <col min="42" max="16384" width="5.77734375" style="173"/>
  </cols>
  <sheetData>
    <row r="1" spans="1:23" ht="13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W1" s="172"/>
    </row>
    <row r="2" spans="1:23" ht="13.5" customHeight="1" x14ac:dyDescent="0.2">
      <c r="B2" s="173" t="s">
        <v>531</v>
      </c>
    </row>
    <row r="4" spans="1:23" ht="13.5" customHeight="1" x14ac:dyDescent="0.2">
      <c r="B4" s="17" t="s">
        <v>532</v>
      </c>
    </row>
    <row r="5" spans="1:23" ht="13.5" customHeight="1" x14ac:dyDescent="0.2">
      <c r="C5" s="194" t="s">
        <v>386</v>
      </c>
      <c r="D5" s="17"/>
      <c r="E5" s="17"/>
      <c r="F5" s="194" t="s">
        <v>133</v>
      </c>
      <c r="G5" s="194" t="s">
        <v>134</v>
      </c>
      <c r="H5" s="17"/>
      <c r="I5" s="136" t="s">
        <v>389</v>
      </c>
      <c r="J5" s="175">
        <f>IF(G5="SS400",235,325)</f>
        <v>235</v>
      </c>
      <c r="K5" s="176" t="s">
        <v>3</v>
      </c>
      <c r="L5" s="17" t="s">
        <v>4</v>
      </c>
      <c r="M5" s="175">
        <v>120</v>
      </c>
      <c r="N5" s="17"/>
      <c r="O5" s="177" t="s">
        <v>135</v>
      </c>
      <c r="P5" s="98">
        <v>205</v>
      </c>
      <c r="Q5" s="176" t="s">
        <v>136</v>
      </c>
    </row>
    <row r="6" spans="1:23" ht="13.5" customHeight="1" x14ac:dyDescent="0.2">
      <c r="C6" s="17"/>
      <c r="D6" s="17"/>
      <c r="E6" s="17"/>
      <c r="F6" s="17"/>
      <c r="G6" s="194" t="s">
        <v>137</v>
      </c>
      <c r="H6" s="17"/>
      <c r="I6" s="136"/>
      <c r="J6" s="175">
        <f t="shared" ref="J6" si="0">IF(G6="SS400",235,325)</f>
        <v>325</v>
      </c>
      <c r="K6" s="176"/>
      <c r="L6" s="17"/>
      <c r="M6" s="175">
        <v>102</v>
      </c>
      <c r="N6" s="17"/>
      <c r="O6" s="17"/>
      <c r="P6" s="17"/>
      <c r="Q6" s="17"/>
    </row>
    <row r="8" spans="1:23" ht="13.5" customHeight="1" x14ac:dyDescent="0.2">
      <c r="F8" s="178" t="s">
        <v>395</v>
      </c>
      <c r="G8" s="178" t="s">
        <v>396</v>
      </c>
      <c r="H8" s="178" t="s">
        <v>397</v>
      </c>
      <c r="I8" s="179" t="s">
        <v>398</v>
      </c>
      <c r="J8" s="180">
        <v>201</v>
      </c>
      <c r="K8" s="173" t="s">
        <v>337</v>
      </c>
      <c r="L8" s="179" t="s">
        <v>399</v>
      </c>
      <c r="M8" s="181">
        <v>30.2</v>
      </c>
      <c r="N8" s="173" t="s">
        <v>49</v>
      </c>
      <c r="O8" s="179" t="s">
        <v>401</v>
      </c>
      <c r="P8" s="181">
        <v>60.3</v>
      </c>
      <c r="Q8" s="173" t="s">
        <v>49</v>
      </c>
      <c r="R8" s="179" t="s">
        <v>402</v>
      </c>
      <c r="S8" s="181">
        <v>17</v>
      </c>
      <c r="T8" s="178" t="s">
        <v>335</v>
      </c>
      <c r="V8" s="173"/>
    </row>
    <row r="9" spans="1:23" ht="13.5" customHeight="1" x14ac:dyDescent="0.2">
      <c r="H9" s="178" t="s">
        <v>403</v>
      </c>
      <c r="I9" s="182"/>
      <c r="J9" s="180">
        <v>314</v>
      </c>
      <c r="M9" s="181">
        <v>47.1</v>
      </c>
      <c r="P9" s="181">
        <v>94.2</v>
      </c>
      <c r="S9" s="181">
        <v>22</v>
      </c>
      <c r="T9" s="181"/>
      <c r="V9" s="173"/>
    </row>
    <row r="10" spans="1:23" ht="13.5" customHeight="1" x14ac:dyDescent="0.2">
      <c r="H10" s="178" t="s">
        <v>404</v>
      </c>
      <c r="I10" s="182"/>
      <c r="J10" s="180">
        <v>380</v>
      </c>
      <c r="M10" s="181">
        <v>57</v>
      </c>
      <c r="P10" s="181">
        <v>114</v>
      </c>
      <c r="S10" s="181">
        <v>24</v>
      </c>
      <c r="T10" s="181"/>
      <c r="V10" s="173"/>
    </row>
    <row r="12" spans="1:23" ht="13.5" customHeight="1" x14ac:dyDescent="0.2">
      <c r="C12" s="173" t="s">
        <v>405</v>
      </c>
    </row>
    <row r="13" spans="1:23" ht="13.5" customHeight="1" x14ac:dyDescent="0.2">
      <c r="C13" s="173" t="s">
        <v>406</v>
      </c>
    </row>
    <row r="14" spans="1:23" ht="13.5" customHeight="1" x14ac:dyDescent="0.2">
      <c r="D14" s="173" t="s">
        <v>407</v>
      </c>
      <c r="G14" s="172" t="s">
        <v>408</v>
      </c>
      <c r="H14" s="173">
        <v>250</v>
      </c>
      <c r="I14" s="173" t="s">
        <v>70</v>
      </c>
    </row>
    <row r="15" spans="1:23" ht="13.5" customHeight="1" x14ac:dyDescent="0.2">
      <c r="D15" s="173" t="s">
        <v>410</v>
      </c>
      <c r="G15" s="172" t="s">
        <v>411</v>
      </c>
      <c r="H15" s="173">
        <v>600</v>
      </c>
      <c r="I15" s="173" t="s">
        <v>127</v>
      </c>
      <c r="V15" s="173"/>
    </row>
    <row r="16" spans="1:23" ht="13.5" customHeight="1" x14ac:dyDescent="0.2">
      <c r="D16" s="173" t="s">
        <v>413</v>
      </c>
      <c r="G16" s="172" t="s">
        <v>414</v>
      </c>
      <c r="H16" s="173">
        <v>1600</v>
      </c>
      <c r="I16" s="173" t="s">
        <v>127</v>
      </c>
      <c r="J16" s="172" t="s">
        <v>139</v>
      </c>
      <c r="K16" s="173">
        <f>1000*H14/H16</f>
        <v>156.25</v>
      </c>
      <c r="L16" s="173" t="s">
        <v>140</v>
      </c>
      <c r="V16" s="173"/>
    </row>
    <row r="18" spans="2:22" ht="13.5" customHeight="1" x14ac:dyDescent="0.2">
      <c r="C18" s="173" t="s">
        <v>417</v>
      </c>
      <c r="V18" s="173"/>
    </row>
    <row r="19" spans="2:22" ht="13.5" customHeight="1" x14ac:dyDescent="0.2">
      <c r="E19" s="173" t="s">
        <v>418</v>
      </c>
      <c r="H19" s="172" t="s">
        <v>61</v>
      </c>
      <c r="I19" s="183">
        <v>1.5</v>
      </c>
      <c r="V19" s="173"/>
    </row>
    <row r="21" spans="2:22" ht="13.5" customHeight="1" x14ac:dyDescent="0.2">
      <c r="C21" s="173" t="s">
        <v>472</v>
      </c>
      <c r="V21" s="173"/>
    </row>
    <row r="24" spans="2:22" ht="13.5" customHeight="1" x14ac:dyDescent="0.2">
      <c r="B24" s="173" t="s">
        <v>533</v>
      </c>
      <c r="V24" s="173"/>
    </row>
    <row r="25" spans="2:22" ht="13.5" customHeight="1" x14ac:dyDescent="0.2">
      <c r="D25" s="173" t="s">
        <v>534</v>
      </c>
      <c r="U25" s="17"/>
      <c r="V25" s="173"/>
    </row>
    <row r="26" spans="2:22" ht="13.5" customHeight="1" x14ac:dyDescent="0.2">
      <c r="H26" s="173" t="s">
        <v>436</v>
      </c>
      <c r="I26" s="209"/>
      <c r="J26" s="172" t="s">
        <v>476</v>
      </c>
      <c r="K26" s="173">
        <f>H14</f>
        <v>250</v>
      </c>
      <c r="L26" s="173" t="s">
        <v>70</v>
      </c>
      <c r="M26" s="172" t="s">
        <v>478</v>
      </c>
      <c r="N26" s="184">
        <f>K26*E29*E27/D27/1000</f>
        <v>137.34843081312411</v>
      </c>
      <c r="O26" s="173" t="s">
        <v>142</v>
      </c>
      <c r="V26" s="173"/>
    </row>
    <row r="27" spans="2:22" ht="13.5" customHeight="1" x14ac:dyDescent="0.2">
      <c r="D27" s="231">
        <f>3200-396</f>
        <v>2804</v>
      </c>
      <c r="E27" s="229">
        <f>D27-E29</f>
        <v>2054</v>
      </c>
      <c r="H27" s="209"/>
      <c r="I27" s="209"/>
      <c r="M27" s="172" t="s">
        <v>480</v>
      </c>
      <c r="N27" s="184">
        <f>K26*MAX(E27:E30)/D27</f>
        <v>183.13124108416548</v>
      </c>
      <c r="O27" s="173" t="s">
        <v>481</v>
      </c>
      <c r="V27" s="173"/>
    </row>
    <row r="28" spans="2:22" ht="13.5" customHeight="1" x14ac:dyDescent="0.2">
      <c r="D28" s="232"/>
      <c r="E28" s="230"/>
      <c r="F28" s="173" t="s">
        <v>435</v>
      </c>
      <c r="N28" s="17"/>
      <c r="O28" s="17"/>
      <c r="V28" s="173"/>
    </row>
    <row r="29" spans="2:22" ht="13.5" customHeight="1" x14ac:dyDescent="0.2">
      <c r="D29" s="232"/>
      <c r="E29" s="229">
        <f>600+150</f>
        <v>750</v>
      </c>
      <c r="H29" s="173" t="s">
        <v>523</v>
      </c>
      <c r="J29" s="172" t="s">
        <v>482</v>
      </c>
      <c r="K29" s="173">
        <f>50*ROUNDUP(VLOOKUP(I33&amp;FIXED(J33,0)&amp;FIXED(K33,0)&amp;FIXED(L33,1)&amp;FIXED(M33,1),マスター!$AG$2:$AR$540,2,0)*7.85/50,0)/1000</f>
        <v>0.35</v>
      </c>
      <c r="L29" s="173" t="s">
        <v>140</v>
      </c>
      <c r="M29" s="172" t="s">
        <v>483</v>
      </c>
      <c r="N29" s="184">
        <f>K29*D27/10^3</f>
        <v>0.98139999999999994</v>
      </c>
      <c r="O29" s="173" t="s">
        <v>481</v>
      </c>
      <c r="V29" s="173"/>
    </row>
    <row r="30" spans="2:22" ht="13.5" customHeight="1" x14ac:dyDescent="0.2">
      <c r="E30" s="230"/>
      <c r="V30" s="173"/>
    </row>
    <row r="32" spans="2:22" ht="13.5" customHeight="1" x14ac:dyDescent="0.2">
      <c r="H32" s="185" t="s">
        <v>535</v>
      </c>
      <c r="J32" s="17"/>
      <c r="V32" s="173"/>
    </row>
    <row r="33" spans="8:22" ht="13.5" customHeight="1" x14ac:dyDescent="0.2">
      <c r="I33" s="177" t="s">
        <v>89</v>
      </c>
      <c r="J33" s="175">
        <v>298</v>
      </c>
      <c r="K33" s="175">
        <v>149</v>
      </c>
      <c r="L33" s="175">
        <v>5.5</v>
      </c>
      <c r="M33" s="175">
        <v>8</v>
      </c>
      <c r="N33" s="194" t="s">
        <v>423</v>
      </c>
      <c r="O33" s="194" t="s">
        <v>134</v>
      </c>
      <c r="P33" s="194" t="s">
        <v>424</v>
      </c>
      <c r="Q33" s="175">
        <f>VLOOKUP(O33,$G$5:$M$7,4,0)</f>
        <v>235</v>
      </c>
      <c r="R33" s="194" t="s">
        <v>3</v>
      </c>
      <c r="S33" s="172" t="s">
        <v>442</v>
      </c>
      <c r="T33" s="173">
        <f>VLOOKUP(O33,$G$5:$M$7,7,0)</f>
        <v>120</v>
      </c>
      <c r="V33" s="173"/>
    </row>
    <row r="34" spans="8:22" ht="13.5" customHeight="1" x14ac:dyDescent="0.2">
      <c r="I34" s="194" t="s">
        <v>425</v>
      </c>
      <c r="J34" s="187">
        <f>IF(I33="BH-",20*M34/J33,VLOOKUP(I33&amp;FIXED(J33,0)&amp;FIXED(K33,0)&amp;FIXED(L33,1)&amp;FIXED(M33,1),マスター!$AG$2:$AR$540,8,0))</f>
        <v>424</v>
      </c>
      <c r="K34" s="173" t="s">
        <v>145</v>
      </c>
      <c r="L34" s="194" t="s">
        <v>490</v>
      </c>
      <c r="M34" s="187">
        <f>IF(I33="BH-",20*M34/J33,VLOOKUP(I33&amp;FIXED(J33,0)&amp;FIXED(K33,0)&amp;FIXED(L33,1)&amp;FIXED(M33,1),マスター!$AG$2:$AR$540,2,0))</f>
        <v>40.799999999999997</v>
      </c>
      <c r="N34" s="173" t="s">
        <v>491</v>
      </c>
      <c r="O34" s="173" t="s">
        <v>444</v>
      </c>
      <c r="Q34" s="173">
        <v>1</v>
      </c>
      <c r="S34" s="17"/>
      <c r="U34" s="17"/>
      <c r="V34" s="173"/>
    </row>
    <row r="35" spans="8:22" ht="13.5" customHeight="1" x14ac:dyDescent="0.2">
      <c r="U35" s="17"/>
      <c r="V35" s="173"/>
    </row>
    <row r="36" spans="8:22" ht="13.5" customHeight="1" x14ac:dyDescent="0.2">
      <c r="H36" s="17"/>
      <c r="I36" s="17"/>
      <c r="J36" s="177" t="s">
        <v>492</v>
      </c>
      <c r="K36" s="17">
        <f>D27/IF(Q34="",1,Q34+1)</f>
        <v>1402</v>
      </c>
      <c r="L36" s="17" t="s">
        <v>127</v>
      </c>
      <c r="M36" s="177" t="s">
        <v>446</v>
      </c>
      <c r="N36" s="167">
        <f>IF(I33="CHN-","",VLOOKUP(I33&amp;FIXED(J33,0)&amp;FIXED(K33,0)&amp;FIXED(L33,1)&amp;FIXED(M33,1),マスター!$AG$2:$AQ$711,7,0)*10)</f>
        <v>38.5</v>
      </c>
      <c r="O36" s="192" t="s">
        <v>127</v>
      </c>
      <c r="P36" s="177" t="s">
        <v>447</v>
      </c>
      <c r="Q36" s="98">
        <f>K36/N36</f>
        <v>36.415584415584412</v>
      </c>
      <c r="R36" s="177" t="s">
        <v>496</v>
      </c>
      <c r="S36" s="98">
        <f>MIN(MAX((2/3-4/15*(Q36/T33)^2)*Q33,89000*K33*M33/J33/K36),Q33/1.5)*1.5</f>
        <v>235</v>
      </c>
      <c r="T36" s="17" t="s">
        <v>306</v>
      </c>
      <c r="U36" s="17"/>
      <c r="V36" s="173"/>
    </row>
    <row r="37" spans="8:22" ht="13.5" customHeight="1" x14ac:dyDescent="0.2">
      <c r="H37" s="17"/>
      <c r="I37" s="17"/>
      <c r="J37" s="202" t="s">
        <v>498</v>
      </c>
      <c r="K37" s="203">
        <f>K36</f>
        <v>1402</v>
      </c>
      <c r="L37" s="17" t="s">
        <v>127</v>
      </c>
      <c r="M37" s="177" t="s">
        <v>499</v>
      </c>
      <c r="N37" s="204">
        <f>IF(RIGHT(I33,3)="BH-",SQRT((K33*J33^3-(K33-L33)*(J33-2*M33)^3)/120000)/M34,VLOOKUP(RIGHT(I33,3)&amp;FIXED(J33,0)&amp;FIXED(K33,0)&amp;FIXED(L33,1)&amp;FIXED(M33,1),マスター!$AG$2:$AR$686,5,0))*10</f>
        <v>124</v>
      </c>
      <c r="O37" s="192" t="s">
        <v>127</v>
      </c>
      <c r="P37" s="177" t="s">
        <v>500</v>
      </c>
      <c r="Q37" s="204">
        <f>K37/N37</f>
        <v>11.306451612903226</v>
      </c>
      <c r="R37" s="205" t="s">
        <v>501</v>
      </c>
      <c r="S37" s="204">
        <f>IF(T33&lt;Q37,0.277/(Q37/T33)^2,(1-0.4*(Q37/T33)^2)/(1.5+2*(Q37/T33)^2/3))*Q33*1.5</f>
        <v>233.24523505246259</v>
      </c>
      <c r="T37" s="206" t="s">
        <v>3</v>
      </c>
      <c r="U37" s="98"/>
      <c r="V37" s="173"/>
    </row>
    <row r="38" spans="8:22" ht="13.5" customHeight="1" x14ac:dyDescent="0.2">
      <c r="H38" s="17"/>
      <c r="I38" s="17"/>
      <c r="J38" s="207" t="s">
        <v>503</v>
      </c>
      <c r="K38" s="203">
        <f>K36</f>
        <v>1402</v>
      </c>
      <c r="L38" s="17" t="s">
        <v>504</v>
      </c>
      <c r="M38" s="177" t="s">
        <v>505</v>
      </c>
      <c r="N38" s="204">
        <f>IF(RIGHT(I33,3)="BH-",SQRT((2*M33*K33^3+(J33-2*M33)*L33^3)/120000)/P34,VLOOKUP(RIGHT(I33,3)&amp;FIXED(J33,0)&amp;FIXED(K33,0)&amp;FIXED(L33,1)&amp;FIXED(M33,1),マスター!$AG$2:$AR$686,6,0))*10</f>
        <v>32.9</v>
      </c>
      <c r="O38" s="192" t="s">
        <v>504</v>
      </c>
      <c r="P38" s="177" t="s">
        <v>506</v>
      </c>
      <c r="Q38" s="204">
        <f>K38/N38</f>
        <v>42.613981762917938</v>
      </c>
      <c r="R38" s="205" t="s">
        <v>507</v>
      </c>
      <c r="S38" s="204">
        <f>IF(T33&lt;Q38,0.277/(Q38/T33)^2,(1-0.4*(Q38/T33)^2)/(1.5+2*(Q38/T33)^2/3))*Q33*1.5</f>
        <v>211.30279783110822</v>
      </c>
      <c r="T38" s="206" t="s">
        <v>3</v>
      </c>
      <c r="U38" s="98"/>
      <c r="V38" s="173"/>
    </row>
    <row r="40" spans="8:22" ht="13.5" customHeight="1" x14ac:dyDescent="0.2">
      <c r="L40" s="172" t="s">
        <v>508</v>
      </c>
      <c r="M40" s="188">
        <f>1000*N26/J34/($I$19*Q33)</f>
        <v>0.91896447753997124</v>
      </c>
      <c r="N40" s="194" t="s">
        <v>509</v>
      </c>
      <c r="V40" s="173"/>
    </row>
    <row r="41" spans="8:22" ht="13.5" customHeight="1" x14ac:dyDescent="0.2">
      <c r="L41" s="172" t="s">
        <v>510</v>
      </c>
      <c r="M41" s="188">
        <f>1000*N29/M34/($I$19*MIN(S37:S38))</f>
        <v>7.5890844215113717E-2</v>
      </c>
      <c r="N41" s="194" t="s">
        <v>136</v>
      </c>
      <c r="P41" s="172" t="s">
        <v>453</v>
      </c>
      <c r="Q41" s="188">
        <f>M40+M41</f>
        <v>0.99485532175508495</v>
      </c>
      <c r="R41" s="173" t="str">
        <f>IF(Q41&lt;1,"  &lt;   1.00","  &gt;   1.00")</f>
        <v xml:space="preserve">  &lt;   1.00</v>
      </c>
      <c r="T41" s="173" t="str">
        <f>IF(Q41&lt;1,"(ok)","(ng)")</f>
        <v>(ok)</v>
      </c>
      <c r="V41" s="173"/>
    </row>
    <row r="43" spans="8:22" ht="13.5" customHeight="1" x14ac:dyDescent="0.2">
      <c r="J43" s="182" t="s">
        <v>428</v>
      </c>
      <c r="K43" s="182"/>
      <c r="L43" s="182"/>
      <c r="M43" s="182"/>
      <c r="N43" s="182"/>
      <c r="O43" s="182"/>
      <c r="P43" s="182"/>
      <c r="Q43" s="182"/>
      <c r="R43" s="182"/>
      <c r="V43" s="173"/>
    </row>
    <row r="44" spans="8:22" ht="13.5" customHeight="1" x14ac:dyDescent="0.2">
      <c r="J44" s="172" t="s">
        <v>513</v>
      </c>
      <c r="K44" s="189" t="s">
        <v>527</v>
      </c>
      <c r="L44" s="208">
        <v>90</v>
      </c>
      <c r="M44" s="172" t="s">
        <v>429</v>
      </c>
      <c r="N44" s="182" t="s">
        <v>521</v>
      </c>
      <c r="R44" s="182"/>
      <c r="V44" s="173"/>
    </row>
    <row r="45" spans="8:22" ht="13.5" customHeight="1" x14ac:dyDescent="0.2">
      <c r="K45" s="172" t="s">
        <v>430</v>
      </c>
      <c r="L45" s="184">
        <f>IF(RIGHT(K44,3)="M16",30.2,IF(RIGHT(K44,3)="M20",47.1,IF(RIGHT(K44,3)="M22",57,0)))*1.5</f>
        <v>70.650000000000006</v>
      </c>
      <c r="M45" s="173" t="s">
        <v>70</v>
      </c>
      <c r="N45" s="182"/>
      <c r="P45" s="172" t="s">
        <v>516</v>
      </c>
      <c r="Q45" s="183">
        <f>N27/(1.5*LEFT(J44,1)*MID(J44,3,1)*L45)</f>
        <v>0.86403038963984646</v>
      </c>
      <c r="R45" s="173" t="str">
        <f>IF(Q45&lt;1,"  &lt;   1.00","  &gt;   1.00")</f>
        <v xml:space="preserve">  &lt;   1.00</v>
      </c>
      <c r="T45" s="173" t="str">
        <f>IF(Q45&lt;1,"(ok)","(ng)")</f>
        <v>(ok)</v>
      </c>
      <c r="V45" s="173"/>
    </row>
    <row r="47" spans="8:22" ht="13.5" customHeight="1" x14ac:dyDescent="0.2">
      <c r="J47" s="172" t="s">
        <v>73</v>
      </c>
      <c r="K47" s="173">
        <v>12</v>
      </c>
      <c r="L47" s="190">
        <f>(LEFT(J44,1)-1)*L44+80</f>
        <v>170</v>
      </c>
      <c r="M47" s="182"/>
      <c r="N47" s="172" t="s">
        <v>429</v>
      </c>
      <c r="O47" s="173" t="str">
        <f>O33</f>
        <v>SS400</v>
      </c>
      <c r="P47" s="172" t="s">
        <v>389</v>
      </c>
      <c r="Q47" s="191">
        <f>VLOOKUP(O47,$G$5:$M$7,4,0)</f>
        <v>235</v>
      </c>
      <c r="R47" s="173" t="s">
        <v>3</v>
      </c>
      <c r="V47" s="173"/>
    </row>
    <row r="48" spans="8:22" ht="13.5" customHeight="1" x14ac:dyDescent="0.2">
      <c r="K48" s="172" t="s">
        <v>433</v>
      </c>
      <c r="L48" s="184">
        <f>K47*(L47-MID(K44,3,1)*(RIGHT(K44,2)+1.5))/100</f>
        <v>15.24</v>
      </c>
      <c r="M48" s="190" t="s">
        <v>455</v>
      </c>
      <c r="P48" s="177" t="s">
        <v>520</v>
      </c>
      <c r="Q48" s="183">
        <f>10*N27/(L48*1.5*Q47/SQRT(3))</f>
        <v>0.5904443588371765</v>
      </c>
      <c r="R48" s="173" t="str">
        <f>IF(Q48&lt;1,"  &lt;   1.00","  &gt;   1.00")</f>
        <v xml:space="preserve">  &lt;   1.00</v>
      </c>
      <c r="T48" s="173" t="str">
        <f>IF(Q48&lt;1,"(ok)","(ng)")</f>
        <v>(ok)</v>
      </c>
      <c r="V48" s="173"/>
    </row>
  </sheetData>
  <mergeCells count="3">
    <mergeCell ref="D27:D29"/>
    <mergeCell ref="E27:E28"/>
    <mergeCell ref="E29:E30"/>
  </mergeCells>
  <phoneticPr fontId="4"/>
  <conditionalFormatting sqref="J8:M10 I8 N9:T10 O8:T8 F8:H10">
    <cfRule type="cellIs" dxfId="0" priority="1" stopIfTrue="1" operator="equal">
      <formula>"(ng)"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転落防止柵</vt:lpstr>
      <vt:lpstr>階段 </vt:lpstr>
      <vt:lpstr>マスター</vt:lpstr>
      <vt:lpstr>Sheet2</vt:lpstr>
      <vt:lpstr>折板</vt:lpstr>
      <vt:lpstr>Joint</vt:lpstr>
      <vt:lpstr>Sheet1</vt:lpstr>
      <vt:lpstr>'階段 '!Print_Area</vt:lpstr>
      <vt:lpstr>転落防止柵!Print_Area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kanou</dc:creator>
  <cp:lastModifiedBy>keita araki</cp:lastModifiedBy>
  <cp:lastPrinted>2018-08-11T00:40:43Z</cp:lastPrinted>
  <dcterms:created xsi:type="dcterms:W3CDTF">2000-06-19T01:38:51Z</dcterms:created>
  <dcterms:modified xsi:type="dcterms:W3CDTF">2018-08-11T11:45:00Z</dcterms:modified>
</cp:coreProperties>
</file>