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6a44ef2ff30a9bf4/00_24webclamp/00_戸田建設九州支店某案件495/02設計資料/ブレース接合部/"/>
    </mc:Choice>
  </mc:AlternateContent>
  <xr:revisionPtr revIDLastSave="2434" documentId="14_{AB0E8A8A-5925-4D04-AFBE-E2AF64A40BE6}" xr6:coauthVersionLast="47" xr6:coauthVersionMax="47" xr10:uidLastSave="{00801CBB-E199-4250-AFF8-20ECC7F92CCB}"/>
  <bookViews>
    <workbookView xWindow="1500" yWindow="-120" windowWidth="27420" windowHeight="16440" activeTab="5" xr2:uid="{00000000-000D-0000-FFFF-FFFF00000000}"/>
  </bookViews>
  <sheets>
    <sheet name="i" sheetId="14" r:id="rId1"/>
    <sheet name="Nd" sheetId="13" r:id="rId2"/>
    <sheet name="bolt_y" sheetId="1" r:id="rId3"/>
    <sheet name="gpl_y" sheetId="2" r:id="rId4"/>
    <sheet name="weld_y" sheetId="3" r:id="rId5"/>
    <sheet name="beam_y" sheetId="4" r:id="rId6"/>
    <sheet name="bolt_u" sheetId="6" r:id="rId7"/>
    <sheet name="gpl_u" sheetId="7" r:id="rId8"/>
    <sheet name="weld_u" sheetId="8" r:id="rId9"/>
    <sheet name="brace_u" sheetId="9" r:id="rId10"/>
    <sheet name="wcs_y" sheetId="10" r:id="rId11"/>
    <sheet name="wcs_u" sheetId="11" r:id="rId12"/>
    <sheet name="bolt_qa"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 i="4" l="1"/>
  <c r="AD5" i="4"/>
  <c r="AE5" i="4"/>
  <c r="C5" i="4"/>
  <c r="E5" i="4" s="1"/>
  <c r="Z5" i="4" s="1"/>
  <c r="I5" i="4"/>
  <c r="AB5" i="4" s="1"/>
  <c r="O5" i="4"/>
  <c r="Q5" i="4" s="1"/>
  <c r="S5" i="4" s="1"/>
  <c r="AG5" i="4" s="1"/>
  <c r="X5" i="4"/>
  <c r="W5" i="4"/>
  <c r="G5" i="3"/>
  <c r="I5" i="3" s="1"/>
  <c r="G6" i="3"/>
  <c r="C6" i="8" s="1"/>
  <c r="G7" i="3"/>
  <c r="G4" i="3"/>
  <c r="I4" i="3" s="1"/>
  <c r="E5" i="3"/>
  <c r="E6" i="3"/>
  <c r="E7" i="3"/>
  <c r="E4" i="3"/>
  <c r="C8" i="9"/>
  <c r="A8" i="9"/>
  <c r="B8" i="9"/>
  <c r="E8" i="9"/>
  <c r="D8" i="8"/>
  <c r="A8" i="8"/>
  <c r="B8" i="8"/>
  <c r="C8" i="8"/>
  <c r="E8" i="8"/>
  <c r="A8" i="7"/>
  <c r="B8" i="7"/>
  <c r="C8" i="7"/>
  <c r="E8" i="7"/>
  <c r="F8" i="7" s="1"/>
  <c r="G8" i="7" s="1"/>
  <c r="AE3" i="4"/>
  <c r="AD3" i="4"/>
  <c r="AA3" i="4"/>
  <c r="X3" i="4"/>
  <c r="W3" i="4"/>
  <c r="O3" i="4"/>
  <c r="Q3" i="4" s="1"/>
  <c r="AF3" i="4" s="1"/>
  <c r="I3" i="4"/>
  <c r="AB3" i="4" s="1"/>
  <c r="C3" i="4"/>
  <c r="Y3" i="4" s="1"/>
  <c r="C2" i="4"/>
  <c r="E2" i="4" s="1"/>
  <c r="I2" i="4"/>
  <c r="AB2" i="4" s="1"/>
  <c r="O2" i="4"/>
  <c r="Q2" i="4" s="1"/>
  <c r="W2" i="4"/>
  <c r="X2" i="4"/>
  <c r="AA2" i="4"/>
  <c r="AD2" i="4"/>
  <c r="AE2" i="4"/>
  <c r="C6" i="4"/>
  <c r="E6" i="4" s="1"/>
  <c r="I6" i="4"/>
  <c r="AB6" i="4" s="1"/>
  <c r="O6" i="4"/>
  <c r="Q6" i="4" s="1"/>
  <c r="W6" i="4"/>
  <c r="X6" i="4"/>
  <c r="AA6" i="4"/>
  <c r="AD6" i="4"/>
  <c r="AE6" i="4"/>
  <c r="C4" i="4"/>
  <c r="E4" i="4" s="1"/>
  <c r="I4" i="4"/>
  <c r="AB4" i="4" s="1"/>
  <c r="O4" i="4"/>
  <c r="Q4" i="4" s="1"/>
  <c r="W4" i="4"/>
  <c r="X4" i="4"/>
  <c r="AA4" i="4"/>
  <c r="AD4" i="4"/>
  <c r="AE4" i="4"/>
  <c r="G3" i="3"/>
  <c r="I3" i="3" s="1"/>
  <c r="G8" i="3"/>
  <c r="G2" i="3"/>
  <c r="I2" i="3"/>
  <c r="E4" i="2"/>
  <c r="G4" i="2" s="1"/>
  <c r="E3" i="2"/>
  <c r="C3" i="7" s="1"/>
  <c r="E3" i="7" s="1"/>
  <c r="E2" i="2"/>
  <c r="G3" i="6"/>
  <c r="G4" i="6"/>
  <c r="G5" i="6"/>
  <c r="G6" i="6"/>
  <c r="G7" i="6"/>
  <c r="G8" i="6"/>
  <c r="A8" i="6"/>
  <c r="B8" i="6"/>
  <c r="C8" i="6"/>
  <c r="D8" i="6"/>
  <c r="E8" i="6"/>
  <c r="A8" i="3"/>
  <c r="B8" i="3"/>
  <c r="C8" i="3"/>
  <c r="A8" i="2"/>
  <c r="B8" i="2"/>
  <c r="E8" i="2"/>
  <c r="G8" i="2"/>
  <c r="H8" i="2" s="1"/>
  <c r="A8" i="1"/>
  <c r="B8" i="1"/>
  <c r="F8" i="1"/>
  <c r="H8" i="1" s="1"/>
  <c r="I8" i="1" s="1"/>
  <c r="J8" i="1" s="1"/>
  <c r="H7" i="13"/>
  <c r="H8" i="13"/>
  <c r="F8" i="13"/>
  <c r="E3" i="13"/>
  <c r="E4" i="13"/>
  <c r="E5" i="13"/>
  <c r="E6" i="13"/>
  <c r="E7" i="13"/>
  <c r="E8" i="13"/>
  <c r="C3" i="13"/>
  <c r="C4" i="13"/>
  <c r="C5" i="13"/>
  <c r="C6" i="13"/>
  <c r="C7" i="13"/>
  <c r="C8" i="13"/>
  <c r="C2" i="13"/>
  <c r="B3" i="13"/>
  <c r="B4" i="13"/>
  <c r="B5" i="13"/>
  <c r="B6" i="13"/>
  <c r="B7" i="13"/>
  <c r="B8" i="13"/>
  <c r="B2" i="13"/>
  <c r="A3" i="13"/>
  <c r="A4" i="13"/>
  <c r="A5" i="13"/>
  <c r="A6" i="13"/>
  <c r="A7" i="13"/>
  <c r="A8" i="13"/>
  <c r="A2" i="13"/>
  <c r="P3" i="14"/>
  <c r="P4" i="14"/>
  <c r="P5" i="14"/>
  <c r="P6" i="14"/>
  <c r="P7" i="14"/>
  <c r="P8" i="14"/>
  <c r="P2" i="14"/>
  <c r="H8" i="14"/>
  <c r="J3" i="14"/>
  <c r="I3" i="14"/>
  <c r="I2" i="14"/>
  <c r="E7" i="14"/>
  <c r="M7" i="14" s="1"/>
  <c r="L8" i="14"/>
  <c r="O8" i="14"/>
  <c r="I8" i="14"/>
  <c r="J8" i="14" s="1"/>
  <c r="Q8" i="14" s="1"/>
  <c r="F8" i="14"/>
  <c r="N8" i="14" s="1"/>
  <c r="E8" i="14"/>
  <c r="M8" i="14" s="1"/>
  <c r="E4" i="14"/>
  <c r="E5" i="14"/>
  <c r="M5" i="14" s="1"/>
  <c r="E6" i="14"/>
  <c r="M6" i="14" s="1"/>
  <c r="L2" i="14"/>
  <c r="O2" i="14"/>
  <c r="L3" i="14"/>
  <c r="O3" i="14"/>
  <c r="L4" i="14"/>
  <c r="O4" i="14"/>
  <c r="L5" i="14"/>
  <c r="O5" i="14"/>
  <c r="L6" i="14"/>
  <c r="O6" i="14"/>
  <c r="L7" i="14"/>
  <c r="O7" i="14"/>
  <c r="Q1" i="14"/>
  <c r="P1" i="14"/>
  <c r="M1" i="14"/>
  <c r="N1" i="14"/>
  <c r="O1" i="14"/>
  <c r="L1" i="14"/>
  <c r="I4" i="14"/>
  <c r="I5" i="14"/>
  <c r="I6" i="14"/>
  <c r="I7" i="14"/>
  <c r="F7" i="14"/>
  <c r="H7" i="14" s="1"/>
  <c r="M3" i="14"/>
  <c r="M4" i="14"/>
  <c r="M2" i="14"/>
  <c r="H3" i="14"/>
  <c r="F4" i="14"/>
  <c r="H4" i="14" s="1"/>
  <c r="F5" i="14"/>
  <c r="H5" i="14" s="1"/>
  <c r="F6" i="14"/>
  <c r="H6" i="14" s="1"/>
  <c r="H2" i="14"/>
  <c r="E7" i="9"/>
  <c r="E5" i="9"/>
  <c r="E2" i="9"/>
  <c r="D5" i="8"/>
  <c r="A7" i="9"/>
  <c r="A7" i="8"/>
  <c r="D7" i="8"/>
  <c r="A7" i="7"/>
  <c r="A7" i="6"/>
  <c r="C7" i="6"/>
  <c r="D7" i="6"/>
  <c r="E7" i="6"/>
  <c r="C3" i="6"/>
  <c r="D3" i="6"/>
  <c r="E3" i="6"/>
  <c r="C4" i="6"/>
  <c r="D4" i="6"/>
  <c r="E4" i="6"/>
  <c r="C5" i="6"/>
  <c r="D5" i="6"/>
  <c r="E5" i="6"/>
  <c r="C6" i="6"/>
  <c r="D6" i="6"/>
  <c r="E6" i="6"/>
  <c r="D2" i="6"/>
  <c r="E2" i="6"/>
  <c r="C2" i="6"/>
  <c r="I8" i="4"/>
  <c r="AB8" i="4" s="1"/>
  <c r="I9" i="4"/>
  <c r="AB9" i="4" s="1"/>
  <c r="I10" i="4"/>
  <c r="AB10" i="4" s="1"/>
  <c r="I7" i="4"/>
  <c r="AB7" i="4" s="1"/>
  <c r="A7" i="3"/>
  <c r="C7" i="3"/>
  <c r="C2" i="3"/>
  <c r="E7" i="2"/>
  <c r="C7" i="7" s="1"/>
  <c r="E7" i="7" s="1"/>
  <c r="E6" i="2"/>
  <c r="G6" i="2" s="1"/>
  <c r="E5" i="2"/>
  <c r="C5" i="7" s="1"/>
  <c r="E5" i="7" s="1"/>
  <c r="G2" i="2"/>
  <c r="A7" i="2"/>
  <c r="F7" i="1"/>
  <c r="H7" i="1" s="1"/>
  <c r="A4" i="1"/>
  <c r="A5" i="1"/>
  <c r="A6" i="1"/>
  <c r="A7" i="1"/>
  <c r="F7" i="13"/>
  <c r="A6" i="9"/>
  <c r="A5" i="9"/>
  <c r="A4" i="9"/>
  <c r="A3" i="9"/>
  <c r="A2" i="9"/>
  <c r="A6" i="8"/>
  <c r="A5" i="8"/>
  <c r="A4" i="8"/>
  <c r="A3" i="8"/>
  <c r="A2" i="8"/>
  <c r="A6" i="7"/>
  <c r="A5" i="7"/>
  <c r="A4" i="7"/>
  <c r="A3" i="7"/>
  <c r="A2" i="7"/>
  <c r="A6" i="6"/>
  <c r="A5" i="6"/>
  <c r="A4" i="6"/>
  <c r="A3" i="6"/>
  <c r="A2" i="6"/>
  <c r="A6" i="3"/>
  <c r="A5" i="3"/>
  <c r="A4" i="3"/>
  <c r="A3" i="3"/>
  <c r="A2" i="3"/>
  <c r="A6" i="2"/>
  <c r="A5" i="2"/>
  <c r="A4" i="2"/>
  <c r="A3" i="2"/>
  <c r="A2" i="2"/>
  <c r="A3" i="1"/>
  <c r="A2" i="1"/>
  <c r="E2" i="13"/>
  <c r="B2" i="3" s="1"/>
  <c r="F2" i="13"/>
  <c r="H2" i="13" s="1"/>
  <c r="B2" i="8" s="1"/>
  <c r="F3" i="13"/>
  <c r="F4" i="13"/>
  <c r="F6" i="13"/>
  <c r="F3" i="1"/>
  <c r="F4" i="1"/>
  <c r="F5" i="1"/>
  <c r="F6" i="1"/>
  <c r="H6" i="1" s="1"/>
  <c r="C3" i="12"/>
  <c r="C4" i="12"/>
  <c r="C5" i="12"/>
  <c r="C6" i="12"/>
  <c r="C7" i="12"/>
  <c r="C8" i="12"/>
  <c r="C9" i="12"/>
  <c r="C10" i="12"/>
  <c r="C11" i="12"/>
  <c r="C12" i="12"/>
  <c r="C13" i="12"/>
  <c r="C14" i="12"/>
  <c r="C15" i="12"/>
  <c r="C2" i="12"/>
  <c r="F2" i="1"/>
  <c r="D2" i="11"/>
  <c r="C2" i="10"/>
  <c r="E3" i="9"/>
  <c r="D6" i="8"/>
  <c r="D4" i="8"/>
  <c r="D3" i="8"/>
  <c r="D2" i="8"/>
  <c r="G2" i="6"/>
  <c r="AE10" i="4"/>
  <c r="AD10" i="4"/>
  <c r="AA10" i="4"/>
  <c r="X10" i="4"/>
  <c r="W10" i="4"/>
  <c r="O10" i="4"/>
  <c r="Q10" i="4" s="1"/>
  <c r="AE9" i="4"/>
  <c r="AD9" i="4"/>
  <c r="AA9" i="4"/>
  <c r="X9" i="4"/>
  <c r="W9" i="4"/>
  <c r="O9" i="4"/>
  <c r="Q9" i="4" s="1"/>
  <c r="S9" i="4" s="1"/>
  <c r="AG9" i="4" s="1"/>
  <c r="AE8" i="4"/>
  <c r="AD8" i="4"/>
  <c r="AA8" i="4"/>
  <c r="X8" i="4"/>
  <c r="W8" i="4"/>
  <c r="O8" i="4"/>
  <c r="Q8" i="4" s="1"/>
  <c r="AF8" i="4" s="1"/>
  <c r="AE7" i="4"/>
  <c r="AD7" i="4"/>
  <c r="AA7" i="4"/>
  <c r="X7" i="4"/>
  <c r="W7" i="4"/>
  <c r="O7" i="4"/>
  <c r="Q7" i="4" s="1"/>
  <c r="C6" i="3"/>
  <c r="C5" i="3"/>
  <c r="C4" i="3"/>
  <c r="C3" i="3"/>
  <c r="AF5" i="4" l="1"/>
  <c r="Y5" i="4"/>
  <c r="J5" i="4"/>
  <c r="T5" i="4"/>
  <c r="C7" i="8"/>
  <c r="E7" i="8" s="1"/>
  <c r="C5" i="8"/>
  <c r="E5" i="8" s="1"/>
  <c r="F8" i="6"/>
  <c r="H8" i="6" s="1"/>
  <c r="I8" i="6" s="1"/>
  <c r="J8" i="6" s="1"/>
  <c r="F3" i="6"/>
  <c r="H3" i="6" s="1"/>
  <c r="F8" i="9"/>
  <c r="G8" i="9" s="1"/>
  <c r="F8" i="8"/>
  <c r="G8" i="8" s="1"/>
  <c r="S3" i="4"/>
  <c r="AG3" i="4" s="1"/>
  <c r="E3" i="4"/>
  <c r="AF2" i="4"/>
  <c r="S2" i="4"/>
  <c r="AG2" i="4" s="1"/>
  <c r="Y2" i="4"/>
  <c r="Z2" i="4"/>
  <c r="J2" i="4"/>
  <c r="AC2" i="4" s="1"/>
  <c r="AF6" i="4"/>
  <c r="S6" i="4"/>
  <c r="AG6" i="4" s="1"/>
  <c r="J6" i="4"/>
  <c r="AC6" i="4" s="1"/>
  <c r="Z6" i="4"/>
  <c r="Y6" i="4"/>
  <c r="J4" i="4"/>
  <c r="AC4" i="4" s="1"/>
  <c r="Z4" i="4"/>
  <c r="AF4" i="4"/>
  <c r="S4" i="4"/>
  <c r="AG4" i="4" s="1"/>
  <c r="Y4" i="4"/>
  <c r="I8" i="3"/>
  <c r="J8" i="3" s="1"/>
  <c r="E6" i="8"/>
  <c r="I7" i="3"/>
  <c r="J7" i="3" s="1"/>
  <c r="I6" i="3"/>
  <c r="C4" i="8"/>
  <c r="E4" i="8" s="1"/>
  <c r="C3" i="8"/>
  <c r="E3" i="8" s="1"/>
  <c r="G7" i="2"/>
  <c r="G5" i="2"/>
  <c r="F6" i="6"/>
  <c r="H6" i="6" s="1"/>
  <c r="F5" i="6"/>
  <c r="H5" i="6" s="1"/>
  <c r="F4" i="6"/>
  <c r="H4" i="6" s="1"/>
  <c r="F2" i="6"/>
  <c r="H2" i="6" s="1"/>
  <c r="B7" i="3"/>
  <c r="C7" i="4"/>
  <c r="C9" i="4"/>
  <c r="C8" i="4"/>
  <c r="B2" i="6"/>
  <c r="B7" i="8"/>
  <c r="B7" i="7"/>
  <c r="F7" i="7" s="1"/>
  <c r="G7" i="7" s="1"/>
  <c r="B7" i="6"/>
  <c r="B7" i="9"/>
  <c r="F7" i="9" s="1"/>
  <c r="G7" i="9" s="1"/>
  <c r="B7" i="1"/>
  <c r="I7" i="1" s="1"/>
  <c r="J7" i="1" s="1"/>
  <c r="B7" i="2"/>
  <c r="B2" i="7"/>
  <c r="B2" i="9"/>
  <c r="F2" i="9" s="1"/>
  <c r="G2" i="9" s="1"/>
  <c r="N2" i="14"/>
  <c r="N4" i="14"/>
  <c r="J4" i="14"/>
  <c r="Q4" i="14" s="1"/>
  <c r="N6" i="14"/>
  <c r="J2" i="14"/>
  <c r="Q2" i="14" s="1"/>
  <c r="J7" i="14"/>
  <c r="Q7" i="14" s="1"/>
  <c r="N7" i="14"/>
  <c r="N5" i="14"/>
  <c r="J6" i="14"/>
  <c r="Q6" i="14" s="1"/>
  <c r="J5" i="14"/>
  <c r="Q5" i="14" s="1"/>
  <c r="Q3" i="14"/>
  <c r="N3" i="14"/>
  <c r="F7" i="6"/>
  <c r="H7" i="6" s="1"/>
  <c r="S7" i="4"/>
  <c r="AG7" i="4" s="1"/>
  <c r="AF7" i="4"/>
  <c r="C2" i="8"/>
  <c r="E2" i="8" s="1"/>
  <c r="F2" i="8" s="1"/>
  <c r="C6" i="7"/>
  <c r="E6" i="7" s="1"/>
  <c r="C4" i="7"/>
  <c r="E4" i="7" s="1"/>
  <c r="G3" i="2"/>
  <c r="C2" i="7"/>
  <c r="E2" i="7" s="1"/>
  <c r="B3" i="3"/>
  <c r="B3" i="1"/>
  <c r="B3" i="2"/>
  <c r="B2" i="2"/>
  <c r="B2" i="1"/>
  <c r="B6" i="1"/>
  <c r="B4" i="1"/>
  <c r="E6" i="9"/>
  <c r="H3" i="13"/>
  <c r="F5" i="13"/>
  <c r="H4" i="13"/>
  <c r="H6" i="13"/>
  <c r="B2" i="11"/>
  <c r="E4" i="9"/>
  <c r="AF10" i="4"/>
  <c r="S10" i="4"/>
  <c r="AG10" i="4" s="1"/>
  <c r="S8" i="4"/>
  <c r="AG8" i="4" s="1"/>
  <c r="AF9" i="4"/>
  <c r="U5" i="4" l="1"/>
  <c r="AH5" i="4" s="1"/>
  <c r="AC5" i="4"/>
  <c r="Z3" i="4"/>
  <c r="J3" i="4"/>
  <c r="AC3" i="4" s="1"/>
  <c r="T3" i="4"/>
  <c r="T2" i="4"/>
  <c r="T6" i="4"/>
  <c r="T4" i="4"/>
  <c r="F7" i="8"/>
  <c r="G7" i="8" s="1"/>
  <c r="G2" i="8"/>
  <c r="H7" i="2"/>
  <c r="F2" i="7"/>
  <c r="G2" i="7" s="1"/>
  <c r="I7" i="6"/>
  <c r="J7" i="6" s="1"/>
  <c r="I2" i="6"/>
  <c r="J2" i="6" s="1"/>
  <c r="B6" i="9"/>
  <c r="F6" i="9" s="1"/>
  <c r="G6" i="9" s="1"/>
  <c r="B6" i="8"/>
  <c r="F6" i="8" s="1"/>
  <c r="G6" i="8" s="1"/>
  <c r="B6" i="6"/>
  <c r="I6" i="6" s="1"/>
  <c r="J6" i="6" s="1"/>
  <c r="B6" i="7"/>
  <c r="F6" i="7" s="1"/>
  <c r="G6" i="7" s="1"/>
  <c r="B4" i="6"/>
  <c r="I4" i="6" s="1"/>
  <c r="J4" i="6" s="1"/>
  <c r="B4" i="9"/>
  <c r="F4" i="9" s="1"/>
  <c r="G4" i="9" s="1"/>
  <c r="B4" i="8"/>
  <c r="F4" i="8" s="1"/>
  <c r="G4" i="8" s="1"/>
  <c r="B4" i="7"/>
  <c r="F4" i="7" s="1"/>
  <c r="G4" i="7" s="1"/>
  <c r="B3" i="9"/>
  <c r="F3" i="9" s="1"/>
  <c r="G3" i="9" s="1"/>
  <c r="B3" i="6"/>
  <c r="I3" i="6" s="1"/>
  <c r="J3" i="6" s="1"/>
  <c r="B3" i="8"/>
  <c r="F3" i="8" s="1"/>
  <c r="G3" i="8" s="1"/>
  <c r="B3" i="7"/>
  <c r="F3" i="7" s="1"/>
  <c r="G3" i="7" s="1"/>
  <c r="C10" i="4"/>
  <c r="Y10" i="4" s="1"/>
  <c r="B5" i="1"/>
  <c r="B6" i="2"/>
  <c r="H6" i="2" s="1"/>
  <c r="B6" i="3"/>
  <c r="J6" i="3" s="1"/>
  <c r="B5" i="3"/>
  <c r="J5" i="3" s="1"/>
  <c r="B5" i="2"/>
  <c r="B4" i="3"/>
  <c r="J4" i="3" s="1"/>
  <c r="B4" i="2"/>
  <c r="H4" i="2" s="1"/>
  <c r="E2" i="11"/>
  <c r="F2" i="11" s="1"/>
  <c r="H5" i="13"/>
  <c r="H5" i="2"/>
  <c r="H2" i="2"/>
  <c r="J2" i="3"/>
  <c r="J3" i="3"/>
  <c r="H3" i="2"/>
  <c r="H5" i="1"/>
  <c r="U6" i="4" l="1"/>
  <c r="AH6" i="4" s="1"/>
  <c r="U3" i="4"/>
  <c r="AH3" i="4" s="1"/>
  <c r="U2" i="4"/>
  <c r="AH2" i="4" s="1"/>
  <c r="U4" i="4"/>
  <c r="AH4" i="4" s="1"/>
  <c r="I5" i="1"/>
  <c r="J5" i="1" s="1"/>
  <c r="B5" i="9"/>
  <c r="F5" i="9" s="1"/>
  <c r="G5" i="9" s="1"/>
  <c r="B5" i="6"/>
  <c r="I5" i="6" s="1"/>
  <c r="J5" i="6" s="1"/>
  <c r="B5" i="8"/>
  <c r="F5" i="8" s="1"/>
  <c r="G5" i="8" s="1"/>
  <c r="B5" i="7"/>
  <c r="F5" i="7" s="1"/>
  <c r="G5" i="7" s="1"/>
  <c r="B2" i="10"/>
  <c r="D2" i="10" s="1"/>
  <c r="I6" i="1"/>
  <c r="J6" i="1" s="1"/>
  <c r="E10" i="4"/>
  <c r="H4" i="1"/>
  <c r="I4" i="1" s="1"/>
  <c r="J4" i="1" s="1"/>
  <c r="T10" i="4" l="1"/>
  <c r="J10" i="4"/>
  <c r="Y9" i="4"/>
  <c r="E9" i="4"/>
  <c r="Y7" i="4"/>
  <c r="E7" i="4"/>
  <c r="Z10" i="4"/>
  <c r="Y8" i="4"/>
  <c r="E8" i="4"/>
  <c r="H2" i="1"/>
  <c r="I2" i="1" s="1"/>
  <c r="J2" i="1" s="1"/>
  <c r="H3" i="1"/>
  <c r="I3" i="1" s="1"/>
  <c r="J3" i="1" s="1"/>
  <c r="AC10" i="4" l="1"/>
  <c r="U10" i="4"/>
  <c r="AH10" i="4"/>
  <c r="T9" i="4"/>
  <c r="Z9" i="4"/>
  <c r="J9" i="4"/>
  <c r="Z8" i="4"/>
  <c r="T8" i="4"/>
  <c r="J8" i="4"/>
  <c r="AC8" i="4" s="1"/>
  <c r="Z7" i="4"/>
  <c r="T7" i="4"/>
  <c r="J7" i="4"/>
  <c r="AC7" i="4" s="1"/>
  <c r="AC9" i="4" l="1"/>
  <c r="U9" i="4"/>
  <c r="AH9" i="4" s="1"/>
  <c r="U8" i="4"/>
  <c r="AH8" i="4" s="1"/>
  <c r="U7" i="4"/>
  <c r="AH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tc={A8E4B78B-EC7E-434A-936B-AD6A9045757B}</author>
  </authors>
  <commentList>
    <comment ref="G2" authorId="0" shapeId="0" xr:uid="{A8E4B78B-EC7E-434A-936B-AD6A904575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部分溶け込み溶接ではおそらく溶接長=有効溶接長となるが、余裕をもって有効溶接長=溶接長-2×開先深さとしてもOKとなるようにしておく</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tc={3182DCE7-2E91-40B9-AC81-1DECEC43B9C0}</author>
  </authors>
  <commentList>
    <comment ref="N8" authorId="0" shapeId="0" xr:uid="{3182DCE7-2E91-40B9-AC81-1DECEC43B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ブレースGPL厚</t>
      </text>
    </comment>
  </commentList>
</comments>
</file>

<file path=xl/sharedStrings.xml><?xml version="1.0" encoding="utf-8"?>
<sst xmlns="http://schemas.openxmlformats.org/spreadsheetml/2006/main" count="217" uniqueCount="102">
  <si>
    <t>ボルト本数</t>
  </si>
  <si>
    <t>符号</t>
  </si>
  <si>
    <t>設計軸力
[kN]</t>
  </si>
  <si>
    <t>ボルト許容せん断力
[kN/本]</t>
  </si>
  <si>
    <t>許容せん断力
[kN]</t>
  </si>
  <si>
    <t>検定比</t>
  </si>
  <si>
    <t>判定</t>
  </si>
  <si>
    <t>V1</t>
  </si>
  <si>
    <t>断面積
[cm2]</t>
  </si>
  <si>
    <t>ブレース材短期許容応力度
[N/mm2]</t>
  </si>
  <si>
    <t>GPL板厚
[mm]</t>
  </si>
  <si>
    <t>LG
[mm]</t>
  </si>
  <si>
    <t>GPL断面積
[cm2]</t>
  </si>
  <si>
    <t>GPL短期許容応力度
[N/mm2]</t>
  </si>
  <si>
    <t>引張耐力
[kN]</t>
  </si>
  <si>
    <t>溶接サイズ
[mm]</t>
  </si>
  <si>
    <t>溶接長
[mm]</t>
  </si>
  <si>
    <t>有効溶接長
[mm]</t>
  </si>
  <si>
    <t>溶接部短期許容応力度
[N/mm2]</t>
  </si>
  <si>
    <t>溶接部耐力
[kN]</t>
  </si>
  <si>
    <t>ブレース符号</t>
  </si>
  <si>
    <t>ブレース軸力
[kN]</t>
  </si>
  <si>
    <t>ブレース角度
[°]</t>
  </si>
  <si>
    <t>受梁軸力
[kN]</t>
  </si>
  <si>
    <t>必要ボルト本数</t>
  </si>
  <si>
    <t>設計ボルト本数</t>
  </si>
  <si>
    <t>ボルト列数</t>
  </si>
  <si>
    <t>ボルトピッチ
[mm]</t>
  </si>
  <si>
    <t>SPL厚
[mm]</t>
  </si>
  <si>
    <t>SPLせい
[mm]</t>
  </si>
  <si>
    <t>SPL枚数</t>
  </si>
  <si>
    <t>SPL有効断面積
[mm2]</t>
  </si>
  <si>
    <t>SPL降伏応力
[N/mm2]</t>
  </si>
  <si>
    <t>SPL降伏軸力
[kN]</t>
  </si>
  <si>
    <t>ブレース材短期許容耐力
[kN]</t>
  </si>
  <si>
    <t>α</t>
  </si>
  <si>
    <t>ボルト最大耐力
[kN]</t>
  </si>
  <si>
    <t>最大耐力
[kN]</t>
  </si>
  <si>
    <t>GPL終局強度
[N/mm2]</t>
  </si>
  <si>
    <t>GPL終局耐力
[kN]</t>
  </si>
  <si>
    <t>溶接部断面積
[cm2]</t>
  </si>
  <si>
    <t>溶接部終局強度
Fu/√3[N/mm2]</t>
  </si>
  <si>
    <t>溶接部終局耐力
[kN]</t>
  </si>
  <si>
    <t>欠損部断面積
[cm2]</t>
  </si>
  <si>
    <t>欠損部終局強度
[N/mm2]</t>
  </si>
  <si>
    <t>欠損部終局耐力
[kN]</t>
  </si>
  <si>
    <t>SPL降伏軸力
[kN]</t>
    <phoneticPr fontId="1"/>
  </si>
  <si>
    <t>V1</t>
    <phoneticPr fontId="1"/>
  </si>
  <si>
    <t>V4</t>
    <phoneticPr fontId="1"/>
  </si>
  <si>
    <t>金物/SPL引張耐力
[kN]</t>
    <rPh sb="0" eb="2">
      <t>カナモノ</t>
    </rPh>
    <phoneticPr fontId="1"/>
  </si>
  <si>
    <t>金物/SPL終局耐力
[kN]</t>
    <rPh sb="0" eb="2">
      <t>カナモノ</t>
    </rPh>
    <phoneticPr fontId="1"/>
  </si>
  <si>
    <t>受梁せん断力[kN]</t>
    <rPh sb="0" eb="1">
      <t>ウ</t>
    </rPh>
    <rPh sb="1" eb="2">
      <t>ハリ</t>
    </rPh>
    <rPh sb="4" eb="6">
      <t>ダンリョク</t>
    </rPh>
    <phoneticPr fontId="1"/>
  </si>
  <si>
    <t>F8T</t>
    <phoneticPr fontId="1"/>
  </si>
  <si>
    <t>M22</t>
    <phoneticPr fontId="1"/>
  </si>
  <si>
    <t>M12</t>
    <phoneticPr fontId="1"/>
  </si>
  <si>
    <t>M16</t>
    <phoneticPr fontId="1"/>
  </si>
  <si>
    <t>M20</t>
    <phoneticPr fontId="1"/>
  </si>
  <si>
    <t>M24</t>
    <phoneticPr fontId="1"/>
  </si>
  <si>
    <t>M27</t>
    <phoneticPr fontId="1"/>
  </si>
  <si>
    <t>M30</t>
    <phoneticPr fontId="1"/>
  </si>
  <si>
    <t>S10T</t>
    <phoneticPr fontId="1"/>
  </si>
  <si>
    <t>鋼種</t>
    <rPh sb="0" eb="2">
      <t>コウシュ</t>
    </rPh>
    <phoneticPr fontId="1"/>
  </si>
  <si>
    <t>ボルトの呼び</t>
    <rPh sb="4" eb="5">
      <t>ヨ</t>
    </rPh>
    <phoneticPr fontId="1"/>
  </si>
  <si>
    <t>摩擦面の数</t>
    <rPh sb="0" eb="2">
      <t>マサツ</t>
    </rPh>
    <rPh sb="2" eb="3">
      <t>メン</t>
    </rPh>
    <rPh sb="4" eb="5">
      <t>カズ</t>
    </rPh>
    <phoneticPr fontId="1"/>
  </si>
  <si>
    <t>呼び</t>
    <phoneticPr fontId="1"/>
  </si>
  <si>
    <t>長期許容せん断力（1面）</t>
    <rPh sb="0" eb="2">
      <t>チョウキ</t>
    </rPh>
    <rPh sb="2" eb="4">
      <t>キョヨウ</t>
    </rPh>
    <rPh sb="6" eb="8">
      <t>ダンリョク</t>
    </rPh>
    <rPh sb="10" eb="11">
      <t>メン</t>
    </rPh>
    <phoneticPr fontId="1"/>
  </si>
  <si>
    <t>引張側有効断面率</t>
    <rPh sb="0" eb="2">
      <t>ヒッパリ</t>
    </rPh>
    <rPh sb="2" eb="3">
      <t>ガワ</t>
    </rPh>
    <rPh sb="3" eb="5">
      <t>ユウコウ</t>
    </rPh>
    <rPh sb="5" eb="7">
      <t>ダンメン</t>
    </rPh>
    <rPh sb="7" eb="8">
      <t>リツ</t>
    </rPh>
    <phoneticPr fontId="1"/>
  </si>
  <si>
    <t>V3</t>
    <phoneticPr fontId="1"/>
  </si>
  <si>
    <t>V11</t>
    <phoneticPr fontId="1"/>
  </si>
  <si>
    <t>のど厚（両側）
[mm]</t>
    <rPh sb="4" eb="6">
      <t>リョウガワ</t>
    </rPh>
    <phoneticPr fontId="1"/>
  </si>
  <si>
    <t>最大せん断耐力（1面）</t>
    <rPh sb="0" eb="2">
      <t>サイダイ</t>
    </rPh>
    <rPh sb="4" eb="5">
      <t>ダン</t>
    </rPh>
    <rPh sb="5" eb="7">
      <t>タイリョク</t>
    </rPh>
    <rPh sb="9" eb="10">
      <t>メン</t>
    </rPh>
    <phoneticPr fontId="1"/>
  </si>
  <si>
    <t>設計軸力
[kN]</t>
    <rPh sb="0" eb="2">
      <t>セッケイ</t>
    </rPh>
    <rPh sb="2" eb="3">
      <t>ジク</t>
    </rPh>
    <rPh sb="3" eb="4">
      <t>リョク</t>
    </rPh>
    <phoneticPr fontId="1"/>
  </si>
  <si>
    <t>断面</t>
    <rPh sb="0" eb="2">
      <t>ダンメン</t>
    </rPh>
    <phoneticPr fontId="1"/>
  </si>
  <si>
    <t>使用ボルト</t>
    <rPh sb="0" eb="2">
      <t>シヨウ</t>
    </rPh>
    <phoneticPr fontId="1"/>
  </si>
  <si>
    <t>引張側有効断面積
[cm2]</t>
    <rPh sb="0" eb="2">
      <t>ヒッパリ</t>
    </rPh>
    <rPh sb="2" eb="3">
      <t>ガワ</t>
    </rPh>
    <rPh sb="3" eb="5">
      <t>ユウコウ</t>
    </rPh>
    <phoneticPr fontId="1"/>
  </si>
  <si>
    <t>断面2次半径
[cm]</t>
    <rPh sb="0" eb="2">
      <t>ダンメン</t>
    </rPh>
    <rPh sb="3" eb="4">
      <t>ツギ</t>
    </rPh>
    <rPh sb="4" eb="6">
      <t>ハンケイ</t>
    </rPh>
    <rPh sb="5" eb="6">
      <t>ケイ</t>
    </rPh>
    <phoneticPr fontId="1"/>
  </si>
  <si>
    <t>許容応力度設計時
設計軸力
[kN]</t>
    <rPh sb="0" eb="2">
      <t>キョヨウ</t>
    </rPh>
    <rPh sb="2" eb="4">
      <t>オウリョク</t>
    </rPh>
    <rPh sb="4" eb="5">
      <t>ド</t>
    </rPh>
    <rPh sb="5" eb="8">
      <t>セッケイジ</t>
    </rPh>
    <rPh sb="9" eb="11">
      <t>セッケイ</t>
    </rPh>
    <rPh sb="11" eb="12">
      <t>ジク</t>
    </rPh>
    <rPh sb="12" eb="13">
      <t>リョク</t>
    </rPh>
    <phoneticPr fontId="1"/>
  </si>
  <si>
    <t>ブレース材全断面
降伏軸力
[kN]</t>
    <rPh sb="5" eb="6">
      <t>ゼン</t>
    </rPh>
    <rPh sb="6" eb="8">
      <t>ダンメン</t>
    </rPh>
    <rPh sb="9" eb="11">
      <t>コウフク</t>
    </rPh>
    <rPh sb="11" eb="12">
      <t>ジク</t>
    </rPh>
    <rPh sb="12" eb="13">
      <t>リョク</t>
    </rPh>
    <phoneticPr fontId="1"/>
  </si>
  <si>
    <t>保有耐力接合検討時
設計軸力
[kN]</t>
    <rPh sb="0" eb="2">
      <t>ホユウ</t>
    </rPh>
    <rPh sb="2" eb="4">
      <t>タイリョク</t>
    </rPh>
    <rPh sb="4" eb="6">
      <t>セツゴウ</t>
    </rPh>
    <rPh sb="6" eb="8">
      <t>ケントウ</t>
    </rPh>
    <rPh sb="8" eb="9">
      <t>ジ</t>
    </rPh>
    <rPh sb="10" eb="12">
      <t>セッケイ</t>
    </rPh>
    <rPh sb="12" eb="13">
      <t>ジク</t>
    </rPh>
    <rPh sb="13" eb="14">
      <t>リョク</t>
    </rPh>
    <phoneticPr fontId="1"/>
  </si>
  <si>
    <t>V0</t>
    <phoneticPr fontId="1"/>
  </si>
  <si>
    <t>V2</t>
    <phoneticPr fontId="1"/>
  </si>
  <si>
    <t>V5</t>
    <phoneticPr fontId="1"/>
  </si>
  <si>
    <t>2CT-150x305x15x15</t>
    <phoneticPr fontId="1"/>
  </si>
  <si>
    <t>2CT-125x250x9x14</t>
    <phoneticPr fontId="1"/>
  </si>
  <si>
    <t>2x13-M22(S10T)</t>
    <phoneticPr fontId="1"/>
  </si>
  <si>
    <t>2x5-M22(S10T)</t>
    <phoneticPr fontId="1"/>
  </si>
  <si>
    <t>S10T</t>
  </si>
  <si>
    <t>M22</t>
  </si>
  <si>
    <t>2x6-M22(S10T)</t>
    <phoneticPr fontId="1"/>
  </si>
  <si>
    <t>-</t>
    <phoneticPr fontId="1"/>
  </si>
  <si>
    <t>G80MB</t>
    <phoneticPr fontId="1"/>
  </si>
  <si>
    <t>G49MB</t>
    <phoneticPr fontId="1"/>
  </si>
  <si>
    <t>G48B</t>
    <phoneticPr fontId="1"/>
  </si>
  <si>
    <t>G81MB</t>
    <phoneticPr fontId="1"/>
  </si>
  <si>
    <t>G1(ピン端)</t>
    <rPh sb="5" eb="6">
      <t>タン</t>
    </rPh>
    <phoneticPr fontId="1"/>
  </si>
  <si>
    <t>G39MB</t>
    <phoneticPr fontId="1"/>
  </si>
  <si>
    <t>G1A(ピン端)</t>
    <rPh sb="6" eb="7">
      <t>タン</t>
    </rPh>
    <phoneticPr fontId="1"/>
  </si>
  <si>
    <t>2x12-M20(S10T)</t>
    <phoneticPr fontId="1"/>
  </si>
  <si>
    <t>2x11-M20(S10T)</t>
    <phoneticPr fontId="1"/>
  </si>
  <si>
    <t>2x10-M20(S10T)</t>
    <phoneticPr fontId="1"/>
  </si>
  <si>
    <t>G89MB</t>
    <phoneticPr fontId="1"/>
  </si>
  <si>
    <t>G88MB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</si>
</sst>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8" x14ac:knownFonts="1">
    <font>
      <sz val="10"/>
      <color rgb="FF000000"/>
      <name val="Arial"/>
      <scheme val="minor"/>
    </font>
    <font>
      <sz val="6"/>
      <name val="Arial"/>
      <family val="3"/>
      <charset val="128"/>
      <scheme val="minor"/>
    </font>
    <font>
      <sz val="10"/>
      <color theme="1"/>
      <name val="游ゴシック"/>
      <family val="3"/>
      <charset val="128"/>
    </font>
    <font>
      <sz val="10"/>
      <color rgb="FF000000"/>
      <name val="游ゴシック"/>
      <family val="3"/>
      <charset val="128"/>
    </font>
    <font>
      <sz val="10"/>
      <name val="游ゴシック"/>
      <family val="3"/>
      <charset val="128"/>
    </font>
    <font>
      <sz val="10"/>
      <color rgb="FF000000"/>
      <name val="ＭＳ Ｐゴシック"/>
      <family val="3"/>
      <charset val="128"/>
    </font>
    <font>
      <sz val="10"/>
      <color rgb="FF000000"/>
      <name val="Arial"/>
      <family val="2"/>
      <scheme val="minor"/>
    </font>
    <font>
      <sz val="10"/>
      <color theme="4"/>
      <name val="游ゴシック"/>
      <family val="3"/>
      <charset val="128"/>
    </font>
  </fonts>
  <fills count="7">
    <fill>
      <patternFill patternType="none"/>
    </fill>
    <fill>
      <patternFill patternType="gray125"/>
    </fill>
    <fill>
      <patternFill patternType="solid">
        <fgColor theme="0"/>
        <bgColor theme="0"/>
      </patternFill>
    </fill>
    <fill>
      <patternFill patternType="solid">
        <fgColor theme="0" tint="-0.14999847407452621"/>
        <bgColor theme="1"/>
      </patternFill>
    </fill>
    <fill>
      <patternFill patternType="solid">
        <fgColor theme="0" tint="-0.14999847407452621"/>
        <bgColor indexed="64"/>
      </patternFill>
    </fill>
    <fill>
      <patternFill patternType="solid">
        <fgColor theme="0" tint="-0.14999847407452621"/>
        <bgColor theme="0"/>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61">
    <xf numFmtId="0" fontId="0" fillId="0" borderId="0" xfId="0"/>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2" fillId="0" borderId="1" xfId="0" applyFont="1" applyBorder="1" applyAlignment="1">
      <alignment horizontal="center"/>
    </xf>
    <xf numFmtId="176" fontId="2" fillId="0" borderId="1" xfId="0" applyNumberFormat="1" applyFont="1" applyBorder="1" applyAlignment="1">
      <alignment horizontal="center"/>
    </xf>
    <xf numFmtId="177" fontId="2" fillId="0" borderId="1" xfId="0" applyNumberFormat="1" applyFont="1" applyBorder="1" applyAlignment="1">
      <alignment horizontal="center"/>
    </xf>
    <xf numFmtId="0" fontId="4" fillId="3" borderId="2" xfId="0" applyFont="1" applyFill="1" applyBorder="1" applyAlignment="1">
      <alignment horizontal="center"/>
    </xf>
    <xf numFmtId="0" fontId="2" fillId="0" borderId="2" xfId="0" applyFont="1" applyBorder="1" applyAlignment="1">
      <alignment horizontal="center"/>
    </xf>
    <xf numFmtId="176" fontId="2" fillId="0" borderId="2" xfId="0" applyNumberFormat="1" applyFont="1" applyBorder="1" applyAlignment="1">
      <alignment horizontal="center"/>
    </xf>
    <xf numFmtId="0" fontId="2" fillId="2" borderId="1" xfId="0" applyFont="1" applyFill="1" applyBorder="1" applyAlignment="1">
      <alignment horizontal="center"/>
    </xf>
    <xf numFmtId="1" fontId="2" fillId="0" borderId="1" xfId="0" applyNumberFormat="1" applyFont="1" applyBorder="1" applyAlignment="1">
      <alignment horizontal="center"/>
    </xf>
    <xf numFmtId="0" fontId="2" fillId="2" borderId="0" xfId="0" applyFont="1" applyFill="1" applyAlignment="1">
      <alignment horizontal="center"/>
    </xf>
    <xf numFmtId="0" fontId="4" fillId="3" borderId="2" xfId="0" applyFont="1" applyFill="1" applyBorder="1" applyAlignment="1">
      <alignment horizontal="center" wrapText="1"/>
    </xf>
    <xf numFmtId="1" fontId="2" fillId="0" borderId="2" xfId="0" applyNumberFormat="1" applyFont="1" applyBorder="1" applyAlignment="1">
      <alignment horizontal="center"/>
    </xf>
    <xf numFmtId="0" fontId="4" fillId="4" borderId="2" xfId="0" applyFont="1" applyFill="1" applyBorder="1" applyAlignment="1">
      <alignment horizontal="center"/>
    </xf>
    <xf numFmtId="0" fontId="2" fillId="2" borderId="2" xfId="0" applyFont="1" applyFill="1" applyBorder="1" applyAlignment="1">
      <alignment horizontal="center"/>
    </xf>
    <xf numFmtId="0" fontId="3" fillId="0" borderId="2" xfId="0" applyFont="1" applyBorder="1" applyAlignment="1">
      <alignment horizontal="center"/>
    </xf>
    <xf numFmtId="176" fontId="2" fillId="2" borderId="2" xfId="0" applyNumberFormat="1" applyFont="1" applyFill="1" applyBorder="1" applyAlignment="1">
      <alignment horizontal="center"/>
    </xf>
    <xf numFmtId="0" fontId="2" fillId="5" borderId="2" xfId="0" applyFont="1" applyFill="1" applyBorder="1" applyAlignment="1">
      <alignment horizontal="center"/>
    </xf>
    <xf numFmtId="0" fontId="2" fillId="4" borderId="2" xfId="0" applyFont="1" applyFill="1" applyBorder="1" applyAlignment="1">
      <alignment horizontal="center"/>
    </xf>
    <xf numFmtId="0" fontId="3" fillId="4" borderId="2" xfId="0" applyFont="1" applyFill="1" applyBorder="1" applyAlignment="1">
      <alignment horizontal="center"/>
    </xf>
    <xf numFmtId="176" fontId="2" fillId="0" borderId="0" xfId="0" applyNumberFormat="1" applyFont="1" applyAlignment="1">
      <alignment horizontal="center"/>
    </xf>
    <xf numFmtId="1" fontId="2" fillId="0" borderId="0" xfId="0" applyNumberFormat="1" applyFont="1" applyAlignment="1">
      <alignment horizontal="center"/>
    </xf>
    <xf numFmtId="2" fontId="2" fillId="0" borderId="0" xfId="0" applyNumberFormat="1" applyFont="1" applyAlignment="1">
      <alignment horizontal="center"/>
    </xf>
    <xf numFmtId="0" fontId="4" fillId="3" borderId="1" xfId="0" applyFont="1" applyFill="1" applyBorder="1" applyAlignment="1">
      <alignment horizontal="center" wrapText="1"/>
    </xf>
    <xf numFmtId="0" fontId="2" fillId="0" borderId="3" xfId="0" applyFont="1" applyBorder="1" applyAlignment="1">
      <alignment horizontal="center"/>
    </xf>
    <xf numFmtId="176" fontId="7" fillId="0" borderId="1" xfId="0" applyNumberFormat="1" applyFont="1" applyBorder="1" applyAlignment="1">
      <alignment horizontal="center"/>
    </xf>
    <xf numFmtId="176" fontId="7" fillId="0" borderId="3" xfId="0" applyNumberFormat="1" applyFont="1" applyBorder="1" applyAlignment="1">
      <alignment horizontal="center"/>
    </xf>
    <xf numFmtId="0" fontId="7" fillId="0" borderId="1" xfId="0" applyFont="1" applyBorder="1" applyAlignment="1">
      <alignment horizontal="center"/>
    </xf>
    <xf numFmtId="177" fontId="7" fillId="0" borderId="1" xfId="0" applyNumberFormat="1" applyFont="1" applyBorder="1" applyAlignment="1">
      <alignment horizontal="center"/>
    </xf>
    <xf numFmtId="2" fontId="7" fillId="0" borderId="2" xfId="0" applyNumberFormat="1" applyFont="1" applyBorder="1" applyAlignment="1">
      <alignment horizontal="center"/>
    </xf>
    <xf numFmtId="1" fontId="7" fillId="0" borderId="1" xfId="0" applyNumberFormat="1" applyFont="1" applyBorder="1" applyAlignment="1">
      <alignment horizontal="center"/>
    </xf>
    <xf numFmtId="2" fontId="7" fillId="0" borderId="1" xfId="0" applyNumberFormat="1" applyFont="1" applyBorder="1" applyAlignment="1">
      <alignment horizontal="center"/>
    </xf>
    <xf numFmtId="176" fontId="7" fillId="0" borderId="2" xfId="0" applyNumberFormat="1" applyFont="1" applyBorder="1" applyAlignment="1">
      <alignment horizontal="center"/>
    </xf>
    <xf numFmtId="0" fontId="7" fillId="0" borderId="2" xfId="0" applyFont="1" applyBorder="1" applyAlignment="1">
      <alignment horizontal="center"/>
    </xf>
    <xf numFmtId="177" fontId="7" fillId="0" borderId="2" xfId="0" applyNumberFormat="1" applyFont="1" applyBorder="1" applyAlignment="1">
      <alignment horizontal="center"/>
    </xf>
    <xf numFmtId="0" fontId="7" fillId="6" borderId="1" xfId="0" applyFont="1" applyFill="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0" fillId="0" borderId="0" xfId="0" applyAlignment="1">
      <alignment horizontal="center"/>
    </xf>
    <xf numFmtId="0" fontId="0" fillId="0" borderId="8" xfId="0"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0" fontId="4" fillId="3" borderId="15" xfId="0" applyFont="1" applyFill="1" applyBorder="1" applyAlignment="1">
      <alignment horizontal="center"/>
    </xf>
    <xf numFmtId="0" fontId="4" fillId="3" borderId="15" xfId="0" applyFont="1" applyFill="1" applyBorder="1" applyAlignment="1">
      <alignment horizontal="center" wrapText="1"/>
    </xf>
    <xf numFmtId="2" fontId="3" fillId="0" borderId="2" xfId="0" applyNumberFormat="1" applyFont="1" applyBorder="1" applyAlignment="1">
      <alignment horizontal="center"/>
    </xf>
    <xf numFmtId="176" fontId="7" fillId="6" borderId="2" xfId="0" applyNumberFormat="1" applyFont="1" applyFill="1" applyBorder="1" applyAlignment="1">
      <alignment horizontal="center"/>
    </xf>
    <xf numFmtId="2" fontId="2" fillId="0" borderId="1" xfId="0" applyNumberFormat="1" applyFont="1" applyBorder="1" applyAlignment="1">
      <alignment horizontal="center"/>
    </xf>
    <xf numFmtId="176" fontId="2" fillId="0" borderId="1" xfId="0" quotePrefix="1" applyNumberFormat="1" applyFont="1" applyBorder="1" applyAlignment="1">
      <alignment horizontal="center"/>
    </xf>
    <xf numFmtId="0" fontId="2" fillId="0" borderId="2" xfId="0" applyFont="1" applyFill="1" applyBorder="1" applyAlignment="1">
      <alignment horizontal="center"/>
    </xf>
  </cellXfs>
  <cellStyles count="1">
    <cellStyle name="標準"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Kota Tsuboi" id="{E8D6BF10-722E-450F-8F46-8E62A87630A4}" userId="387e385f3ed66837"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 dT="2025-04-09T03:01:04.31" personId="{E8D6BF10-722E-450F-8F46-8E62A87630A4}" id="{A8E4B78B-EC7E-434A-936B-AD6A9045757B}">
    <text>部分溶け込み溶接ではおそらく溶接長=有効溶接長となるが、余裕をもって有効溶接長=溶接長-2×開先深さとしてもOKとなるようにしておく</text>
  </threadedComment>
</ThreadedComments>
</file>

<file path=xl/threadedComments/threadedComment2.xml><?xml version="1.0" encoding="utf-8"?>
<ThreadedComments xmlns="http://schemas.microsoft.com/office/spreadsheetml/2018/threadedcomments" xmlns:x="http://schemas.openxmlformats.org/spreadsheetml/2006/main">
  <threadedComment ref="N8" dT="2025-04-16T01:54:19.90" personId="{E8D6BF10-722E-450F-8F46-8E62A87630A4}" id="{3182DCE7-2E91-40B9-AC81-1DECEC43B9C0}">
    <text>ブレースGPL厚</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9DBE-FFD1-4100-A239-982A73A53C23}">
  <dimension ref="A1:Q8"/>
  <sheetViews>
    <sheetView zoomScale="160" zoomScaleNormal="160" workbookViewId="0">
      <selection activeCell="G2" sqref="G2:G8"/>
    </sheetView>
  </sheetViews>
  <sheetFormatPr defaultColWidth="12.7109375" defaultRowHeight="15.95" customHeight="1" x14ac:dyDescent="0.35"/>
  <cols>
    <col min="1" max="6" width="12.7109375" style="53"/>
    <col min="7" max="7" width="15.42578125" style="53" bestFit="1" customWidth="1"/>
    <col min="8" max="16384" width="12.7109375" style="53"/>
  </cols>
  <sheetData>
    <row r="1" spans="1:17" ht="49.5" x14ac:dyDescent="0.35">
      <c r="A1" s="54" t="s">
        <v>1</v>
      </c>
      <c r="B1" s="54"/>
      <c r="C1" s="54"/>
      <c r="D1" s="54"/>
      <c r="E1" s="54" t="s">
        <v>72</v>
      </c>
      <c r="F1" s="54" t="s">
        <v>8</v>
      </c>
      <c r="G1" s="54" t="s">
        <v>73</v>
      </c>
      <c r="H1" s="55" t="s">
        <v>74</v>
      </c>
      <c r="I1" s="55"/>
      <c r="J1" s="55" t="s">
        <v>75</v>
      </c>
      <c r="L1" s="21" t="str">
        <f>A1</f>
        <v>符号</v>
      </c>
      <c r="M1" s="21" t="str">
        <f>E1</f>
        <v>断面</v>
      </c>
      <c r="N1" s="21" t="str">
        <f>F1</f>
        <v>断面積
[cm2]</v>
      </c>
      <c r="O1" s="21" t="str">
        <f>G1</f>
        <v>使用ボルト</v>
      </c>
      <c r="P1" s="21" t="str">
        <f>H1</f>
        <v>引張側有効断面積
[cm2]</v>
      </c>
      <c r="Q1" s="21" t="str">
        <f t="shared" ref="Q1:Q7" si="0">J1</f>
        <v>断面2次半径
[cm]</v>
      </c>
    </row>
    <row r="2" spans="1:17" ht="15.95" customHeight="1" x14ac:dyDescent="0.35">
      <c r="A2" s="8" t="s">
        <v>79</v>
      </c>
      <c r="B2" s="8"/>
      <c r="C2" s="8"/>
      <c r="D2" s="8"/>
      <c r="E2" s="35" t="s">
        <v>82</v>
      </c>
      <c r="F2" s="35">
        <v>133.5</v>
      </c>
      <c r="G2" s="17" t="s">
        <v>84</v>
      </c>
      <c r="H2" s="35">
        <f t="shared" ref="H2:H7" si="1">F2</f>
        <v>133.5</v>
      </c>
      <c r="I2" s="57">
        <f>2/3*(15*150^3+(305-15)*15^3)/10000</f>
        <v>3440.25</v>
      </c>
      <c r="J2" s="31">
        <f>SQRT(I2/F2)</f>
        <v>5.0763828580346768</v>
      </c>
      <c r="L2" s="17" t="str">
        <f t="shared" ref="L2:L7" si="2">A2</f>
        <v>V0</v>
      </c>
      <c r="M2" s="17" t="str">
        <f t="shared" ref="M2:O7" si="3">E2</f>
        <v>2CT-150x305x15x15</v>
      </c>
      <c r="N2" s="17">
        <f t="shared" si="3"/>
        <v>133.5</v>
      </c>
      <c r="O2" s="17" t="str">
        <f t="shared" si="3"/>
        <v>2x13-M22(S10T)</v>
      </c>
      <c r="P2" s="17" t="str">
        <f>H2&amp;" ("&amp;ROUND(H2/F2*100, 1)&amp;"%)"</f>
        <v>133.5 (100%)</v>
      </c>
      <c r="Q2" s="56">
        <f t="shared" si="0"/>
        <v>5.0763828580346768</v>
      </c>
    </row>
    <row r="3" spans="1:17" ht="15.95" customHeight="1" x14ac:dyDescent="0.35">
      <c r="A3" s="8" t="s">
        <v>47</v>
      </c>
      <c r="B3" s="8"/>
      <c r="C3" s="8"/>
      <c r="D3" s="8"/>
      <c r="E3" s="35" t="s">
        <v>83</v>
      </c>
      <c r="F3" s="35">
        <v>91.43</v>
      </c>
      <c r="G3" s="17" t="s">
        <v>97</v>
      </c>
      <c r="H3" s="35">
        <f t="shared" si="1"/>
        <v>91.43</v>
      </c>
      <c r="I3" s="57">
        <f>2/3*(9*150^3+(305-9)*14^3)/10000</f>
        <v>2079.1482666666666</v>
      </c>
      <c r="J3" s="31">
        <f>SQRT(I3/F3)</f>
        <v>4.7686820872258195</v>
      </c>
      <c r="L3" s="17" t="str">
        <f t="shared" si="2"/>
        <v>V1</v>
      </c>
      <c r="M3" s="17" t="str">
        <f t="shared" si="3"/>
        <v>2CT-125x250x9x14</v>
      </c>
      <c r="N3" s="17">
        <f t="shared" si="3"/>
        <v>91.43</v>
      </c>
      <c r="O3" s="17" t="str">
        <f t="shared" si="3"/>
        <v>2x12-M20(S10T)</v>
      </c>
      <c r="P3" s="17" t="str">
        <f t="shared" ref="P3:P8" si="4">H3&amp;" ("&amp;ROUND(H3/F3*100, 1)&amp;"%)"</f>
        <v>91.43 (100%)</v>
      </c>
      <c r="Q3" s="56">
        <f t="shared" si="0"/>
        <v>4.7686820872258195</v>
      </c>
    </row>
    <row r="4" spans="1:17" ht="15.95" customHeight="1" x14ac:dyDescent="0.35">
      <c r="A4" s="8" t="s">
        <v>80</v>
      </c>
      <c r="B4" s="8">
        <v>1</v>
      </c>
      <c r="C4" s="8">
        <v>22</v>
      </c>
      <c r="D4" s="8">
        <v>300</v>
      </c>
      <c r="E4" s="35" t="str">
        <f t="shared" ref="E4:E5" si="5">"PL-"&amp;C4&amp;"x"&amp;D4</f>
        <v>PL-22x300</v>
      </c>
      <c r="F4" s="35">
        <f t="shared" ref="F4:F6" si="6">B4*C4*D4/100</f>
        <v>66</v>
      </c>
      <c r="G4" s="17" t="s">
        <v>98</v>
      </c>
      <c r="H4" s="35">
        <f t="shared" si="1"/>
        <v>66</v>
      </c>
      <c r="I4" s="34">
        <f t="shared" ref="I4:I7" si="7">D4*(B4*C4)^3/12/10000</f>
        <v>26.62</v>
      </c>
      <c r="J4" s="31">
        <f t="shared" ref="J4:J7" si="8">SQRT(I4/F4)</f>
        <v>0.63508529610858833</v>
      </c>
      <c r="L4" s="17" t="str">
        <f t="shared" si="2"/>
        <v>V2</v>
      </c>
      <c r="M4" s="17" t="str">
        <f t="shared" si="3"/>
        <v>PL-22x300</v>
      </c>
      <c r="N4" s="17">
        <f t="shared" si="3"/>
        <v>66</v>
      </c>
      <c r="O4" s="17" t="str">
        <f t="shared" si="3"/>
        <v>2x11-M20(S10T)</v>
      </c>
      <c r="P4" s="17" t="str">
        <f t="shared" si="4"/>
        <v>66 (100%)</v>
      </c>
      <c r="Q4" s="56">
        <f t="shared" si="0"/>
        <v>0.63508529610858833</v>
      </c>
    </row>
    <row r="5" spans="1:17" ht="15.95" customHeight="1" x14ac:dyDescent="0.35">
      <c r="A5" s="8" t="s">
        <v>67</v>
      </c>
      <c r="B5" s="8">
        <v>1</v>
      </c>
      <c r="C5" s="8">
        <v>25</v>
      </c>
      <c r="D5" s="8">
        <v>200</v>
      </c>
      <c r="E5" s="35" t="str">
        <f t="shared" si="5"/>
        <v>PL-25x200</v>
      </c>
      <c r="F5" s="35">
        <f t="shared" si="6"/>
        <v>50</v>
      </c>
      <c r="G5" s="17" t="s">
        <v>99</v>
      </c>
      <c r="H5" s="35">
        <f t="shared" si="1"/>
        <v>50</v>
      </c>
      <c r="I5" s="34">
        <f t="shared" si="7"/>
        <v>26.041666666666664</v>
      </c>
      <c r="J5" s="31">
        <f t="shared" si="8"/>
        <v>0.72168783648703216</v>
      </c>
      <c r="L5" s="17" t="str">
        <f t="shared" si="2"/>
        <v>V3</v>
      </c>
      <c r="M5" s="17" t="str">
        <f t="shared" si="3"/>
        <v>PL-25x200</v>
      </c>
      <c r="N5" s="17">
        <f t="shared" si="3"/>
        <v>50</v>
      </c>
      <c r="O5" s="17" t="str">
        <f t="shared" si="3"/>
        <v>2x10-M20(S10T)</v>
      </c>
      <c r="P5" s="17" t="str">
        <f t="shared" si="4"/>
        <v>50 (100%)</v>
      </c>
      <c r="Q5" s="56">
        <f t="shared" si="0"/>
        <v>0.72168783648703216</v>
      </c>
    </row>
    <row r="6" spans="1:17" ht="15.95" customHeight="1" x14ac:dyDescent="0.35">
      <c r="A6" s="8" t="s">
        <v>48</v>
      </c>
      <c r="B6" s="8">
        <v>1</v>
      </c>
      <c r="C6" s="8">
        <v>25</v>
      </c>
      <c r="D6" s="8">
        <v>120</v>
      </c>
      <c r="E6" s="35" t="str">
        <f>"PL-"&amp;C6&amp;"x"&amp;D6</f>
        <v>PL-25x120</v>
      </c>
      <c r="F6" s="35">
        <f t="shared" si="6"/>
        <v>30</v>
      </c>
      <c r="G6" s="17" t="s">
        <v>88</v>
      </c>
      <c r="H6" s="35">
        <f t="shared" si="1"/>
        <v>30</v>
      </c>
      <c r="I6" s="34">
        <f t="shared" si="7"/>
        <v>15.625</v>
      </c>
      <c r="J6" s="31">
        <f t="shared" si="8"/>
        <v>0.72168783648703227</v>
      </c>
      <c r="L6" s="17" t="str">
        <f t="shared" si="2"/>
        <v>V4</v>
      </c>
      <c r="M6" s="17" t="str">
        <f t="shared" si="3"/>
        <v>PL-25x120</v>
      </c>
      <c r="N6" s="17">
        <f t="shared" si="3"/>
        <v>30</v>
      </c>
      <c r="O6" s="17" t="str">
        <f t="shared" si="3"/>
        <v>2x6-M22(S10T)</v>
      </c>
      <c r="P6" s="17" t="str">
        <f t="shared" si="4"/>
        <v>30 (100%)</v>
      </c>
      <c r="Q6" s="56">
        <f t="shared" si="0"/>
        <v>0.72168783648703227</v>
      </c>
    </row>
    <row r="7" spans="1:17" ht="15.95" customHeight="1" x14ac:dyDescent="0.35">
      <c r="A7" s="8" t="s">
        <v>81</v>
      </c>
      <c r="B7" s="8">
        <v>1</v>
      </c>
      <c r="C7" s="8">
        <v>25</v>
      </c>
      <c r="D7" s="8">
        <v>100</v>
      </c>
      <c r="E7" s="35" t="str">
        <f>"PL-"&amp;C7&amp;"x"&amp;D7</f>
        <v>PL-25x100</v>
      </c>
      <c r="F7" s="35">
        <f>B7*C7*D7/100</f>
        <v>25</v>
      </c>
      <c r="G7" s="17" t="s">
        <v>85</v>
      </c>
      <c r="H7" s="35">
        <f t="shared" si="1"/>
        <v>25</v>
      </c>
      <c r="I7" s="34">
        <f t="shared" si="7"/>
        <v>13.020833333333332</v>
      </c>
      <c r="J7" s="31">
        <f t="shared" si="8"/>
        <v>0.72168783648703216</v>
      </c>
      <c r="L7" s="17" t="str">
        <f t="shared" si="2"/>
        <v>V5</v>
      </c>
      <c r="M7" s="17" t="str">
        <f t="shared" si="3"/>
        <v>PL-25x100</v>
      </c>
      <c r="N7" s="17">
        <f t="shared" si="3"/>
        <v>25</v>
      </c>
      <c r="O7" s="17" t="str">
        <f t="shared" si="3"/>
        <v>2x5-M22(S10T)</v>
      </c>
      <c r="P7" s="17" t="str">
        <f t="shared" si="4"/>
        <v>25 (100%)</v>
      </c>
      <c r="Q7" s="56">
        <f t="shared" si="0"/>
        <v>0.72168783648703216</v>
      </c>
    </row>
    <row r="8" spans="1:17" ht="15.95" customHeight="1" x14ac:dyDescent="0.35">
      <c r="A8" s="8" t="s">
        <v>68</v>
      </c>
      <c r="B8" s="8">
        <v>2</v>
      </c>
      <c r="C8" s="8">
        <v>22</v>
      </c>
      <c r="D8" s="8">
        <v>230</v>
      </c>
      <c r="E8" s="35" t="str">
        <f>B8&amp;"PL-"&amp;C8&amp;"x"&amp;D8</f>
        <v>2PL-22x230</v>
      </c>
      <c r="F8" s="35">
        <f>B8*C8*D8/100</f>
        <v>101.2</v>
      </c>
      <c r="G8" s="17" t="s">
        <v>84</v>
      </c>
      <c r="H8" s="35">
        <f>F8-2*C8*24/100</f>
        <v>90.64</v>
      </c>
      <c r="I8" s="34">
        <f t="shared" ref="I8" si="9">D8*(B8*C8)^3/12/10000</f>
        <v>163.26933333333332</v>
      </c>
      <c r="J8" s="31">
        <f t="shared" ref="J8" si="10">SQRT(I8/F8)</f>
        <v>1.2701705922171767</v>
      </c>
      <c r="L8" s="17" t="str">
        <f t="shared" ref="L8" si="11">A8</f>
        <v>V11</v>
      </c>
      <c r="M8" s="17" t="str">
        <f t="shared" ref="M8" si="12">E8</f>
        <v>2PL-22x230</v>
      </c>
      <c r="N8" s="17">
        <f t="shared" ref="N8" si="13">F8</f>
        <v>101.2</v>
      </c>
      <c r="O8" s="17" t="str">
        <f t="shared" ref="O8" si="14">G8</f>
        <v>2x13-M22(S10T)</v>
      </c>
      <c r="P8" s="17" t="str">
        <f t="shared" si="4"/>
        <v>90.64 (89.6%)</v>
      </c>
      <c r="Q8" s="56">
        <f t="shared" ref="Q8" si="15">J8</f>
        <v>1.2701705922171767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AFE0-36E2-4B55-AFE7-9FD7B71A8516}">
  <dimension ref="A1:G8"/>
  <sheetViews>
    <sheetView zoomScale="190" zoomScaleNormal="190" workbookViewId="0">
      <selection activeCell="D11" sqref="D11"/>
    </sheetView>
  </sheetViews>
  <sheetFormatPr defaultColWidth="12.7109375" defaultRowHeight="15.95" customHeight="1" x14ac:dyDescent="0.2"/>
  <sheetData>
    <row r="1" spans="1:7" ht="15.95" customHeight="1" x14ac:dyDescent="0.35">
      <c r="A1" s="3" t="s">
        <v>1</v>
      </c>
      <c r="B1" s="13" t="s">
        <v>71</v>
      </c>
      <c r="C1" s="3" t="s">
        <v>43</v>
      </c>
      <c r="D1" s="3" t="s">
        <v>44</v>
      </c>
      <c r="E1" s="3" t="s">
        <v>45</v>
      </c>
      <c r="F1" s="3" t="s">
        <v>5</v>
      </c>
      <c r="G1" s="3" t="s">
        <v>6</v>
      </c>
    </row>
    <row r="2" spans="1:7" ht="15.95" customHeight="1" x14ac:dyDescent="0.35">
      <c r="A2" s="29" t="str">
        <f>Nd!A2</f>
        <v>V0</v>
      </c>
      <c r="B2" s="34">
        <f>Nd!H2</f>
        <v>5206.5</v>
      </c>
      <c r="C2" s="37">
        <v>0</v>
      </c>
      <c r="D2" s="4">
        <v>490</v>
      </c>
      <c r="E2" s="27">
        <f t="shared" ref="E2:E7" si="0">D2*C2*100/1000</f>
        <v>0</v>
      </c>
      <c r="F2" s="30" t="e">
        <f>B2/E2</f>
        <v>#DIV/0!</v>
      </c>
      <c r="G2" s="4" t="e">
        <f t="shared" ref="G2:G8" si="1">IF(F2&lt;1, "OK", "NG")</f>
        <v>#DIV/0!</v>
      </c>
    </row>
    <row r="3" spans="1:7" ht="15.95" customHeight="1" x14ac:dyDescent="0.35">
      <c r="A3" s="29" t="str">
        <f>Nd!A3</f>
        <v>V1</v>
      </c>
      <c r="B3" s="34">
        <f>Nd!H3</f>
        <v>3565.77</v>
      </c>
      <c r="C3" s="37">
        <v>0</v>
      </c>
      <c r="D3" s="4">
        <v>490</v>
      </c>
      <c r="E3" s="27">
        <f t="shared" si="0"/>
        <v>0</v>
      </c>
      <c r="F3" s="30" t="e">
        <f t="shared" ref="F3:F7" si="2">B3/E3</f>
        <v>#DIV/0!</v>
      </c>
      <c r="G3" s="4" t="e">
        <f t="shared" si="1"/>
        <v>#DIV/0!</v>
      </c>
    </row>
    <row r="4" spans="1:7" ht="15.95" customHeight="1" x14ac:dyDescent="0.35">
      <c r="A4" s="29" t="str">
        <f>Nd!A4</f>
        <v>V2</v>
      </c>
      <c r="B4" s="34">
        <f>Nd!H4</f>
        <v>2574</v>
      </c>
      <c r="C4" s="37">
        <v>0</v>
      </c>
      <c r="D4" s="4">
        <v>490</v>
      </c>
      <c r="E4" s="27">
        <f t="shared" si="0"/>
        <v>0</v>
      </c>
      <c r="F4" s="30" t="e">
        <f t="shared" si="2"/>
        <v>#DIV/0!</v>
      </c>
      <c r="G4" s="4" t="e">
        <f t="shared" si="1"/>
        <v>#DIV/0!</v>
      </c>
    </row>
    <row r="5" spans="1:7" ht="15.95" customHeight="1" x14ac:dyDescent="0.35">
      <c r="A5" s="29" t="str">
        <f>Nd!A5</f>
        <v>V3</v>
      </c>
      <c r="B5" s="34">
        <f>Nd!H5</f>
        <v>1950</v>
      </c>
      <c r="C5" s="37">
        <v>0</v>
      </c>
      <c r="D5" s="4">
        <v>490</v>
      </c>
      <c r="E5" s="27">
        <f t="shared" si="0"/>
        <v>0</v>
      </c>
      <c r="F5" s="30" t="e">
        <f t="shared" si="2"/>
        <v>#DIV/0!</v>
      </c>
      <c r="G5" s="4" t="e">
        <f t="shared" si="1"/>
        <v>#DIV/0!</v>
      </c>
    </row>
    <row r="6" spans="1:7" ht="15.95" customHeight="1" x14ac:dyDescent="0.35">
      <c r="A6" s="29" t="str">
        <f>Nd!A6</f>
        <v>V4</v>
      </c>
      <c r="B6" s="34">
        <f>Nd!H6</f>
        <v>1170</v>
      </c>
      <c r="C6" s="37">
        <v>0</v>
      </c>
      <c r="D6" s="4">
        <v>490</v>
      </c>
      <c r="E6" s="27">
        <f t="shared" si="0"/>
        <v>0</v>
      </c>
      <c r="F6" s="30" t="e">
        <f t="shared" si="2"/>
        <v>#DIV/0!</v>
      </c>
      <c r="G6" s="4" t="e">
        <f t="shared" si="1"/>
        <v>#DIV/0!</v>
      </c>
    </row>
    <row r="7" spans="1:7" ht="15.95" customHeight="1" x14ac:dyDescent="0.35">
      <c r="A7" s="29" t="str">
        <f>Nd!A7</f>
        <v>V5</v>
      </c>
      <c r="B7" s="34">
        <f>Nd!H7</f>
        <v>975</v>
      </c>
      <c r="C7" s="37">
        <v>0</v>
      </c>
      <c r="D7" s="4">
        <v>490</v>
      </c>
      <c r="E7" s="27">
        <f t="shared" si="0"/>
        <v>0</v>
      </c>
      <c r="F7" s="30" t="e">
        <f t="shared" si="2"/>
        <v>#DIV/0!</v>
      </c>
      <c r="G7" s="4" t="e">
        <f t="shared" si="1"/>
        <v>#DIV/0!</v>
      </c>
    </row>
    <row r="8" spans="1:7" ht="15.95" customHeight="1" x14ac:dyDescent="0.35">
      <c r="A8" s="29" t="str">
        <f>Nd!A8</f>
        <v>V11</v>
      </c>
      <c r="B8" s="34">
        <f>Nd!H8</f>
        <v>5343.36</v>
      </c>
      <c r="C8" s="37">
        <f>i!H8</f>
        <v>90.64</v>
      </c>
      <c r="D8" s="4">
        <v>590</v>
      </c>
      <c r="E8" s="27">
        <f t="shared" ref="E8" si="3">D8*C8*100/1000</f>
        <v>5347.76</v>
      </c>
      <c r="F8" s="30">
        <f t="shared" ref="F8" si="4">B8/E8</f>
        <v>0.99917722560473909</v>
      </c>
      <c r="G8" s="4" t="str">
        <f t="shared" si="1"/>
        <v>OK</v>
      </c>
    </row>
  </sheetData>
  <phoneticPr fontId="1"/>
  <conditionalFormatting sqref="G2:G8">
    <cfRule type="containsText" dxfId="5" priority="1" operator="containsText" text="NG">
      <formula>NOT(ISERROR(SEARCH("NG",G2)))</formula>
    </cfRule>
    <cfRule type="containsText" dxfId="4" priority="2" operator="containsText" text="OK">
      <formula>NOT(ISERROR(SEARCH("OK",G2)))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B8398-6CF2-4EBF-96C2-DCF768B2B1B6}">
  <dimension ref="A1:D2"/>
  <sheetViews>
    <sheetView zoomScale="190" zoomScaleNormal="190" workbookViewId="0">
      <selection activeCell="B3" sqref="B3"/>
    </sheetView>
  </sheetViews>
  <sheetFormatPr defaultColWidth="12.7109375" defaultRowHeight="15.95" customHeight="1" x14ac:dyDescent="0.2"/>
  <sheetData>
    <row r="1" spans="1:4" ht="15.95" customHeight="1" x14ac:dyDescent="0.35">
      <c r="A1" s="3" t="s">
        <v>1</v>
      </c>
      <c r="B1" s="3" t="s">
        <v>2</v>
      </c>
      <c r="C1" s="13" t="s">
        <v>49</v>
      </c>
      <c r="D1" s="7" t="s">
        <v>6</v>
      </c>
    </row>
    <row r="2" spans="1:4" ht="15.95" customHeight="1" x14ac:dyDescent="0.35">
      <c r="A2" s="8"/>
      <c r="B2" s="5">
        <f>bolt_y!B6</f>
        <v>975</v>
      </c>
      <c r="C2" s="9">
        <f>2*832</f>
        <v>1664</v>
      </c>
      <c r="D2" s="8" t="str">
        <f>IF(C2&gt;B2, "OK", "NG")</f>
        <v>OK</v>
      </c>
    </row>
  </sheetData>
  <phoneticPr fontId="1"/>
  <conditionalFormatting sqref="D2">
    <cfRule type="containsText" dxfId="3" priority="1" operator="containsText" text="NG">
      <formula>NOT(ISERROR(SEARCH("NG",D2)))</formula>
    </cfRule>
    <cfRule type="containsText" dxfId="2" priority="2" operator="containsText" text="OK">
      <formula>NOT(ISERROR(SEARCH("OK",D2)))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F53CC-09AC-45BB-8500-1B2245768137}">
  <dimension ref="A1:F2"/>
  <sheetViews>
    <sheetView zoomScale="190" zoomScaleNormal="190" workbookViewId="0">
      <selection activeCell="C6" sqref="C6"/>
    </sheetView>
  </sheetViews>
  <sheetFormatPr defaultColWidth="12.7109375" defaultRowHeight="15.95" customHeight="1" x14ac:dyDescent="0.2"/>
  <sheetData>
    <row r="1" spans="1:6" ht="15.95" customHeight="1" x14ac:dyDescent="0.35">
      <c r="A1" s="3" t="s">
        <v>1</v>
      </c>
      <c r="B1" s="3" t="s">
        <v>34</v>
      </c>
      <c r="C1" s="3" t="s">
        <v>35</v>
      </c>
      <c r="D1" s="25" t="s">
        <v>50</v>
      </c>
      <c r="E1" s="3" t="s">
        <v>5</v>
      </c>
      <c r="F1" s="3" t="s">
        <v>6</v>
      </c>
    </row>
    <row r="2" spans="1:6" ht="15.95" customHeight="1" x14ac:dyDescent="0.35">
      <c r="A2" s="8"/>
      <c r="B2" s="5">
        <f>Nd!F$6</f>
        <v>975</v>
      </c>
      <c r="C2" s="4">
        <v>1.2</v>
      </c>
      <c r="D2" s="5">
        <f>2*1254</f>
        <v>2508</v>
      </c>
      <c r="E2" s="6">
        <f>Nd!H6/D2</f>
        <v>0.46650717703349281</v>
      </c>
      <c r="F2" s="4" t="str">
        <f>IF(E2&lt;1, "OK", "NG")</f>
        <v>OK</v>
      </c>
    </row>
  </sheetData>
  <phoneticPr fontId="1"/>
  <conditionalFormatting sqref="F2">
    <cfRule type="containsText" dxfId="1" priority="1" operator="containsText" text="NG">
      <formula>NOT(ISERROR(SEARCH("NG",F2)))</formula>
    </cfRule>
    <cfRule type="containsText" dxfId="0" priority="2" operator="containsText" text="OK">
      <formula>NOT(ISERROR(SEARCH("OK",F2)))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9B56-E6A2-4339-8D9B-E2F8C2594B5B}">
  <dimension ref="A1:E15"/>
  <sheetViews>
    <sheetView zoomScale="175" zoomScaleNormal="175" workbookViewId="0">
      <selection activeCell="D19" sqref="D19"/>
    </sheetView>
  </sheetViews>
  <sheetFormatPr defaultRowHeight="12.75" x14ac:dyDescent="0.2"/>
  <cols>
    <col min="3" max="3" width="10.140625" bestFit="1" customWidth="1"/>
    <col min="4" max="4" width="22.7109375" bestFit="1" customWidth="1"/>
    <col min="5" max="5" width="20.5703125" bestFit="1" customWidth="1"/>
  </cols>
  <sheetData>
    <row r="1" spans="1:5" x14ac:dyDescent="0.2">
      <c r="A1" s="38" t="s">
        <v>61</v>
      </c>
      <c r="B1" s="39" t="s">
        <v>64</v>
      </c>
      <c r="C1" s="39"/>
      <c r="D1" s="39" t="s">
        <v>65</v>
      </c>
      <c r="E1" s="40" t="s">
        <v>70</v>
      </c>
    </row>
    <row r="2" spans="1:5" x14ac:dyDescent="0.2">
      <c r="A2" s="41" t="s">
        <v>52</v>
      </c>
      <c r="B2" s="42" t="s">
        <v>54</v>
      </c>
      <c r="C2" s="42" t="str">
        <f>A2&amp;B2</f>
        <v>F8TM12</v>
      </c>
      <c r="D2" s="43">
        <v>12.1</v>
      </c>
      <c r="E2" s="44">
        <v>54.2</v>
      </c>
    </row>
    <row r="3" spans="1:5" x14ac:dyDescent="0.2">
      <c r="A3" s="45" t="s">
        <v>52</v>
      </c>
      <c r="B3" s="46" t="s">
        <v>55</v>
      </c>
      <c r="C3" s="46" t="str">
        <f t="shared" ref="C3:C15" si="0">A3&amp;B3</f>
        <v>F8TM16</v>
      </c>
      <c r="D3" s="47">
        <v>21.4</v>
      </c>
      <c r="E3" s="48">
        <v>96.5</v>
      </c>
    </row>
    <row r="4" spans="1:5" x14ac:dyDescent="0.2">
      <c r="A4" s="45" t="s">
        <v>52</v>
      </c>
      <c r="B4" s="46" t="s">
        <v>56</v>
      </c>
      <c r="C4" s="46" t="str">
        <f t="shared" si="0"/>
        <v>F8TM20</v>
      </c>
      <c r="D4" s="47">
        <v>33.5</v>
      </c>
      <c r="E4" s="48">
        <v>151</v>
      </c>
    </row>
    <row r="5" spans="1:5" x14ac:dyDescent="0.2">
      <c r="A5" s="45" t="s">
        <v>52</v>
      </c>
      <c r="B5" s="46" t="s">
        <v>53</v>
      </c>
      <c r="C5" s="46" t="str">
        <f t="shared" si="0"/>
        <v>F8TM22</v>
      </c>
      <c r="D5" s="47">
        <v>40.5</v>
      </c>
      <c r="E5" s="48">
        <v>182</v>
      </c>
    </row>
    <row r="6" spans="1:5" x14ac:dyDescent="0.2">
      <c r="A6" s="45" t="s">
        <v>52</v>
      </c>
      <c r="B6" s="46" t="s">
        <v>57</v>
      </c>
      <c r="C6" s="46" t="str">
        <f t="shared" si="0"/>
        <v>F8TM24</v>
      </c>
      <c r="D6" s="47">
        <v>48.2</v>
      </c>
      <c r="E6" s="48">
        <v>217</v>
      </c>
    </row>
    <row r="7" spans="1:5" x14ac:dyDescent="0.2">
      <c r="A7" s="45" t="s">
        <v>52</v>
      </c>
      <c r="B7" s="46" t="s">
        <v>58</v>
      </c>
      <c r="C7" s="46" t="str">
        <f t="shared" si="0"/>
        <v>F8TM27</v>
      </c>
      <c r="D7" s="47">
        <v>61</v>
      </c>
      <c r="E7" s="48">
        <v>274</v>
      </c>
    </row>
    <row r="8" spans="1:5" x14ac:dyDescent="0.2">
      <c r="A8" s="49" t="s">
        <v>52</v>
      </c>
      <c r="B8" s="50" t="s">
        <v>59</v>
      </c>
      <c r="C8" s="50" t="str">
        <f t="shared" si="0"/>
        <v>F8TM30</v>
      </c>
      <c r="D8" s="51">
        <v>75.400000000000006</v>
      </c>
      <c r="E8" s="52">
        <v>339</v>
      </c>
    </row>
    <row r="9" spans="1:5" x14ac:dyDescent="0.2">
      <c r="A9" s="41" t="s">
        <v>60</v>
      </c>
      <c r="B9" s="42" t="s">
        <v>54</v>
      </c>
      <c r="C9" s="42" t="str">
        <f t="shared" si="0"/>
        <v>S10TM12</v>
      </c>
      <c r="D9" s="43">
        <v>17</v>
      </c>
      <c r="E9" s="44">
        <v>67.900000000000006</v>
      </c>
    </row>
    <row r="10" spans="1:5" x14ac:dyDescent="0.2">
      <c r="A10" s="45" t="s">
        <v>60</v>
      </c>
      <c r="B10" s="46" t="s">
        <v>55</v>
      </c>
      <c r="C10" s="46" t="str">
        <f t="shared" si="0"/>
        <v>S10TM16</v>
      </c>
      <c r="D10" s="47">
        <v>30.2</v>
      </c>
      <c r="E10" s="48">
        <v>121</v>
      </c>
    </row>
    <row r="11" spans="1:5" x14ac:dyDescent="0.2">
      <c r="A11" s="45" t="s">
        <v>60</v>
      </c>
      <c r="B11" s="46" t="s">
        <v>56</v>
      </c>
      <c r="C11" s="46" t="str">
        <f t="shared" si="0"/>
        <v>S10TM20</v>
      </c>
      <c r="D11" s="47">
        <v>47.1</v>
      </c>
      <c r="E11" s="48">
        <v>188</v>
      </c>
    </row>
    <row r="12" spans="1:5" x14ac:dyDescent="0.2">
      <c r="A12" s="45" t="s">
        <v>60</v>
      </c>
      <c r="B12" s="46" t="s">
        <v>53</v>
      </c>
      <c r="C12" s="46" t="str">
        <f t="shared" si="0"/>
        <v>S10TM22</v>
      </c>
      <c r="D12" s="47">
        <v>57</v>
      </c>
      <c r="E12" s="48">
        <v>228</v>
      </c>
    </row>
    <row r="13" spans="1:5" x14ac:dyDescent="0.2">
      <c r="A13" s="45" t="s">
        <v>60</v>
      </c>
      <c r="B13" s="46" t="s">
        <v>57</v>
      </c>
      <c r="C13" s="46" t="str">
        <f t="shared" si="0"/>
        <v>S10TM24</v>
      </c>
      <c r="D13" s="47">
        <v>67.900000000000006</v>
      </c>
      <c r="E13" s="48">
        <v>271</v>
      </c>
    </row>
    <row r="14" spans="1:5" x14ac:dyDescent="0.2">
      <c r="A14" s="45" t="s">
        <v>60</v>
      </c>
      <c r="B14" s="46" t="s">
        <v>58</v>
      </c>
      <c r="C14" s="46" t="str">
        <f t="shared" si="0"/>
        <v>S10TM27</v>
      </c>
      <c r="D14" s="47">
        <v>85.9</v>
      </c>
      <c r="E14" s="48">
        <v>343</v>
      </c>
    </row>
    <row r="15" spans="1:5" x14ac:dyDescent="0.2">
      <c r="A15" s="49" t="s">
        <v>60</v>
      </c>
      <c r="B15" s="50" t="s">
        <v>59</v>
      </c>
      <c r="C15" s="50" t="str">
        <f t="shared" si="0"/>
        <v>S10TM30</v>
      </c>
      <c r="D15" s="51">
        <v>106</v>
      </c>
      <c r="E15" s="52">
        <v>424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7F469-DE1B-4FCA-B9FC-D097C1860EA9}">
  <dimension ref="A1:H8"/>
  <sheetViews>
    <sheetView zoomScale="160" zoomScaleNormal="160" workbookViewId="0">
      <selection activeCell="E8" sqref="E8"/>
    </sheetView>
  </sheetViews>
  <sheetFormatPr defaultColWidth="12.7109375" defaultRowHeight="15.95" customHeight="1" x14ac:dyDescent="0.2"/>
  <sheetData>
    <row r="1" spans="1:8" ht="66" x14ac:dyDescent="0.35">
      <c r="A1" s="3" t="s">
        <v>1</v>
      </c>
      <c r="B1" s="3" t="s">
        <v>8</v>
      </c>
      <c r="C1" s="3" t="s">
        <v>66</v>
      </c>
      <c r="D1" s="3" t="s">
        <v>9</v>
      </c>
      <c r="E1" s="25" t="s">
        <v>76</v>
      </c>
      <c r="F1" s="25" t="s">
        <v>77</v>
      </c>
      <c r="G1" s="3" t="s">
        <v>35</v>
      </c>
      <c r="H1" s="25" t="s">
        <v>78</v>
      </c>
    </row>
    <row r="2" spans="1:8" ht="15.95" customHeight="1" x14ac:dyDescent="0.35">
      <c r="A2" s="4" t="str">
        <f>i!A2</f>
        <v>V0</v>
      </c>
      <c r="B2" s="4">
        <f>i!F2</f>
        <v>133.5</v>
      </c>
      <c r="C2" s="58">
        <f>i!H2/i!F2</f>
        <v>1</v>
      </c>
      <c r="D2" s="4">
        <v>325</v>
      </c>
      <c r="E2" s="27">
        <f>B2*100*C2*D2/1000</f>
        <v>4338.75</v>
      </c>
      <c r="F2" s="27">
        <f t="shared" ref="F2:F8" si="0">B2*100*D2/1000</f>
        <v>4338.75</v>
      </c>
      <c r="G2" s="4">
        <v>1.2</v>
      </c>
      <c r="H2" s="27">
        <f t="shared" ref="H2:H8" si="1">G2*F2</f>
        <v>5206.5</v>
      </c>
    </row>
    <row r="3" spans="1:8" ht="15.95" customHeight="1" x14ac:dyDescent="0.35">
      <c r="A3" s="4" t="str">
        <f>i!A3</f>
        <v>V1</v>
      </c>
      <c r="B3" s="4">
        <f>i!F3</f>
        <v>91.43</v>
      </c>
      <c r="C3" s="58">
        <f>i!H3/i!F3</f>
        <v>1</v>
      </c>
      <c r="D3" s="4">
        <v>325</v>
      </c>
      <c r="E3" s="27">
        <f t="shared" ref="E3:E8" si="2">B3*100*C3*D3/1000</f>
        <v>2971.4749999999999</v>
      </c>
      <c r="F3" s="27">
        <f t="shared" si="0"/>
        <v>2971.4749999999999</v>
      </c>
      <c r="G3" s="4">
        <v>1.2</v>
      </c>
      <c r="H3" s="27">
        <f t="shared" si="1"/>
        <v>3565.77</v>
      </c>
    </row>
    <row r="4" spans="1:8" ht="15.95" customHeight="1" x14ac:dyDescent="0.35">
      <c r="A4" s="4" t="str">
        <f>i!A4</f>
        <v>V2</v>
      </c>
      <c r="B4" s="4">
        <f>i!F4</f>
        <v>66</v>
      </c>
      <c r="C4" s="58">
        <f>i!H4/i!F4</f>
        <v>1</v>
      </c>
      <c r="D4" s="4">
        <v>325</v>
      </c>
      <c r="E4" s="27">
        <f t="shared" si="2"/>
        <v>2145</v>
      </c>
      <c r="F4" s="27">
        <f t="shared" si="0"/>
        <v>2145</v>
      </c>
      <c r="G4" s="4">
        <v>1.2</v>
      </c>
      <c r="H4" s="27">
        <f t="shared" si="1"/>
        <v>2574</v>
      </c>
    </row>
    <row r="5" spans="1:8" ht="15.95" customHeight="1" x14ac:dyDescent="0.35">
      <c r="A5" s="4" t="str">
        <f>i!A5</f>
        <v>V3</v>
      </c>
      <c r="B5" s="4">
        <f>i!F5</f>
        <v>50</v>
      </c>
      <c r="C5" s="58">
        <f>i!H5/i!F5</f>
        <v>1</v>
      </c>
      <c r="D5" s="4">
        <v>325</v>
      </c>
      <c r="E5" s="27">
        <f t="shared" si="2"/>
        <v>1625</v>
      </c>
      <c r="F5" s="27">
        <f t="shared" si="0"/>
        <v>1625</v>
      </c>
      <c r="G5" s="4">
        <v>1.2</v>
      </c>
      <c r="H5" s="27">
        <f t="shared" si="1"/>
        <v>1950</v>
      </c>
    </row>
    <row r="6" spans="1:8" ht="15.95" customHeight="1" x14ac:dyDescent="0.35">
      <c r="A6" s="4" t="str">
        <f>i!A6</f>
        <v>V4</v>
      </c>
      <c r="B6" s="4">
        <f>i!F6</f>
        <v>30</v>
      </c>
      <c r="C6" s="58">
        <f>i!H6/i!F6</f>
        <v>1</v>
      </c>
      <c r="D6" s="4">
        <v>325</v>
      </c>
      <c r="E6" s="27">
        <f t="shared" si="2"/>
        <v>975</v>
      </c>
      <c r="F6" s="27">
        <f t="shared" si="0"/>
        <v>975</v>
      </c>
      <c r="G6" s="4">
        <v>1.2</v>
      </c>
      <c r="H6" s="27">
        <f t="shared" si="1"/>
        <v>1170</v>
      </c>
    </row>
    <row r="7" spans="1:8" ht="15.95" customHeight="1" x14ac:dyDescent="0.35">
      <c r="A7" s="4" t="str">
        <f>i!A7</f>
        <v>V5</v>
      </c>
      <c r="B7" s="4">
        <f>i!F7</f>
        <v>25</v>
      </c>
      <c r="C7" s="58">
        <f>i!H7/i!F7</f>
        <v>1</v>
      </c>
      <c r="D7" s="4">
        <v>325</v>
      </c>
      <c r="E7" s="27">
        <f t="shared" si="2"/>
        <v>812.5</v>
      </c>
      <c r="F7" s="28">
        <f t="shared" si="0"/>
        <v>812.5</v>
      </c>
      <c r="G7" s="26">
        <v>1.2</v>
      </c>
      <c r="H7" s="27">
        <f t="shared" si="1"/>
        <v>975</v>
      </c>
    </row>
    <row r="8" spans="1:8" ht="15.95" customHeight="1" x14ac:dyDescent="0.35">
      <c r="A8" s="4" t="str">
        <f>i!A8</f>
        <v>V11</v>
      </c>
      <c r="B8" s="4">
        <f>i!F8</f>
        <v>101.2</v>
      </c>
      <c r="C8" s="58">
        <f>i!H8/i!F8</f>
        <v>0.89565217391304341</v>
      </c>
      <c r="D8" s="4">
        <v>440</v>
      </c>
      <c r="E8" s="27">
        <f t="shared" si="2"/>
        <v>3988.16</v>
      </c>
      <c r="F8" s="27">
        <f t="shared" si="0"/>
        <v>4452.8</v>
      </c>
      <c r="G8" s="4">
        <v>1.2</v>
      </c>
      <c r="H8" s="27">
        <f t="shared" si="1"/>
        <v>5343.36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97"/>
  <sheetViews>
    <sheetView zoomScale="175" zoomScaleNormal="175" workbookViewId="0">
      <selection activeCell="A2" sqref="A2:J8"/>
    </sheetView>
  </sheetViews>
  <sheetFormatPr defaultColWidth="12.7109375" defaultRowHeight="15.95" customHeight="1" x14ac:dyDescent="0.35"/>
  <cols>
    <col min="1" max="16384" width="12.7109375" style="2"/>
  </cols>
  <sheetData>
    <row r="1" spans="1:38" ht="16.5" x14ac:dyDescent="0.35">
      <c r="A1" s="3" t="s">
        <v>1</v>
      </c>
      <c r="B1" s="3" t="s">
        <v>2</v>
      </c>
      <c r="C1" s="3" t="s">
        <v>61</v>
      </c>
      <c r="D1" s="3" t="s">
        <v>62</v>
      </c>
      <c r="E1" s="3" t="s">
        <v>63</v>
      </c>
      <c r="F1" s="3" t="s">
        <v>3</v>
      </c>
      <c r="G1" s="3" t="s">
        <v>0</v>
      </c>
      <c r="H1" s="3" t="s">
        <v>4</v>
      </c>
      <c r="I1" s="3" t="s">
        <v>5</v>
      </c>
      <c r="J1" s="3" t="s">
        <v>6</v>
      </c>
      <c r="K1" s="1"/>
      <c r="L1" s="1"/>
      <c r="M1" s="1"/>
      <c r="N1" s="1"/>
      <c r="O1" s="1"/>
      <c r="P1" s="1"/>
      <c r="Q1" s="1"/>
      <c r="R1" s="1"/>
      <c r="S1" s="1"/>
      <c r="T1" s="1"/>
      <c r="U1" s="1"/>
      <c r="V1" s="1"/>
      <c r="W1" s="1"/>
      <c r="X1" s="1"/>
      <c r="Y1" s="1"/>
      <c r="Z1" s="1"/>
      <c r="AA1" s="1"/>
      <c r="AB1" s="1"/>
      <c r="AC1" s="1"/>
      <c r="AD1" s="1"/>
      <c r="AE1" s="1"/>
    </row>
    <row r="2" spans="1:38" ht="15.95" customHeight="1" x14ac:dyDescent="0.35">
      <c r="A2" s="29" t="str">
        <f>Nd!A2</f>
        <v>V0</v>
      </c>
      <c r="B2" s="27">
        <f>Nd!E2</f>
        <v>4338.75</v>
      </c>
      <c r="C2" s="5" t="s">
        <v>60</v>
      </c>
      <c r="D2" s="5" t="s">
        <v>53</v>
      </c>
      <c r="E2" s="11">
        <v>2</v>
      </c>
      <c r="F2" s="29">
        <f>1.5*E2*VLOOKUP(C2&amp;D2,bolt_qa!C:D,2,FALSE)</f>
        <v>171</v>
      </c>
      <c r="G2" s="4">
        <v>26</v>
      </c>
      <c r="H2" s="29">
        <f t="shared" ref="H2:H4" si="0">F2*G2</f>
        <v>4446</v>
      </c>
      <c r="I2" s="30">
        <f t="shared" ref="I2:I4" si="1">B2/H2</f>
        <v>0.97587719298245612</v>
      </c>
      <c r="J2" s="4" t="str">
        <f t="shared" ref="J2:J4" si="2">IF(I2&lt;1, "OK", "NG")</f>
        <v>OK</v>
      </c>
      <c r="K2" s="1"/>
      <c r="L2" s="1"/>
      <c r="M2" s="1"/>
      <c r="N2" s="1"/>
      <c r="O2" s="1"/>
      <c r="P2" s="1"/>
      <c r="Q2" s="1"/>
      <c r="R2" s="1"/>
      <c r="S2" s="1"/>
      <c r="T2" s="1"/>
      <c r="U2" s="1"/>
      <c r="V2" s="1"/>
      <c r="W2" s="1"/>
      <c r="X2" s="1"/>
      <c r="Y2" s="1"/>
      <c r="Z2" s="1"/>
      <c r="AA2" s="1"/>
      <c r="AB2" s="1"/>
      <c r="AC2" s="1"/>
      <c r="AD2" s="1"/>
      <c r="AE2" s="1"/>
    </row>
    <row r="3" spans="1:38" ht="15.95" customHeight="1" x14ac:dyDescent="0.35">
      <c r="A3" s="29" t="str">
        <f>Nd!A3</f>
        <v>V1</v>
      </c>
      <c r="B3" s="27">
        <f>Nd!E3</f>
        <v>2971.4749999999999</v>
      </c>
      <c r="C3" s="5" t="s">
        <v>60</v>
      </c>
      <c r="D3" s="5" t="s">
        <v>56</v>
      </c>
      <c r="E3" s="11">
        <v>2</v>
      </c>
      <c r="F3" s="29">
        <f>1.5*E3*VLOOKUP(C3&amp;D3,bolt_qa!C:D,2,FALSE)</f>
        <v>141.30000000000001</v>
      </c>
      <c r="G3" s="4">
        <v>24</v>
      </c>
      <c r="H3" s="29">
        <f t="shared" si="0"/>
        <v>3391.2000000000003</v>
      </c>
      <c r="I3" s="30">
        <f t="shared" si="1"/>
        <v>0.87623112762443967</v>
      </c>
      <c r="J3" s="4" t="str">
        <f t="shared" si="2"/>
        <v>OK</v>
      </c>
      <c r="K3" s="1"/>
      <c r="L3" s="1"/>
      <c r="M3" s="1"/>
      <c r="N3" s="1"/>
      <c r="O3" s="1"/>
      <c r="P3" s="1"/>
      <c r="Q3" s="1"/>
      <c r="R3" s="1"/>
      <c r="S3" s="1"/>
      <c r="T3" s="1"/>
      <c r="U3" s="1"/>
      <c r="V3" s="1"/>
      <c r="W3" s="1"/>
      <c r="X3" s="1"/>
      <c r="Y3" s="1"/>
      <c r="Z3" s="1"/>
      <c r="AA3" s="1"/>
      <c r="AB3" s="1"/>
      <c r="AC3" s="1"/>
      <c r="AD3" s="1"/>
      <c r="AE3" s="1"/>
    </row>
    <row r="4" spans="1:38" ht="15.95" customHeight="1" x14ac:dyDescent="0.35">
      <c r="A4" s="29" t="str">
        <f>Nd!A4</f>
        <v>V2</v>
      </c>
      <c r="B4" s="27">
        <f>Nd!E4</f>
        <v>2145</v>
      </c>
      <c r="C4" s="5" t="s">
        <v>60</v>
      </c>
      <c r="D4" s="5" t="s">
        <v>56</v>
      </c>
      <c r="E4" s="11">
        <v>2</v>
      </c>
      <c r="F4" s="29">
        <f>1.5*E4*VLOOKUP(C4&amp;D4,bolt_qa!C:D,2,FALSE)</f>
        <v>141.30000000000001</v>
      </c>
      <c r="G4" s="4">
        <v>22</v>
      </c>
      <c r="H4" s="29">
        <f t="shared" si="0"/>
        <v>3108.6000000000004</v>
      </c>
      <c r="I4" s="30">
        <f t="shared" si="1"/>
        <v>0.69002123142250527</v>
      </c>
      <c r="J4" s="4" t="str">
        <f t="shared" si="2"/>
        <v>OK</v>
      </c>
      <c r="K4" s="1"/>
      <c r="L4" s="1"/>
      <c r="M4" s="1"/>
      <c r="N4" s="1"/>
      <c r="O4" s="1"/>
      <c r="P4" s="1"/>
      <c r="Q4" s="1"/>
      <c r="R4" s="1"/>
      <c r="S4" s="1"/>
      <c r="T4" s="1"/>
      <c r="U4" s="1"/>
      <c r="V4" s="1"/>
      <c r="W4" s="1"/>
      <c r="X4" s="1"/>
      <c r="Y4" s="1"/>
      <c r="Z4" s="1"/>
      <c r="AA4" s="1"/>
      <c r="AB4" s="1"/>
      <c r="AC4" s="1"/>
      <c r="AD4" s="1"/>
      <c r="AE4" s="1"/>
    </row>
    <row r="5" spans="1:38" ht="15.95" customHeight="1" x14ac:dyDescent="0.35">
      <c r="A5" s="29" t="str">
        <f>Nd!A5</f>
        <v>V3</v>
      </c>
      <c r="B5" s="27">
        <f>Nd!E5</f>
        <v>1625</v>
      </c>
      <c r="C5" s="5" t="s">
        <v>60</v>
      </c>
      <c r="D5" s="5" t="s">
        <v>56</v>
      </c>
      <c r="E5" s="11">
        <v>2</v>
      </c>
      <c r="F5" s="29">
        <f>1.5*E5*VLOOKUP(C5&amp;D5,bolt_qa!C:D,2,FALSE)</f>
        <v>141.30000000000001</v>
      </c>
      <c r="G5" s="4">
        <v>20</v>
      </c>
      <c r="H5" s="29">
        <f t="shared" ref="H5" si="3">F5*G5</f>
        <v>2826</v>
      </c>
      <c r="I5" s="30">
        <f t="shared" ref="I5" si="4">B5/H5</f>
        <v>0.5750176928520877</v>
      </c>
      <c r="J5" s="4" t="str">
        <f t="shared" ref="J5" si="5">IF(I5&lt;1, "OK", "NG")</f>
        <v>OK</v>
      </c>
      <c r="K5" s="1"/>
      <c r="L5" s="1"/>
      <c r="M5" s="1"/>
      <c r="N5" s="1"/>
      <c r="O5" s="1"/>
      <c r="P5" s="1"/>
      <c r="Q5" s="1"/>
      <c r="R5" s="1"/>
      <c r="S5" s="1"/>
      <c r="T5" s="1"/>
      <c r="U5" s="1"/>
      <c r="V5" s="1"/>
      <c r="W5" s="1"/>
      <c r="X5" s="1"/>
      <c r="Y5" s="1"/>
      <c r="Z5" s="1"/>
      <c r="AA5" s="1"/>
      <c r="AB5" s="1"/>
      <c r="AC5" s="1"/>
      <c r="AD5" s="1"/>
      <c r="AE5" s="1"/>
    </row>
    <row r="6" spans="1:38" ht="15.95" customHeight="1" x14ac:dyDescent="0.35">
      <c r="A6" s="29" t="str">
        <f>Nd!A6</f>
        <v>V4</v>
      </c>
      <c r="B6" s="27">
        <f>Nd!E6</f>
        <v>975</v>
      </c>
      <c r="C6" s="5" t="s">
        <v>60</v>
      </c>
      <c r="D6" s="5" t="s">
        <v>53</v>
      </c>
      <c r="E6" s="11">
        <v>1</v>
      </c>
      <c r="F6" s="29">
        <f>1.5*E6*VLOOKUP(C6&amp;D6,bolt_qa!C:D,2,FALSE)</f>
        <v>85.5</v>
      </c>
      <c r="G6" s="4">
        <v>12</v>
      </c>
      <c r="H6" s="29">
        <f>F6*G6</f>
        <v>1026</v>
      </c>
      <c r="I6" s="30">
        <f>B6/H6</f>
        <v>0.95029239766081874</v>
      </c>
      <c r="J6" s="4" t="str">
        <f t="shared" ref="J6" si="6">IF(I6&lt;1, "OK", "NG")</f>
        <v>OK</v>
      </c>
      <c r="K6" s="1"/>
      <c r="L6" s="1"/>
      <c r="M6" s="1"/>
      <c r="N6" s="1"/>
      <c r="O6" s="1"/>
      <c r="P6" s="1"/>
      <c r="Q6" s="1"/>
      <c r="R6" s="1"/>
      <c r="S6" s="1"/>
      <c r="T6" s="1"/>
      <c r="U6" s="1"/>
      <c r="V6" s="1"/>
      <c r="W6" s="1"/>
      <c r="X6" s="1"/>
      <c r="Y6" s="1"/>
      <c r="Z6" s="1"/>
      <c r="AA6" s="1"/>
      <c r="AB6" s="1"/>
      <c r="AC6" s="1"/>
      <c r="AD6" s="1"/>
      <c r="AE6" s="1"/>
    </row>
    <row r="7" spans="1:38" ht="15.95" customHeight="1" x14ac:dyDescent="0.35">
      <c r="A7" s="29" t="str">
        <f>Nd!A7</f>
        <v>V5</v>
      </c>
      <c r="B7" s="27">
        <f>Nd!E7</f>
        <v>812.5</v>
      </c>
      <c r="C7" s="5" t="s">
        <v>60</v>
      </c>
      <c r="D7" s="5" t="s">
        <v>53</v>
      </c>
      <c r="E7" s="11">
        <v>1</v>
      </c>
      <c r="F7" s="29">
        <f>1.5*E7*VLOOKUP(C7&amp;D7,bolt_qa!C:D,2,FALSE)</f>
        <v>85.5</v>
      </c>
      <c r="G7" s="4">
        <v>10</v>
      </c>
      <c r="H7" s="29">
        <f>F7*G7</f>
        <v>855</v>
      </c>
      <c r="I7" s="30">
        <f>B7/H7</f>
        <v>0.95029239766081874</v>
      </c>
      <c r="J7" s="4" t="str">
        <f t="shared" ref="J7" si="7">IF(I7&lt;1, "OK", "NG")</f>
        <v>OK</v>
      </c>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1:38" ht="15.95" customHeight="1" x14ac:dyDescent="0.35">
      <c r="A8" s="29" t="str">
        <f>Nd!A8</f>
        <v>V11</v>
      </c>
      <c r="B8" s="27">
        <f>Nd!E8</f>
        <v>3988.16</v>
      </c>
      <c r="C8" s="5" t="s">
        <v>60</v>
      </c>
      <c r="D8" s="5" t="s">
        <v>53</v>
      </c>
      <c r="E8" s="11">
        <v>2</v>
      </c>
      <c r="F8" s="29">
        <f>1.5*E8*VLOOKUP(C8&amp;D8,bolt_qa!C:D,2,FALSE)</f>
        <v>171</v>
      </c>
      <c r="G8" s="4">
        <v>26</v>
      </c>
      <c r="H8" s="29">
        <f>F8*G8</f>
        <v>4446</v>
      </c>
      <c r="I8" s="30">
        <f>B8/H8</f>
        <v>0.89702204228520011</v>
      </c>
      <c r="J8" s="4" t="str">
        <f t="shared" ref="J8" si="8">IF(I8&lt;1, "OK", "NG")</f>
        <v>OK</v>
      </c>
      <c r="K8" s="1"/>
      <c r="L8" s="1"/>
      <c r="M8" s="1"/>
      <c r="X8" s="1"/>
      <c r="Y8" s="1"/>
      <c r="Z8" s="1"/>
      <c r="AA8" s="1"/>
      <c r="AB8" s="1"/>
      <c r="AC8" s="1"/>
      <c r="AD8" s="1"/>
      <c r="AE8" s="1"/>
      <c r="AF8" s="1"/>
      <c r="AG8" s="1"/>
      <c r="AH8" s="1"/>
      <c r="AI8" s="1"/>
      <c r="AJ8" s="1"/>
      <c r="AK8" s="1"/>
      <c r="AL8" s="1"/>
    </row>
    <row r="9" spans="1:38" ht="15.95" customHeight="1" x14ac:dyDescent="0.35">
      <c r="W9" s="1"/>
      <c r="X9" s="1"/>
      <c r="Y9" s="1"/>
      <c r="Z9" s="1"/>
      <c r="AA9" s="1"/>
      <c r="AB9" s="1"/>
      <c r="AC9" s="1"/>
      <c r="AD9" s="1"/>
      <c r="AE9" s="1"/>
      <c r="AF9" s="1"/>
      <c r="AG9" s="1"/>
      <c r="AH9" s="1"/>
      <c r="AI9" s="1"/>
      <c r="AJ9" s="1"/>
    </row>
    <row r="10" spans="1:38" ht="15.95" customHeight="1" x14ac:dyDescent="0.35">
      <c r="W10" s="1"/>
      <c r="X10" s="1"/>
      <c r="Y10" s="1"/>
      <c r="Z10" s="1"/>
      <c r="AA10" s="1"/>
      <c r="AB10" s="1"/>
      <c r="AC10" s="1"/>
      <c r="AD10" s="1"/>
      <c r="AE10" s="1"/>
      <c r="AF10" s="1"/>
      <c r="AG10" s="1"/>
      <c r="AH10" s="1"/>
      <c r="AI10" s="1"/>
      <c r="AJ10" s="1"/>
    </row>
    <row r="11" spans="1:38" ht="15.95" customHeight="1" x14ac:dyDescent="0.35">
      <c r="W11" s="1"/>
      <c r="X11" s="1"/>
      <c r="Y11" s="1"/>
      <c r="Z11" s="1"/>
      <c r="AA11" s="1"/>
      <c r="AB11" s="1"/>
      <c r="AC11" s="1"/>
      <c r="AD11" s="1"/>
      <c r="AE11" s="1"/>
      <c r="AF11" s="1"/>
      <c r="AG11" s="1"/>
      <c r="AH11" s="1"/>
      <c r="AI11" s="1"/>
      <c r="AJ11" s="1"/>
    </row>
    <row r="12" spans="1:38" ht="15.95" customHeight="1" x14ac:dyDescent="0.35">
      <c r="L12" s="1"/>
      <c r="M12" s="1"/>
      <c r="N12" s="1"/>
      <c r="O12" s="1"/>
      <c r="P12" s="1"/>
      <c r="Q12" s="1"/>
      <c r="R12" s="1"/>
      <c r="S12" s="1"/>
      <c r="T12" s="1"/>
      <c r="U12" s="1"/>
      <c r="V12" s="1"/>
      <c r="W12" s="1"/>
      <c r="X12" s="1"/>
      <c r="Y12" s="1"/>
      <c r="Z12" s="1"/>
      <c r="AA12" s="1"/>
      <c r="AB12" s="1"/>
      <c r="AC12" s="1"/>
      <c r="AD12" s="1"/>
      <c r="AE12" s="1"/>
      <c r="AF12" s="1"/>
      <c r="AG12" s="1"/>
      <c r="AH12" s="1"/>
      <c r="AI12" s="1"/>
      <c r="AJ12" s="1"/>
    </row>
    <row r="13" spans="1:38" ht="15.95" customHeight="1" x14ac:dyDescent="0.35">
      <c r="L13" s="1"/>
      <c r="M13" s="1"/>
      <c r="N13" s="1"/>
      <c r="O13" s="1"/>
      <c r="P13" s="1"/>
      <c r="Q13" s="1"/>
      <c r="R13" s="1"/>
      <c r="S13" s="1"/>
      <c r="T13" s="1"/>
      <c r="U13" s="1"/>
      <c r="V13" s="1"/>
      <c r="W13" s="1"/>
      <c r="X13" s="1"/>
      <c r="Y13" s="1"/>
      <c r="Z13" s="1"/>
      <c r="AA13" s="1"/>
      <c r="AB13" s="1"/>
      <c r="AC13" s="1"/>
      <c r="AD13" s="1"/>
      <c r="AE13" s="1"/>
      <c r="AF13" s="1"/>
      <c r="AG13" s="1"/>
      <c r="AH13" s="1"/>
      <c r="AI13" s="1"/>
      <c r="AJ13" s="1"/>
    </row>
    <row r="14" spans="1:38" ht="15.95" customHeight="1" x14ac:dyDescent="0.35">
      <c r="L14" s="1"/>
      <c r="M14" s="1"/>
      <c r="N14" s="1"/>
      <c r="O14" s="1"/>
      <c r="P14" s="1"/>
      <c r="Q14" s="1"/>
      <c r="R14" s="1"/>
      <c r="S14" s="1"/>
      <c r="T14" s="1"/>
      <c r="U14" s="1"/>
      <c r="V14" s="1"/>
      <c r="W14" s="1"/>
      <c r="X14" s="1"/>
      <c r="Y14" s="1"/>
      <c r="Z14" s="1"/>
      <c r="AA14" s="1"/>
      <c r="AB14" s="1"/>
      <c r="AC14" s="1"/>
      <c r="AD14" s="1"/>
      <c r="AE14" s="1"/>
      <c r="AF14" s="1"/>
      <c r="AG14" s="1"/>
      <c r="AH14" s="1"/>
      <c r="AI14" s="1"/>
      <c r="AJ14" s="1"/>
    </row>
    <row r="15" spans="1:38" ht="15.95" customHeigh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1:38" ht="15.9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38" ht="15.95" customHeight="1" x14ac:dyDescent="0.35">
      <c r="Q17" s="1"/>
      <c r="R17" s="1"/>
      <c r="S17" s="1"/>
      <c r="T17" s="1"/>
      <c r="U17" s="1"/>
      <c r="V17" s="1"/>
      <c r="W17" s="1"/>
      <c r="X17" s="1"/>
      <c r="Y17" s="1"/>
      <c r="Z17" s="1"/>
      <c r="AA17" s="1"/>
      <c r="AB17" s="1"/>
      <c r="AC17" s="1"/>
      <c r="AD17" s="1"/>
      <c r="AE17" s="1"/>
      <c r="AF17" s="1"/>
      <c r="AG17" s="1"/>
      <c r="AH17" s="1"/>
      <c r="AI17" s="1"/>
      <c r="AJ17" s="1"/>
    </row>
    <row r="18" spans="1:38" ht="15.95" customHeight="1" x14ac:dyDescent="0.35">
      <c r="Q18" s="1"/>
      <c r="R18" s="1"/>
      <c r="S18" s="1"/>
      <c r="T18" s="1"/>
      <c r="U18" s="1"/>
      <c r="V18" s="1"/>
      <c r="W18" s="1"/>
      <c r="X18" s="1"/>
      <c r="Y18" s="1"/>
      <c r="Z18" s="1"/>
      <c r="AA18" s="1"/>
      <c r="AB18" s="1"/>
      <c r="AC18" s="1"/>
      <c r="AD18" s="1"/>
      <c r="AE18" s="1"/>
      <c r="AF18" s="1"/>
      <c r="AG18" s="1"/>
      <c r="AH18" s="1"/>
      <c r="AI18" s="1"/>
      <c r="AJ18" s="1"/>
    </row>
    <row r="19" spans="1:38" ht="15.95" customHeight="1" x14ac:dyDescent="0.35">
      <c r="Q19" s="1"/>
      <c r="R19" s="1"/>
      <c r="S19" s="1"/>
      <c r="T19" s="1"/>
      <c r="U19" s="1"/>
      <c r="V19" s="1"/>
      <c r="W19" s="1"/>
      <c r="X19" s="1"/>
      <c r="Y19" s="1"/>
      <c r="Z19" s="1"/>
      <c r="AA19" s="1"/>
      <c r="AB19" s="1"/>
      <c r="AC19" s="1"/>
      <c r="AD19" s="1"/>
      <c r="AE19" s="1"/>
      <c r="AF19" s="1"/>
      <c r="AG19" s="1"/>
      <c r="AH19" s="1"/>
      <c r="AI19" s="1"/>
      <c r="AJ19" s="1"/>
    </row>
    <row r="20" spans="1:38" ht="15.95" customHeight="1" x14ac:dyDescent="0.35">
      <c r="Q20" s="1"/>
      <c r="R20" s="1"/>
      <c r="S20" s="1"/>
      <c r="T20" s="1"/>
      <c r="U20" s="1"/>
      <c r="V20" s="1"/>
      <c r="W20" s="1"/>
      <c r="X20" s="1"/>
      <c r="Y20" s="1"/>
      <c r="Z20" s="1"/>
      <c r="AA20" s="1"/>
      <c r="AB20" s="1"/>
      <c r="AC20" s="1"/>
      <c r="AD20" s="1"/>
      <c r="AE20" s="1"/>
      <c r="AF20" s="1"/>
      <c r="AG20" s="1"/>
      <c r="AH20" s="1"/>
      <c r="AI20" s="1"/>
      <c r="AJ20" s="1"/>
    </row>
    <row r="21" spans="1:38" ht="15.95" customHeight="1" x14ac:dyDescent="0.35">
      <c r="Q21" s="1"/>
      <c r="R21" s="1"/>
      <c r="S21" s="1"/>
      <c r="T21" s="1"/>
      <c r="U21" s="1"/>
      <c r="V21" s="1"/>
      <c r="W21" s="1"/>
      <c r="X21" s="1"/>
      <c r="Y21" s="1"/>
      <c r="Z21" s="1"/>
      <c r="AA21" s="1"/>
      <c r="AB21" s="1"/>
      <c r="AC21" s="1"/>
      <c r="AD21" s="1"/>
      <c r="AE21" s="1"/>
      <c r="AF21" s="1"/>
      <c r="AG21" s="1"/>
      <c r="AH21" s="1"/>
      <c r="AI21" s="1"/>
      <c r="AJ21" s="1"/>
    </row>
    <row r="22" spans="1:38" ht="15.95" customHeight="1" x14ac:dyDescent="0.35">
      <c r="Q22" s="1"/>
      <c r="R22" s="1"/>
      <c r="S22" s="1"/>
      <c r="T22" s="1"/>
      <c r="U22" s="1"/>
      <c r="V22" s="1"/>
      <c r="W22" s="1"/>
      <c r="X22" s="1"/>
      <c r="Y22" s="1"/>
      <c r="Z22" s="1"/>
      <c r="AA22" s="1"/>
      <c r="AB22" s="1"/>
      <c r="AC22" s="1"/>
      <c r="AD22" s="1"/>
      <c r="AE22" s="1"/>
      <c r="AF22" s="1"/>
      <c r="AG22" s="1"/>
      <c r="AH22" s="1"/>
      <c r="AI22" s="1"/>
      <c r="AJ22" s="1"/>
    </row>
    <row r="23" spans="1:38" ht="15.95" customHeight="1" x14ac:dyDescent="0.35">
      <c r="A23" s="1"/>
      <c r="B23" s="22"/>
      <c r="C23" s="22"/>
      <c r="D23" s="22"/>
      <c r="E23" s="22"/>
      <c r="F23" s="1"/>
      <c r="G23" s="22"/>
      <c r="H23" s="24"/>
      <c r="I23" s="1"/>
      <c r="J23" s="23"/>
      <c r="K23" s="1"/>
      <c r="L23" s="22"/>
      <c r="M23" s="1"/>
      <c r="N23" s="1"/>
      <c r="O23" s="1"/>
      <c r="P23" s="1"/>
      <c r="Q23" s="1"/>
      <c r="R23" s="1"/>
      <c r="S23" s="1"/>
      <c r="T23" s="1"/>
      <c r="U23" s="1"/>
      <c r="V23" s="1"/>
      <c r="W23" s="1"/>
      <c r="X23" s="1"/>
      <c r="Y23" s="1"/>
      <c r="Z23" s="1"/>
      <c r="AA23" s="1"/>
      <c r="AB23" s="1"/>
      <c r="AC23" s="1"/>
      <c r="AD23" s="1"/>
      <c r="AE23" s="1"/>
      <c r="AF23" s="1"/>
      <c r="AG23" s="1"/>
      <c r="AH23" s="1"/>
      <c r="AI23" s="1"/>
      <c r="AJ23" s="1"/>
    </row>
    <row r="24" spans="1:38" ht="15.9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ht="15.95" customHeight="1" x14ac:dyDescent="0.35">
      <c r="AL25" s="1"/>
    </row>
    <row r="26" spans="1:38" ht="15.95" customHeight="1" x14ac:dyDescent="0.35">
      <c r="AL26" s="1"/>
    </row>
    <row r="27" spans="1:38" ht="15.95" customHeight="1" x14ac:dyDescent="0.35">
      <c r="AL27" s="1"/>
    </row>
    <row r="28" spans="1:38" ht="15.95" customHeight="1" x14ac:dyDescent="0.35">
      <c r="AL28" s="1"/>
    </row>
    <row r="29" spans="1:38" ht="15.95" customHeight="1" x14ac:dyDescent="0.35">
      <c r="AL29" s="1"/>
    </row>
    <row r="30" spans="1:38" ht="15.95" customHeight="1" x14ac:dyDescent="0.35">
      <c r="AL30" s="1"/>
    </row>
    <row r="31" spans="1:38" ht="15.95" customHeight="1" x14ac:dyDescent="0.35">
      <c r="AL31" s="1"/>
    </row>
    <row r="32" spans="1:38" ht="15.95" customHeight="1" x14ac:dyDescent="0.35">
      <c r="AL32" s="1"/>
    </row>
    <row r="41" spans="1:38" ht="15.95" customHeight="1" x14ac:dyDescent="0.35">
      <c r="A41" s="1"/>
      <c r="B41" s="1"/>
      <c r="C41" s="1"/>
      <c r="D41" s="1"/>
      <c r="E41" s="1"/>
      <c r="F41" s="1"/>
      <c r="G41" s="1"/>
      <c r="H41" s="1"/>
      <c r="I41" s="1"/>
      <c r="J41" s="1"/>
      <c r="K41" s="1"/>
      <c r="L41" s="1"/>
      <c r="M41" s="1"/>
      <c r="N41" s="1"/>
      <c r="O41" s="1"/>
      <c r="P41" s="1"/>
      <c r="Q41" s="1"/>
      <c r="R41" s="1"/>
      <c r="S41" s="12"/>
      <c r="T41" s="12"/>
      <c r="U41" s="12"/>
      <c r="V41" s="12"/>
      <c r="W41" s="12"/>
      <c r="X41" s="12"/>
      <c r="Y41" s="12"/>
      <c r="Z41" s="12"/>
      <c r="AA41" s="12"/>
      <c r="AB41" s="12"/>
      <c r="AC41" s="1"/>
      <c r="AD41" s="1"/>
      <c r="AE41" s="1"/>
      <c r="AF41" s="1"/>
      <c r="AG41" s="1"/>
      <c r="AH41" s="1"/>
      <c r="AI41" s="1"/>
      <c r="AJ41" s="1"/>
      <c r="AK41" s="1"/>
      <c r="AL41" s="1"/>
    </row>
    <row r="42" spans="1:38" ht="15.9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ht="15.95" customHeight="1" x14ac:dyDescent="0.35">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ht="15.95" customHeight="1" x14ac:dyDescent="0.35">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38" ht="15.95" customHeight="1" x14ac:dyDescent="0.35">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1:38" ht="15.95" customHeight="1" x14ac:dyDescent="0.35">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38" ht="15.95" customHeight="1" x14ac:dyDescent="0.35">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1:38" ht="15.95" customHeight="1" x14ac:dyDescent="0.35">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ht="15.95" customHeight="1" x14ac:dyDescent="0.35">
      <c r="A49" s="1"/>
      <c r="B49" s="1"/>
      <c r="C49" s="1"/>
      <c r="D49" s="1"/>
      <c r="E49" s="1"/>
      <c r="F49" s="1"/>
      <c r="G49" s="1"/>
      <c r="H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1:38" ht="15.95" customHeight="1" x14ac:dyDescent="0.35">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38" ht="15.95" customHeight="1" x14ac:dyDescent="0.35">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ht="15.95" customHeight="1" x14ac:dyDescent="0.35">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ht="15.95" customHeight="1" x14ac:dyDescent="0.35">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ht="15.95" customHeight="1" x14ac:dyDescent="0.35">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ht="15.95" customHeight="1" x14ac:dyDescent="0.35">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ht="15.95" customHeight="1" x14ac:dyDescent="0.35">
      <c r="A56" s="1"/>
      <c r="B56" s="1"/>
      <c r="C56" s="1"/>
      <c r="D56" s="1"/>
      <c r="E56" s="1"/>
      <c r="F56" s="1"/>
      <c r="G56" s="1"/>
      <c r="H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ht="15.95" customHeight="1" x14ac:dyDescent="0.35">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ht="15.95" customHeight="1" x14ac:dyDescent="0.35">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ht="15.95" customHeight="1" x14ac:dyDescent="0.35">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ht="15.95" customHeight="1" x14ac:dyDescent="0.35">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ht="15.95" customHeight="1" x14ac:dyDescent="0.35">
      <c r="N61" s="1"/>
      <c r="O61" s="1"/>
      <c r="P61" s="1"/>
      <c r="Q61" s="1"/>
      <c r="R61" s="1"/>
      <c r="S61" s="1"/>
      <c r="T61" s="1"/>
      <c r="U61" s="1"/>
      <c r="V61" s="1"/>
      <c r="W61" s="1"/>
      <c r="X61" s="1"/>
      <c r="Y61" s="1"/>
      <c r="Z61" s="1"/>
      <c r="AA61" s="1"/>
      <c r="AB61" s="1"/>
      <c r="AC61" s="1"/>
      <c r="AD61" s="1"/>
      <c r="AE61" s="1"/>
      <c r="AF61" s="1"/>
      <c r="AG61" s="1"/>
      <c r="AH61" s="1"/>
      <c r="AI61" s="1"/>
      <c r="AJ61" s="1"/>
      <c r="AK61" s="1"/>
      <c r="AL61" s="1"/>
    </row>
    <row r="62" spans="1:38" ht="15.95" customHeight="1" x14ac:dyDescent="0.35">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ht="15.95" customHeight="1" x14ac:dyDescent="0.35">
      <c r="A63" s="1"/>
      <c r="G63" s="1"/>
      <c r="H63" s="1"/>
      <c r="I63" s="1"/>
      <c r="J63" s="1"/>
      <c r="K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spans="1:38" ht="15.95" customHeight="1" x14ac:dyDescent="0.35">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ht="15.95" customHeight="1" x14ac:dyDescent="0.35">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row>
    <row r="66" spans="1:38" ht="15.95" customHeight="1" x14ac:dyDescent="0.35">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ht="15.95" customHeight="1" x14ac:dyDescent="0.35">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row>
    <row r="68" spans="1:38" ht="15.95" customHeight="1" x14ac:dyDescent="0.35">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row>
    <row r="69" spans="1:38" ht="15.95" customHeight="1" x14ac:dyDescent="0.35">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ht="15.95" customHeight="1" x14ac:dyDescent="0.35">
      <c r="A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ht="15.95" customHeight="1" x14ac:dyDescent="0.35">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row>
    <row r="72" spans="1:38" ht="15.95" customHeight="1" x14ac:dyDescent="0.35">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row>
    <row r="73" spans="1:38" ht="15.95" customHeight="1" x14ac:dyDescent="0.35">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row>
    <row r="74" spans="1:38" ht="15.95" customHeight="1" x14ac:dyDescent="0.35">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ht="15.95" customHeight="1" x14ac:dyDescent="0.35">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row>
    <row r="76" spans="1:38" ht="15.95" customHeight="1" x14ac:dyDescent="0.35">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row>
    <row r="77" spans="1:38" ht="15.9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row>
    <row r="78" spans="1:38" ht="15.95" customHeight="1" x14ac:dyDescent="0.35">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row>
    <row r="79" spans="1:38" ht="15.95" customHeight="1" x14ac:dyDescent="0.35">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row>
    <row r="80" spans="1:38" ht="15.95" customHeight="1" x14ac:dyDescent="0.35">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ht="15.9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ht="15.95" customHeight="1" x14ac:dyDescent="0.35">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ht="15.95" customHeight="1" x14ac:dyDescent="0.35">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ht="15.9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ht="15.9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ht="15.9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ht="15.9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ht="15.9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ht="15.9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ht="15.9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ht="15.9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ht="15.9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ht="15.9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ht="15.9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ht="15.9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ht="15.9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ht="15.9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ht="15.9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ht="15.9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ht="15.9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ht="15.9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ht="15.9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ht="15.9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ht="15.9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ht="15.9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ht="15.9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ht="15.9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ht="15.9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ht="15.9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ht="15.9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ht="15.9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ht="15.9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1:38" ht="15.9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1:38" ht="15.9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1:38" ht="15.9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1:38" ht="15.9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1:38" ht="15.9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1:38" ht="15.9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1:38" ht="15.9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1:38" ht="15.9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1:38" ht="15.9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1:38" ht="15.9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1:38" ht="15.9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1:38" ht="15.9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1:38" ht="15.9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1:38" ht="15.9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1:38" ht="15.9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1:38" ht="15.9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1:38" ht="15.9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1:38" ht="15.9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1:38" ht="15.9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1:38" ht="15.9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1:38" ht="15.9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1:38" ht="15.9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1:38" ht="15.9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1:38" ht="15.9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1:38" ht="15.9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1:38" ht="15.9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1:38" ht="15.9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1:38" ht="15.9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1:38" ht="15.9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1:38" ht="15.9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1:38" ht="15.9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1:38" ht="15.9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1:38" ht="15.9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1:38" ht="15.9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1:38" ht="15.9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1:38" ht="15.9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1:38" ht="15.9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1:38" ht="15.9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1:38" ht="15.9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1:38" ht="15.9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1:38" ht="15.9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1:38" ht="15.9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1:38" ht="15.9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1:38" ht="15.9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1:38" ht="15.9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1:38" ht="15.9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1:38" ht="15.9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1:38" ht="15.9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1:38" ht="15.9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1:38" ht="15.9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1:38" ht="15.9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1:38" ht="15.9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1:38" ht="15.9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1:38" ht="15.9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1:38" ht="15.9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1:38" ht="15.9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1:38" ht="15.9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1:38" ht="15.9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1:38" ht="15.9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1:38" ht="15.9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1:38" ht="15.9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1:38" ht="15.9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1:38" ht="15.9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1:38" ht="15.9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1:38" ht="15.9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1:38" ht="15.9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1:38" ht="15.9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1:38" ht="15.9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1:38" ht="15.9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38" ht="15.9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38" ht="15.9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38" ht="15.9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38" ht="15.9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38" ht="15.9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38" ht="15.9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38" ht="15.9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38" ht="15.9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38" ht="15.9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38" ht="15.9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38" ht="15.9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ht="15.9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ht="15.9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ht="15.9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ht="15.9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ht="15.9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ht="15.9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ht="15.9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ht="15.9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ht="15.9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ht="15.9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ht="15.9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ht="15.9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ht="15.9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ht="15.9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ht="15.9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ht="15.9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ht="15.9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ht="15.9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ht="15.9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ht="15.9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ht="15.9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ht="15.9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ht="15.9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ht="15.9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ht="15.9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ht="15.9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ht="15.9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ht="15.9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ht="15.9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ht="15.9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ht="15.9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ht="15.9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ht="15.9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ht="15.9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ht="15.9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ht="15.9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ht="15.9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ht="15.9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ht="15.9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ht="15.9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row r="233" spans="1:38" ht="15.9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row>
    <row r="234" spans="1:38" ht="15.9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ht="15.9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ht="15.9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ht="15.9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ht="15.9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ht="15.9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ht="15.9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ht="15.9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ht="15.9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ht="15.9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ht="15.9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ht="15.9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ht="15.9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ht="15.9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ht="15.9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ht="15.9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ht="15.9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row>
    <row r="251" spans="1:38" ht="15.9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row>
    <row r="252" spans="1:38" ht="15.9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row>
    <row r="253" spans="1:38" ht="15.9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row>
    <row r="254" spans="1:38" ht="15.9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row>
    <row r="255" spans="1:38" ht="15.9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row>
    <row r="256" spans="1:38" ht="15.9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row>
    <row r="257" spans="1:38" ht="15.9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row>
    <row r="258" spans="1:38" ht="15.9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row>
    <row r="259" spans="1:38" ht="15.9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row>
    <row r="260" spans="1:38" ht="15.9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row>
    <row r="261" spans="1:38" ht="15.9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row>
    <row r="262" spans="1:38" ht="15.9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row>
    <row r="263" spans="1:38" ht="15.9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row>
    <row r="264" spans="1:38" ht="15.9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row>
    <row r="265" spans="1:38" ht="15.9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row>
    <row r="266" spans="1:38" ht="15.9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row>
    <row r="267" spans="1:38" ht="15.9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row>
    <row r="268" spans="1:38" ht="15.9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row>
    <row r="269" spans="1:38" ht="15.9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row>
    <row r="270" spans="1:38" ht="15.9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row>
    <row r="271" spans="1:38" ht="15.9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row>
    <row r="272" spans="1:38" ht="15.9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row>
    <row r="273" spans="1:38" ht="15.9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row>
    <row r="274" spans="1:38" ht="15.9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row>
    <row r="275" spans="1:38" ht="15.9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row>
    <row r="276" spans="1:38" ht="15.9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row>
    <row r="277" spans="1:38" ht="15.9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row>
    <row r="278" spans="1:38" ht="15.9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row>
    <row r="279" spans="1:38" ht="15.9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row>
    <row r="280" spans="1:38" ht="15.9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row>
    <row r="281" spans="1:38" ht="15.9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row>
    <row r="282" spans="1:38" ht="15.9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row>
    <row r="283" spans="1:38" ht="15.9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row>
    <row r="284" spans="1:38" ht="15.9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row>
    <row r="285" spans="1:38" ht="15.9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row>
    <row r="286" spans="1:38" ht="15.9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row>
    <row r="287" spans="1:38" ht="15.9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row>
    <row r="288" spans="1:38" ht="15.9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row>
    <row r="289" spans="1:38" ht="15.9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row>
    <row r="290" spans="1:38" ht="15.9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row>
    <row r="291" spans="1:38" ht="15.9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row>
    <row r="292" spans="1:38" ht="15.9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row>
    <row r="293" spans="1:38" ht="15.9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row>
    <row r="294" spans="1:38" ht="15.9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row>
    <row r="295" spans="1:38" ht="15.9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row>
    <row r="296" spans="1:38" ht="15.9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row>
    <row r="297" spans="1:38" ht="15.9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row>
    <row r="298" spans="1:38" ht="15.9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row>
    <row r="299" spans="1:38" ht="15.9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row>
    <row r="300" spans="1:38" ht="15.9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row>
    <row r="301" spans="1:38" ht="15.9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row>
    <row r="302" spans="1:38" ht="15.9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row>
    <row r="303" spans="1:38" ht="15.9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row>
    <row r="304" spans="1:38" ht="15.9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row>
    <row r="305" spans="1:38" ht="15.9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row>
    <row r="306" spans="1:38" ht="15.9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row>
    <row r="307" spans="1:38" ht="15.9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row>
    <row r="308" spans="1:38" ht="15.9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row>
    <row r="309" spans="1:38" ht="15.9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row>
    <row r="310" spans="1:38" ht="15.9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row>
    <row r="311" spans="1:38" ht="15.9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row>
    <row r="312" spans="1:38" ht="15.9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row>
    <row r="313" spans="1:38" ht="15.9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row>
    <row r="314" spans="1:38" ht="15.9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row>
    <row r="315" spans="1:38" ht="15.9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row>
    <row r="316" spans="1:38" ht="15.9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row>
    <row r="317" spans="1:38" ht="15.9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row>
    <row r="318" spans="1:38" ht="15.9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row>
    <row r="319" spans="1:38" ht="15.9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row>
    <row r="320" spans="1:38" ht="15.9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row>
    <row r="321" spans="1:38" ht="15.9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row>
    <row r="322" spans="1:38" ht="15.9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row>
    <row r="323" spans="1:38" ht="15.9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row>
    <row r="324" spans="1:38" ht="15.9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row>
    <row r="325" spans="1:38" ht="15.9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row>
    <row r="326" spans="1:38" ht="15.9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row>
    <row r="327" spans="1:38" ht="15.9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row>
    <row r="328" spans="1:38" ht="15.9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row>
    <row r="329" spans="1:38" ht="15.9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row>
    <row r="330" spans="1:38" ht="15.9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row>
    <row r="331" spans="1:38" ht="15.9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row>
    <row r="332" spans="1:38" ht="15.9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row>
    <row r="333" spans="1:38" ht="15.9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row>
    <row r="334" spans="1:38" ht="15.9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row>
    <row r="335" spans="1:38" ht="15.9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row>
    <row r="336" spans="1:38" ht="15.9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row>
    <row r="337" spans="1:38" ht="15.9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row>
    <row r="338" spans="1:38" ht="15.9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row>
    <row r="339" spans="1:38" ht="15.9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row>
    <row r="340" spans="1:38" ht="15.9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row>
    <row r="341" spans="1:38" ht="15.9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row>
    <row r="342" spans="1:38" ht="15.9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row>
    <row r="343" spans="1:38" ht="15.9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row>
    <row r="344" spans="1:38" ht="15.9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row>
    <row r="345" spans="1:38" ht="15.9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row>
    <row r="346" spans="1:38" ht="15.9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row>
    <row r="347" spans="1:38" ht="15.9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row>
    <row r="348" spans="1:38" ht="15.9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row>
    <row r="349" spans="1:38" ht="15.9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row>
    <row r="350" spans="1:38" ht="15.9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row>
    <row r="351" spans="1:38" ht="15.9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row>
    <row r="352" spans="1:38" ht="15.9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row>
    <row r="353" spans="1:38" ht="15.9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row>
    <row r="354" spans="1:38" ht="15.9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row>
    <row r="355" spans="1:38" ht="15.9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row>
    <row r="356" spans="1:38" ht="15.9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row>
    <row r="357" spans="1:38" ht="15.9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row>
    <row r="358" spans="1:38" ht="15.9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row>
    <row r="359" spans="1:38" ht="15.9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row>
    <row r="360" spans="1:38" ht="15.9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row>
    <row r="361" spans="1:38" ht="15.9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row>
    <row r="362" spans="1:38" ht="15.9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row>
    <row r="363" spans="1:38" ht="15.9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row>
    <row r="364" spans="1:38" ht="15.9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row>
    <row r="365" spans="1:38" ht="15.9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row>
    <row r="366" spans="1:38" ht="15.9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row>
    <row r="367" spans="1:38" ht="15.9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row>
    <row r="368" spans="1:38" ht="15.9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row>
    <row r="369" spans="1:38" ht="15.9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row>
    <row r="370" spans="1:38" ht="15.9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row>
    <row r="371" spans="1:38" ht="15.9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row>
    <row r="372" spans="1:38" ht="15.9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row>
    <row r="373" spans="1:38" ht="15.9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row>
    <row r="374" spans="1:38" ht="15.9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row>
    <row r="375" spans="1:38" ht="15.9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row>
    <row r="376" spans="1:38" ht="15.9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row>
    <row r="377" spans="1:38" ht="15.9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row>
    <row r="378" spans="1:38" ht="15.9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row>
    <row r="379" spans="1:38" ht="15.9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row>
    <row r="380" spans="1:38" ht="15.9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row>
    <row r="381" spans="1:38" ht="15.9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row>
    <row r="382" spans="1:38" ht="15.9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row>
    <row r="383" spans="1:38" ht="15.9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row>
    <row r="384" spans="1:38" ht="15.9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row>
    <row r="385" spans="1:38" ht="15.9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row>
    <row r="386" spans="1:38" ht="15.9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row>
    <row r="387" spans="1:38" ht="15.9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row>
    <row r="388" spans="1:38" ht="15.9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row>
    <row r="389" spans="1:38" ht="15.9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row>
    <row r="390" spans="1:38" ht="15.9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row>
    <row r="391" spans="1:38" ht="15.9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row>
    <row r="392" spans="1:38" ht="15.9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row>
    <row r="393" spans="1:38" ht="15.9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row>
    <row r="394" spans="1:38" ht="15.9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row>
    <row r="395" spans="1:38" ht="15.9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row>
    <row r="396" spans="1:38" ht="15.9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row>
    <row r="397" spans="1:38" ht="15.9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row>
    <row r="398" spans="1:38" ht="15.9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row>
    <row r="399" spans="1:38" ht="15.9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row>
    <row r="400" spans="1:38" ht="15.9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row>
    <row r="401" spans="1:38" ht="15.9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row>
    <row r="402" spans="1:38" ht="15.9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row>
    <row r="403" spans="1:38" ht="15.9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row>
    <row r="404" spans="1:38" ht="15.9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row>
    <row r="405" spans="1:38" ht="15.9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row>
    <row r="406" spans="1:38" ht="15.9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row>
    <row r="407" spans="1:38" ht="15.9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row>
    <row r="408" spans="1:38" ht="15.9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row>
    <row r="409" spans="1:38" ht="15.9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row>
    <row r="410" spans="1:38" ht="15.9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row>
    <row r="411" spans="1:38" ht="15.9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row>
    <row r="412" spans="1:38" ht="15.9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row>
    <row r="413" spans="1:38" ht="15.9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row>
    <row r="414" spans="1:38" ht="15.9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row>
    <row r="415" spans="1:38" ht="15.9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row>
    <row r="416" spans="1:38" ht="15.9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row>
    <row r="417" spans="1:38" ht="15.9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row>
    <row r="418" spans="1:38" ht="15.9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row>
    <row r="419" spans="1:38" ht="15.9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row>
    <row r="420" spans="1:38" ht="15.9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row>
    <row r="421" spans="1:38" ht="15.9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row>
    <row r="422" spans="1:38" ht="15.9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row>
    <row r="423" spans="1:38" ht="15.9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row>
    <row r="424" spans="1:38" ht="15.9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row>
    <row r="425" spans="1:38" ht="15.9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row>
    <row r="426" spans="1:38" ht="15.9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row>
    <row r="427" spans="1:38" ht="15.9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row>
    <row r="428" spans="1:38" ht="15.9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row>
    <row r="429" spans="1:38" ht="15.9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row>
    <row r="430" spans="1:38" ht="15.9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row>
    <row r="431" spans="1:38" ht="15.9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row>
    <row r="432" spans="1:38" ht="15.9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row>
    <row r="433" spans="1:38" ht="15.9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row>
    <row r="434" spans="1:38" ht="15.9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row>
    <row r="435" spans="1:38" ht="15.9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row>
    <row r="436" spans="1:38" ht="15.9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row>
    <row r="437" spans="1:38" ht="15.9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row>
    <row r="438" spans="1:38" ht="15.9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row>
    <row r="439" spans="1:38" ht="15.9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row>
    <row r="440" spans="1:38" ht="15.9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row>
    <row r="441" spans="1:38" ht="15.9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row>
    <row r="442" spans="1:38" ht="15.9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row>
    <row r="443" spans="1:38" ht="15.9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row>
    <row r="444" spans="1:38" ht="15.9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row>
    <row r="445" spans="1:38" ht="15.9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row>
    <row r="446" spans="1:38" ht="15.9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row>
    <row r="447" spans="1:38" ht="15.9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row>
    <row r="448" spans="1:38" ht="15.9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row>
    <row r="449" spans="1:38" ht="15.9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row>
    <row r="450" spans="1:38" ht="15.9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row>
    <row r="451" spans="1:38" ht="15.9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row>
    <row r="452" spans="1:38" ht="15.9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row>
    <row r="453" spans="1:38" ht="15.9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row>
    <row r="454" spans="1:38" ht="15.9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row>
    <row r="455" spans="1:38" ht="15.9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row>
    <row r="456" spans="1:38" ht="15.9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row>
    <row r="457" spans="1:38" ht="15.9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row>
    <row r="458" spans="1:38" ht="15.9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row>
    <row r="459" spans="1:38" ht="15.9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row>
    <row r="460" spans="1:38" ht="15.9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row>
    <row r="461" spans="1:38" ht="15.9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row>
    <row r="462" spans="1:38" ht="15.9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row>
    <row r="463" spans="1:38" ht="15.9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row>
    <row r="464" spans="1:38" ht="15.9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row>
    <row r="465" spans="1:38" ht="15.9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row>
    <row r="466" spans="1:38" ht="15.9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row>
    <row r="467" spans="1:38" ht="15.9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row>
    <row r="468" spans="1:38" ht="15.9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row>
    <row r="469" spans="1:38" ht="15.9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row>
    <row r="470" spans="1:38" ht="15.9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row>
    <row r="471" spans="1:38" ht="15.9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row>
    <row r="472" spans="1:38" ht="15.9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row>
    <row r="473" spans="1:38" ht="15.9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row>
    <row r="474" spans="1:38" ht="15.9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row>
    <row r="475" spans="1:38" ht="15.9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row>
    <row r="476" spans="1:38" ht="15.9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row>
    <row r="477" spans="1:38" ht="15.9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row>
    <row r="478" spans="1:38" ht="15.9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row>
    <row r="479" spans="1:38" ht="15.9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row>
    <row r="480" spans="1:38" ht="15.9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row>
    <row r="481" spans="1:38" ht="15.9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row>
    <row r="482" spans="1:38" ht="15.9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row>
    <row r="483" spans="1:38" ht="15.9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row>
    <row r="484" spans="1:38" ht="15.9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row>
    <row r="485" spans="1:38" ht="15.9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row>
    <row r="486" spans="1:38" ht="15.9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row>
    <row r="487" spans="1:38" ht="15.9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row>
    <row r="488" spans="1:38" ht="15.9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row>
    <row r="489" spans="1:38" ht="15.9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row>
    <row r="490" spans="1:38" ht="15.9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row>
    <row r="491" spans="1:38" ht="15.9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row>
    <row r="492" spans="1:38" ht="15.9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row>
    <row r="493" spans="1:38" ht="15.9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row>
    <row r="494" spans="1:38" ht="15.9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row>
    <row r="495" spans="1:38" ht="15.9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row>
    <row r="496" spans="1:38" ht="15.9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row>
    <row r="497" spans="1:38" ht="15.9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row>
    <row r="498" spans="1:38" ht="15.9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row>
    <row r="499" spans="1:38" ht="15.9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row>
    <row r="500" spans="1:38" ht="15.9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row>
    <row r="501" spans="1:38" ht="15.9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row>
    <row r="502" spans="1:38" ht="15.9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row>
    <row r="503" spans="1:38" ht="15.9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row>
    <row r="504" spans="1:38" ht="15.9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row>
    <row r="505" spans="1:38" ht="15.9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row>
    <row r="506" spans="1:38" ht="15.9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row>
    <row r="507" spans="1:38" ht="15.9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row>
    <row r="508" spans="1:38" ht="15.9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row>
    <row r="509" spans="1:38" ht="15.9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row>
    <row r="510" spans="1:38" ht="15.9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row>
    <row r="511" spans="1:38" ht="15.9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row>
    <row r="512" spans="1:38" ht="15.9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row>
    <row r="513" spans="1:38" ht="15.9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row>
    <row r="514" spans="1:38" ht="15.9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row>
    <row r="515" spans="1:38" ht="15.9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row>
    <row r="516" spans="1:38" ht="15.9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row>
    <row r="517" spans="1:38" ht="15.9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row>
    <row r="518" spans="1:38" ht="15.9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row>
    <row r="519" spans="1:38" ht="15.9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row>
    <row r="520" spans="1:38" ht="15.9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row>
    <row r="521" spans="1:38" ht="15.9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row>
    <row r="522" spans="1:38" ht="15.9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row>
    <row r="523" spans="1:38" ht="15.9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row>
    <row r="524" spans="1:38" ht="15.9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row>
    <row r="525" spans="1:38" ht="15.9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row>
    <row r="526" spans="1:38" ht="15.9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row>
    <row r="527" spans="1:38" ht="15.9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row>
    <row r="528" spans="1:38" ht="15.9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row>
    <row r="529" spans="1:38" ht="15.9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row>
    <row r="530" spans="1:38" ht="15.9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row>
    <row r="531" spans="1:38" ht="15.9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row>
    <row r="532" spans="1:38" ht="15.9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row>
    <row r="533" spans="1:38" ht="15.9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row>
    <row r="534" spans="1:38" ht="15.9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row>
    <row r="535" spans="1:38" ht="15.9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row>
    <row r="536" spans="1:38" ht="15.9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row>
    <row r="537" spans="1:38" ht="15.9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row>
    <row r="538" spans="1:38" ht="15.9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row>
    <row r="539" spans="1:38" ht="15.9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row>
    <row r="540" spans="1:38" ht="15.9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row>
    <row r="541" spans="1:38" ht="15.9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row>
    <row r="542" spans="1:38" ht="15.9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row>
    <row r="543" spans="1:38" ht="15.9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row>
    <row r="544" spans="1:38" ht="15.9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row>
    <row r="545" spans="1:38" ht="15.9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row>
    <row r="546" spans="1:38" ht="15.9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row>
    <row r="547" spans="1:38" ht="15.9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row>
    <row r="548" spans="1:38" ht="15.9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row>
    <row r="549" spans="1:38" ht="15.9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row>
    <row r="550" spans="1:38" ht="15.9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row>
    <row r="551" spans="1:38" ht="15.9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row>
    <row r="552" spans="1:38" ht="15.9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row>
    <row r="553" spans="1:38" ht="15.9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row>
    <row r="554" spans="1:38" ht="15.9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row>
    <row r="555" spans="1:38" ht="15.9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row>
    <row r="556" spans="1:38" ht="15.9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row>
    <row r="557" spans="1:38" ht="15.9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row>
    <row r="558" spans="1:38" ht="15.9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row>
    <row r="559" spans="1:38" ht="15.9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row>
    <row r="560" spans="1:38" ht="15.9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row>
    <row r="561" spans="1:38" ht="15.9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row>
    <row r="562" spans="1:38" ht="15.9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row>
    <row r="563" spans="1:38" ht="15.9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row>
    <row r="564" spans="1:38" ht="15.9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row>
    <row r="565" spans="1:38" ht="15.9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row>
    <row r="566" spans="1:38" ht="15.9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row>
    <row r="567" spans="1:38" ht="15.9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row>
    <row r="568" spans="1:38" ht="15.9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row>
    <row r="569" spans="1:38" ht="15.9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row>
    <row r="570" spans="1:38" ht="15.9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row>
    <row r="571" spans="1:38" ht="15.9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row>
    <row r="572" spans="1:38" ht="15.9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row>
    <row r="573" spans="1:38" ht="15.9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row>
    <row r="574" spans="1:38" ht="15.9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row>
    <row r="575" spans="1:38" ht="15.9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row>
    <row r="576" spans="1:38" ht="15.9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row>
    <row r="577" spans="1:38" ht="15.9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row>
    <row r="578" spans="1:38" ht="15.9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row>
    <row r="579" spans="1:38" ht="15.9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row>
    <row r="580" spans="1:38" ht="15.9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row>
    <row r="581" spans="1:38" ht="15.9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row>
    <row r="582" spans="1:38" ht="15.9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row>
    <row r="583" spans="1:38" ht="15.9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row>
    <row r="584" spans="1:38" ht="15.9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row>
    <row r="585" spans="1:38" ht="15.9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row>
    <row r="586" spans="1:38" ht="15.9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row>
    <row r="587" spans="1:38" ht="15.9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row>
    <row r="588" spans="1:38" ht="15.9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row>
    <row r="589" spans="1:38" ht="15.9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row>
    <row r="590" spans="1:38" ht="15.9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row>
    <row r="591" spans="1:38" ht="15.9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row>
    <row r="592" spans="1:38" ht="15.9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row>
    <row r="593" spans="1:38" ht="15.9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row>
    <row r="594" spans="1:38" ht="15.9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row>
    <row r="595" spans="1:38" ht="15.9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row>
    <row r="596" spans="1:38" ht="15.9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row>
    <row r="597" spans="1:38" ht="15.9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row>
    <row r="598" spans="1:38" ht="15.9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row>
    <row r="599" spans="1:38" ht="15.9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row>
    <row r="600" spans="1:38" ht="15.9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row>
    <row r="601" spans="1:38" ht="15.9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row>
    <row r="602" spans="1:38" ht="15.9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row>
    <row r="603" spans="1:38" ht="15.9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row>
    <row r="604" spans="1:38" ht="15.9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row>
    <row r="605" spans="1:38" ht="15.9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row>
    <row r="606" spans="1:38" ht="15.9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row>
    <row r="607" spans="1:38" ht="15.9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row>
    <row r="608" spans="1:38" ht="15.9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row>
    <row r="609" spans="1:38" ht="15.9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row>
    <row r="610" spans="1:38" ht="15.9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row>
    <row r="611" spans="1:38" ht="15.9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row>
    <row r="612" spans="1:38" ht="15.9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row>
    <row r="613" spans="1:38" ht="15.9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row>
    <row r="614" spans="1:38" ht="15.9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row>
    <row r="615" spans="1:38" ht="15.9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row>
    <row r="616" spans="1:38" ht="15.9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row>
    <row r="617" spans="1:38" ht="15.9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row>
    <row r="618" spans="1:38" ht="15.9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row>
    <row r="619" spans="1:38" ht="15.9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row>
    <row r="620" spans="1:38" ht="15.9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row>
    <row r="621" spans="1:38" ht="15.9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row>
    <row r="622" spans="1:38" ht="15.9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row>
    <row r="623" spans="1:38" ht="15.9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row>
    <row r="624" spans="1:38" ht="15.9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row>
    <row r="625" spans="1:38" ht="15.9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row>
    <row r="626" spans="1:38" ht="15.9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row>
    <row r="627" spans="1:38" ht="15.9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row>
    <row r="628" spans="1:38" ht="15.9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row>
    <row r="629" spans="1:38" ht="15.9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row>
    <row r="630" spans="1:38" ht="15.9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row>
    <row r="631" spans="1:38" ht="15.9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row>
    <row r="632" spans="1:38" ht="15.9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row>
    <row r="633" spans="1:38" ht="15.9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row>
    <row r="634" spans="1:38" ht="15.9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row>
    <row r="635" spans="1:38" ht="15.9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row>
    <row r="636" spans="1:38" ht="15.9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row>
    <row r="637" spans="1:38" ht="15.9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row>
    <row r="638" spans="1:38" ht="15.9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row>
    <row r="639" spans="1:38" ht="15.9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row>
    <row r="640" spans="1:38" ht="15.9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row>
    <row r="641" spans="1:38" ht="15.9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row>
    <row r="642" spans="1:38" ht="15.9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row>
    <row r="643" spans="1:38" ht="15.9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row>
    <row r="644" spans="1:38" ht="15.9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row>
    <row r="645" spans="1:38" ht="15.9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row>
    <row r="646" spans="1:38" ht="15.9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row>
    <row r="647" spans="1:38" ht="15.9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row>
    <row r="648" spans="1:38" ht="15.9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row>
    <row r="649" spans="1:38" ht="15.9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row>
    <row r="650" spans="1:38" ht="15.9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row>
    <row r="651" spans="1:38" ht="15.9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row>
    <row r="652" spans="1:38" ht="15.9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row>
    <row r="653" spans="1:38" ht="15.9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row>
    <row r="654" spans="1:38" ht="15.9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row>
    <row r="655" spans="1:38" ht="15.9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row>
    <row r="656" spans="1:38" ht="15.9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row>
    <row r="657" spans="1:38" ht="15.9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row>
    <row r="658" spans="1:38" ht="15.9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row>
    <row r="659" spans="1:38" ht="15.9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row>
    <row r="660" spans="1:38" ht="15.9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row>
    <row r="661" spans="1:38" ht="15.9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row>
    <row r="662" spans="1:38" ht="15.9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row>
    <row r="663" spans="1:38" ht="15.9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row>
    <row r="664" spans="1:38" ht="15.9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row>
    <row r="665" spans="1:38" ht="15.9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row>
    <row r="666" spans="1:38" ht="15.9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row>
    <row r="667" spans="1:38" ht="15.9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row>
    <row r="668" spans="1:38" ht="15.9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row>
    <row r="669" spans="1:38" ht="15.9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row>
    <row r="670" spans="1:38" ht="15.9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row>
    <row r="671" spans="1:38" ht="15.9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row>
    <row r="672" spans="1:38" ht="15.9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row>
    <row r="673" spans="1:38" ht="15.9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row>
    <row r="674" spans="1:38" ht="15.9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row>
    <row r="675" spans="1:38" ht="15.9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row>
    <row r="676" spans="1:38" ht="15.9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row>
    <row r="677" spans="1:38" ht="15.9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row>
    <row r="678" spans="1:38" ht="15.9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row>
    <row r="679" spans="1:38" ht="15.9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row>
    <row r="680" spans="1:38" ht="15.9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row>
    <row r="681" spans="1:38" ht="15.9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row>
    <row r="682" spans="1:38" ht="15.9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row>
    <row r="683" spans="1:38" ht="15.9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row>
    <row r="684" spans="1:38" ht="15.9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row>
    <row r="685" spans="1:38" ht="15.9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row>
    <row r="686" spans="1:38" ht="15.9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row>
    <row r="687" spans="1:38" ht="15.9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row>
    <row r="688" spans="1:38" ht="15.9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row>
    <row r="689" spans="1:38" ht="15.9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row>
    <row r="690" spans="1:38" ht="15.9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row>
    <row r="691" spans="1:38" ht="15.9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row>
    <row r="692" spans="1:38" ht="15.9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row>
    <row r="693" spans="1:38" ht="15.9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row>
    <row r="694" spans="1:38" ht="15.9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row>
    <row r="695" spans="1:38" ht="15.9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row>
    <row r="696" spans="1:38" ht="15.9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row>
    <row r="697" spans="1:38" ht="15.9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row>
    <row r="698" spans="1:38" ht="15.9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row>
    <row r="699" spans="1:38" ht="15.9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row>
    <row r="700" spans="1:38" ht="15.9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row>
    <row r="701" spans="1:38" ht="15.9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row>
    <row r="702" spans="1:38" ht="15.9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row>
    <row r="703" spans="1:38" ht="15.9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row>
    <row r="704" spans="1:38" ht="15.9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row>
    <row r="705" spans="1:38" ht="15.9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row>
    <row r="706" spans="1:38" ht="15.9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row>
    <row r="707" spans="1:38" ht="15.9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row>
    <row r="708" spans="1:38" ht="15.9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row>
    <row r="709" spans="1:38" ht="15.9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row>
    <row r="710" spans="1:38" ht="15.9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row>
    <row r="711" spans="1:38" ht="15.9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row>
    <row r="712" spans="1:38" ht="15.9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row>
    <row r="713" spans="1:38" ht="15.9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row>
    <row r="714" spans="1:38" ht="15.9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row>
    <row r="715" spans="1:38" ht="15.9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row>
    <row r="716" spans="1:38" ht="15.9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row>
    <row r="717" spans="1:38" ht="15.9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row>
    <row r="718" spans="1:38" ht="15.9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row>
    <row r="719" spans="1:38" ht="15.9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row>
    <row r="720" spans="1:38" ht="15.9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row>
    <row r="721" spans="1:38" ht="15.9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row>
    <row r="722" spans="1:38" ht="15.9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row>
    <row r="723" spans="1:38" ht="15.9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row>
    <row r="724" spans="1:38" ht="15.9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row>
    <row r="725" spans="1:38" ht="15.9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row>
    <row r="726" spans="1:38" ht="15.9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row>
    <row r="727" spans="1:38" ht="15.9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row>
    <row r="728" spans="1:38" ht="15.9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row>
    <row r="729" spans="1:38" ht="15.9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row>
    <row r="730" spans="1:38" ht="15.9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row>
    <row r="731" spans="1:38" ht="15.9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row>
    <row r="732" spans="1:38" ht="15.9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row>
    <row r="733" spans="1:38" ht="15.9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row>
    <row r="734" spans="1:38" ht="15.9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row>
    <row r="735" spans="1:38" ht="15.9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row>
    <row r="736" spans="1:38" ht="15.9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row>
    <row r="737" spans="1:38" ht="15.9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row>
    <row r="738" spans="1:38" ht="15.9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row>
    <row r="739" spans="1:38" ht="15.9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row>
    <row r="740" spans="1:38" ht="15.9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row>
    <row r="741" spans="1:38" ht="15.9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row>
    <row r="742" spans="1:38" ht="15.9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row>
    <row r="743" spans="1:38" ht="15.9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row>
    <row r="744" spans="1:38" ht="15.9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row>
    <row r="745" spans="1:38" ht="15.9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row>
    <row r="746" spans="1:38" ht="15.9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row>
    <row r="747" spans="1:38" ht="15.9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row>
    <row r="748" spans="1:38" ht="15.9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row>
    <row r="749" spans="1:38" ht="15.9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row>
    <row r="750" spans="1:38" ht="15.9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row>
    <row r="751" spans="1:38" ht="15.9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row>
    <row r="752" spans="1:38" ht="15.9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row>
    <row r="753" spans="1:38" ht="15.9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row>
    <row r="754" spans="1:38" ht="15.9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row>
    <row r="755" spans="1:38" ht="15.9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row>
    <row r="756" spans="1:38" ht="15.9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row>
    <row r="757" spans="1:38" ht="15.9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row>
    <row r="758" spans="1:38" ht="15.9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row>
    <row r="759" spans="1:38" ht="15.9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row>
    <row r="760" spans="1:38" ht="15.9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row>
    <row r="761" spans="1:38" ht="15.9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row>
    <row r="762" spans="1:38" ht="15.9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row>
    <row r="763" spans="1:38" ht="15.9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row>
    <row r="764" spans="1:38" ht="15.9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row>
    <row r="765" spans="1:38" ht="15.9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row>
    <row r="766" spans="1:38" ht="15.9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row>
    <row r="767" spans="1:38" ht="15.9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row>
    <row r="768" spans="1:38" ht="15.9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row>
    <row r="769" spans="1:38" ht="15.9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row>
    <row r="770" spans="1:38" ht="15.9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row>
    <row r="771" spans="1:38" ht="15.9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row>
    <row r="772" spans="1:38" ht="15.9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row>
    <row r="773" spans="1:38" ht="15.9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row>
    <row r="774" spans="1:38" ht="15.9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row>
    <row r="775" spans="1:38" ht="15.9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row>
    <row r="776" spans="1:38" ht="15.9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row>
    <row r="777" spans="1:38" ht="15.9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row>
    <row r="778" spans="1:38" ht="15.9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row>
    <row r="779" spans="1:38" ht="15.9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row>
    <row r="780" spans="1:38" ht="15.9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row>
    <row r="781" spans="1:38" ht="15.9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row>
    <row r="782" spans="1:38" ht="15.9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row>
    <row r="783" spans="1:38" ht="15.9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row>
    <row r="784" spans="1:38" ht="15.9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row>
    <row r="785" spans="1:38" ht="15.9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row>
    <row r="786" spans="1:38" ht="15.9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row>
    <row r="787" spans="1:38" ht="15.9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row>
    <row r="788" spans="1:38" ht="15.9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row>
    <row r="789" spans="1:38" ht="15.9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row>
    <row r="790" spans="1:38" ht="15.9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row>
    <row r="791" spans="1:38" ht="15.9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row>
    <row r="792" spans="1:38" ht="15.9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row>
    <row r="793" spans="1:38" ht="15.9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row>
    <row r="794" spans="1:38" ht="15.9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row>
    <row r="795" spans="1:38" ht="15.9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row>
    <row r="796" spans="1:38" ht="15.9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row>
    <row r="797" spans="1:38" ht="15.9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row>
    <row r="798" spans="1:38" ht="15.9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row>
    <row r="799" spans="1:38" ht="15.9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row>
    <row r="800" spans="1:38" ht="15.9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row>
    <row r="801" spans="1:38" ht="15.9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row>
    <row r="802" spans="1:38" ht="15.9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row>
    <row r="803" spans="1:38" ht="15.9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row>
    <row r="804" spans="1:38" ht="15.9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row>
    <row r="805" spans="1:38" ht="15.9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row>
    <row r="806" spans="1:38" ht="15.9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row>
    <row r="807" spans="1:38" ht="15.9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row>
    <row r="808" spans="1:38" ht="15.9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row>
    <row r="809" spans="1:38" ht="15.9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row>
    <row r="810" spans="1:38" ht="15.9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row>
    <row r="811" spans="1:38" ht="15.9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row>
    <row r="812" spans="1:38" ht="15.9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row>
    <row r="813" spans="1:38" ht="15.9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row>
    <row r="814" spans="1:38" ht="15.9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row>
    <row r="815" spans="1:38" ht="15.9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row>
    <row r="816" spans="1:38" ht="15.9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row>
    <row r="817" spans="1:38" ht="15.9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row>
    <row r="818" spans="1:38" ht="15.9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row>
    <row r="819" spans="1:38" ht="15.9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row>
    <row r="820" spans="1:38" ht="15.9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row>
    <row r="821" spans="1:38" ht="15.9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row>
    <row r="822" spans="1:38" ht="15.9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row>
    <row r="823" spans="1:38" ht="15.9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row>
    <row r="824" spans="1:38" ht="15.9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row>
    <row r="825" spans="1:38" ht="15.9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row>
    <row r="826" spans="1:38" ht="15.9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row>
    <row r="827" spans="1:38" ht="15.9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row>
    <row r="828" spans="1:38" ht="15.9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row>
    <row r="829" spans="1:38" ht="15.9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row>
    <row r="830" spans="1:38" ht="15.9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row>
    <row r="831" spans="1:38" ht="15.9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row>
    <row r="832" spans="1:38" ht="15.9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row>
    <row r="833" spans="1:38" ht="15.9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row>
    <row r="834" spans="1:38" ht="15.9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row>
    <row r="835" spans="1:38" ht="15.9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row>
    <row r="836" spans="1:38" ht="15.9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row>
    <row r="837" spans="1:38" ht="15.9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row>
    <row r="838" spans="1:38" ht="15.9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row>
    <row r="839" spans="1:38" ht="15.9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row>
    <row r="840" spans="1:38" ht="15.9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row>
    <row r="841" spans="1:38" ht="15.9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row>
    <row r="842" spans="1:38" ht="15.9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row>
    <row r="843" spans="1:38" ht="15.9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row>
    <row r="844" spans="1:38" ht="15.9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row>
    <row r="845" spans="1:38" ht="15.9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row>
    <row r="846" spans="1:38" ht="15.9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row>
    <row r="847" spans="1:38" ht="15.9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row>
    <row r="848" spans="1:38" ht="15.9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row>
    <row r="849" spans="1:38" ht="15.9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row>
    <row r="850" spans="1:38" ht="15.9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row>
    <row r="851" spans="1:38" ht="15.9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row>
    <row r="852" spans="1:38" ht="15.9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row>
    <row r="853" spans="1:38" ht="15.9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row>
    <row r="854" spans="1:38" ht="15.9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row>
    <row r="855" spans="1:38" ht="15.9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row>
    <row r="856" spans="1:38" ht="15.9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row>
    <row r="857" spans="1:38" ht="15.9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row>
    <row r="858" spans="1:38" ht="15.9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row>
    <row r="859" spans="1:38" ht="15.9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row>
    <row r="860" spans="1:38" ht="15.9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row>
    <row r="861" spans="1:38" ht="15.9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row>
    <row r="862" spans="1:38" ht="15.9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row>
    <row r="863" spans="1:38" ht="15.9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row>
    <row r="864" spans="1:38" ht="15.9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row>
    <row r="865" spans="1:38" ht="15.9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row>
    <row r="866" spans="1:38" ht="15.9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row>
    <row r="867" spans="1:38" ht="15.9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row>
    <row r="868" spans="1:38" ht="15.9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row>
    <row r="869" spans="1:38" ht="15.9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row>
    <row r="870" spans="1:38" ht="15.9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row>
    <row r="871" spans="1:38" ht="15.9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row>
    <row r="872" spans="1:38" ht="15.9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row>
    <row r="873" spans="1:38" ht="15.9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row>
    <row r="874" spans="1:38" ht="15.9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row>
    <row r="875" spans="1:38" ht="15.9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row>
    <row r="876" spans="1:38" ht="15.9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row>
    <row r="877" spans="1:38" ht="15.9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row>
    <row r="878" spans="1:38" ht="15.9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row>
    <row r="879" spans="1:38" ht="15.9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row>
    <row r="880" spans="1:38" ht="15.9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row>
    <row r="881" spans="1:38" ht="15.9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row>
    <row r="882" spans="1:38" ht="15.9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row>
    <row r="883" spans="1:38" ht="15.9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row>
    <row r="884" spans="1:38" ht="15.9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row>
    <row r="885" spans="1:38" ht="15.9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row>
    <row r="886" spans="1:38" ht="15.9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row>
    <row r="887" spans="1:38" ht="15.9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row>
    <row r="888" spans="1:38" ht="15.9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row>
    <row r="889" spans="1:38" ht="15.9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row>
    <row r="890" spans="1:38" ht="15.9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row>
    <row r="891" spans="1:38" ht="15.9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row>
    <row r="892" spans="1:38" ht="15.9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row>
    <row r="893" spans="1:38" ht="15.9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row>
    <row r="894" spans="1:38" ht="15.9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row>
    <row r="895" spans="1:38" ht="15.9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row>
    <row r="896" spans="1:38" ht="15.9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row>
    <row r="897" spans="1:38" ht="15.9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row>
    <row r="898" spans="1:38" ht="15.9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row>
    <row r="899" spans="1:38" ht="15.9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row>
    <row r="900" spans="1:38" ht="15.9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row>
    <row r="901" spans="1:38" ht="15.9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row>
    <row r="902" spans="1:38" ht="15.9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row>
    <row r="903" spans="1:38" ht="15.9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row>
    <row r="904" spans="1:38" ht="15.9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row>
    <row r="905" spans="1:38" ht="15.9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row>
    <row r="906" spans="1:38" ht="15.9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row>
    <row r="907" spans="1:38" ht="15.9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row>
    <row r="908" spans="1:38" ht="15.9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row>
    <row r="909" spans="1:38" ht="15.9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row>
    <row r="910" spans="1:38" ht="15.9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row>
    <row r="911" spans="1:38" ht="15.9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row>
    <row r="912" spans="1:38" ht="15.9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row>
    <row r="913" spans="1:38" ht="15.9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row>
    <row r="914" spans="1:38" ht="15.9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row>
    <row r="915" spans="1:38" ht="15.9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row>
    <row r="916" spans="1:38" ht="15.9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row>
    <row r="917" spans="1:38" ht="15.9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row>
    <row r="918" spans="1:38" ht="15.9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row>
    <row r="919" spans="1:38" ht="15.9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row>
    <row r="920" spans="1:38" ht="15.9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row>
    <row r="921" spans="1:38" ht="15.9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row>
    <row r="922" spans="1:38" ht="15.9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row>
    <row r="923" spans="1:38" ht="15.9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row>
    <row r="924" spans="1:38" ht="15.9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row>
    <row r="925" spans="1:38" ht="15.9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row>
    <row r="926" spans="1:38" ht="15.9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row>
    <row r="927" spans="1:38" ht="15.9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row>
    <row r="928" spans="1:38" ht="15.9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row>
    <row r="929" spans="1:38" ht="15.9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row>
    <row r="930" spans="1:38" ht="15.9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row>
    <row r="931" spans="1:38" ht="15.9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row>
    <row r="932" spans="1:38" ht="15.9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row>
    <row r="933" spans="1:38" ht="15.9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row>
    <row r="934" spans="1:38" ht="15.9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row>
    <row r="935" spans="1:38" ht="15.9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row>
    <row r="936" spans="1:38" ht="15.9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row>
    <row r="937" spans="1:38" ht="15.9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row>
    <row r="938" spans="1:38" ht="15.9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row>
    <row r="939" spans="1:38" ht="15.9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row>
    <row r="940" spans="1:38" ht="15.9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row>
    <row r="941" spans="1:38" ht="15.9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row>
    <row r="942" spans="1:38" ht="15.9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row>
    <row r="943" spans="1:38" ht="15.9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row>
    <row r="944" spans="1:38" ht="15.9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row>
    <row r="945" spans="1:38" ht="15.9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row>
    <row r="946" spans="1:38" ht="15.9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row>
    <row r="947" spans="1:38" ht="15.9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row>
    <row r="948" spans="1:38" ht="15.9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row>
    <row r="949" spans="1:38" ht="15.9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row>
    <row r="950" spans="1:38" ht="15.9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row>
    <row r="951" spans="1:38" ht="15.9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row>
    <row r="952" spans="1:38" ht="15.9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row>
    <row r="953" spans="1:38" ht="15.9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row>
    <row r="954" spans="1:38" ht="15.9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row>
    <row r="955" spans="1:38" ht="15.9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row>
    <row r="956" spans="1:38" ht="15.9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row>
    <row r="957" spans="1:38" ht="15.9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row>
    <row r="958" spans="1:38" ht="15.9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row>
    <row r="959" spans="1:38" ht="15.9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row>
    <row r="960" spans="1:38" ht="15.9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row>
    <row r="961" spans="1:38" ht="15.9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row>
    <row r="962" spans="1:38" ht="15.9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row>
    <row r="963" spans="1:38" ht="15.9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row>
    <row r="964" spans="1:38" ht="15.9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row>
    <row r="965" spans="1:38" ht="15.9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row>
    <row r="966" spans="1:38" ht="15.9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row>
    <row r="967" spans="1:38" ht="15.9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row>
    <row r="968" spans="1:38" ht="15.9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row>
    <row r="969" spans="1:38" ht="15.9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row>
    <row r="970" spans="1:38" ht="15.9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row>
    <row r="971" spans="1:38" ht="15.9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row>
    <row r="972" spans="1:38" ht="15.9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row>
    <row r="973" spans="1:38" ht="15.9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row>
    <row r="974" spans="1:38" ht="15.9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row>
    <row r="975" spans="1:38" ht="15.9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row>
    <row r="976" spans="1:38" ht="15.9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row>
    <row r="977" spans="1:38" ht="15.9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row>
    <row r="978" spans="1:38" ht="15.9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row>
    <row r="979" spans="1:38" ht="15.9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row>
    <row r="980" spans="1:38" ht="15.9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row>
    <row r="981" spans="1:38" ht="15.9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row>
    <row r="982" spans="1:38" ht="15.9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row>
    <row r="983" spans="1:38" ht="15.9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row>
    <row r="984" spans="1:38" ht="15.9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row>
    <row r="985" spans="1:38" ht="15.9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row>
    <row r="986" spans="1:38" ht="15.9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row>
    <row r="987" spans="1:38" ht="15.9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row>
    <row r="988" spans="1:38" ht="15.9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row>
    <row r="989" spans="1:38" ht="15.9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row>
    <row r="990" spans="1:38" ht="15.9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row>
    <row r="991" spans="1:38" ht="15.9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row>
    <row r="992" spans="1:38" ht="15.9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row>
    <row r="993" spans="1:38" ht="15.9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row>
    <row r="994" spans="1:38" ht="15.9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row>
    <row r="995" spans="1:38" ht="15.9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row>
    <row r="996" spans="1:38" ht="15.9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row>
    <row r="997" spans="1:38" ht="15.9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row>
  </sheetData>
  <phoneticPr fontId="1"/>
  <conditionalFormatting sqref="J2:J8">
    <cfRule type="containsText" dxfId="19" priority="3" operator="containsText" text="OK">
      <formula>NOT(ISERROR(SEARCH("OK",J2)))</formula>
    </cfRule>
    <cfRule type="containsText" dxfId="18" priority="4" operator="containsText" text="NG">
      <formula>NOT(ISERROR(SEARCH("NG",J2)))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7959-495A-4C93-B376-8945B8AEB42D}">
  <dimension ref="A1:H8"/>
  <sheetViews>
    <sheetView zoomScale="160" zoomScaleNormal="160" workbookViewId="0">
      <selection activeCell="B4" sqref="B4"/>
    </sheetView>
  </sheetViews>
  <sheetFormatPr defaultColWidth="12.7109375" defaultRowHeight="15.95" customHeight="1" x14ac:dyDescent="0.2"/>
  <sheetData>
    <row r="1" spans="1:8" ht="15.95" customHeight="1" x14ac:dyDescent="0.35">
      <c r="A1" s="7" t="s">
        <v>1</v>
      </c>
      <c r="B1" s="7" t="s">
        <v>2</v>
      </c>
      <c r="C1" s="7" t="s">
        <v>10</v>
      </c>
      <c r="D1" s="7" t="s">
        <v>11</v>
      </c>
      <c r="E1" s="7" t="s">
        <v>12</v>
      </c>
      <c r="F1" s="7" t="s">
        <v>13</v>
      </c>
      <c r="G1" s="7" t="s">
        <v>14</v>
      </c>
      <c r="H1" s="7" t="s">
        <v>6</v>
      </c>
    </row>
    <row r="2" spans="1:8" ht="15.95" customHeight="1" x14ac:dyDescent="0.35">
      <c r="A2" s="29" t="str">
        <f>Nd!A2</f>
        <v>V0</v>
      </c>
      <c r="B2" s="27">
        <f>Nd!E2</f>
        <v>4338.75</v>
      </c>
      <c r="C2" s="8">
        <v>25</v>
      </c>
      <c r="D2" s="8">
        <v>600</v>
      </c>
      <c r="E2" s="31">
        <f t="shared" ref="E2:E8" si="0">(D2-2*24)*C2/100</f>
        <v>138</v>
      </c>
      <c r="F2" s="8">
        <v>325</v>
      </c>
      <c r="G2" s="9">
        <f t="shared" ref="G2:G7" si="1">E2*100*F2/1000</f>
        <v>4485</v>
      </c>
      <c r="H2" s="8" t="str">
        <f t="shared" ref="H2:H7" si="2">IF(G2&gt;B2, "OK", "NG")</f>
        <v>OK</v>
      </c>
    </row>
    <row r="3" spans="1:8" ht="15.95" customHeight="1" x14ac:dyDescent="0.35">
      <c r="A3" s="29" t="str">
        <f>Nd!A3</f>
        <v>V1</v>
      </c>
      <c r="B3" s="27">
        <f>Nd!E3</f>
        <v>2971.4749999999999</v>
      </c>
      <c r="C3" s="8">
        <v>19</v>
      </c>
      <c r="D3" s="8">
        <v>600</v>
      </c>
      <c r="E3" s="31">
        <f t="shared" si="0"/>
        <v>104.88</v>
      </c>
      <c r="F3" s="8">
        <v>325</v>
      </c>
      <c r="G3" s="9">
        <f t="shared" si="1"/>
        <v>3408.6</v>
      </c>
      <c r="H3" s="8" t="str">
        <f t="shared" si="2"/>
        <v>OK</v>
      </c>
    </row>
    <row r="4" spans="1:8" ht="15.95" customHeight="1" x14ac:dyDescent="0.35">
      <c r="A4" s="29" t="str">
        <f>Nd!A4</f>
        <v>V2</v>
      </c>
      <c r="B4" s="27">
        <f>Nd!E4</f>
        <v>2145</v>
      </c>
      <c r="C4" s="8">
        <v>16</v>
      </c>
      <c r="D4" s="8">
        <v>500</v>
      </c>
      <c r="E4" s="31">
        <f t="shared" si="0"/>
        <v>72.319999999999993</v>
      </c>
      <c r="F4" s="8">
        <v>325</v>
      </c>
      <c r="G4" s="9">
        <f t="shared" si="1"/>
        <v>2350.3999999999996</v>
      </c>
      <c r="H4" s="8" t="str">
        <f t="shared" si="2"/>
        <v>OK</v>
      </c>
    </row>
    <row r="5" spans="1:8" ht="15.95" customHeight="1" x14ac:dyDescent="0.35">
      <c r="A5" s="29" t="str">
        <f>Nd!A5</f>
        <v>V3</v>
      </c>
      <c r="B5" s="27">
        <f>Nd!E5</f>
        <v>1625</v>
      </c>
      <c r="C5" s="8">
        <v>16</v>
      </c>
      <c r="D5" s="8">
        <v>400</v>
      </c>
      <c r="E5" s="31">
        <f t="shared" si="0"/>
        <v>56.32</v>
      </c>
      <c r="F5" s="8">
        <v>325</v>
      </c>
      <c r="G5" s="9">
        <f t="shared" si="1"/>
        <v>1830.4</v>
      </c>
      <c r="H5" s="8" t="str">
        <f t="shared" si="2"/>
        <v>OK</v>
      </c>
    </row>
    <row r="6" spans="1:8" ht="15.95" customHeight="1" x14ac:dyDescent="0.35">
      <c r="A6" s="29" t="str">
        <f>Nd!A6</f>
        <v>V4</v>
      </c>
      <c r="B6" s="27">
        <f>Nd!E6</f>
        <v>975</v>
      </c>
      <c r="C6" s="8">
        <v>16</v>
      </c>
      <c r="D6" s="8">
        <v>350</v>
      </c>
      <c r="E6" s="31">
        <f t="shared" si="0"/>
        <v>48.32</v>
      </c>
      <c r="F6" s="8">
        <v>325</v>
      </c>
      <c r="G6" s="9">
        <f t="shared" si="1"/>
        <v>1570.4</v>
      </c>
      <c r="H6" s="8" t="str">
        <f t="shared" si="2"/>
        <v>OK</v>
      </c>
    </row>
    <row r="7" spans="1:8" ht="15.95" customHeight="1" x14ac:dyDescent="0.35">
      <c r="A7" s="29" t="str">
        <f>Nd!A7</f>
        <v>V5</v>
      </c>
      <c r="B7" s="27">
        <f>Nd!E7</f>
        <v>812.5</v>
      </c>
      <c r="C7" s="8">
        <v>16</v>
      </c>
      <c r="D7" s="8">
        <v>350</v>
      </c>
      <c r="E7" s="31">
        <f t="shared" si="0"/>
        <v>48.32</v>
      </c>
      <c r="F7" s="8">
        <v>325</v>
      </c>
      <c r="G7" s="9">
        <f t="shared" si="1"/>
        <v>1570.4</v>
      </c>
      <c r="H7" s="8" t="str">
        <f t="shared" si="2"/>
        <v>OK</v>
      </c>
    </row>
    <row r="8" spans="1:8" ht="15.95" customHeight="1" x14ac:dyDescent="0.35">
      <c r="A8" s="29" t="str">
        <f>Nd!A8</f>
        <v>V11</v>
      </c>
      <c r="B8" s="27">
        <f>Nd!E8</f>
        <v>3988.16</v>
      </c>
      <c r="C8" s="8">
        <v>25</v>
      </c>
      <c r="D8" s="8">
        <v>600</v>
      </c>
      <c r="E8" s="31">
        <f t="shared" si="0"/>
        <v>138</v>
      </c>
      <c r="F8" s="8">
        <v>325</v>
      </c>
      <c r="G8" s="9">
        <f t="shared" ref="G8" si="3">E8*100*F8/1000</f>
        <v>4485</v>
      </c>
      <c r="H8" s="8" t="str">
        <f t="shared" ref="H8" si="4">IF(G8&gt;B8, "OK", "NG")</f>
        <v>OK</v>
      </c>
    </row>
  </sheetData>
  <phoneticPr fontId="1"/>
  <conditionalFormatting sqref="H2:H8">
    <cfRule type="containsText" dxfId="17" priority="1" operator="containsText" text="NG">
      <formula>NOT(ISERROR(SEARCH("NG",H2)))</formula>
    </cfRule>
    <cfRule type="containsText" dxfId="16" priority="2" operator="containsText" text="OK">
      <formula>NOT(ISERROR(SEARCH("OK",H2)))</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B858-B4FF-442F-B8B9-30283354E199}">
  <dimension ref="A1:M8"/>
  <sheetViews>
    <sheetView zoomScale="160" zoomScaleNormal="160" workbookViewId="0">
      <selection activeCell="F4" sqref="F4"/>
    </sheetView>
  </sheetViews>
  <sheetFormatPr defaultColWidth="12.7109375" defaultRowHeight="15.95" customHeight="1" x14ac:dyDescent="0.2"/>
  <sheetData>
    <row r="1" spans="1:13" ht="15.95" customHeight="1" x14ac:dyDescent="0.35">
      <c r="A1" s="3" t="s">
        <v>1</v>
      </c>
      <c r="B1" s="3" t="s">
        <v>2</v>
      </c>
      <c r="C1" s="3" t="s">
        <v>10</v>
      </c>
      <c r="D1" s="3" t="s">
        <v>15</v>
      </c>
      <c r="E1" s="25" t="s">
        <v>69</v>
      </c>
      <c r="F1" s="3" t="s">
        <v>16</v>
      </c>
      <c r="G1" s="3" t="s">
        <v>17</v>
      </c>
      <c r="H1" s="3" t="s">
        <v>18</v>
      </c>
      <c r="I1" s="3" t="s">
        <v>19</v>
      </c>
      <c r="J1" s="3" t="s">
        <v>6</v>
      </c>
      <c r="K1" s="1"/>
      <c r="L1" s="1"/>
      <c r="M1" s="1"/>
    </row>
    <row r="2" spans="1:13" ht="15.95" customHeight="1" x14ac:dyDescent="0.35">
      <c r="A2" s="29" t="str">
        <f>Nd!A2</f>
        <v>V0</v>
      </c>
      <c r="B2" s="27">
        <f>Nd!E2</f>
        <v>4338.75</v>
      </c>
      <c r="C2" s="29">
        <f>gpl_y!C2</f>
        <v>25</v>
      </c>
      <c r="D2" s="5" t="s">
        <v>89</v>
      </c>
      <c r="E2" s="33">
        <v>25</v>
      </c>
      <c r="F2" s="10">
        <v>1000</v>
      </c>
      <c r="G2" s="32">
        <f>F2</f>
        <v>1000</v>
      </c>
      <c r="H2" s="4">
        <v>325</v>
      </c>
      <c r="I2" s="27">
        <f t="shared" ref="I2:I7" si="0">E2*G2*H2/SQRT(3)/1000</f>
        <v>4690.9709371657091</v>
      </c>
      <c r="J2" s="4" t="str">
        <f t="shared" ref="J2:J7" si="1">IF(I2&gt;B2, "OK", "NG")</f>
        <v>OK</v>
      </c>
      <c r="K2" s="1"/>
      <c r="L2" s="1"/>
      <c r="M2" s="1"/>
    </row>
    <row r="3" spans="1:13" ht="15.95" customHeight="1" x14ac:dyDescent="0.35">
      <c r="A3" s="29" t="str">
        <f>Nd!A3</f>
        <v>V1</v>
      </c>
      <c r="B3" s="27">
        <f>Nd!E3</f>
        <v>2971.4749999999999</v>
      </c>
      <c r="C3" s="29">
        <f>gpl_y!C3</f>
        <v>19</v>
      </c>
      <c r="D3" s="5" t="s">
        <v>89</v>
      </c>
      <c r="E3" s="33">
        <v>19</v>
      </c>
      <c r="F3" s="4">
        <v>900</v>
      </c>
      <c r="G3" s="32">
        <f t="shared" ref="G3:G8" si="2">F3</f>
        <v>900</v>
      </c>
      <c r="H3" s="4">
        <v>325</v>
      </c>
      <c r="I3" s="27">
        <f t="shared" si="0"/>
        <v>3208.6241210213452</v>
      </c>
      <c r="J3" s="4" t="str">
        <f t="shared" si="1"/>
        <v>OK</v>
      </c>
      <c r="K3" s="1"/>
      <c r="L3" s="1"/>
      <c r="M3" s="1"/>
    </row>
    <row r="4" spans="1:13" ht="15.95" customHeight="1" x14ac:dyDescent="0.35">
      <c r="A4" s="29" t="str">
        <f>Nd!A4</f>
        <v>V2</v>
      </c>
      <c r="B4" s="27">
        <f>Nd!E4</f>
        <v>2145</v>
      </c>
      <c r="C4" s="29">
        <f>gpl_y!C4</f>
        <v>16</v>
      </c>
      <c r="D4" s="5">
        <v>12</v>
      </c>
      <c r="E4" s="33">
        <f>2*0.7*D4</f>
        <v>16.799999999999997</v>
      </c>
      <c r="F4" s="4">
        <v>750</v>
      </c>
      <c r="G4" s="32">
        <f>F4-2*D4</f>
        <v>726</v>
      </c>
      <c r="H4" s="4">
        <v>325</v>
      </c>
      <c r="I4" s="27">
        <f t="shared" si="0"/>
        <v>2288.5933730569086</v>
      </c>
      <c r="J4" s="4" t="str">
        <f t="shared" si="1"/>
        <v>OK</v>
      </c>
      <c r="K4" s="1"/>
      <c r="L4" s="1"/>
      <c r="M4" s="1"/>
    </row>
    <row r="5" spans="1:13" ht="15.95" customHeight="1" x14ac:dyDescent="0.35">
      <c r="A5" s="29" t="str">
        <f>Nd!A5</f>
        <v>V3</v>
      </c>
      <c r="B5" s="27">
        <f>Nd!E5</f>
        <v>1625</v>
      </c>
      <c r="C5" s="29">
        <f>gpl_y!C5</f>
        <v>16</v>
      </c>
      <c r="D5" s="5">
        <v>12</v>
      </c>
      <c r="E5" s="33">
        <f t="shared" ref="E5:E7" si="3">2*0.7*D5</f>
        <v>16.799999999999997</v>
      </c>
      <c r="F5" s="4">
        <v>550</v>
      </c>
      <c r="G5" s="32">
        <f t="shared" ref="G5:G7" si="4">F5-2*D5</f>
        <v>526</v>
      </c>
      <c r="H5" s="4">
        <v>325</v>
      </c>
      <c r="I5" s="27">
        <f t="shared" si="0"/>
        <v>1658.1268791018376</v>
      </c>
      <c r="J5" s="4" t="str">
        <f t="shared" si="1"/>
        <v>OK</v>
      </c>
      <c r="K5" s="1"/>
      <c r="L5" s="1"/>
      <c r="M5" s="1"/>
    </row>
    <row r="6" spans="1:13" ht="15.95" customHeight="1" x14ac:dyDescent="0.35">
      <c r="A6" s="29" t="str">
        <f>Nd!A6</f>
        <v>V4</v>
      </c>
      <c r="B6" s="27">
        <f>Nd!E6</f>
        <v>975</v>
      </c>
      <c r="C6" s="29">
        <f>gpl_y!C6</f>
        <v>16</v>
      </c>
      <c r="D6" s="5">
        <v>12</v>
      </c>
      <c r="E6" s="33">
        <f t="shared" si="3"/>
        <v>16.799999999999997</v>
      </c>
      <c r="F6" s="4">
        <v>350</v>
      </c>
      <c r="G6" s="32">
        <f t="shared" si="4"/>
        <v>326</v>
      </c>
      <c r="H6" s="4">
        <v>325</v>
      </c>
      <c r="I6" s="27">
        <f t="shared" si="0"/>
        <v>1027.6603851467662</v>
      </c>
      <c r="J6" s="4" t="str">
        <f t="shared" si="1"/>
        <v>OK</v>
      </c>
      <c r="K6" s="1"/>
      <c r="L6" s="1"/>
      <c r="M6" s="1"/>
    </row>
    <row r="7" spans="1:13" ht="15.95" customHeight="1" x14ac:dyDescent="0.35">
      <c r="A7" s="29" t="str">
        <f>Nd!A7</f>
        <v>V5</v>
      </c>
      <c r="B7" s="27">
        <f>Nd!E7</f>
        <v>812.5</v>
      </c>
      <c r="C7" s="29">
        <f>gpl_y!C7</f>
        <v>16</v>
      </c>
      <c r="D7" s="59">
        <v>12</v>
      </c>
      <c r="E7" s="33">
        <f t="shared" si="3"/>
        <v>16.799999999999997</v>
      </c>
      <c r="F7" s="4">
        <v>300</v>
      </c>
      <c r="G7" s="32">
        <f t="shared" si="4"/>
        <v>276</v>
      </c>
      <c r="H7" s="4">
        <v>325</v>
      </c>
      <c r="I7" s="27">
        <f t="shared" si="0"/>
        <v>870.04376165799829</v>
      </c>
      <c r="J7" s="4" t="str">
        <f t="shared" si="1"/>
        <v>OK</v>
      </c>
    </row>
    <row r="8" spans="1:13" ht="15.95" customHeight="1" x14ac:dyDescent="0.35">
      <c r="A8" s="29" t="str">
        <f>Nd!A8</f>
        <v>V11</v>
      </c>
      <c r="B8" s="27">
        <f>Nd!E8</f>
        <v>3988.16</v>
      </c>
      <c r="C8" s="29">
        <f>gpl_y!C8</f>
        <v>25</v>
      </c>
      <c r="D8" s="5" t="s">
        <v>89</v>
      </c>
      <c r="E8" s="33">
        <v>25</v>
      </c>
      <c r="F8" s="4">
        <v>950</v>
      </c>
      <c r="G8" s="32">
        <f t="shared" si="2"/>
        <v>950</v>
      </c>
      <c r="H8" s="4">
        <v>325</v>
      </c>
      <c r="I8" s="27">
        <f t="shared" ref="I8" si="5">E8*G8*H8/SQRT(3)/1000</f>
        <v>4456.4223903074244</v>
      </c>
      <c r="J8" s="4" t="str">
        <f t="shared" ref="J8" si="6">IF(I8&gt;B8, "OK", "NG")</f>
        <v>OK</v>
      </c>
    </row>
  </sheetData>
  <phoneticPr fontId="1"/>
  <conditionalFormatting sqref="J2:J8">
    <cfRule type="containsText" dxfId="15" priority="1" operator="containsText" text="NG">
      <formula>NOT(ISERROR(SEARCH("NG",J2)))</formula>
    </cfRule>
    <cfRule type="containsText" dxfId="14" priority="2" operator="containsText" text="OK">
      <formula>NOT(ISERROR(SEARCH("OK",J2)))</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37D1-59AC-45F3-9F15-0CF7F31796EF}">
  <dimension ref="A1:AJ11"/>
  <sheetViews>
    <sheetView tabSelected="1" zoomScale="130" zoomScaleNormal="130" workbookViewId="0">
      <selection activeCell="C16" sqref="C16"/>
    </sheetView>
  </sheetViews>
  <sheetFormatPr defaultColWidth="12.7109375" defaultRowHeight="15.95" customHeight="1" x14ac:dyDescent="0.2"/>
  <sheetData>
    <row r="1" spans="1:36" ht="33" x14ac:dyDescent="0.35">
      <c r="A1" s="7" t="s">
        <v>1</v>
      </c>
      <c r="B1" s="7" t="s">
        <v>20</v>
      </c>
      <c r="C1" s="7" t="s">
        <v>21</v>
      </c>
      <c r="D1" s="7" t="s">
        <v>22</v>
      </c>
      <c r="E1" s="7" t="s">
        <v>23</v>
      </c>
      <c r="F1" s="7" t="s">
        <v>51</v>
      </c>
      <c r="G1" s="7" t="s">
        <v>61</v>
      </c>
      <c r="H1" s="7" t="s">
        <v>62</v>
      </c>
      <c r="I1" s="7" t="s">
        <v>3</v>
      </c>
      <c r="J1" s="7" t="s">
        <v>24</v>
      </c>
      <c r="K1" s="7" t="s">
        <v>25</v>
      </c>
      <c r="L1" s="7" t="s">
        <v>26</v>
      </c>
      <c r="M1" s="7" t="s">
        <v>27</v>
      </c>
      <c r="N1" s="7" t="s">
        <v>28</v>
      </c>
      <c r="O1" s="7" t="s">
        <v>29</v>
      </c>
      <c r="P1" s="7" t="s">
        <v>30</v>
      </c>
      <c r="Q1" s="7" t="s">
        <v>31</v>
      </c>
      <c r="R1" s="7" t="s">
        <v>32</v>
      </c>
      <c r="S1" s="13" t="s">
        <v>46</v>
      </c>
      <c r="T1" s="7" t="s">
        <v>5</v>
      </c>
      <c r="U1" s="7" t="s">
        <v>6</v>
      </c>
      <c r="V1" s="1"/>
      <c r="W1" s="19" t="s">
        <v>1</v>
      </c>
      <c r="X1" s="19" t="s">
        <v>20</v>
      </c>
      <c r="Y1" s="19" t="s">
        <v>21</v>
      </c>
      <c r="Z1" s="19" t="s">
        <v>23</v>
      </c>
      <c r="AA1" s="19" t="s">
        <v>51</v>
      </c>
      <c r="AB1" s="19" t="s">
        <v>3</v>
      </c>
      <c r="AC1" s="19" t="s">
        <v>24</v>
      </c>
      <c r="AD1" s="20" t="s">
        <v>25</v>
      </c>
      <c r="AE1" s="20" t="s">
        <v>28</v>
      </c>
      <c r="AF1" s="21" t="s">
        <v>31</v>
      </c>
      <c r="AG1" s="21" t="s">
        <v>33</v>
      </c>
      <c r="AH1" s="21" t="s">
        <v>6</v>
      </c>
      <c r="AI1" s="2"/>
      <c r="AJ1" s="2"/>
    </row>
    <row r="2" spans="1:36" ht="16.5" x14ac:dyDescent="0.35">
      <c r="A2" s="8" t="s">
        <v>94</v>
      </c>
      <c r="B2" s="60" t="s">
        <v>68</v>
      </c>
      <c r="C2" s="34">
        <f>_xlfn.XLOOKUP(B2,Nd!A:A,Nd!E:E)</f>
        <v>3988.16</v>
      </c>
      <c r="D2" s="14">
        <v>30</v>
      </c>
      <c r="E2" s="34">
        <f t="shared" ref="E2" si="0">COS(D2/180*PI())*C2</f>
        <v>3453.8478743569472</v>
      </c>
      <c r="F2" s="9">
        <v>600</v>
      </c>
      <c r="G2" s="9" t="s">
        <v>86</v>
      </c>
      <c r="H2" s="9" t="s">
        <v>87</v>
      </c>
      <c r="I2" s="29">
        <f>1.5*P2*VLOOKUP(G2&amp;H2,bolt_qa!C:D,2,FALSE)</f>
        <v>171</v>
      </c>
      <c r="J2" s="35">
        <f t="shared" ref="J2" si="1">ROUNDUP(SQRT((E2^2+F2^2)/(I2^2)),0)</f>
        <v>21</v>
      </c>
      <c r="K2" s="8">
        <v>24</v>
      </c>
      <c r="L2" s="8">
        <v>3</v>
      </c>
      <c r="M2" s="8">
        <v>90</v>
      </c>
      <c r="N2" s="8">
        <v>12</v>
      </c>
      <c r="O2" s="35">
        <f t="shared" ref="O2" si="2">(K2/L2-1)*M2+80</f>
        <v>710</v>
      </c>
      <c r="P2" s="8">
        <v>2</v>
      </c>
      <c r="Q2" s="35">
        <f t="shared" ref="Q2" si="3">N2*(O2-(K2/L2)*24)*P2</f>
        <v>12432</v>
      </c>
      <c r="R2" s="8">
        <v>325</v>
      </c>
      <c r="S2" s="35">
        <f t="shared" ref="S2" si="4">Q2*R2/1000</f>
        <v>4040.4</v>
      </c>
      <c r="T2" s="36">
        <f t="shared" ref="T2" si="5">E2/S2</f>
        <v>0.85482820373154811</v>
      </c>
      <c r="U2" s="8" t="str">
        <f>IF(AND(J2&lt;=K2, T2&lt;1), "OK", "NG")</f>
        <v>OK</v>
      </c>
      <c r="V2" s="1"/>
      <c r="W2" s="16" t="str">
        <f t="shared" ref="W2" si="6">A2</f>
        <v>G1(ピン端)</v>
      </c>
      <c r="X2" s="16" t="str">
        <f t="shared" ref="X2" si="7">B2</f>
        <v>V11</v>
      </c>
      <c r="Y2" s="18">
        <f t="shared" ref="Y2" si="8">C2</f>
        <v>3988.16</v>
      </c>
      <c r="Z2" s="18">
        <f t="shared" ref="Z2" si="9">E2</f>
        <v>3453.8478743569472</v>
      </c>
      <c r="AA2" s="18">
        <f t="shared" ref="AA2" si="10">F2</f>
        <v>600</v>
      </c>
      <c r="AB2" s="16">
        <f t="shared" ref="AB2" si="11">I2</f>
        <v>171</v>
      </c>
      <c r="AC2" s="16">
        <f t="shared" ref="AC2" si="12">J2</f>
        <v>21</v>
      </c>
      <c r="AD2" s="16">
        <f t="shared" ref="AD2" si="13">K2</f>
        <v>24</v>
      </c>
      <c r="AE2" s="8">
        <f t="shared" ref="AE2" si="14">N2</f>
        <v>12</v>
      </c>
      <c r="AF2" s="17">
        <f t="shared" ref="AF2" si="15">Q2</f>
        <v>12432</v>
      </c>
      <c r="AG2" s="17">
        <f t="shared" ref="AG2" si="16">S2</f>
        <v>4040.4</v>
      </c>
      <c r="AH2" s="17" t="str">
        <f t="shared" ref="AH2" si="17">U2</f>
        <v>OK</v>
      </c>
      <c r="AI2" s="2"/>
      <c r="AJ2" s="2"/>
    </row>
    <row r="3" spans="1:36" ht="16.5" x14ac:dyDescent="0.35">
      <c r="A3" s="8" t="s">
        <v>96</v>
      </c>
      <c r="B3" s="60" t="s">
        <v>68</v>
      </c>
      <c r="C3" s="34">
        <f>_xlfn.XLOOKUP(B3,Nd!A:A,Nd!E:E)</f>
        <v>3988.16</v>
      </c>
      <c r="D3" s="14">
        <v>30</v>
      </c>
      <c r="E3" s="34">
        <f t="shared" ref="E3" si="18">COS(D3/180*PI())*C3</f>
        <v>3453.8478743569472</v>
      </c>
      <c r="F3" s="9">
        <v>600</v>
      </c>
      <c r="G3" s="9" t="s">
        <v>86</v>
      </c>
      <c r="H3" s="9" t="s">
        <v>87</v>
      </c>
      <c r="I3" s="29">
        <f>1.5*P3*VLOOKUP(G3&amp;H3,bolt_qa!C:D,2,FALSE)</f>
        <v>171</v>
      </c>
      <c r="J3" s="35">
        <f t="shared" ref="J3" si="19">ROUNDUP(SQRT((E3^2+F3^2)/(I3^2)),0)</f>
        <v>21</v>
      </c>
      <c r="K3" s="8">
        <v>22</v>
      </c>
      <c r="L3" s="8">
        <v>2</v>
      </c>
      <c r="M3" s="8">
        <v>60</v>
      </c>
      <c r="N3" s="8">
        <v>16</v>
      </c>
      <c r="O3" s="35">
        <f t="shared" ref="O3" si="20">(K3/L3-1)*M3+80</f>
        <v>680</v>
      </c>
      <c r="P3" s="8">
        <v>2</v>
      </c>
      <c r="Q3" s="35">
        <f t="shared" ref="Q3" si="21">N3*(O3-(K3/L3)*24)*P3</f>
        <v>13312</v>
      </c>
      <c r="R3" s="8">
        <v>325</v>
      </c>
      <c r="S3" s="35">
        <f t="shared" ref="S3" si="22">Q3*R3/1000</f>
        <v>4326.3999999999996</v>
      </c>
      <c r="T3" s="36">
        <f t="shared" ref="T3" si="23">E3/S3</f>
        <v>0.7983191277637175</v>
      </c>
      <c r="U3" s="8" t="str">
        <f t="shared" ref="U3:U10" si="24">IF(AND(J3&lt;=K3, T3&lt;1), "OK", "NG")</f>
        <v>OK</v>
      </c>
      <c r="V3" s="1"/>
      <c r="W3" s="16" t="str">
        <f t="shared" ref="W3" si="25">A3</f>
        <v>G1A(ピン端)</v>
      </c>
      <c r="X3" s="16" t="str">
        <f t="shared" ref="X3" si="26">B3</f>
        <v>V11</v>
      </c>
      <c r="Y3" s="18">
        <f t="shared" ref="Y3" si="27">C3</f>
        <v>3988.16</v>
      </c>
      <c r="Z3" s="18">
        <f t="shared" ref="Z3" si="28">E3</f>
        <v>3453.8478743569472</v>
      </c>
      <c r="AA3" s="18">
        <f t="shared" ref="AA3" si="29">F3</f>
        <v>600</v>
      </c>
      <c r="AB3" s="16">
        <f t="shared" ref="AB3" si="30">I3</f>
        <v>171</v>
      </c>
      <c r="AC3" s="16">
        <f t="shared" ref="AC3" si="31">J3</f>
        <v>21</v>
      </c>
      <c r="AD3" s="16">
        <f t="shared" ref="AD3" si="32">K3</f>
        <v>22</v>
      </c>
      <c r="AE3" s="8">
        <f t="shared" ref="AE3" si="33">N3</f>
        <v>16</v>
      </c>
      <c r="AF3" s="17">
        <f t="shared" ref="AF3" si="34">Q3</f>
        <v>13312</v>
      </c>
      <c r="AG3" s="17">
        <f t="shared" ref="AG3" si="35">S3</f>
        <v>4326.3999999999996</v>
      </c>
      <c r="AH3" s="17" t="str">
        <f t="shared" ref="AH3" si="36">U3</f>
        <v>OK</v>
      </c>
      <c r="AI3" s="2"/>
      <c r="AJ3" s="2"/>
    </row>
    <row r="4" spans="1:36" ht="16.5" x14ac:dyDescent="0.35">
      <c r="A4" s="8" t="s">
        <v>100</v>
      </c>
      <c r="B4" s="60" t="s">
        <v>47</v>
      </c>
      <c r="C4" s="34">
        <f>_xlfn.XLOOKUP(B4,Nd!A:A,Nd!E:E)</f>
        <v>2971.4749999999999</v>
      </c>
      <c r="D4" s="14">
        <v>30</v>
      </c>
      <c r="E4" s="34">
        <f t="shared" ref="E4:E6" si="37">COS(D4/180*PI())*C4</f>
        <v>2573.3728367103649</v>
      </c>
      <c r="F4" s="9">
        <v>600</v>
      </c>
      <c r="G4" s="9" t="s">
        <v>60</v>
      </c>
      <c r="H4" s="9" t="s">
        <v>53</v>
      </c>
      <c r="I4" s="29">
        <f>1.5*P4*VLOOKUP(G4&amp;H4,bolt_qa!C:D,2,FALSE)</f>
        <v>171</v>
      </c>
      <c r="J4" s="35">
        <f t="shared" ref="J4:J6" si="38">ROUNDUP(SQRT((E4^2+F4^2)/(I4^2)),0)</f>
        <v>16</v>
      </c>
      <c r="K4" s="8">
        <v>24</v>
      </c>
      <c r="L4" s="8">
        <v>3</v>
      </c>
      <c r="M4" s="8">
        <v>90</v>
      </c>
      <c r="N4" s="8">
        <v>12</v>
      </c>
      <c r="O4" s="35">
        <f t="shared" ref="O4:O6" si="39">(K4/L4-1)*M4+80</f>
        <v>710</v>
      </c>
      <c r="P4" s="8">
        <v>2</v>
      </c>
      <c r="Q4" s="35">
        <f t="shared" ref="Q4:Q6" si="40">N4*(O4-(K4/L4)*24)*P4</f>
        <v>12432</v>
      </c>
      <c r="R4" s="8">
        <v>325</v>
      </c>
      <c r="S4" s="35">
        <f t="shared" ref="S4:S6" si="41">Q4*R4/1000</f>
        <v>4040.4</v>
      </c>
      <c r="T4" s="36">
        <f t="shared" ref="T4:T6" si="42">E4/S4</f>
        <v>0.63691041399622927</v>
      </c>
      <c r="U4" s="8" t="str">
        <f t="shared" si="24"/>
        <v>OK</v>
      </c>
      <c r="V4" s="1"/>
      <c r="W4" s="16" t="str">
        <f t="shared" ref="W4:W6" si="43">A4</f>
        <v>G89MB</v>
      </c>
      <c r="X4" s="16" t="str">
        <f t="shared" ref="X4:X6" si="44">B4</f>
        <v>V1</v>
      </c>
      <c r="Y4" s="18">
        <f t="shared" ref="Y4:Y6" si="45">C4</f>
        <v>2971.4749999999999</v>
      </c>
      <c r="Z4" s="18">
        <f t="shared" ref="Z4:Z6" si="46">E4</f>
        <v>2573.3728367103649</v>
      </c>
      <c r="AA4" s="18">
        <f t="shared" ref="AA4:AA6" si="47">F4</f>
        <v>600</v>
      </c>
      <c r="AB4" s="16">
        <f t="shared" ref="AB4:AB6" si="48">I4</f>
        <v>171</v>
      </c>
      <c r="AC4" s="16">
        <f t="shared" ref="AC4:AC6" si="49">J4</f>
        <v>16</v>
      </c>
      <c r="AD4" s="16">
        <f t="shared" ref="AD4:AD6" si="50">K4</f>
        <v>24</v>
      </c>
      <c r="AE4" s="8">
        <f t="shared" ref="AE4:AE6" si="51">N4</f>
        <v>12</v>
      </c>
      <c r="AF4" s="17">
        <f t="shared" ref="AF4:AF6" si="52">Q4</f>
        <v>12432</v>
      </c>
      <c r="AG4" s="17">
        <f t="shared" ref="AG4:AG6" si="53">S4</f>
        <v>4040.4</v>
      </c>
      <c r="AH4" s="17" t="str">
        <f t="shared" ref="AH4:AH6" si="54">U4</f>
        <v>OK</v>
      </c>
      <c r="AI4" s="2"/>
      <c r="AJ4" s="2"/>
    </row>
    <row r="5" spans="1:36" ht="16.5" x14ac:dyDescent="0.35">
      <c r="A5" s="8" t="s">
        <v>101</v>
      </c>
      <c r="B5" s="60" t="s">
        <v>79</v>
      </c>
      <c r="C5" s="34">
        <f>_xlfn.XLOOKUP(B5,Nd!A:A,Nd!E:E)</f>
        <v>4338.75</v>
      </c>
      <c r="D5" s="14">
        <v>30</v>
      </c>
      <c r="E5" s="34">
        <f t="shared" si="37"/>
        <v>3757.4677206697334</v>
      </c>
      <c r="F5" s="9">
        <v>600</v>
      </c>
      <c r="G5" s="9" t="s">
        <v>86</v>
      </c>
      <c r="H5" s="9" t="s">
        <v>87</v>
      </c>
      <c r="I5" s="29">
        <f>1.5*P5*VLOOKUP(G5&amp;H5,bolt_qa!C:D,2,FALSE)</f>
        <v>171</v>
      </c>
      <c r="J5" s="35">
        <f t="shared" si="38"/>
        <v>23</v>
      </c>
      <c r="K5" s="8">
        <v>24</v>
      </c>
      <c r="L5" s="8">
        <v>3</v>
      </c>
      <c r="M5" s="8">
        <v>90</v>
      </c>
      <c r="N5" s="8">
        <v>12</v>
      </c>
      <c r="O5" s="35">
        <f t="shared" si="39"/>
        <v>710</v>
      </c>
      <c r="P5" s="8">
        <v>2</v>
      </c>
      <c r="Q5" s="35">
        <f t="shared" si="40"/>
        <v>12432</v>
      </c>
      <c r="R5" s="8">
        <v>325</v>
      </c>
      <c r="S5" s="35">
        <f t="shared" si="41"/>
        <v>4040.4</v>
      </c>
      <c r="T5" s="36">
        <f t="shared" si="42"/>
        <v>0.92997419083994981</v>
      </c>
      <c r="U5" s="8" t="str">
        <f>IF(AND(J5&lt;=K5, T5&lt;1), "OK", "NG")</f>
        <v>OK</v>
      </c>
      <c r="V5" s="1"/>
      <c r="W5" s="16" t="str">
        <f t="shared" si="43"/>
        <v>G88MB</v>
      </c>
      <c r="X5" s="16" t="str">
        <f t="shared" si="44"/>
        <v>V0</v>
      </c>
      <c r="Y5" s="18">
        <f t="shared" ref="Y5" si="55">C5</f>
        <v>4338.75</v>
      </c>
      <c r="Z5" s="18">
        <f t="shared" ref="Z5" si="56">E5</f>
        <v>3757.4677206697334</v>
      </c>
      <c r="AA5" s="18">
        <f t="shared" ref="AA5" si="57">F5</f>
        <v>600</v>
      </c>
      <c r="AB5" s="16">
        <f t="shared" ref="AB5" si="58">I5</f>
        <v>171</v>
      </c>
      <c r="AC5" s="16">
        <f t="shared" ref="AC5" si="59">J5</f>
        <v>23</v>
      </c>
      <c r="AD5" s="16">
        <f t="shared" ref="AD5" si="60">K5</f>
        <v>24</v>
      </c>
      <c r="AE5" s="8">
        <f t="shared" ref="AE5" si="61">N5</f>
        <v>12</v>
      </c>
      <c r="AF5" s="17">
        <f t="shared" ref="AF5" si="62">Q5</f>
        <v>12432</v>
      </c>
      <c r="AG5" s="17">
        <f t="shared" ref="AG5" si="63">S5</f>
        <v>4040.4</v>
      </c>
      <c r="AH5" s="17" t="str">
        <f t="shared" ref="AH5" si="64">U5</f>
        <v>OK</v>
      </c>
      <c r="AI5" s="2"/>
      <c r="AJ5" s="2"/>
    </row>
    <row r="6" spans="1:36" ht="16.5" x14ac:dyDescent="0.35">
      <c r="A6" s="8" t="s">
        <v>93</v>
      </c>
      <c r="B6" s="60" t="s">
        <v>7</v>
      </c>
      <c r="C6" s="34">
        <f>_xlfn.XLOOKUP(B6,Nd!A:A,Nd!E:E)</f>
        <v>2971.4749999999999</v>
      </c>
      <c r="D6" s="14">
        <v>30</v>
      </c>
      <c r="E6" s="34">
        <f t="shared" si="37"/>
        <v>2573.3728367103649</v>
      </c>
      <c r="F6" s="9">
        <v>600</v>
      </c>
      <c r="G6" s="9" t="s">
        <v>60</v>
      </c>
      <c r="H6" s="9" t="s">
        <v>53</v>
      </c>
      <c r="I6" s="29">
        <f>1.5*P6*VLOOKUP(G6&amp;H6,bolt_qa!C:D,2,FALSE)</f>
        <v>171</v>
      </c>
      <c r="J6" s="35">
        <f t="shared" si="38"/>
        <v>16</v>
      </c>
      <c r="K6" s="8">
        <v>18</v>
      </c>
      <c r="L6" s="8">
        <v>2</v>
      </c>
      <c r="M6" s="8">
        <v>60</v>
      </c>
      <c r="N6" s="8">
        <v>12</v>
      </c>
      <c r="O6" s="35">
        <f t="shared" si="39"/>
        <v>560</v>
      </c>
      <c r="P6" s="8">
        <v>2</v>
      </c>
      <c r="Q6" s="35">
        <f t="shared" si="40"/>
        <v>8256</v>
      </c>
      <c r="R6" s="8">
        <v>325</v>
      </c>
      <c r="S6" s="35">
        <f t="shared" si="41"/>
        <v>2683.2</v>
      </c>
      <c r="T6" s="36">
        <f t="shared" si="42"/>
        <v>0.95906858851757792</v>
      </c>
      <c r="U6" s="8" t="str">
        <f t="shared" si="24"/>
        <v>OK</v>
      </c>
      <c r="V6" s="1"/>
      <c r="W6" s="16" t="str">
        <f t="shared" si="43"/>
        <v>G81MB</v>
      </c>
      <c r="X6" s="16" t="str">
        <f t="shared" si="44"/>
        <v>V1</v>
      </c>
      <c r="Y6" s="18">
        <f t="shared" si="45"/>
        <v>2971.4749999999999</v>
      </c>
      <c r="Z6" s="18">
        <f t="shared" si="46"/>
        <v>2573.3728367103649</v>
      </c>
      <c r="AA6" s="18">
        <f t="shared" si="47"/>
        <v>600</v>
      </c>
      <c r="AB6" s="16">
        <f t="shared" si="48"/>
        <v>171</v>
      </c>
      <c r="AC6" s="16">
        <f t="shared" si="49"/>
        <v>16</v>
      </c>
      <c r="AD6" s="16">
        <f t="shared" si="50"/>
        <v>18</v>
      </c>
      <c r="AE6" s="8">
        <f t="shared" si="51"/>
        <v>12</v>
      </c>
      <c r="AF6" s="17">
        <f t="shared" si="52"/>
        <v>8256</v>
      </c>
      <c r="AG6" s="17">
        <f t="shared" si="53"/>
        <v>2683.2</v>
      </c>
      <c r="AH6" s="17" t="str">
        <f t="shared" si="54"/>
        <v>OK</v>
      </c>
      <c r="AI6" s="2"/>
      <c r="AJ6" s="2"/>
    </row>
    <row r="7" spans="1:36" ht="15.95" customHeight="1" x14ac:dyDescent="0.35">
      <c r="A7" s="8" t="s">
        <v>90</v>
      </c>
      <c r="B7" s="60" t="s">
        <v>79</v>
      </c>
      <c r="C7" s="34">
        <f>_xlfn.XLOOKUP(B7,Nd!A:A,Nd!E:E)</f>
        <v>4338.75</v>
      </c>
      <c r="D7" s="14">
        <v>30</v>
      </c>
      <c r="E7" s="34">
        <f t="shared" ref="E7:E10" si="65">COS(D7/180*PI())*C7</f>
        <v>3757.4677206697334</v>
      </c>
      <c r="F7" s="9">
        <v>500</v>
      </c>
      <c r="G7" s="9" t="s">
        <v>60</v>
      </c>
      <c r="H7" s="9" t="s">
        <v>53</v>
      </c>
      <c r="I7" s="29">
        <f>1.5*P7*VLOOKUP(G7&amp;H7,bolt_qa!C:D,2,FALSE)</f>
        <v>171</v>
      </c>
      <c r="J7" s="35">
        <f t="shared" ref="J7:J9" si="66">ROUNDUP(SQRT((E7^2+F7^2)/(I7^2)),0)</f>
        <v>23</v>
      </c>
      <c r="K7" s="8">
        <v>27</v>
      </c>
      <c r="L7" s="8">
        <v>3</v>
      </c>
      <c r="M7" s="8">
        <v>60</v>
      </c>
      <c r="N7" s="8">
        <v>19</v>
      </c>
      <c r="O7" s="35">
        <f t="shared" ref="O7:O10" si="67">(K7/L7-1)*M7+80</f>
        <v>560</v>
      </c>
      <c r="P7" s="8">
        <v>2</v>
      </c>
      <c r="Q7" s="35">
        <f t="shared" ref="Q7:Q10" si="68">N7*(O7-(K7/L7)*24)*P7</f>
        <v>13072</v>
      </c>
      <c r="R7" s="8">
        <v>325</v>
      </c>
      <c r="S7" s="35">
        <f t="shared" ref="S7:S10" si="69">Q7*R7/1000</f>
        <v>4248.3999999999996</v>
      </c>
      <c r="T7" s="36">
        <f t="shared" ref="T7:T10" si="70">E7/S7</f>
        <v>0.884443018705803</v>
      </c>
      <c r="U7" s="8" t="str">
        <f t="shared" si="24"/>
        <v>OK</v>
      </c>
      <c r="V7" s="1"/>
      <c r="W7" s="16" t="str">
        <f t="shared" ref="W7:Y10" si="71">A7</f>
        <v>G80MB</v>
      </c>
      <c r="X7" s="16" t="str">
        <f t="shared" si="71"/>
        <v>V0</v>
      </c>
      <c r="Y7" s="18">
        <f t="shared" si="71"/>
        <v>4338.75</v>
      </c>
      <c r="Z7" s="18">
        <f t="shared" ref="Z7:AA10" si="72">E7</f>
        <v>3757.4677206697334</v>
      </c>
      <c r="AA7" s="18">
        <f t="shared" si="72"/>
        <v>500</v>
      </c>
      <c r="AB7" s="16">
        <f t="shared" ref="AB7:AD10" si="73">I7</f>
        <v>171</v>
      </c>
      <c r="AC7" s="16">
        <f t="shared" si="73"/>
        <v>23</v>
      </c>
      <c r="AD7" s="16">
        <f t="shared" si="73"/>
        <v>27</v>
      </c>
      <c r="AE7" s="8">
        <f t="shared" ref="AE7:AE10" si="74">N7</f>
        <v>19</v>
      </c>
      <c r="AF7" s="17">
        <f t="shared" ref="AF7:AF10" si="75">Q7</f>
        <v>13072</v>
      </c>
      <c r="AG7" s="17">
        <f t="shared" ref="AG7:AG10" si="76">S7</f>
        <v>4248.3999999999996</v>
      </c>
      <c r="AH7" s="17" t="str">
        <f t="shared" ref="AH7:AH9" si="77">U7</f>
        <v>OK</v>
      </c>
      <c r="AI7" s="2"/>
      <c r="AJ7" s="2"/>
    </row>
    <row r="8" spans="1:36" ht="15.95" customHeight="1" x14ac:dyDescent="0.35">
      <c r="A8" s="8" t="s">
        <v>91</v>
      </c>
      <c r="B8" s="60" t="s">
        <v>48</v>
      </c>
      <c r="C8" s="34">
        <f>_xlfn.XLOOKUP(B8,Nd!A:A,Nd!E:E)</f>
        <v>975</v>
      </c>
      <c r="D8" s="14">
        <v>30</v>
      </c>
      <c r="E8" s="34">
        <f t="shared" si="65"/>
        <v>844.37476868982776</v>
      </c>
      <c r="F8" s="9">
        <v>100</v>
      </c>
      <c r="G8" s="9" t="s">
        <v>60</v>
      </c>
      <c r="H8" s="9" t="s">
        <v>53</v>
      </c>
      <c r="I8" s="29">
        <f>1.5*P8*VLOOKUP(G8&amp;H8,bolt_qa!C:D,2,FALSE)</f>
        <v>85.5</v>
      </c>
      <c r="J8" s="35">
        <f t="shared" si="66"/>
        <v>10</v>
      </c>
      <c r="K8" s="8">
        <v>10</v>
      </c>
      <c r="L8" s="8">
        <v>2</v>
      </c>
      <c r="M8" s="8">
        <v>60</v>
      </c>
      <c r="N8" s="8">
        <v>16</v>
      </c>
      <c r="O8" s="35">
        <f t="shared" si="67"/>
        <v>320</v>
      </c>
      <c r="P8" s="8">
        <v>1</v>
      </c>
      <c r="Q8" s="35">
        <f t="shared" si="68"/>
        <v>3200</v>
      </c>
      <c r="R8" s="8">
        <v>325</v>
      </c>
      <c r="S8" s="35">
        <f t="shared" si="69"/>
        <v>1040</v>
      </c>
      <c r="T8" s="36">
        <f t="shared" si="70"/>
        <v>0.81189881604791125</v>
      </c>
      <c r="U8" s="8" t="str">
        <f t="shared" si="24"/>
        <v>OK</v>
      </c>
      <c r="V8" s="1"/>
      <c r="W8" s="16" t="str">
        <f t="shared" si="71"/>
        <v>G49MB</v>
      </c>
      <c r="X8" s="16" t="str">
        <f t="shared" si="71"/>
        <v>V4</v>
      </c>
      <c r="Y8" s="18">
        <f t="shared" si="71"/>
        <v>975</v>
      </c>
      <c r="Z8" s="18">
        <f t="shared" si="72"/>
        <v>844.37476868982776</v>
      </c>
      <c r="AA8" s="18">
        <f t="shared" si="72"/>
        <v>100</v>
      </c>
      <c r="AB8" s="16">
        <f t="shared" si="73"/>
        <v>85.5</v>
      </c>
      <c r="AC8" s="16">
        <f t="shared" si="73"/>
        <v>10</v>
      </c>
      <c r="AD8" s="16">
        <f t="shared" si="73"/>
        <v>10</v>
      </c>
      <c r="AE8" s="8">
        <f t="shared" si="74"/>
        <v>16</v>
      </c>
      <c r="AF8" s="17">
        <f t="shared" si="75"/>
        <v>3200</v>
      </c>
      <c r="AG8" s="17">
        <f t="shared" si="76"/>
        <v>1040</v>
      </c>
      <c r="AH8" s="17" t="str">
        <f t="shared" si="77"/>
        <v>OK</v>
      </c>
      <c r="AI8" s="2"/>
      <c r="AJ8" s="2"/>
    </row>
    <row r="9" spans="1:36" ht="15.95" customHeight="1" x14ac:dyDescent="0.35">
      <c r="A9" s="8" t="s">
        <v>92</v>
      </c>
      <c r="B9" s="60" t="s">
        <v>48</v>
      </c>
      <c r="C9" s="34">
        <f>_xlfn.XLOOKUP(B9,Nd!A:A,Nd!E:E)</f>
        <v>975</v>
      </c>
      <c r="D9" s="14">
        <v>30</v>
      </c>
      <c r="E9" s="34">
        <f t="shared" si="65"/>
        <v>844.37476868982776</v>
      </c>
      <c r="F9" s="9">
        <v>100</v>
      </c>
      <c r="G9" s="9" t="s">
        <v>60</v>
      </c>
      <c r="H9" s="9" t="s">
        <v>53</v>
      </c>
      <c r="I9" s="29">
        <f>1.5*P9*VLOOKUP(G9&amp;H9,bolt_qa!C:D,2,FALSE)</f>
        <v>85.5</v>
      </c>
      <c r="J9" s="35">
        <f t="shared" si="66"/>
        <v>10</v>
      </c>
      <c r="K9" s="8">
        <v>10</v>
      </c>
      <c r="L9" s="8">
        <v>2</v>
      </c>
      <c r="M9" s="8">
        <v>60</v>
      </c>
      <c r="N9" s="8">
        <v>16</v>
      </c>
      <c r="O9" s="35">
        <f t="shared" si="67"/>
        <v>320</v>
      </c>
      <c r="P9" s="8">
        <v>1</v>
      </c>
      <c r="Q9" s="35">
        <f t="shared" si="68"/>
        <v>3200</v>
      </c>
      <c r="R9" s="8">
        <v>325</v>
      </c>
      <c r="S9" s="35">
        <f t="shared" si="69"/>
        <v>1040</v>
      </c>
      <c r="T9" s="36">
        <f t="shared" si="70"/>
        <v>0.81189881604791125</v>
      </c>
      <c r="U9" s="8" t="str">
        <f t="shared" si="24"/>
        <v>OK</v>
      </c>
      <c r="V9" s="1"/>
      <c r="W9" s="16" t="str">
        <f t="shared" si="71"/>
        <v>G48B</v>
      </c>
      <c r="X9" s="16" t="str">
        <f t="shared" si="71"/>
        <v>V4</v>
      </c>
      <c r="Y9" s="18">
        <f t="shared" si="71"/>
        <v>975</v>
      </c>
      <c r="Z9" s="18">
        <f t="shared" si="72"/>
        <v>844.37476868982776</v>
      </c>
      <c r="AA9" s="18">
        <f t="shared" si="72"/>
        <v>100</v>
      </c>
      <c r="AB9" s="16">
        <f t="shared" si="73"/>
        <v>85.5</v>
      </c>
      <c r="AC9" s="16">
        <f t="shared" si="73"/>
        <v>10</v>
      </c>
      <c r="AD9" s="16">
        <f t="shared" si="73"/>
        <v>10</v>
      </c>
      <c r="AE9" s="8">
        <f t="shared" si="74"/>
        <v>16</v>
      </c>
      <c r="AF9" s="17">
        <f t="shared" si="75"/>
        <v>3200</v>
      </c>
      <c r="AG9" s="17">
        <f t="shared" si="76"/>
        <v>1040</v>
      </c>
      <c r="AH9" s="17" t="str">
        <f t="shared" si="77"/>
        <v>OK</v>
      </c>
      <c r="AI9" s="2"/>
      <c r="AJ9" s="2"/>
    </row>
    <row r="10" spans="1:36" ht="15.95" customHeight="1" x14ac:dyDescent="0.35">
      <c r="A10" s="8" t="s">
        <v>95</v>
      </c>
      <c r="B10" s="60" t="s">
        <v>67</v>
      </c>
      <c r="C10" s="34">
        <f>_xlfn.XLOOKUP(B10,Nd!A:A,Nd!E:E)</f>
        <v>1625</v>
      </c>
      <c r="D10" s="14">
        <v>30</v>
      </c>
      <c r="E10" s="34">
        <f t="shared" si="65"/>
        <v>1407.2912811497129</v>
      </c>
      <c r="F10" s="9">
        <v>100</v>
      </c>
      <c r="G10" s="9" t="s">
        <v>60</v>
      </c>
      <c r="H10" s="9" t="s">
        <v>53</v>
      </c>
      <c r="I10" s="29">
        <f>1.5*P10*VLOOKUP(G10&amp;H10,bolt_qa!C:D,2,FALSE)</f>
        <v>171</v>
      </c>
      <c r="J10" s="35">
        <f>ROUNDUP(SQRT((E10^2+F10^2)/(I10^2)),0)</f>
        <v>9</v>
      </c>
      <c r="K10" s="8">
        <v>10</v>
      </c>
      <c r="L10" s="8">
        <v>2</v>
      </c>
      <c r="M10" s="8">
        <v>60</v>
      </c>
      <c r="N10" s="8">
        <v>12</v>
      </c>
      <c r="O10" s="35">
        <f t="shared" si="67"/>
        <v>320</v>
      </c>
      <c r="P10" s="8">
        <v>2</v>
      </c>
      <c r="Q10" s="35">
        <f t="shared" si="68"/>
        <v>4800</v>
      </c>
      <c r="R10" s="8">
        <v>325</v>
      </c>
      <c r="S10" s="35">
        <f t="shared" si="69"/>
        <v>1560</v>
      </c>
      <c r="T10" s="36">
        <f t="shared" si="70"/>
        <v>0.90210979560879034</v>
      </c>
      <c r="U10" s="8" t="str">
        <f t="shared" si="24"/>
        <v>OK</v>
      </c>
      <c r="V10" s="1"/>
      <c r="W10" s="16" t="str">
        <f t="shared" si="71"/>
        <v>G39MB</v>
      </c>
      <c r="X10" s="16" t="str">
        <f t="shared" si="71"/>
        <v>V3</v>
      </c>
      <c r="Y10" s="18">
        <f t="shared" si="71"/>
        <v>1625</v>
      </c>
      <c r="Z10" s="18">
        <f t="shared" si="72"/>
        <v>1407.2912811497129</v>
      </c>
      <c r="AA10" s="18">
        <f t="shared" si="72"/>
        <v>100</v>
      </c>
      <c r="AB10" s="16">
        <f t="shared" si="73"/>
        <v>171</v>
      </c>
      <c r="AC10" s="16">
        <f>J10</f>
        <v>9</v>
      </c>
      <c r="AD10" s="16">
        <f t="shared" si="73"/>
        <v>10</v>
      </c>
      <c r="AE10" s="8">
        <f t="shared" si="74"/>
        <v>12</v>
      </c>
      <c r="AF10" s="17">
        <f t="shared" si="75"/>
        <v>4800</v>
      </c>
      <c r="AG10" s="17">
        <f t="shared" si="76"/>
        <v>1560</v>
      </c>
      <c r="AH10" s="17" t="str">
        <f>U10</f>
        <v>OK</v>
      </c>
      <c r="AI10" s="2"/>
      <c r="AJ10" s="2"/>
    </row>
    <row r="11" spans="1:36" ht="15.95" customHeight="1" x14ac:dyDescent="0.35">
      <c r="A11" s="8"/>
      <c r="B11" s="8"/>
      <c r="C11" s="34"/>
      <c r="D11" s="14"/>
      <c r="E11" s="34"/>
      <c r="F11" s="9"/>
      <c r="G11" s="9"/>
      <c r="H11" s="9"/>
      <c r="I11" s="29"/>
      <c r="J11" s="35"/>
      <c r="K11" s="8"/>
      <c r="L11" s="8"/>
      <c r="M11" s="8"/>
      <c r="N11" s="8"/>
      <c r="O11" s="35"/>
      <c r="P11" s="8"/>
      <c r="Q11" s="35"/>
      <c r="R11" s="8"/>
      <c r="S11" s="35"/>
      <c r="T11" s="36"/>
      <c r="U11" s="8"/>
      <c r="V11" s="1"/>
      <c r="W11" s="16"/>
      <c r="X11" s="16"/>
      <c r="Y11" s="18"/>
      <c r="Z11" s="18"/>
      <c r="AA11" s="18"/>
      <c r="AB11" s="16"/>
      <c r="AC11" s="16"/>
      <c r="AD11" s="16"/>
      <c r="AE11" s="8"/>
      <c r="AF11" s="17"/>
      <c r="AG11" s="17"/>
      <c r="AH11" s="17"/>
      <c r="AI11" s="2"/>
      <c r="AJ11" s="2"/>
    </row>
  </sheetData>
  <phoneticPr fontId="1"/>
  <conditionalFormatting sqref="U2:U11 AH2:AH11">
    <cfRule type="containsText" dxfId="13" priority="1" operator="containsText" text="NG">
      <formula>NOT(ISERROR(SEARCH("NG",U2)))</formula>
    </cfRule>
    <cfRule type="containsText" dxfId="12" priority="2" operator="containsText" text="OK">
      <formula>NOT(ISERROR(SEARCH("OK",U2)))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3559-017D-4C60-AD87-0E8D1C842B57}">
  <dimension ref="A1:J8"/>
  <sheetViews>
    <sheetView zoomScale="175" zoomScaleNormal="175" workbookViewId="0">
      <selection activeCell="G11" sqref="G11"/>
    </sheetView>
  </sheetViews>
  <sheetFormatPr defaultColWidth="12.7109375" defaultRowHeight="15.95" customHeight="1" x14ac:dyDescent="0.2"/>
  <sheetData>
    <row r="1" spans="1:10" ht="33" x14ac:dyDescent="0.35">
      <c r="A1" s="7" t="s">
        <v>1</v>
      </c>
      <c r="B1" s="13" t="s">
        <v>71</v>
      </c>
      <c r="C1" s="7" t="s">
        <v>61</v>
      </c>
      <c r="D1" s="7" t="s">
        <v>62</v>
      </c>
      <c r="E1" s="7" t="s">
        <v>63</v>
      </c>
      <c r="F1" s="15" t="s">
        <v>36</v>
      </c>
      <c r="G1" s="7" t="s">
        <v>0</v>
      </c>
      <c r="H1" s="15" t="s">
        <v>37</v>
      </c>
      <c r="I1" s="15" t="s">
        <v>5</v>
      </c>
      <c r="J1" s="15" t="s">
        <v>6</v>
      </c>
    </row>
    <row r="2" spans="1:10" ht="15.95" customHeight="1" x14ac:dyDescent="0.35">
      <c r="A2" s="29" t="str">
        <f>Nd!A2</f>
        <v>V0</v>
      </c>
      <c r="B2" s="34">
        <f>Nd!H2</f>
        <v>5206.5</v>
      </c>
      <c r="C2" s="35" t="str">
        <f>bolt_y!C2</f>
        <v>S10T</v>
      </c>
      <c r="D2" s="35" t="str">
        <f>bolt_y!D2</f>
        <v>M22</v>
      </c>
      <c r="E2" s="35">
        <f>bolt_y!E2</f>
        <v>2</v>
      </c>
      <c r="F2" s="29">
        <f>1.5*E2*VLOOKUP(C2&amp;D2,bolt_qa!C:E,3,FALSE)</f>
        <v>684</v>
      </c>
      <c r="G2" s="35">
        <f>bolt_y!G2</f>
        <v>26</v>
      </c>
      <c r="H2" s="35">
        <f t="shared" ref="H2:H7" si="0">F2*G2</f>
        <v>17784</v>
      </c>
      <c r="I2" s="36">
        <f t="shared" ref="I2:I7" si="1">B2/H2</f>
        <v>0.29276315789473684</v>
      </c>
      <c r="J2" s="8" t="str">
        <f t="shared" ref="J2:J8" si="2">IF(I2&lt;1, "OK", "NG")</f>
        <v>OK</v>
      </c>
    </row>
    <row r="3" spans="1:10" ht="15.95" customHeight="1" x14ac:dyDescent="0.35">
      <c r="A3" s="29" t="str">
        <f>Nd!A3</f>
        <v>V1</v>
      </c>
      <c r="B3" s="34">
        <f>Nd!H3</f>
        <v>3565.77</v>
      </c>
      <c r="C3" s="35" t="str">
        <f>bolt_y!C3</f>
        <v>S10T</v>
      </c>
      <c r="D3" s="35" t="str">
        <f>bolt_y!D3</f>
        <v>M20</v>
      </c>
      <c r="E3" s="35">
        <f>bolt_y!E3</f>
        <v>2</v>
      </c>
      <c r="F3" s="29">
        <f>1.5*E3*VLOOKUP(C3&amp;D3,bolt_qa!C:E,3,FALSE)</f>
        <v>564</v>
      </c>
      <c r="G3" s="35">
        <f>bolt_y!G3</f>
        <v>24</v>
      </c>
      <c r="H3" s="35">
        <f t="shared" si="0"/>
        <v>13536</v>
      </c>
      <c r="I3" s="36">
        <f t="shared" si="1"/>
        <v>0.26342863475177303</v>
      </c>
      <c r="J3" s="8" t="str">
        <f t="shared" si="2"/>
        <v>OK</v>
      </c>
    </row>
    <row r="4" spans="1:10" ht="15.95" customHeight="1" x14ac:dyDescent="0.35">
      <c r="A4" s="29" t="str">
        <f>Nd!A4</f>
        <v>V2</v>
      </c>
      <c r="B4" s="34">
        <f>Nd!H4</f>
        <v>2574</v>
      </c>
      <c r="C4" s="35" t="str">
        <f>bolt_y!C4</f>
        <v>S10T</v>
      </c>
      <c r="D4" s="35" t="str">
        <f>bolt_y!D4</f>
        <v>M20</v>
      </c>
      <c r="E4" s="35">
        <f>bolt_y!E4</f>
        <v>2</v>
      </c>
      <c r="F4" s="29">
        <f>1.5*E4*VLOOKUP(C4&amp;D4,bolt_qa!C:E,3,FALSE)</f>
        <v>564</v>
      </c>
      <c r="G4" s="35">
        <f>bolt_y!G4</f>
        <v>22</v>
      </c>
      <c r="H4" s="35">
        <f t="shared" si="0"/>
        <v>12408</v>
      </c>
      <c r="I4" s="36">
        <f t="shared" si="1"/>
        <v>0.20744680851063829</v>
      </c>
      <c r="J4" s="8" t="str">
        <f t="shared" si="2"/>
        <v>OK</v>
      </c>
    </row>
    <row r="5" spans="1:10" ht="15.95" customHeight="1" x14ac:dyDescent="0.35">
      <c r="A5" s="29" t="str">
        <f>Nd!A5</f>
        <v>V3</v>
      </c>
      <c r="B5" s="34">
        <f>Nd!H5</f>
        <v>1950</v>
      </c>
      <c r="C5" s="35" t="str">
        <f>bolt_y!C5</f>
        <v>S10T</v>
      </c>
      <c r="D5" s="35" t="str">
        <f>bolt_y!D5</f>
        <v>M20</v>
      </c>
      <c r="E5" s="35">
        <f>bolt_y!E5</f>
        <v>2</v>
      </c>
      <c r="F5" s="29">
        <f>1.5*E5*VLOOKUP(C5&amp;D5,bolt_qa!C:E,3,FALSE)</f>
        <v>564</v>
      </c>
      <c r="G5" s="35">
        <f>bolt_y!G5</f>
        <v>20</v>
      </c>
      <c r="H5" s="35">
        <f t="shared" si="0"/>
        <v>11280</v>
      </c>
      <c r="I5" s="36">
        <f t="shared" si="1"/>
        <v>0.17287234042553193</v>
      </c>
      <c r="J5" s="8" t="str">
        <f t="shared" si="2"/>
        <v>OK</v>
      </c>
    </row>
    <row r="6" spans="1:10" ht="15.95" customHeight="1" x14ac:dyDescent="0.35">
      <c r="A6" s="29" t="str">
        <f>Nd!A6</f>
        <v>V4</v>
      </c>
      <c r="B6" s="34">
        <f>Nd!H6</f>
        <v>1170</v>
      </c>
      <c r="C6" s="35" t="str">
        <f>bolt_y!C6</f>
        <v>S10T</v>
      </c>
      <c r="D6" s="35" t="str">
        <f>bolt_y!D6</f>
        <v>M22</v>
      </c>
      <c r="E6" s="35">
        <f>bolt_y!E6</f>
        <v>1</v>
      </c>
      <c r="F6" s="29">
        <f>1.5*E6*VLOOKUP(C6&amp;D6,bolt_qa!C:E,3,FALSE)</f>
        <v>342</v>
      </c>
      <c r="G6" s="35">
        <f>bolt_y!G6</f>
        <v>12</v>
      </c>
      <c r="H6" s="35">
        <f t="shared" si="0"/>
        <v>4104</v>
      </c>
      <c r="I6" s="36">
        <f t="shared" si="1"/>
        <v>0.28508771929824561</v>
      </c>
      <c r="J6" s="8" t="str">
        <f t="shared" si="2"/>
        <v>OK</v>
      </c>
    </row>
    <row r="7" spans="1:10" ht="15.95" customHeight="1" x14ac:dyDescent="0.35">
      <c r="A7" s="29" t="str">
        <f>Nd!A7</f>
        <v>V5</v>
      </c>
      <c r="B7" s="34">
        <f>Nd!H7</f>
        <v>975</v>
      </c>
      <c r="C7" s="35" t="str">
        <f>bolt_y!C7</f>
        <v>S10T</v>
      </c>
      <c r="D7" s="35" t="str">
        <f>bolt_y!D7</f>
        <v>M22</v>
      </c>
      <c r="E7" s="35">
        <f>bolt_y!E7</f>
        <v>1</v>
      </c>
      <c r="F7" s="29">
        <f>1.5*E7*VLOOKUP(C7&amp;D7,bolt_qa!C:E,3,FALSE)</f>
        <v>342</v>
      </c>
      <c r="G7" s="35">
        <f>bolt_y!G7</f>
        <v>10</v>
      </c>
      <c r="H7" s="35">
        <f t="shared" si="0"/>
        <v>3420</v>
      </c>
      <c r="I7" s="36">
        <f t="shared" si="1"/>
        <v>0.28508771929824561</v>
      </c>
      <c r="J7" s="8" t="str">
        <f t="shared" si="2"/>
        <v>OK</v>
      </c>
    </row>
    <row r="8" spans="1:10" ht="15.95" customHeight="1" x14ac:dyDescent="0.35">
      <c r="A8" s="29" t="str">
        <f>Nd!A8</f>
        <v>V11</v>
      </c>
      <c r="B8" s="34">
        <f>Nd!H8</f>
        <v>5343.36</v>
      </c>
      <c r="C8" s="35" t="str">
        <f>bolt_y!C8</f>
        <v>S10T</v>
      </c>
      <c r="D8" s="35" t="str">
        <f>bolt_y!D8</f>
        <v>M22</v>
      </c>
      <c r="E8" s="35">
        <f>bolt_y!E8</f>
        <v>2</v>
      </c>
      <c r="F8" s="29">
        <f>1.5*E8*VLOOKUP(C8&amp;D8,bolt_qa!C:E,3,FALSE)</f>
        <v>684</v>
      </c>
      <c r="G8" s="35">
        <f>bolt_y!G8</f>
        <v>26</v>
      </c>
      <c r="H8" s="35">
        <f t="shared" ref="H8" si="3">F8*G8</f>
        <v>17784</v>
      </c>
      <c r="I8" s="36">
        <f t="shared" ref="I8" si="4">B8/H8</f>
        <v>0.30045883940620782</v>
      </c>
      <c r="J8" s="8" t="str">
        <f t="shared" si="2"/>
        <v>OK</v>
      </c>
    </row>
  </sheetData>
  <phoneticPr fontId="1"/>
  <conditionalFormatting sqref="J2:J8">
    <cfRule type="containsText" dxfId="11" priority="1" operator="containsText" text="NG">
      <formula>NOT(ISERROR(SEARCH("NG",J2)))</formula>
    </cfRule>
    <cfRule type="containsText" dxfId="10" priority="2" operator="containsText" text="OK">
      <formula>NOT(ISERROR(SEARCH("OK",J2)))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3B7A-61CE-4972-8821-F3586CF779F9}">
  <dimension ref="A1:G8"/>
  <sheetViews>
    <sheetView zoomScale="160" zoomScaleNormal="160" workbookViewId="0">
      <selection activeCell="D9" sqref="D9"/>
    </sheetView>
  </sheetViews>
  <sheetFormatPr defaultColWidth="12.7109375" defaultRowHeight="15.95" customHeight="1" x14ac:dyDescent="0.2"/>
  <sheetData>
    <row r="1" spans="1:7" ht="15.95" customHeight="1" x14ac:dyDescent="0.35">
      <c r="A1" s="7" t="s">
        <v>1</v>
      </c>
      <c r="B1" s="13" t="s">
        <v>71</v>
      </c>
      <c r="C1" s="7" t="s">
        <v>12</v>
      </c>
      <c r="D1" s="7" t="s">
        <v>38</v>
      </c>
      <c r="E1" s="7" t="s">
        <v>39</v>
      </c>
      <c r="F1" s="7" t="s">
        <v>5</v>
      </c>
      <c r="G1" s="7" t="s">
        <v>6</v>
      </c>
    </row>
    <row r="2" spans="1:7" ht="15.95" customHeight="1" x14ac:dyDescent="0.35">
      <c r="A2" s="29" t="str">
        <f>Nd!A2</f>
        <v>V0</v>
      </c>
      <c r="B2" s="34">
        <f>Nd!H2</f>
        <v>5206.5</v>
      </c>
      <c r="C2" s="31">
        <f>gpl_y!E2</f>
        <v>138</v>
      </c>
      <c r="D2" s="8">
        <v>490</v>
      </c>
      <c r="E2" s="34">
        <f t="shared" ref="E2:E7" si="0">D2*C2*100/1000</f>
        <v>6762</v>
      </c>
      <c r="F2" s="36">
        <f>B2/E2</f>
        <v>0.76996450754214729</v>
      </c>
      <c r="G2" s="8" t="str">
        <f t="shared" ref="G2:G8" si="1">IF(F2&lt;1, "OK", "NG")</f>
        <v>OK</v>
      </c>
    </row>
    <row r="3" spans="1:7" ht="15.95" customHeight="1" x14ac:dyDescent="0.35">
      <c r="A3" s="29" t="str">
        <f>Nd!A3</f>
        <v>V1</v>
      </c>
      <c r="B3" s="34">
        <f>Nd!H3</f>
        <v>3565.77</v>
      </c>
      <c r="C3" s="31">
        <f>gpl_y!E3</f>
        <v>104.88</v>
      </c>
      <c r="D3" s="8">
        <v>490</v>
      </c>
      <c r="E3" s="34">
        <f t="shared" si="0"/>
        <v>5139.12</v>
      </c>
      <c r="F3" s="36">
        <f t="shared" ref="F3:F7" si="2">B3/E3</f>
        <v>0.69384836314388454</v>
      </c>
      <c r="G3" s="8" t="str">
        <f t="shared" si="1"/>
        <v>OK</v>
      </c>
    </row>
    <row r="4" spans="1:7" ht="15.95" customHeight="1" x14ac:dyDescent="0.35">
      <c r="A4" s="29" t="str">
        <f>Nd!A4</f>
        <v>V2</v>
      </c>
      <c r="B4" s="34">
        <f>Nd!H4</f>
        <v>2574</v>
      </c>
      <c r="C4" s="31">
        <f>gpl_y!E4</f>
        <v>72.319999999999993</v>
      </c>
      <c r="D4" s="8">
        <v>490</v>
      </c>
      <c r="E4" s="34">
        <f t="shared" si="0"/>
        <v>3543.6799999999994</v>
      </c>
      <c r="F4" s="36">
        <f t="shared" si="2"/>
        <v>0.7263635542712662</v>
      </c>
      <c r="G4" s="8" t="str">
        <f t="shared" si="1"/>
        <v>OK</v>
      </c>
    </row>
    <row r="5" spans="1:7" ht="15.95" customHeight="1" x14ac:dyDescent="0.35">
      <c r="A5" s="29" t="str">
        <f>Nd!A5</f>
        <v>V3</v>
      </c>
      <c r="B5" s="34">
        <f>Nd!H5</f>
        <v>1950</v>
      </c>
      <c r="C5" s="31">
        <f>gpl_y!E5</f>
        <v>56.32</v>
      </c>
      <c r="D5" s="8">
        <v>490</v>
      </c>
      <c r="E5" s="34">
        <f t="shared" si="0"/>
        <v>2759.68</v>
      </c>
      <c r="F5" s="36">
        <f t="shared" si="2"/>
        <v>0.70660366419294995</v>
      </c>
      <c r="G5" s="8" t="str">
        <f t="shared" si="1"/>
        <v>OK</v>
      </c>
    </row>
    <row r="6" spans="1:7" ht="15.95" customHeight="1" x14ac:dyDescent="0.35">
      <c r="A6" s="29" t="str">
        <f>Nd!A6</f>
        <v>V4</v>
      </c>
      <c r="B6" s="34">
        <f>Nd!H6</f>
        <v>1170</v>
      </c>
      <c r="C6" s="31">
        <f>gpl_y!E6</f>
        <v>48.32</v>
      </c>
      <c r="D6" s="8">
        <v>490</v>
      </c>
      <c r="E6" s="34">
        <f t="shared" si="0"/>
        <v>2367.6799999999998</v>
      </c>
      <c r="F6" s="36">
        <f t="shared" si="2"/>
        <v>0.49415461548857958</v>
      </c>
      <c r="G6" s="8" t="str">
        <f t="shared" si="1"/>
        <v>OK</v>
      </c>
    </row>
    <row r="7" spans="1:7" ht="15.95" customHeight="1" x14ac:dyDescent="0.35">
      <c r="A7" s="29" t="str">
        <f>Nd!A7</f>
        <v>V5</v>
      </c>
      <c r="B7" s="34">
        <f>Nd!H7</f>
        <v>975</v>
      </c>
      <c r="C7" s="31">
        <f>gpl_y!E7</f>
        <v>48.32</v>
      </c>
      <c r="D7" s="8">
        <v>490</v>
      </c>
      <c r="E7" s="34">
        <f t="shared" si="0"/>
        <v>2367.6799999999998</v>
      </c>
      <c r="F7" s="36">
        <f t="shared" si="2"/>
        <v>0.41179551290714966</v>
      </c>
      <c r="G7" s="8" t="str">
        <f t="shared" si="1"/>
        <v>OK</v>
      </c>
    </row>
    <row r="8" spans="1:7" ht="15.95" customHeight="1" x14ac:dyDescent="0.35">
      <c r="A8" s="29" t="str">
        <f>Nd!A8</f>
        <v>V11</v>
      </c>
      <c r="B8" s="34">
        <f>Nd!H8</f>
        <v>5343.36</v>
      </c>
      <c r="C8" s="31">
        <f>gpl_y!E8</f>
        <v>138</v>
      </c>
      <c r="D8" s="8">
        <v>490</v>
      </c>
      <c r="E8" s="34">
        <f t="shared" ref="E8" si="3">D8*C8*100/1000</f>
        <v>6762</v>
      </c>
      <c r="F8" s="36">
        <f t="shared" ref="F8" si="4">B8/E8</f>
        <v>0.79020408163265299</v>
      </c>
      <c r="G8" s="8" t="str">
        <f t="shared" si="1"/>
        <v>OK</v>
      </c>
    </row>
  </sheetData>
  <phoneticPr fontId="1"/>
  <conditionalFormatting sqref="G2:G8">
    <cfRule type="containsText" dxfId="9" priority="1" operator="containsText" text="NG">
      <formula>NOT(ISERROR(SEARCH("NG",G2)))</formula>
    </cfRule>
    <cfRule type="containsText" dxfId="8" priority="2" operator="containsText" text="OK">
      <formula>NOT(ISERROR(SEARCH("OK",G2)))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E361-ED6F-4B3B-89DF-4B973A4AF614}">
  <dimension ref="A1:G8"/>
  <sheetViews>
    <sheetView zoomScale="175" zoomScaleNormal="175" workbookViewId="0">
      <selection activeCell="D9" sqref="D9"/>
    </sheetView>
  </sheetViews>
  <sheetFormatPr defaultColWidth="12.7109375" defaultRowHeight="15.95" customHeight="1" x14ac:dyDescent="0.2"/>
  <sheetData>
    <row r="1" spans="1:7" ht="15.95" customHeight="1" x14ac:dyDescent="0.35">
      <c r="A1" s="3" t="s">
        <v>1</v>
      </c>
      <c r="B1" s="13" t="s">
        <v>71</v>
      </c>
      <c r="C1" s="3" t="s">
        <v>40</v>
      </c>
      <c r="D1" s="3" t="s">
        <v>41</v>
      </c>
      <c r="E1" s="3" t="s">
        <v>42</v>
      </c>
      <c r="F1" s="3" t="s">
        <v>5</v>
      </c>
      <c r="G1" s="3" t="s">
        <v>6</v>
      </c>
    </row>
    <row r="2" spans="1:7" ht="15.95" customHeight="1" x14ac:dyDescent="0.35">
      <c r="A2" s="29" t="str">
        <f>Nd!A2</f>
        <v>V0</v>
      </c>
      <c r="B2" s="34">
        <f>Nd!H2</f>
        <v>5206.5</v>
      </c>
      <c r="C2" s="33">
        <f>weld_y!E2*weld_y!G2/100</f>
        <v>250</v>
      </c>
      <c r="D2" s="5">
        <f t="shared" ref="D2:D7" si="0">490/SQRT(3)</f>
        <v>282.90163190291662</v>
      </c>
      <c r="E2" s="27">
        <f t="shared" ref="E2:E7" si="1">D2*C2*100/1000</f>
        <v>7072.5407975729167</v>
      </c>
      <c r="F2" s="30">
        <f>B2/E2</f>
        <v>0.73615694119243735</v>
      </c>
      <c r="G2" s="4" t="str">
        <f t="shared" ref="G2:G8" si="2">IF(F2&lt;1, "OK", "NG")</f>
        <v>OK</v>
      </c>
    </row>
    <row r="3" spans="1:7" ht="15.95" customHeight="1" x14ac:dyDescent="0.35">
      <c r="A3" s="29" t="str">
        <f>Nd!A3</f>
        <v>V1</v>
      </c>
      <c r="B3" s="34">
        <f>Nd!H3</f>
        <v>3565.77</v>
      </c>
      <c r="C3" s="33">
        <f>weld_y!E3*weld_y!G3/100</f>
        <v>171</v>
      </c>
      <c r="D3" s="5">
        <f t="shared" si="0"/>
        <v>282.90163190291662</v>
      </c>
      <c r="E3" s="27">
        <f t="shared" si="1"/>
        <v>4837.6179055398752</v>
      </c>
      <c r="F3" s="30">
        <f t="shared" ref="F3:F7" si="3">B3/E3</f>
        <v>0.73709211219774129</v>
      </c>
      <c r="G3" s="4" t="str">
        <f t="shared" si="2"/>
        <v>OK</v>
      </c>
    </row>
    <row r="4" spans="1:7" ht="15.95" customHeight="1" x14ac:dyDescent="0.35">
      <c r="A4" s="29" t="str">
        <f>Nd!A4</f>
        <v>V2</v>
      </c>
      <c r="B4" s="34">
        <f>Nd!H4</f>
        <v>2574</v>
      </c>
      <c r="C4" s="33">
        <f>weld_y!E4*weld_y!G4/100</f>
        <v>121.96799999999998</v>
      </c>
      <c r="D4" s="5">
        <f t="shared" si="0"/>
        <v>282.90163190291662</v>
      </c>
      <c r="E4" s="27">
        <f t="shared" si="1"/>
        <v>3450.4946239934925</v>
      </c>
      <c r="F4" s="30">
        <f t="shared" si="3"/>
        <v>0.74598000591026414</v>
      </c>
      <c r="G4" s="4" t="str">
        <f t="shared" si="2"/>
        <v>OK</v>
      </c>
    </row>
    <row r="5" spans="1:7" ht="15.95" customHeight="1" x14ac:dyDescent="0.35">
      <c r="A5" s="29" t="str">
        <f>Nd!A5</f>
        <v>V3</v>
      </c>
      <c r="B5" s="34">
        <f>Nd!H5</f>
        <v>1950</v>
      </c>
      <c r="C5" s="33">
        <f>weld_y!E5*weld_y!G5/100</f>
        <v>88.367999999999995</v>
      </c>
      <c r="D5" s="5">
        <f t="shared" si="0"/>
        <v>282.90163190291662</v>
      </c>
      <c r="E5" s="27">
        <f t="shared" si="1"/>
        <v>2499.9451407996935</v>
      </c>
      <c r="F5" s="30">
        <f t="shared" si="3"/>
        <v>0.78001711644609339</v>
      </c>
      <c r="G5" s="4" t="str">
        <f t="shared" si="2"/>
        <v>OK</v>
      </c>
    </row>
    <row r="6" spans="1:7" ht="15.95" customHeight="1" x14ac:dyDescent="0.35">
      <c r="A6" s="29" t="str">
        <f>Nd!A6</f>
        <v>V4</v>
      </c>
      <c r="B6" s="34">
        <f>Nd!H6</f>
        <v>1170</v>
      </c>
      <c r="C6" s="33">
        <f>weld_y!E6*weld_y!G6/100</f>
        <v>54.767999999999994</v>
      </c>
      <c r="D6" s="5">
        <f t="shared" si="0"/>
        <v>282.90163190291662</v>
      </c>
      <c r="E6" s="27">
        <f t="shared" si="1"/>
        <v>1549.3956576058936</v>
      </c>
      <c r="F6" s="30">
        <f t="shared" si="3"/>
        <v>0.7551331348171384</v>
      </c>
      <c r="G6" s="4" t="str">
        <f t="shared" si="2"/>
        <v>OK</v>
      </c>
    </row>
    <row r="7" spans="1:7" ht="15.95" customHeight="1" x14ac:dyDescent="0.35">
      <c r="A7" s="29" t="str">
        <f>Nd!A7</f>
        <v>V5</v>
      </c>
      <c r="B7" s="34">
        <f>Nd!H7</f>
        <v>975</v>
      </c>
      <c r="C7" s="33">
        <f>weld_y!E7*weld_y!G7/100</f>
        <v>46.367999999999995</v>
      </c>
      <c r="D7" s="5">
        <f t="shared" si="0"/>
        <v>282.90163190291662</v>
      </c>
      <c r="E7" s="27">
        <f t="shared" si="1"/>
        <v>1311.7582868074437</v>
      </c>
      <c r="F7" s="30">
        <f t="shared" si="3"/>
        <v>0.74327717980189345</v>
      </c>
      <c r="G7" s="4" t="str">
        <f t="shared" si="2"/>
        <v>OK</v>
      </c>
    </row>
    <row r="8" spans="1:7" ht="15.95" customHeight="1" x14ac:dyDescent="0.35">
      <c r="A8" s="29" t="str">
        <f>Nd!A8</f>
        <v>V11</v>
      </c>
      <c r="B8" s="34">
        <f>Nd!H8</f>
        <v>5343.36</v>
      </c>
      <c r="C8" s="33">
        <f>weld_y!E8*weld_y!G8/100</f>
        <v>237.5</v>
      </c>
      <c r="D8" s="5">
        <f>490/SQRT(3)</f>
        <v>282.90163190291662</v>
      </c>
      <c r="E8" s="27">
        <f t="shared" ref="E8" si="4">D8*C8*100/1000</f>
        <v>6718.9137576942694</v>
      </c>
      <c r="F8" s="30">
        <f t="shared" ref="F8" si="5">B8/E8</f>
        <v>0.79527140735821578</v>
      </c>
      <c r="G8" s="4" t="str">
        <f t="shared" si="2"/>
        <v>OK</v>
      </c>
    </row>
  </sheetData>
  <phoneticPr fontId="1"/>
  <conditionalFormatting sqref="G2:G8">
    <cfRule type="containsText" dxfId="7" priority="1" operator="containsText" text="NG">
      <formula>NOT(ISERROR(SEARCH("NG",G2)))</formula>
    </cfRule>
    <cfRule type="containsText" dxfId="6" priority="2" operator="containsText" text="OK">
      <formula>NOT(ISERROR(SEARCH("OK",G2)))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i</vt:lpstr>
      <vt:lpstr>Nd</vt:lpstr>
      <vt:lpstr>bolt_y</vt:lpstr>
      <vt:lpstr>gpl_y</vt:lpstr>
      <vt:lpstr>weld_y</vt:lpstr>
      <vt:lpstr>beam_y</vt:lpstr>
      <vt:lpstr>bolt_u</vt:lpstr>
      <vt:lpstr>gpl_u</vt:lpstr>
      <vt:lpstr>weld_u</vt:lpstr>
      <vt:lpstr>brace_u</vt:lpstr>
      <vt:lpstr>wcs_y</vt:lpstr>
      <vt:lpstr>wcs_u</vt:lpstr>
      <vt:lpstr>bolt_qa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TSUBOIK</dc:creator>
  <cp:lastModifiedBy>Kota Tsuboi</cp:lastModifiedBy>
  <dcterms:created xsi:type="dcterms:W3CDTF">2023-09-15T08:09:23Z</dcterms:created>
  <dcterms:modified xsi:type="dcterms:W3CDTF">2025-06-23T02:02:04Z</dcterms:modified>
</cp:coreProperties>
</file>