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4webclamp/00_戸田建設九州支店某案件495/02設計資料/ブレース接合部/"/>
    </mc:Choice>
  </mc:AlternateContent>
  <xr:revisionPtr revIDLastSave="2067" documentId="14_{AB0E8A8A-5925-4D04-AFBE-E2AF64A40BE6}" xr6:coauthVersionLast="47" xr6:coauthVersionMax="47" xr10:uidLastSave="{80E83C62-1177-4881-AEC4-DACB86A60430}"/>
  <bookViews>
    <workbookView xWindow="1500" yWindow="-120" windowWidth="27420" windowHeight="16440" activeTab="7" xr2:uid="{00000000-000D-0000-FFFF-FFFF00000000}"/>
  </bookViews>
  <sheets>
    <sheet name="i" sheetId="14" r:id="rId1"/>
    <sheet name="Nd" sheetId="13" r:id="rId2"/>
    <sheet name="bolt_y" sheetId="1" r:id="rId3"/>
    <sheet name="gpl_y" sheetId="2" r:id="rId4"/>
    <sheet name="weld_y" sheetId="3" r:id="rId5"/>
    <sheet name="beam_y" sheetId="4" r:id="rId6"/>
    <sheet name="bolt_u" sheetId="6" r:id="rId7"/>
    <sheet name="gpl_u" sheetId="7" r:id="rId8"/>
    <sheet name="weld_u" sheetId="8" r:id="rId9"/>
    <sheet name="brace_u" sheetId="9" r:id="rId10"/>
    <sheet name="wcs_y" sheetId="10" r:id="rId11"/>
    <sheet name="wcs_u" sheetId="11" r:id="rId12"/>
    <sheet name="bolt_qa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E2" i="13"/>
  <c r="B2" i="3" s="1"/>
  <c r="B2" i="13"/>
  <c r="D3" i="8"/>
  <c r="D2" i="8"/>
  <c r="C7" i="8"/>
  <c r="C5" i="8"/>
  <c r="C6" i="8"/>
  <c r="E2" i="3"/>
  <c r="E3" i="3"/>
  <c r="E4" i="3"/>
  <c r="E2" i="2"/>
  <c r="G2" i="2" s="1"/>
  <c r="E3" i="2"/>
  <c r="C3" i="7"/>
  <c r="E3" i="7" s="1"/>
  <c r="P5" i="14"/>
  <c r="P2" i="14"/>
  <c r="L2" i="14"/>
  <c r="O2" i="14"/>
  <c r="L3" i="14"/>
  <c r="O3" i="14"/>
  <c r="L4" i="14"/>
  <c r="M4" i="14"/>
  <c r="O4" i="14"/>
  <c r="L5" i="14"/>
  <c r="O5" i="14"/>
  <c r="L6" i="14"/>
  <c r="O6" i="14"/>
  <c r="L7" i="14"/>
  <c r="O7" i="14"/>
  <c r="Q1" i="14"/>
  <c r="P1" i="14"/>
  <c r="M1" i="14"/>
  <c r="N1" i="14"/>
  <c r="O1" i="14"/>
  <c r="L1" i="14"/>
  <c r="I3" i="14"/>
  <c r="I4" i="14"/>
  <c r="I5" i="14"/>
  <c r="I6" i="14"/>
  <c r="I7" i="14"/>
  <c r="I2" i="14"/>
  <c r="M7" i="14"/>
  <c r="H7" i="14"/>
  <c r="P7" i="14" s="1"/>
  <c r="M3" i="14"/>
  <c r="M5" i="14"/>
  <c r="M6" i="14"/>
  <c r="M2" i="14"/>
  <c r="F3" i="14"/>
  <c r="H3" i="14" s="1"/>
  <c r="P3" i="14" s="1"/>
  <c r="H4" i="14"/>
  <c r="P4" i="14" s="1"/>
  <c r="H5" i="14"/>
  <c r="H6" i="14"/>
  <c r="P6" i="14" s="1"/>
  <c r="H2" i="14"/>
  <c r="E7" i="9"/>
  <c r="E5" i="9"/>
  <c r="C4" i="8"/>
  <c r="D5" i="8"/>
  <c r="A7" i="9"/>
  <c r="A7" i="8"/>
  <c r="D7" i="8"/>
  <c r="A7" i="7"/>
  <c r="A7" i="6"/>
  <c r="C7" i="6"/>
  <c r="D7" i="6"/>
  <c r="E7" i="6"/>
  <c r="C3" i="6"/>
  <c r="D3" i="6"/>
  <c r="E3" i="6"/>
  <c r="F3" i="6" s="1"/>
  <c r="C4" i="6"/>
  <c r="D4" i="6"/>
  <c r="E4" i="6"/>
  <c r="F4" i="6" s="1"/>
  <c r="C5" i="6"/>
  <c r="D5" i="6"/>
  <c r="E5" i="6"/>
  <c r="C6" i="6"/>
  <c r="D6" i="6"/>
  <c r="E6" i="6"/>
  <c r="D2" i="6"/>
  <c r="E2" i="6"/>
  <c r="C2" i="6"/>
  <c r="I3" i="4"/>
  <c r="AB3" i="4" s="1"/>
  <c r="I4" i="4"/>
  <c r="AB4" i="4" s="1"/>
  <c r="I5" i="4"/>
  <c r="AB5" i="4" s="1"/>
  <c r="I6" i="4"/>
  <c r="AB6" i="4" s="1"/>
  <c r="I2" i="4"/>
  <c r="AB2" i="4" s="1"/>
  <c r="I7" i="3"/>
  <c r="E6" i="3"/>
  <c r="E7" i="3"/>
  <c r="E5" i="3"/>
  <c r="C3" i="4"/>
  <c r="C4" i="4"/>
  <c r="C6" i="4"/>
  <c r="C2" i="4"/>
  <c r="A7" i="3"/>
  <c r="C7" i="3"/>
  <c r="G7" i="3"/>
  <c r="C2" i="3"/>
  <c r="E7" i="2"/>
  <c r="C7" i="7" s="1"/>
  <c r="E7" i="7" s="1"/>
  <c r="E6" i="2"/>
  <c r="E5" i="2"/>
  <c r="E4" i="2"/>
  <c r="G4" i="2" s="1"/>
  <c r="A7" i="2"/>
  <c r="F7" i="1"/>
  <c r="H7" i="1" s="1"/>
  <c r="A4" i="1"/>
  <c r="A5" i="1"/>
  <c r="A6" i="1"/>
  <c r="A7" i="1"/>
  <c r="E7" i="13"/>
  <c r="B7" i="3" s="1"/>
  <c r="F7" i="13"/>
  <c r="H7" i="13" s="1"/>
  <c r="A6" i="9"/>
  <c r="A5" i="9"/>
  <c r="A4" i="9"/>
  <c r="A3" i="9"/>
  <c r="A2" i="9"/>
  <c r="A6" i="8"/>
  <c r="A5" i="8"/>
  <c r="A4" i="8"/>
  <c r="A3" i="8"/>
  <c r="A2" i="8"/>
  <c r="A6" i="7"/>
  <c r="A5" i="7"/>
  <c r="A4" i="7"/>
  <c r="A3" i="7"/>
  <c r="A2" i="7"/>
  <c r="A6" i="6"/>
  <c r="A5" i="6"/>
  <c r="A4" i="6"/>
  <c r="A3" i="6"/>
  <c r="A2" i="6"/>
  <c r="A6" i="3"/>
  <c r="A5" i="3"/>
  <c r="A4" i="3"/>
  <c r="A3" i="3"/>
  <c r="A2" i="3"/>
  <c r="A6" i="2"/>
  <c r="A5" i="2"/>
  <c r="A4" i="2"/>
  <c r="A3" i="2"/>
  <c r="A2" i="2"/>
  <c r="A3" i="1"/>
  <c r="A2" i="1"/>
  <c r="F2" i="13"/>
  <c r="H2" i="13" s="1"/>
  <c r="B2" i="7" s="1"/>
  <c r="F4" i="13"/>
  <c r="F6" i="13"/>
  <c r="F3" i="1"/>
  <c r="F4" i="1"/>
  <c r="F5" i="1"/>
  <c r="F6" i="1"/>
  <c r="H6" i="1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F2" i="1"/>
  <c r="D2" i="11"/>
  <c r="C2" i="10"/>
  <c r="E3" i="9"/>
  <c r="D6" i="8"/>
  <c r="D4" i="8"/>
  <c r="C5" i="7"/>
  <c r="E5" i="7" s="1"/>
  <c r="G5" i="6"/>
  <c r="G4" i="6"/>
  <c r="G3" i="6"/>
  <c r="G2" i="6"/>
  <c r="AE6" i="4"/>
  <c r="AD6" i="4"/>
  <c r="AA6" i="4"/>
  <c r="X6" i="4"/>
  <c r="W6" i="4"/>
  <c r="O6" i="4"/>
  <c r="Q6" i="4" s="1"/>
  <c r="AF6" i="4" s="1"/>
  <c r="AE5" i="4"/>
  <c r="AD5" i="4"/>
  <c r="AA5" i="4"/>
  <c r="X5" i="4"/>
  <c r="W5" i="4"/>
  <c r="O5" i="4"/>
  <c r="Q5" i="4" s="1"/>
  <c r="AE4" i="4"/>
  <c r="AD4" i="4"/>
  <c r="AA4" i="4"/>
  <c r="X4" i="4"/>
  <c r="W4" i="4"/>
  <c r="O4" i="4"/>
  <c r="Q4" i="4" s="1"/>
  <c r="S4" i="4" s="1"/>
  <c r="AG4" i="4" s="1"/>
  <c r="AE3" i="4"/>
  <c r="AD3" i="4"/>
  <c r="AA3" i="4"/>
  <c r="X3" i="4"/>
  <c r="W3" i="4"/>
  <c r="O3" i="4"/>
  <c r="Q3" i="4" s="1"/>
  <c r="AF3" i="4" s="1"/>
  <c r="AE2" i="4"/>
  <c r="AD2" i="4"/>
  <c r="AA2" i="4"/>
  <c r="X2" i="4"/>
  <c r="W2" i="4"/>
  <c r="O2" i="4"/>
  <c r="Q2" i="4" s="1"/>
  <c r="G6" i="3"/>
  <c r="I6" i="3" s="1"/>
  <c r="C6" i="3"/>
  <c r="G5" i="3"/>
  <c r="I5" i="3" s="1"/>
  <c r="C5" i="3"/>
  <c r="G4" i="3"/>
  <c r="C4" i="3"/>
  <c r="G3" i="3"/>
  <c r="C3" i="3"/>
  <c r="G2" i="3"/>
  <c r="G6" i="2"/>
  <c r="G5" i="2"/>
  <c r="C2" i="9" l="1"/>
  <c r="E2" i="9" s="1"/>
  <c r="I2" i="3"/>
  <c r="I3" i="3"/>
  <c r="I4" i="3"/>
  <c r="C3" i="8"/>
  <c r="E3" i="8" s="1"/>
  <c r="G7" i="2"/>
  <c r="F5" i="6"/>
  <c r="H5" i="6" s="1"/>
  <c r="F6" i="6"/>
  <c r="H6" i="6" s="1"/>
  <c r="F2" i="6"/>
  <c r="H2" i="6" s="1"/>
  <c r="B2" i="8"/>
  <c r="B2" i="6"/>
  <c r="B2" i="9"/>
  <c r="B7" i="8"/>
  <c r="B7" i="6"/>
  <c r="B7" i="9"/>
  <c r="F7" i="9" s="1"/>
  <c r="G7" i="9" s="1"/>
  <c r="B7" i="7"/>
  <c r="F7" i="7" s="1"/>
  <c r="G7" i="7" s="1"/>
  <c r="B7" i="1"/>
  <c r="I7" i="1" s="1"/>
  <c r="J7" i="1" s="1"/>
  <c r="B7" i="2"/>
  <c r="H7" i="2" s="1"/>
  <c r="N2" i="14"/>
  <c r="N4" i="14"/>
  <c r="J4" i="14"/>
  <c r="Q4" i="14" s="1"/>
  <c r="N6" i="14"/>
  <c r="J2" i="14"/>
  <c r="Q2" i="14" s="1"/>
  <c r="J7" i="14"/>
  <c r="Q7" i="14" s="1"/>
  <c r="N7" i="14"/>
  <c r="N5" i="14"/>
  <c r="J6" i="14"/>
  <c r="Q6" i="14" s="1"/>
  <c r="J5" i="14"/>
  <c r="Q5" i="14" s="1"/>
  <c r="J3" i="14"/>
  <c r="Q3" i="14" s="1"/>
  <c r="N3" i="14"/>
  <c r="F7" i="6"/>
  <c r="H7" i="6" s="1"/>
  <c r="E7" i="8"/>
  <c r="H4" i="6"/>
  <c r="H3" i="6"/>
  <c r="E5" i="8"/>
  <c r="S2" i="4"/>
  <c r="AG2" i="4" s="1"/>
  <c r="AF2" i="4"/>
  <c r="S6" i="4"/>
  <c r="AG6" i="4" s="1"/>
  <c r="J7" i="3"/>
  <c r="E4" i="8"/>
  <c r="C2" i="8"/>
  <c r="E2" i="8" s="1"/>
  <c r="E6" i="8"/>
  <c r="C6" i="7"/>
  <c r="E6" i="7" s="1"/>
  <c r="C4" i="7"/>
  <c r="E4" i="7" s="1"/>
  <c r="G3" i="2"/>
  <c r="C2" i="7"/>
  <c r="E2" i="7" s="1"/>
  <c r="B3" i="3"/>
  <c r="B3" i="1"/>
  <c r="B3" i="2"/>
  <c r="B2" i="2"/>
  <c r="B2" i="1"/>
  <c r="E6" i="13"/>
  <c r="B6" i="1" s="1"/>
  <c r="E5" i="13"/>
  <c r="E4" i="13"/>
  <c r="B4" i="1" s="1"/>
  <c r="E6" i="9"/>
  <c r="H3" i="13"/>
  <c r="F5" i="13"/>
  <c r="H4" i="13"/>
  <c r="H6" i="13"/>
  <c r="B2" i="11"/>
  <c r="E4" i="9"/>
  <c r="AF5" i="4"/>
  <c r="S5" i="4"/>
  <c r="AG5" i="4" s="1"/>
  <c r="S3" i="4"/>
  <c r="AG3" i="4" s="1"/>
  <c r="AF4" i="4"/>
  <c r="I2" i="6" l="1"/>
  <c r="F2" i="9"/>
  <c r="G2" i="9" s="1"/>
  <c r="F7" i="8"/>
  <c r="G7" i="8" s="1"/>
  <c r="F2" i="8"/>
  <c r="G2" i="8" s="1"/>
  <c r="F2" i="7"/>
  <c r="G2" i="7" s="1"/>
  <c r="B3" i="8"/>
  <c r="F3" i="8" s="1"/>
  <c r="G3" i="8" s="1"/>
  <c r="B3" i="9"/>
  <c r="F3" i="9" s="1"/>
  <c r="G3" i="9" s="1"/>
  <c r="B3" i="7"/>
  <c r="F3" i="7" s="1"/>
  <c r="G3" i="7" s="1"/>
  <c r="B3" i="6"/>
  <c r="I3" i="6" s="1"/>
  <c r="J3" i="6" s="1"/>
  <c r="B6" i="8"/>
  <c r="F6" i="8" s="1"/>
  <c r="G6" i="8" s="1"/>
  <c r="B6" i="9"/>
  <c r="F6" i="9" s="1"/>
  <c r="B6" i="7"/>
  <c r="F6" i="7" s="1"/>
  <c r="G6" i="7" s="1"/>
  <c r="B6" i="6"/>
  <c r="I6" i="6" s="1"/>
  <c r="J6" i="6" s="1"/>
  <c r="I7" i="6"/>
  <c r="J7" i="6" s="1"/>
  <c r="B4" i="8"/>
  <c r="F4" i="8" s="1"/>
  <c r="G4" i="8" s="1"/>
  <c r="B4" i="6"/>
  <c r="I4" i="6" s="1"/>
  <c r="J4" i="6" s="1"/>
  <c r="B4" i="9"/>
  <c r="F4" i="9" s="1"/>
  <c r="G4" i="9" s="1"/>
  <c r="B4" i="7"/>
  <c r="F4" i="7" s="1"/>
  <c r="G4" i="7" s="1"/>
  <c r="C5" i="4"/>
  <c r="Y5" i="4" s="1"/>
  <c r="B5" i="1"/>
  <c r="J2" i="6"/>
  <c r="B6" i="2"/>
  <c r="H6" i="2" s="1"/>
  <c r="B6" i="3"/>
  <c r="J6" i="3" s="1"/>
  <c r="B5" i="3"/>
  <c r="J5" i="3" s="1"/>
  <c r="B5" i="2"/>
  <c r="H5" i="2" s="1"/>
  <c r="B4" i="3"/>
  <c r="J4" i="3" s="1"/>
  <c r="B4" i="2"/>
  <c r="H4" i="2" s="1"/>
  <c r="G6" i="9"/>
  <c r="E2" i="11"/>
  <c r="F2" i="11" s="1"/>
  <c r="H5" i="13"/>
  <c r="H2" i="2"/>
  <c r="J2" i="3"/>
  <c r="J3" i="3"/>
  <c r="H3" i="2"/>
  <c r="H5" i="1"/>
  <c r="B5" i="8" l="1"/>
  <c r="F5" i="8" s="1"/>
  <c r="G5" i="8" s="1"/>
  <c r="B5" i="7"/>
  <c r="F5" i="7" s="1"/>
  <c r="G5" i="7" s="1"/>
  <c r="B5" i="6"/>
  <c r="I5" i="6" s="1"/>
  <c r="J5" i="6" s="1"/>
  <c r="B5" i="9"/>
  <c r="F5" i="9" s="1"/>
  <c r="G5" i="9" s="1"/>
  <c r="I5" i="1"/>
  <c r="J5" i="1" s="1"/>
  <c r="B2" i="10"/>
  <c r="D2" i="10" s="1"/>
  <c r="I6" i="1"/>
  <c r="J6" i="1" s="1"/>
  <c r="E5" i="4"/>
  <c r="H4" i="1"/>
  <c r="I4" i="1" s="1"/>
  <c r="J4" i="1" s="1"/>
  <c r="T5" i="4" l="1"/>
  <c r="U5" i="4" s="1"/>
  <c r="AH5" i="4" s="1"/>
  <c r="J5" i="4"/>
  <c r="AC5" i="4" s="1"/>
  <c r="Y4" i="4"/>
  <c r="E4" i="4"/>
  <c r="Y6" i="4"/>
  <c r="E6" i="4"/>
  <c r="Y2" i="4"/>
  <c r="E2" i="4"/>
  <c r="Z5" i="4"/>
  <c r="Y3" i="4"/>
  <c r="E3" i="4"/>
  <c r="H2" i="1"/>
  <c r="I2" i="1" s="1"/>
  <c r="J2" i="1" s="1"/>
  <c r="H3" i="1"/>
  <c r="I3" i="1" s="1"/>
  <c r="J3" i="1" s="1"/>
  <c r="Z6" i="4" l="1"/>
  <c r="J6" i="4"/>
  <c r="AC6" i="4" s="1"/>
  <c r="T6" i="4"/>
  <c r="U6" i="4" s="1"/>
  <c r="AH6" i="4" s="1"/>
  <c r="T4" i="4"/>
  <c r="U4" i="4" s="1"/>
  <c r="AH4" i="4" s="1"/>
  <c r="Z4" i="4"/>
  <c r="J4" i="4"/>
  <c r="AC4" i="4" s="1"/>
  <c r="Z3" i="4"/>
  <c r="T3" i="4"/>
  <c r="U3" i="4" s="1"/>
  <c r="AH3" i="4" s="1"/>
  <c r="J3" i="4"/>
  <c r="AC3" i="4" s="1"/>
  <c r="Z2" i="4"/>
  <c r="T2" i="4"/>
  <c r="U2" i="4" s="1"/>
  <c r="AH2" i="4" s="1"/>
  <c r="J2" i="4"/>
  <c r="AC2" i="4" s="1"/>
</calcChain>
</file>

<file path=xl/sharedStrings.xml><?xml version="1.0" encoding="utf-8"?>
<sst xmlns="http://schemas.openxmlformats.org/spreadsheetml/2006/main" count="183" uniqueCount="89">
  <si>
    <t>ボルト本数</t>
  </si>
  <si>
    <t>符号</t>
  </si>
  <si>
    <t>設計軸力
[kN]</t>
  </si>
  <si>
    <t>ボルト許容せん断力
[kN/本]</t>
  </si>
  <si>
    <t>許容せん断力
[kN]</t>
  </si>
  <si>
    <t>検定比</t>
  </si>
  <si>
    <t>判定</t>
  </si>
  <si>
    <t>断面積
[cm2]</t>
  </si>
  <si>
    <t>ブレース材短期許容応力度
[N/mm2]</t>
  </si>
  <si>
    <t>GPL板厚
[mm]</t>
  </si>
  <si>
    <t>LG
[mm]</t>
  </si>
  <si>
    <t>GPL断面積
[cm2]</t>
  </si>
  <si>
    <t>GPL短期許容応力度
[N/mm2]</t>
  </si>
  <si>
    <t>引張耐力
[kN]</t>
  </si>
  <si>
    <t>溶接サイズ
[mm]</t>
  </si>
  <si>
    <t>溶接長
[mm]</t>
  </si>
  <si>
    <t>有効溶接長
[mm]</t>
  </si>
  <si>
    <t>溶接部短期許容応力度
[N/mm2]</t>
  </si>
  <si>
    <t>溶接部耐力
[kN]</t>
  </si>
  <si>
    <t>ブレース符号</t>
  </si>
  <si>
    <t>ブレース軸力
[kN]</t>
  </si>
  <si>
    <t>ブレース角度
[°]</t>
  </si>
  <si>
    <t>受梁軸力
[kN]</t>
  </si>
  <si>
    <t>必要ボルト本数</t>
  </si>
  <si>
    <t>設計ボルト本数</t>
  </si>
  <si>
    <t>ボルト列数</t>
  </si>
  <si>
    <t>ボルトピッチ
[mm]</t>
  </si>
  <si>
    <t>SPL厚
[mm]</t>
  </si>
  <si>
    <t>SPLせい
[mm]</t>
  </si>
  <si>
    <t>SPL枚数</t>
  </si>
  <si>
    <t>SPL有効断面積
[mm2]</t>
  </si>
  <si>
    <t>SPL降伏応力
[N/mm2]</t>
  </si>
  <si>
    <t>SPL降伏軸力
[kN]</t>
  </si>
  <si>
    <t>ブレース材短期許容耐力
[kN]</t>
  </si>
  <si>
    <t>α</t>
  </si>
  <si>
    <t>ボルト最大耐力
[kN]</t>
  </si>
  <si>
    <t>最大耐力
[kN]</t>
  </si>
  <si>
    <t>GPL終局強度
[N/mm2]</t>
  </si>
  <si>
    <t>GPL終局耐力
[kN]</t>
  </si>
  <si>
    <t>溶接部断面積
[cm2]</t>
  </si>
  <si>
    <t>溶接部終局強度
Fu/√3[N/mm2]</t>
  </si>
  <si>
    <t>溶接部終局耐力
[kN]</t>
  </si>
  <si>
    <t>欠損部断面積
[cm2]</t>
  </si>
  <si>
    <t>欠損部終局強度
[N/mm2]</t>
  </si>
  <si>
    <t>欠損部終局耐力
[kN]</t>
  </si>
  <si>
    <t>SPL降伏軸力
[kN]</t>
    <phoneticPr fontId="1"/>
  </si>
  <si>
    <t>V1</t>
    <phoneticPr fontId="1"/>
  </si>
  <si>
    <t>金物/SPL引張耐力
[kN]</t>
    <rPh sb="0" eb="2">
      <t>カナモノ</t>
    </rPh>
    <phoneticPr fontId="1"/>
  </si>
  <si>
    <t>金物/SPL終局耐力
[kN]</t>
    <rPh sb="0" eb="2">
      <t>カナモノ</t>
    </rPh>
    <phoneticPr fontId="1"/>
  </si>
  <si>
    <t>受梁せん断力[kN]</t>
    <rPh sb="0" eb="1">
      <t>ウ</t>
    </rPh>
    <rPh sb="1" eb="2">
      <t>ハリ</t>
    </rPh>
    <rPh sb="4" eb="6">
      <t>ダンリョク</t>
    </rPh>
    <phoneticPr fontId="1"/>
  </si>
  <si>
    <t>F8T</t>
    <phoneticPr fontId="1"/>
  </si>
  <si>
    <t>M22</t>
    <phoneticPr fontId="1"/>
  </si>
  <si>
    <t>M12</t>
    <phoneticPr fontId="1"/>
  </si>
  <si>
    <t>M16</t>
    <phoneticPr fontId="1"/>
  </si>
  <si>
    <t>M20</t>
    <phoneticPr fontId="1"/>
  </si>
  <si>
    <t>M24</t>
    <phoneticPr fontId="1"/>
  </si>
  <si>
    <t>M27</t>
    <phoneticPr fontId="1"/>
  </si>
  <si>
    <t>M30</t>
    <phoneticPr fontId="1"/>
  </si>
  <si>
    <t>S10T</t>
    <phoneticPr fontId="1"/>
  </si>
  <si>
    <t>鋼種</t>
    <rPh sb="0" eb="2">
      <t>コウシュ</t>
    </rPh>
    <phoneticPr fontId="1"/>
  </si>
  <si>
    <t>ボルトの呼び</t>
    <rPh sb="4" eb="5">
      <t>ヨ</t>
    </rPh>
    <phoneticPr fontId="1"/>
  </si>
  <si>
    <t>摩擦面の数</t>
    <rPh sb="0" eb="2">
      <t>マサツ</t>
    </rPh>
    <rPh sb="2" eb="3">
      <t>メン</t>
    </rPh>
    <rPh sb="4" eb="5">
      <t>カズ</t>
    </rPh>
    <phoneticPr fontId="1"/>
  </si>
  <si>
    <t>呼び</t>
    <phoneticPr fontId="1"/>
  </si>
  <si>
    <t>長期許容せん断力（1面）</t>
    <rPh sb="0" eb="2">
      <t>チョウキ</t>
    </rPh>
    <rPh sb="2" eb="4">
      <t>キョヨウ</t>
    </rPh>
    <rPh sb="6" eb="8">
      <t>ダンリョク</t>
    </rPh>
    <rPh sb="10" eb="11">
      <t>メン</t>
    </rPh>
    <phoneticPr fontId="1"/>
  </si>
  <si>
    <t>引張側有効断面率</t>
    <rPh sb="0" eb="2">
      <t>ヒッパリ</t>
    </rPh>
    <rPh sb="2" eb="3">
      <t>ガワ</t>
    </rPh>
    <rPh sb="3" eb="5">
      <t>ユウコウ</t>
    </rPh>
    <rPh sb="5" eb="7">
      <t>ダンメン</t>
    </rPh>
    <rPh sb="7" eb="8">
      <t>リツ</t>
    </rPh>
    <phoneticPr fontId="1"/>
  </si>
  <si>
    <t>V11</t>
    <phoneticPr fontId="1"/>
  </si>
  <si>
    <t>V12</t>
    <phoneticPr fontId="1"/>
  </si>
  <si>
    <t>のど厚（両側）
[mm]</t>
    <rPh sb="4" eb="6">
      <t>リョウガワ</t>
    </rPh>
    <phoneticPr fontId="1"/>
  </si>
  <si>
    <t>G70</t>
    <phoneticPr fontId="1"/>
  </si>
  <si>
    <t>G49</t>
    <phoneticPr fontId="1"/>
  </si>
  <si>
    <t>G34B</t>
    <phoneticPr fontId="1"/>
  </si>
  <si>
    <t>G39B</t>
    <phoneticPr fontId="1"/>
  </si>
  <si>
    <t>G24B</t>
    <phoneticPr fontId="1"/>
  </si>
  <si>
    <t>最大せん断耐力（1面）</t>
    <rPh sb="0" eb="2">
      <t>サイダイ</t>
    </rPh>
    <rPh sb="4" eb="5">
      <t>ダン</t>
    </rPh>
    <rPh sb="5" eb="7">
      <t>タイリョク</t>
    </rPh>
    <rPh sb="9" eb="10">
      <t>メン</t>
    </rPh>
    <phoneticPr fontId="1"/>
  </si>
  <si>
    <t>設計軸力
[kN]</t>
    <rPh sb="0" eb="2">
      <t>セッケイ</t>
    </rPh>
    <rPh sb="2" eb="3">
      <t>ジク</t>
    </rPh>
    <rPh sb="3" eb="4">
      <t>リョク</t>
    </rPh>
    <phoneticPr fontId="1"/>
  </si>
  <si>
    <t>断面</t>
    <rPh sb="0" eb="2">
      <t>ダンメン</t>
    </rPh>
    <phoneticPr fontId="1"/>
  </si>
  <si>
    <t>使用ボルト</t>
    <rPh sb="0" eb="2">
      <t>シヨウ</t>
    </rPh>
    <phoneticPr fontId="1"/>
  </si>
  <si>
    <t>引張側有効断面積
[cm2]</t>
    <rPh sb="0" eb="2">
      <t>ヒッパリ</t>
    </rPh>
    <rPh sb="2" eb="3">
      <t>ガワ</t>
    </rPh>
    <rPh sb="3" eb="5">
      <t>ユウコウ</t>
    </rPh>
    <phoneticPr fontId="1"/>
  </si>
  <si>
    <t>断面2次半径
[cm]</t>
    <rPh sb="0" eb="2">
      <t>ダンメン</t>
    </rPh>
    <rPh sb="3" eb="4">
      <t>ツギ</t>
    </rPh>
    <rPh sb="4" eb="6">
      <t>ハンケイ</t>
    </rPh>
    <rPh sb="5" eb="6">
      <t>ケイ</t>
    </rPh>
    <phoneticPr fontId="1"/>
  </si>
  <si>
    <t>許容応力度設計時
設計軸力
[kN]</t>
    <rPh sb="0" eb="2">
      <t>キョヨウ</t>
    </rPh>
    <rPh sb="2" eb="4">
      <t>オウリョク</t>
    </rPh>
    <rPh sb="4" eb="5">
      <t>ド</t>
    </rPh>
    <rPh sb="5" eb="8">
      <t>セッケイジ</t>
    </rPh>
    <rPh sb="9" eb="11">
      <t>セッケイ</t>
    </rPh>
    <rPh sb="11" eb="12">
      <t>ジク</t>
    </rPh>
    <rPh sb="12" eb="13">
      <t>リョク</t>
    </rPh>
    <phoneticPr fontId="1"/>
  </si>
  <si>
    <t>ブレース材全断面
降伏軸力
[kN]</t>
    <rPh sb="5" eb="6">
      <t>ゼン</t>
    </rPh>
    <rPh sb="6" eb="8">
      <t>ダンメン</t>
    </rPh>
    <rPh sb="9" eb="11">
      <t>コウフク</t>
    </rPh>
    <rPh sb="11" eb="12">
      <t>ジク</t>
    </rPh>
    <rPh sb="12" eb="13">
      <t>リョク</t>
    </rPh>
    <phoneticPr fontId="1"/>
  </si>
  <si>
    <t>保有耐力接合検討時
設計軸力
[kN]</t>
    <rPh sb="0" eb="2">
      <t>ホユウ</t>
    </rPh>
    <rPh sb="2" eb="4">
      <t>タイリョク</t>
    </rPh>
    <rPh sb="4" eb="6">
      <t>セツゴウ</t>
    </rPh>
    <rPh sb="6" eb="8">
      <t>ケントウ</t>
    </rPh>
    <rPh sb="8" eb="9">
      <t>ジ</t>
    </rPh>
    <rPh sb="10" eb="12">
      <t>セッケイ</t>
    </rPh>
    <rPh sb="12" eb="13">
      <t>ジク</t>
    </rPh>
    <rPh sb="13" eb="14">
      <t>リョク</t>
    </rPh>
    <phoneticPr fontId="1"/>
  </si>
  <si>
    <t>HV1</t>
    <phoneticPr fontId="1"/>
  </si>
  <si>
    <t>HV2</t>
    <phoneticPr fontId="1"/>
  </si>
  <si>
    <t>TB-M22</t>
    <phoneticPr fontId="1"/>
  </si>
  <si>
    <t>1-M22(S10T)</t>
    <phoneticPr fontId="1"/>
  </si>
  <si>
    <t>-</t>
    <phoneticPr fontId="1"/>
  </si>
  <si>
    <t>L-90x90x10</t>
    <phoneticPr fontId="1"/>
  </si>
  <si>
    <t>5-M20(S10T)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</si>
</sst>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 x14ac:knownFonts="1"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  <font>
      <sz val="10"/>
      <color theme="1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name val="游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  <font>
      <sz val="10"/>
      <color theme="4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1" fontId="2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2" fillId="2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7" fontId="7" fillId="0" borderId="2" xfId="0" applyNumberFormat="1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4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wrapText="1"/>
    </xf>
    <xf numFmtId="2" fontId="3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9DBE-FFD1-4100-A239-982A73A53C23}">
  <dimension ref="A1:Q7"/>
  <sheetViews>
    <sheetView zoomScale="130" zoomScaleNormal="190" workbookViewId="0">
      <selection activeCell="G3" sqref="G3"/>
    </sheetView>
  </sheetViews>
  <sheetFormatPr defaultColWidth="12.7109375" defaultRowHeight="15.95" customHeight="1" x14ac:dyDescent="0.35"/>
  <cols>
    <col min="1" max="6" width="12.7109375" style="55"/>
    <col min="7" max="7" width="15.42578125" style="55" bestFit="1" customWidth="1"/>
    <col min="8" max="16384" width="12.7109375" style="55"/>
  </cols>
  <sheetData>
    <row r="1" spans="1:17" ht="49.5" x14ac:dyDescent="0.35">
      <c r="A1" s="56" t="s">
        <v>1</v>
      </c>
      <c r="B1" s="56"/>
      <c r="C1" s="56"/>
      <c r="D1" s="56"/>
      <c r="E1" s="56" t="s">
        <v>75</v>
      </c>
      <c r="F1" s="56" t="s">
        <v>7</v>
      </c>
      <c r="G1" s="56" t="s">
        <v>76</v>
      </c>
      <c r="H1" s="57" t="s">
        <v>77</v>
      </c>
      <c r="I1" s="57"/>
      <c r="J1" s="57" t="s">
        <v>78</v>
      </c>
      <c r="L1" s="22" t="str">
        <f>A1</f>
        <v>符号</v>
      </c>
      <c r="M1" s="22" t="str">
        <f>E1</f>
        <v>断面</v>
      </c>
      <c r="N1" s="22" t="str">
        <f>F1</f>
        <v>断面積
[cm2]</v>
      </c>
      <c r="O1" s="22" t="str">
        <f>G1</f>
        <v>使用ボルト</v>
      </c>
      <c r="P1" s="22" t="str">
        <f>H1</f>
        <v>引張側有効断面積
[cm2]</v>
      </c>
      <c r="Q1" s="22" t="str">
        <f t="shared" ref="Q1:Q7" si="0">J1</f>
        <v>断面2次半径
[cm]</v>
      </c>
    </row>
    <row r="2" spans="1:17" ht="15.95" customHeight="1" x14ac:dyDescent="0.35">
      <c r="A2" s="8" t="s">
        <v>82</v>
      </c>
      <c r="B2" s="8"/>
      <c r="C2" s="8"/>
      <c r="D2" s="8"/>
      <c r="E2" s="37" t="s">
        <v>87</v>
      </c>
      <c r="F2" s="37">
        <v>17</v>
      </c>
      <c r="G2" s="18" t="s">
        <v>88</v>
      </c>
      <c r="H2" s="37">
        <f t="shared" ref="H2:H7" si="1">F2</f>
        <v>17</v>
      </c>
      <c r="I2" s="36">
        <f>D2*(B2*C2)^3/12/10000</f>
        <v>0</v>
      </c>
      <c r="J2" s="33">
        <f>SQRT(I2/F2)</f>
        <v>0</v>
      </c>
      <c r="L2" s="18" t="str">
        <f t="shared" ref="L2:L7" si="2">A2</f>
        <v>HV1</v>
      </c>
      <c r="M2" s="18" t="str">
        <f t="shared" ref="M2:O7" si="3">E2</f>
        <v>L-90x90x10</v>
      </c>
      <c r="N2" s="18">
        <f t="shared" si="3"/>
        <v>17</v>
      </c>
      <c r="O2" s="18" t="str">
        <f t="shared" si="3"/>
        <v>5-M20(S10T)</v>
      </c>
      <c r="P2" s="18" t="str">
        <f>H2&amp;" (100%)"</f>
        <v>17 (100%)</v>
      </c>
      <c r="Q2" s="58">
        <f t="shared" si="0"/>
        <v>0</v>
      </c>
    </row>
    <row r="3" spans="1:17" ht="15.95" customHeight="1" x14ac:dyDescent="0.35">
      <c r="A3" s="8" t="s">
        <v>83</v>
      </c>
      <c r="B3" s="8"/>
      <c r="C3" s="8"/>
      <c r="D3" s="8"/>
      <c r="E3" s="37" t="s">
        <v>84</v>
      </c>
      <c r="F3" s="37">
        <f t="shared" ref="F3" si="4">B3*C3*D3/100</f>
        <v>0</v>
      </c>
      <c r="G3" s="18" t="s">
        <v>85</v>
      </c>
      <c r="H3" s="37">
        <f t="shared" si="1"/>
        <v>0</v>
      </c>
      <c r="I3" s="36">
        <f t="shared" ref="I3:I7" si="5">D3*(B3*C3)^3/12/10000</f>
        <v>0</v>
      </c>
      <c r="J3" s="33" t="e">
        <f t="shared" ref="J3:J7" si="6">SQRT(I3/F3)</f>
        <v>#DIV/0!</v>
      </c>
      <c r="L3" s="18" t="str">
        <f t="shared" si="2"/>
        <v>HV2</v>
      </c>
      <c r="M3" s="18" t="str">
        <f t="shared" si="3"/>
        <v>TB-M22</v>
      </c>
      <c r="N3" s="18">
        <f t="shared" si="3"/>
        <v>0</v>
      </c>
      <c r="O3" s="18" t="str">
        <f t="shared" si="3"/>
        <v>1-M22(S10T)</v>
      </c>
      <c r="P3" s="18" t="str">
        <f t="shared" ref="P3:P7" si="7">H3&amp;" (100%)"</f>
        <v>0 (100%)</v>
      </c>
      <c r="Q3" s="58" t="e">
        <f t="shared" si="0"/>
        <v>#DIV/0!</v>
      </c>
    </row>
    <row r="4" spans="1:17" ht="15.95" customHeight="1" x14ac:dyDescent="0.35">
      <c r="A4" s="8"/>
      <c r="B4" s="8"/>
      <c r="C4" s="8"/>
      <c r="D4" s="8"/>
      <c r="E4" s="37"/>
      <c r="F4" s="37"/>
      <c r="G4" s="18"/>
      <c r="H4" s="37">
        <f t="shared" si="1"/>
        <v>0</v>
      </c>
      <c r="I4" s="36">
        <f t="shared" si="5"/>
        <v>0</v>
      </c>
      <c r="J4" s="33" t="e">
        <f t="shared" si="6"/>
        <v>#DIV/0!</v>
      </c>
      <c r="L4" s="18">
        <f t="shared" si="2"/>
        <v>0</v>
      </c>
      <c r="M4" s="18">
        <f t="shared" si="3"/>
        <v>0</v>
      </c>
      <c r="N4" s="18">
        <f t="shared" si="3"/>
        <v>0</v>
      </c>
      <c r="O4" s="18">
        <f t="shared" si="3"/>
        <v>0</v>
      </c>
      <c r="P4" s="18" t="str">
        <f t="shared" si="7"/>
        <v>0 (100%)</v>
      </c>
      <c r="Q4" s="58" t="e">
        <f t="shared" si="0"/>
        <v>#DIV/0!</v>
      </c>
    </row>
    <row r="5" spans="1:17" ht="15.95" customHeight="1" x14ac:dyDescent="0.35">
      <c r="A5" s="8"/>
      <c r="B5" s="8"/>
      <c r="C5" s="8"/>
      <c r="D5" s="8"/>
      <c r="E5" s="37"/>
      <c r="F5" s="37"/>
      <c r="G5" s="18"/>
      <c r="H5" s="37">
        <f t="shared" si="1"/>
        <v>0</v>
      </c>
      <c r="I5" s="36">
        <f t="shared" si="5"/>
        <v>0</v>
      </c>
      <c r="J5" s="33" t="e">
        <f t="shared" si="6"/>
        <v>#DIV/0!</v>
      </c>
      <c r="L5" s="18">
        <f t="shared" si="2"/>
        <v>0</v>
      </c>
      <c r="M5" s="18">
        <f t="shared" si="3"/>
        <v>0</v>
      </c>
      <c r="N5" s="18">
        <f t="shared" si="3"/>
        <v>0</v>
      </c>
      <c r="O5" s="18">
        <f t="shared" si="3"/>
        <v>0</v>
      </c>
      <c r="P5" s="18" t="str">
        <f t="shared" si="7"/>
        <v>0 (100%)</v>
      </c>
      <c r="Q5" s="58" t="e">
        <f t="shared" si="0"/>
        <v>#DIV/0!</v>
      </c>
    </row>
    <row r="6" spans="1:17" ht="15.95" customHeight="1" x14ac:dyDescent="0.35">
      <c r="A6" s="8"/>
      <c r="B6" s="8"/>
      <c r="C6" s="8"/>
      <c r="D6" s="8"/>
      <c r="E6" s="37"/>
      <c r="F6" s="37"/>
      <c r="G6" s="18"/>
      <c r="H6" s="37">
        <f t="shared" si="1"/>
        <v>0</v>
      </c>
      <c r="I6" s="36">
        <f t="shared" si="5"/>
        <v>0</v>
      </c>
      <c r="J6" s="33" t="e">
        <f t="shared" si="6"/>
        <v>#DIV/0!</v>
      </c>
      <c r="L6" s="18">
        <f t="shared" si="2"/>
        <v>0</v>
      </c>
      <c r="M6" s="18">
        <f t="shared" si="3"/>
        <v>0</v>
      </c>
      <c r="N6" s="18">
        <f t="shared" si="3"/>
        <v>0</v>
      </c>
      <c r="O6" s="18">
        <f t="shared" si="3"/>
        <v>0</v>
      </c>
      <c r="P6" s="18" t="str">
        <f t="shared" si="7"/>
        <v>0 (100%)</v>
      </c>
      <c r="Q6" s="58" t="e">
        <f t="shared" si="0"/>
        <v>#DIV/0!</v>
      </c>
    </row>
    <row r="7" spans="1:17" ht="15.95" customHeight="1" x14ac:dyDescent="0.35">
      <c r="A7" s="8"/>
      <c r="B7" s="8"/>
      <c r="C7" s="8"/>
      <c r="D7" s="8"/>
      <c r="E7" s="37"/>
      <c r="F7" s="37"/>
      <c r="G7" s="18"/>
      <c r="H7" s="37">
        <f t="shared" si="1"/>
        <v>0</v>
      </c>
      <c r="I7" s="36">
        <f t="shared" si="5"/>
        <v>0</v>
      </c>
      <c r="J7" s="33" t="e">
        <f t="shared" si="6"/>
        <v>#DIV/0!</v>
      </c>
      <c r="L7" s="18">
        <f t="shared" si="2"/>
        <v>0</v>
      </c>
      <c r="M7" s="18">
        <f t="shared" si="3"/>
        <v>0</v>
      </c>
      <c r="N7" s="18">
        <f t="shared" si="3"/>
        <v>0</v>
      </c>
      <c r="O7" s="18">
        <f t="shared" si="3"/>
        <v>0</v>
      </c>
      <c r="P7" s="18" t="str">
        <f t="shared" si="7"/>
        <v>0 (100%)</v>
      </c>
      <c r="Q7" s="58" t="e">
        <f t="shared" si="0"/>
        <v>#DIV/0!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AFE0-36E2-4B55-AFE7-9FD7B71A8516}">
  <dimension ref="A1:G7"/>
  <sheetViews>
    <sheetView zoomScale="190" zoomScaleNormal="190" workbookViewId="0">
      <selection activeCell="E2" sqref="E2"/>
    </sheetView>
  </sheetViews>
  <sheetFormatPr defaultColWidth="12.7109375" defaultRowHeight="15.95" customHeight="1" x14ac:dyDescent="0.2"/>
  <sheetData>
    <row r="1" spans="1:7" ht="15.95" customHeight="1" x14ac:dyDescent="0.35">
      <c r="A1" s="3" t="s">
        <v>1</v>
      </c>
      <c r="B1" s="13" t="s">
        <v>74</v>
      </c>
      <c r="C1" s="3" t="s">
        <v>42</v>
      </c>
      <c r="D1" s="3" t="s">
        <v>43</v>
      </c>
      <c r="E1" s="3" t="s">
        <v>44</v>
      </c>
      <c r="F1" s="3" t="s">
        <v>5</v>
      </c>
      <c r="G1" s="3" t="s">
        <v>6</v>
      </c>
    </row>
    <row r="2" spans="1:7" ht="15.95" customHeight="1" x14ac:dyDescent="0.35">
      <c r="A2" s="31" t="str">
        <f>Nd!A2</f>
        <v>HV1</v>
      </c>
      <c r="B2" s="36">
        <f>Nd!H2</f>
        <v>479.4</v>
      </c>
      <c r="C2" s="39">
        <f>Nd!B2*Nd!C2</f>
        <v>12.55</v>
      </c>
      <c r="D2" s="4">
        <v>400</v>
      </c>
      <c r="E2" s="29">
        <f t="shared" ref="E2:E7" si="0">D2*C2*100/1000</f>
        <v>502</v>
      </c>
      <c r="F2" s="32">
        <f>B2/E2</f>
        <v>0.95498007968127485</v>
      </c>
      <c r="G2" s="4" t="str">
        <f t="shared" ref="G2:G7" si="1">IF(F2&lt;1, "OK", "NG")</f>
        <v>OK</v>
      </c>
    </row>
    <row r="3" spans="1:7" ht="15.95" customHeight="1" x14ac:dyDescent="0.35">
      <c r="A3" s="31" t="str">
        <f>Nd!A3</f>
        <v>HV2</v>
      </c>
      <c r="B3" s="36">
        <f>Nd!H3</f>
        <v>153.6</v>
      </c>
      <c r="C3" s="39" t="s">
        <v>86</v>
      </c>
      <c r="D3" s="4">
        <v>400</v>
      </c>
      <c r="E3" s="29" t="e">
        <f t="shared" si="0"/>
        <v>#VALUE!</v>
      </c>
      <c r="F3" s="32" t="e">
        <f t="shared" ref="F3:F7" si="2">B3/E3</f>
        <v>#VALUE!</v>
      </c>
      <c r="G3" s="4" t="e">
        <f t="shared" si="1"/>
        <v>#VALUE!</v>
      </c>
    </row>
    <row r="4" spans="1:7" ht="15.95" customHeight="1" x14ac:dyDescent="0.35">
      <c r="A4" s="31">
        <f>Nd!A4</f>
        <v>0</v>
      </c>
      <c r="B4" s="36">
        <f>Nd!H4</f>
        <v>0</v>
      </c>
      <c r="C4" s="39"/>
      <c r="D4" s="4">
        <v>590</v>
      </c>
      <c r="E4" s="29">
        <f t="shared" si="0"/>
        <v>0</v>
      </c>
      <c r="F4" s="32" t="e">
        <f t="shared" si="2"/>
        <v>#DIV/0!</v>
      </c>
      <c r="G4" s="4" t="e">
        <f t="shared" si="1"/>
        <v>#DIV/0!</v>
      </c>
    </row>
    <row r="5" spans="1:7" ht="15.95" customHeight="1" x14ac:dyDescent="0.35">
      <c r="A5" s="31">
        <f>Nd!A5</f>
        <v>0</v>
      </c>
      <c r="B5" s="36">
        <f>Nd!H5</f>
        <v>0</v>
      </c>
      <c r="C5" s="39"/>
      <c r="D5" s="4">
        <v>490</v>
      </c>
      <c r="E5" s="29">
        <f t="shared" si="0"/>
        <v>0</v>
      </c>
      <c r="F5" s="32" t="e">
        <f t="shared" si="2"/>
        <v>#DIV/0!</v>
      </c>
      <c r="G5" s="4" t="e">
        <f t="shared" si="1"/>
        <v>#DIV/0!</v>
      </c>
    </row>
    <row r="6" spans="1:7" ht="15.95" customHeight="1" x14ac:dyDescent="0.35">
      <c r="A6" s="31">
        <f>Nd!A6</f>
        <v>0</v>
      </c>
      <c r="B6" s="36">
        <f>Nd!H6</f>
        <v>0</v>
      </c>
      <c r="C6" s="39"/>
      <c r="D6" s="4">
        <v>490</v>
      </c>
      <c r="E6" s="29">
        <f t="shared" si="0"/>
        <v>0</v>
      </c>
      <c r="F6" s="32" t="e">
        <f t="shared" si="2"/>
        <v>#DIV/0!</v>
      </c>
      <c r="G6" s="4" t="e">
        <f t="shared" si="1"/>
        <v>#DIV/0!</v>
      </c>
    </row>
    <row r="7" spans="1:7" ht="15.95" customHeight="1" x14ac:dyDescent="0.35">
      <c r="A7" s="31">
        <f>Nd!A7</f>
        <v>0</v>
      </c>
      <c r="B7" s="36">
        <f>Nd!H7</f>
        <v>0</v>
      </c>
      <c r="C7" s="39"/>
      <c r="D7" s="4">
        <v>490</v>
      </c>
      <c r="E7" s="29">
        <f t="shared" si="0"/>
        <v>0</v>
      </c>
      <c r="F7" s="32" t="e">
        <f t="shared" si="2"/>
        <v>#DIV/0!</v>
      </c>
      <c r="G7" s="4" t="e">
        <f t="shared" si="1"/>
        <v>#DIV/0!</v>
      </c>
    </row>
  </sheetData>
  <phoneticPr fontId="1"/>
  <conditionalFormatting sqref="G2:G7">
    <cfRule type="containsText" dxfId="5" priority="1" operator="containsText" text="NG">
      <formula>NOT(ISERROR(SEARCH("NG",G2)))</formula>
    </cfRule>
    <cfRule type="containsText" dxfId="4" priority="2" operator="containsText" text="OK">
      <formula>NOT(ISERROR(SEARCH("OK",G2)))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398-6CF2-4EBF-96C2-DCF768B2B1B6}">
  <dimension ref="A1:D2"/>
  <sheetViews>
    <sheetView zoomScale="190" zoomScaleNormal="190" workbookViewId="0">
      <selection activeCell="B3" sqref="B3"/>
    </sheetView>
  </sheetViews>
  <sheetFormatPr defaultColWidth="12.7109375" defaultRowHeight="15.95" customHeight="1" x14ac:dyDescent="0.2"/>
  <sheetData>
    <row r="1" spans="1:4" ht="15.95" customHeight="1" x14ac:dyDescent="0.35">
      <c r="A1" s="3" t="s">
        <v>1</v>
      </c>
      <c r="B1" s="3" t="s">
        <v>2</v>
      </c>
      <c r="C1" s="13" t="s">
        <v>47</v>
      </c>
      <c r="D1" s="7" t="s">
        <v>6</v>
      </c>
    </row>
    <row r="2" spans="1:4" ht="15.95" customHeight="1" x14ac:dyDescent="0.35">
      <c r="A2" s="8"/>
      <c r="B2" s="5">
        <f>bolt_y!B6</f>
        <v>0</v>
      </c>
      <c r="C2" s="9">
        <f>2*832</f>
        <v>1664</v>
      </c>
      <c r="D2" s="8" t="str">
        <f>IF(C2&gt;B2, "OK", "NG")</f>
        <v>OK</v>
      </c>
    </row>
  </sheetData>
  <phoneticPr fontId="1"/>
  <conditionalFormatting sqref="D2">
    <cfRule type="containsText" dxfId="3" priority="1" operator="containsText" text="NG">
      <formula>NOT(ISERROR(SEARCH("NG",D2)))</formula>
    </cfRule>
    <cfRule type="containsText" dxfId="2" priority="2" operator="containsText" text="OK">
      <formula>NOT(ISERROR(SEARCH("OK",D2)))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53CC-09AC-45BB-8500-1B2245768137}">
  <dimension ref="A1:F2"/>
  <sheetViews>
    <sheetView zoomScale="190" zoomScaleNormal="190" workbookViewId="0">
      <selection activeCell="C6" sqref="C6"/>
    </sheetView>
  </sheetViews>
  <sheetFormatPr defaultColWidth="12.7109375" defaultRowHeight="15.95" customHeight="1" x14ac:dyDescent="0.2"/>
  <sheetData>
    <row r="1" spans="1:6" ht="15.95" customHeight="1" x14ac:dyDescent="0.35">
      <c r="A1" s="3" t="s">
        <v>1</v>
      </c>
      <c r="B1" s="3" t="s">
        <v>33</v>
      </c>
      <c r="C1" s="3" t="s">
        <v>34</v>
      </c>
      <c r="D1" s="26" t="s">
        <v>48</v>
      </c>
      <c r="E1" s="3" t="s">
        <v>5</v>
      </c>
      <c r="F1" s="3" t="s">
        <v>6</v>
      </c>
    </row>
    <row r="2" spans="1:6" ht="15.95" customHeight="1" x14ac:dyDescent="0.35">
      <c r="A2" s="8"/>
      <c r="B2" s="5">
        <f>Nd!F$6</f>
        <v>0</v>
      </c>
      <c r="C2" s="4">
        <v>1.2</v>
      </c>
      <c r="D2" s="5">
        <f>2*1254</f>
        <v>2508</v>
      </c>
      <c r="E2" s="6">
        <f>Nd!H6/D2</f>
        <v>0</v>
      </c>
      <c r="F2" s="4" t="str">
        <f>IF(E2&lt;1, "OK", "NG")</f>
        <v>OK</v>
      </c>
    </row>
  </sheetData>
  <phoneticPr fontId="1"/>
  <conditionalFormatting sqref="F2">
    <cfRule type="containsText" dxfId="1" priority="1" operator="containsText" text="NG">
      <formula>NOT(ISERROR(SEARCH("NG",F2)))</formula>
    </cfRule>
    <cfRule type="containsText" dxfId="0" priority="2" operator="containsText" text="OK">
      <formula>NOT(ISERROR(SEARCH("OK",F2)))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9B56-E6A2-4339-8D9B-E2F8C2594B5B}">
  <dimension ref="A1:E15"/>
  <sheetViews>
    <sheetView zoomScale="175" zoomScaleNormal="175" workbookViewId="0">
      <selection activeCell="D19" sqref="D19"/>
    </sheetView>
  </sheetViews>
  <sheetFormatPr defaultRowHeight="12.75" x14ac:dyDescent="0.2"/>
  <cols>
    <col min="3" max="3" width="10.140625" bestFit="1" customWidth="1"/>
    <col min="4" max="4" width="22.7109375" bestFit="1" customWidth="1"/>
    <col min="5" max="5" width="20.5703125" bestFit="1" customWidth="1"/>
  </cols>
  <sheetData>
    <row r="1" spans="1:5" x14ac:dyDescent="0.2">
      <c r="A1" s="40" t="s">
        <v>59</v>
      </c>
      <c r="B1" s="41" t="s">
        <v>62</v>
      </c>
      <c r="C1" s="41"/>
      <c r="D1" s="41" t="s">
        <v>63</v>
      </c>
      <c r="E1" s="42" t="s">
        <v>73</v>
      </c>
    </row>
    <row r="2" spans="1:5" x14ac:dyDescent="0.2">
      <c r="A2" s="43" t="s">
        <v>50</v>
      </c>
      <c r="B2" s="44" t="s">
        <v>52</v>
      </c>
      <c r="C2" s="44" t="str">
        <f>A2&amp;B2</f>
        <v>F8TM12</v>
      </c>
      <c r="D2" s="45">
        <v>12.1</v>
      </c>
      <c r="E2" s="46">
        <v>54.2</v>
      </c>
    </row>
    <row r="3" spans="1:5" x14ac:dyDescent="0.2">
      <c r="A3" s="47" t="s">
        <v>50</v>
      </c>
      <c r="B3" s="48" t="s">
        <v>53</v>
      </c>
      <c r="C3" s="48" t="str">
        <f t="shared" ref="C3:C15" si="0">A3&amp;B3</f>
        <v>F8TM16</v>
      </c>
      <c r="D3" s="49">
        <v>21.4</v>
      </c>
      <c r="E3" s="50">
        <v>96.5</v>
      </c>
    </row>
    <row r="4" spans="1:5" x14ac:dyDescent="0.2">
      <c r="A4" s="47" t="s">
        <v>50</v>
      </c>
      <c r="B4" s="48" t="s">
        <v>54</v>
      </c>
      <c r="C4" s="48" t="str">
        <f t="shared" si="0"/>
        <v>F8TM20</v>
      </c>
      <c r="D4" s="49">
        <v>33.5</v>
      </c>
      <c r="E4" s="50">
        <v>151</v>
      </c>
    </row>
    <row r="5" spans="1:5" x14ac:dyDescent="0.2">
      <c r="A5" s="47" t="s">
        <v>50</v>
      </c>
      <c r="B5" s="48" t="s">
        <v>51</v>
      </c>
      <c r="C5" s="48" t="str">
        <f t="shared" si="0"/>
        <v>F8TM22</v>
      </c>
      <c r="D5" s="49">
        <v>40.5</v>
      </c>
      <c r="E5" s="50">
        <v>182</v>
      </c>
    </row>
    <row r="6" spans="1:5" x14ac:dyDescent="0.2">
      <c r="A6" s="47" t="s">
        <v>50</v>
      </c>
      <c r="B6" s="48" t="s">
        <v>55</v>
      </c>
      <c r="C6" s="48" t="str">
        <f t="shared" si="0"/>
        <v>F8TM24</v>
      </c>
      <c r="D6" s="49">
        <v>48.2</v>
      </c>
      <c r="E6" s="50">
        <v>217</v>
      </c>
    </row>
    <row r="7" spans="1:5" x14ac:dyDescent="0.2">
      <c r="A7" s="47" t="s">
        <v>50</v>
      </c>
      <c r="B7" s="48" t="s">
        <v>56</v>
      </c>
      <c r="C7" s="48" t="str">
        <f t="shared" si="0"/>
        <v>F8TM27</v>
      </c>
      <c r="D7" s="49">
        <v>61</v>
      </c>
      <c r="E7" s="50">
        <v>274</v>
      </c>
    </row>
    <row r="8" spans="1:5" x14ac:dyDescent="0.2">
      <c r="A8" s="51" t="s">
        <v>50</v>
      </c>
      <c r="B8" s="52" t="s">
        <v>57</v>
      </c>
      <c r="C8" s="52" t="str">
        <f t="shared" si="0"/>
        <v>F8TM30</v>
      </c>
      <c r="D8" s="53">
        <v>75.400000000000006</v>
      </c>
      <c r="E8" s="54">
        <v>339</v>
      </c>
    </row>
    <row r="9" spans="1:5" x14ac:dyDescent="0.2">
      <c r="A9" s="43" t="s">
        <v>58</v>
      </c>
      <c r="B9" s="44" t="s">
        <v>52</v>
      </c>
      <c r="C9" s="44" t="str">
        <f t="shared" si="0"/>
        <v>S10TM12</v>
      </c>
      <c r="D9" s="45">
        <v>17</v>
      </c>
      <c r="E9" s="46">
        <v>67.900000000000006</v>
      </c>
    </row>
    <row r="10" spans="1:5" x14ac:dyDescent="0.2">
      <c r="A10" s="47" t="s">
        <v>58</v>
      </c>
      <c r="B10" s="48" t="s">
        <v>53</v>
      </c>
      <c r="C10" s="48" t="str">
        <f t="shared" si="0"/>
        <v>S10TM16</v>
      </c>
      <c r="D10" s="49">
        <v>30.2</v>
      </c>
      <c r="E10" s="50">
        <v>121</v>
      </c>
    </row>
    <row r="11" spans="1:5" x14ac:dyDescent="0.2">
      <c r="A11" s="47" t="s">
        <v>58</v>
      </c>
      <c r="B11" s="48" t="s">
        <v>54</v>
      </c>
      <c r="C11" s="48" t="str">
        <f t="shared" si="0"/>
        <v>S10TM20</v>
      </c>
      <c r="D11" s="49">
        <v>47.1</v>
      </c>
      <c r="E11" s="50">
        <v>188</v>
      </c>
    </row>
    <row r="12" spans="1:5" x14ac:dyDescent="0.2">
      <c r="A12" s="47" t="s">
        <v>58</v>
      </c>
      <c r="B12" s="48" t="s">
        <v>51</v>
      </c>
      <c r="C12" s="48" t="str">
        <f t="shared" si="0"/>
        <v>S10TM22</v>
      </c>
      <c r="D12" s="49">
        <v>57</v>
      </c>
      <c r="E12" s="50">
        <v>228</v>
      </c>
    </row>
    <row r="13" spans="1:5" x14ac:dyDescent="0.2">
      <c r="A13" s="47" t="s">
        <v>58</v>
      </c>
      <c r="B13" s="48" t="s">
        <v>55</v>
      </c>
      <c r="C13" s="48" t="str">
        <f t="shared" si="0"/>
        <v>S10TM24</v>
      </c>
      <c r="D13" s="49">
        <v>67.900000000000006</v>
      </c>
      <c r="E13" s="50">
        <v>271</v>
      </c>
    </row>
    <row r="14" spans="1:5" x14ac:dyDescent="0.2">
      <c r="A14" s="47" t="s">
        <v>58</v>
      </c>
      <c r="B14" s="48" t="s">
        <v>56</v>
      </c>
      <c r="C14" s="48" t="str">
        <f t="shared" si="0"/>
        <v>S10TM27</v>
      </c>
      <c r="D14" s="49">
        <v>85.9</v>
      </c>
      <c r="E14" s="50">
        <v>343</v>
      </c>
    </row>
    <row r="15" spans="1:5" x14ac:dyDescent="0.2">
      <c r="A15" s="51" t="s">
        <v>58</v>
      </c>
      <c r="B15" s="52" t="s">
        <v>57</v>
      </c>
      <c r="C15" s="52" t="str">
        <f t="shared" si="0"/>
        <v>S10TM30</v>
      </c>
      <c r="D15" s="53">
        <v>106</v>
      </c>
      <c r="E15" s="54">
        <v>424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F469-DE1B-4FCA-B9FC-D097C1860EA9}">
  <dimension ref="A1:H7"/>
  <sheetViews>
    <sheetView zoomScale="160" zoomScaleNormal="160" workbookViewId="0">
      <selection activeCell="A2" sqref="A2:H2"/>
    </sheetView>
  </sheetViews>
  <sheetFormatPr defaultColWidth="12.7109375" defaultRowHeight="15.95" customHeight="1" x14ac:dyDescent="0.2"/>
  <sheetData>
    <row r="1" spans="1:8" ht="66" x14ac:dyDescent="0.35">
      <c r="A1" s="3" t="s">
        <v>1</v>
      </c>
      <c r="B1" s="3" t="s">
        <v>7</v>
      </c>
      <c r="C1" s="3" t="s">
        <v>64</v>
      </c>
      <c r="D1" s="3" t="s">
        <v>8</v>
      </c>
      <c r="E1" s="26" t="s">
        <v>79</v>
      </c>
      <c r="F1" s="26" t="s">
        <v>80</v>
      </c>
      <c r="G1" s="3" t="s">
        <v>34</v>
      </c>
      <c r="H1" s="26" t="s">
        <v>81</v>
      </c>
    </row>
    <row r="2" spans="1:8" ht="15.95" customHeight="1" x14ac:dyDescent="0.35">
      <c r="A2" s="4" t="s">
        <v>82</v>
      </c>
      <c r="B2" s="4">
        <f>i!F2</f>
        <v>17</v>
      </c>
      <c r="C2" s="61">
        <f>(B2*100-0.25*90*10-22*10)/B2/100</f>
        <v>0.7382352941176471</v>
      </c>
      <c r="D2" s="4">
        <v>235</v>
      </c>
      <c r="E2" s="29">
        <f>B2*100*C2*D2/1000</f>
        <v>294.92500000000001</v>
      </c>
      <c r="F2" s="29">
        <f t="shared" ref="F2:F7" si="0">B2*100*D2/1000</f>
        <v>399.5</v>
      </c>
      <c r="G2" s="4">
        <v>1.2</v>
      </c>
      <c r="H2" s="29">
        <f t="shared" ref="H2:H7" si="1">G2*F2</f>
        <v>479.4</v>
      </c>
    </row>
    <row r="3" spans="1:8" ht="15.95" customHeight="1" x14ac:dyDescent="0.35">
      <c r="A3" s="4" t="s">
        <v>83</v>
      </c>
      <c r="B3" s="4" t="s">
        <v>86</v>
      </c>
      <c r="C3" s="5" t="s">
        <v>86</v>
      </c>
      <c r="D3" s="4">
        <v>235</v>
      </c>
      <c r="E3" s="29">
        <v>74.7</v>
      </c>
      <c r="F3" s="29">
        <v>128</v>
      </c>
      <c r="G3" s="4">
        <v>1.2</v>
      </c>
      <c r="H3" s="29">
        <f t="shared" si="1"/>
        <v>153.6</v>
      </c>
    </row>
    <row r="4" spans="1:8" ht="15.95" customHeight="1" x14ac:dyDescent="0.35">
      <c r="A4" s="4"/>
      <c r="B4" s="17"/>
      <c r="C4" s="59"/>
      <c r="D4" s="4"/>
      <c r="E4" s="29">
        <f t="shared" ref="E4:E7" si="2">B4*100*C4*D4/1000</f>
        <v>0</v>
      </c>
      <c r="F4" s="29">
        <f t="shared" si="0"/>
        <v>0</v>
      </c>
      <c r="G4" s="4">
        <v>1.2</v>
      </c>
      <c r="H4" s="29">
        <f t="shared" si="1"/>
        <v>0</v>
      </c>
    </row>
    <row r="5" spans="1:8" ht="15.95" customHeight="1" x14ac:dyDescent="0.35">
      <c r="A5" s="4"/>
      <c r="B5" s="17"/>
      <c r="C5" s="59"/>
      <c r="D5" s="4"/>
      <c r="E5" s="29">
        <f t="shared" si="2"/>
        <v>0</v>
      </c>
      <c r="F5" s="29">
        <f t="shared" si="0"/>
        <v>0</v>
      </c>
      <c r="G5" s="4">
        <v>1.2</v>
      </c>
      <c r="H5" s="29">
        <f t="shared" si="1"/>
        <v>0</v>
      </c>
    </row>
    <row r="6" spans="1:8" ht="15.95" customHeight="1" x14ac:dyDescent="0.35">
      <c r="A6" s="4"/>
      <c r="B6" s="17"/>
      <c r="C6" s="59"/>
      <c r="D6" s="4"/>
      <c r="E6" s="29">
        <f t="shared" si="2"/>
        <v>0</v>
      </c>
      <c r="F6" s="29">
        <f t="shared" si="0"/>
        <v>0</v>
      </c>
      <c r="G6" s="4">
        <v>1.2</v>
      </c>
      <c r="H6" s="29">
        <f t="shared" si="1"/>
        <v>0</v>
      </c>
    </row>
    <row r="7" spans="1:8" ht="15.95" customHeight="1" x14ac:dyDescent="0.35">
      <c r="A7" s="27"/>
      <c r="B7" s="28"/>
      <c r="C7" s="60"/>
      <c r="D7" s="27"/>
      <c r="E7" s="30">
        <f t="shared" si="2"/>
        <v>0</v>
      </c>
      <c r="F7" s="30">
        <f t="shared" si="0"/>
        <v>0</v>
      </c>
      <c r="G7" s="27">
        <v>1.2</v>
      </c>
      <c r="H7" s="30">
        <f t="shared" si="1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7"/>
  <sheetViews>
    <sheetView zoomScale="175" zoomScaleNormal="175" workbookViewId="0">
      <selection activeCell="A2" sqref="A2:J2"/>
    </sheetView>
  </sheetViews>
  <sheetFormatPr defaultColWidth="12.7109375" defaultRowHeight="15.95" customHeight="1" x14ac:dyDescent="0.35"/>
  <cols>
    <col min="1" max="16384" width="12.7109375" style="2"/>
  </cols>
  <sheetData>
    <row r="1" spans="1:38" ht="16.5" x14ac:dyDescent="0.35">
      <c r="A1" s="3" t="s">
        <v>1</v>
      </c>
      <c r="B1" s="3" t="s">
        <v>2</v>
      </c>
      <c r="C1" s="3" t="s">
        <v>59</v>
      </c>
      <c r="D1" s="3" t="s">
        <v>60</v>
      </c>
      <c r="E1" s="3" t="s">
        <v>61</v>
      </c>
      <c r="F1" s="3" t="s">
        <v>3</v>
      </c>
      <c r="G1" s="3" t="s">
        <v>0</v>
      </c>
      <c r="H1" s="3" t="s">
        <v>4</v>
      </c>
      <c r="I1" s="3" t="s">
        <v>5</v>
      </c>
      <c r="J1" s="3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8" ht="15.95" customHeight="1" x14ac:dyDescent="0.35">
      <c r="A2" s="31" t="str">
        <f>Nd!A2</f>
        <v>HV1</v>
      </c>
      <c r="B2" s="29">
        <f>Nd!E2</f>
        <v>294.92500000000001</v>
      </c>
      <c r="C2" s="5" t="s">
        <v>58</v>
      </c>
      <c r="D2" s="5" t="s">
        <v>54</v>
      </c>
      <c r="E2" s="11">
        <v>1</v>
      </c>
      <c r="F2" s="31">
        <f>1.5*E2*VLOOKUP(C2&amp;D2,bolt_qa!C:D,2,FALSE)</f>
        <v>70.650000000000006</v>
      </c>
      <c r="G2" s="4">
        <v>5</v>
      </c>
      <c r="H2" s="31">
        <f t="shared" ref="H2:H4" si="0">F2*G2</f>
        <v>353.25</v>
      </c>
      <c r="I2" s="32">
        <f t="shared" ref="I2:I4" si="1">B2/H2</f>
        <v>0.83489030431705591</v>
      </c>
      <c r="J2" s="4" t="str">
        <f t="shared" ref="J2:J4" si="2">IF(I2&lt;1, "OK", "NG")</f>
        <v>OK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8" ht="15.95" customHeight="1" x14ac:dyDescent="0.35">
      <c r="A3" s="31" t="str">
        <f>Nd!A3</f>
        <v>HV2</v>
      </c>
      <c r="B3" s="29">
        <f>Nd!E3</f>
        <v>74.7</v>
      </c>
      <c r="C3" s="5" t="s">
        <v>58</v>
      </c>
      <c r="D3" s="5" t="s">
        <v>51</v>
      </c>
      <c r="E3" s="11">
        <v>1</v>
      </c>
      <c r="F3" s="31">
        <f>1.5*E3*VLOOKUP(C3&amp;D3,bolt_qa!C:D,2,FALSE)</f>
        <v>85.5</v>
      </c>
      <c r="G3" s="4">
        <v>1</v>
      </c>
      <c r="H3" s="31">
        <f t="shared" si="0"/>
        <v>85.5</v>
      </c>
      <c r="I3" s="32">
        <f t="shared" si="1"/>
        <v>0.87368421052631584</v>
      </c>
      <c r="J3" s="4" t="str">
        <f t="shared" si="2"/>
        <v>OK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8" ht="15.95" customHeight="1" x14ac:dyDescent="0.35">
      <c r="A4" s="31">
        <f>Nd!A4</f>
        <v>0</v>
      </c>
      <c r="B4" s="29">
        <f>Nd!E4</f>
        <v>0</v>
      </c>
      <c r="C4" s="5"/>
      <c r="D4" s="5"/>
      <c r="E4" s="11"/>
      <c r="F4" s="31" t="e">
        <f>1.5*E4*VLOOKUP(C4&amp;D4,bolt_qa!C:D,2,FALSE)</f>
        <v>#N/A</v>
      </c>
      <c r="G4" s="4"/>
      <c r="H4" s="31" t="e">
        <f t="shared" si="0"/>
        <v>#N/A</v>
      </c>
      <c r="I4" s="32" t="e">
        <f t="shared" si="1"/>
        <v>#N/A</v>
      </c>
      <c r="J4" s="4" t="e">
        <f t="shared" si="2"/>
        <v>#N/A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8" ht="15.95" customHeight="1" x14ac:dyDescent="0.35">
      <c r="A5" s="31">
        <f>Nd!A5</f>
        <v>0</v>
      </c>
      <c r="B5" s="29">
        <f>Nd!E5</f>
        <v>0</v>
      </c>
      <c r="C5" s="5"/>
      <c r="D5" s="5"/>
      <c r="E5" s="11"/>
      <c r="F5" s="31" t="e">
        <f>1.5*E5*VLOOKUP(C5&amp;D5,bolt_qa!C:D,2,FALSE)</f>
        <v>#N/A</v>
      </c>
      <c r="G5" s="4"/>
      <c r="H5" s="31" t="e">
        <f t="shared" ref="H5" si="3">F5*G5</f>
        <v>#N/A</v>
      </c>
      <c r="I5" s="32" t="e">
        <f t="shared" ref="I5" si="4">B5/H5</f>
        <v>#N/A</v>
      </c>
      <c r="J5" s="4" t="e">
        <f t="shared" ref="J5" si="5">IF(I5&lt;1, "OK", "NG")</f>
        <v>#N/A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8" ht="15.95" customHeight="1" x14ac:dyDescent="0.35">
      <c r="A6" s="31">
        <f>Nd!A6</f>
        <v>0</v>
      </c>
      <c r="B6" s="29">
        <f>Nd!E6</f>
        <v>0</v>
      </c>
      <c r="C6" s="5"/>
      <c r="D6" s="5"/>
      <c r="E6" s="11"/>
      <c r="F6" s="31" t="e">
        <f>1.5*E6*VLOOKUP(C6&amp;D6,bolt_qa!C:D,2,FALSE)</f>
        <v>#N/A</v>
      </c>
      <c r="G6" s="4"/>
      <c r="H6" s="31" t="e">
        <f>F6*G6</f>
        <v>#N/A</v>
      </c>
      <c r="I6" s="32" t="e">
        <f>B6/H6</f>
        <v>#N/A</v>
      </c>
      <c r="J6" s="4" t="e">
        <f t="shared" ref="J6" si="6">IF(I6&lt;1, "OK", "NG")</f>
        <v>#N/A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8" ht="15.95" customHeight="1" x14ac:dyDescent="0.35">
      <c r="A7" s="31">
        <f>Nd!A7</f>
        <v>0</v>
      </c>
      <c r="B7" s="29">
        <f>Nd!E7</f>
        <v>0</v>
      </c>
      <c r="C7" s="5"/>
      <c r="D7" s="5"/>
      <c r="E7" s="11"/>
      <c r="F7" s="31" t="e">
        <f>1.5*E7*VLOOKUP(C7&amp;D7,bolt_qa!C:D,2,FALSE)</f>
        <v>#N/A</v>
      </c>
      <c r="G7" s="4"/>
      <c r="H7" s="31" t="e">
        <f>F7*G7</f>
        <v>#N/A</v>
      </c>
      <c r="I7" s="32" t="e">
        <f>B7/H7</f>
        <v>#N/A</v>
      </c>
      <c r="J7" s="4" t="e">
        <f t="shared" ref="J7" si="7">IF(I7&lt;1, "OK", "NG")</f>
        <v>#N/A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.95" customHeigh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5.95" customHeight="1" x14ac:dyDescent="0.35"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8" ht="15.95" customHeight="1" x14ac:dyDescent="0.35"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8" ht="15.95" customHeight="1" x14ac:dyDescent="0.35"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8" ht="15.95" customHeight="1" x14ac:dyDescent="0.35"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8" ht="15.95" customHeight="1" x14ac:dyDescent="0.35"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8" ht="15.95" customHeight="1" x14ac:dyDescent="0.35"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8" ht="15.9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9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x14ac:dyDescent="0.35"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8" ht="15.95" customHeight="1" x14ac:dyDescent="0.35"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8" ht="15.95" customHeight="1" x14ac:dyDescent="0.35"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8" ht="15.95" customHeight="1" x14ac:dyDescent="0.35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8" ht="15.95" customHeight="1" x14ac:dyDescent="0.35"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8" ht="15.95" customHeight="1" x14ac:dyDescent="0.35"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8" ht="15.95" customHeight="1" x14ac:dyDescent="0.35">
      <c r="A23" s="1"/>
      <c r="B23" s="23"/>
      <c r="C23" s="23"/>
      <c r="D23" s="23"/>
      <c r="E23" s="23"/>
      <c r="F23" s="1"/>
      <c r="G23" s="23"/>
      <c r="H23" s="25"/>
      <c r="I23" s="1"/>
      <c r="J23" s="24"/>
      <c r="K23" s="1"/>
      <c r="L23" s="2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8" ht="15.9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95" customHeight="1" x14ac:dyDescent="0.35">
      <c r="AL25" s="1"/>
    </row>
    <row r="26" spans="1:38" ht="15.95" customHeight="1" x14ac:dyDescent="0.35">
      <c r="AL26" s="1"/>
    </row>
    <row r="27" spans="1:38" ht="15.95" customHeight="1" x14ac:dyDescent="0.35">
      <c r="AL27" s="1"/>
    </row>
    <row r="28" spans="1:38" ht="15.95" customHeight="1" x14ac:dyDescent="0.35">
      <c r="AL28" s="1"/>
    </row>
    <row r="29" spans="1:38" ht="15.95" customHeight="1" x14ac:dyDescent="0.35">
      <c r="AL29" s="1"/>
    </row>
    <row r="30" spans="1:38" ht="15.95" customHeight="1" x14ac:dyDescent="0.35">
      <c r="AL30" s="1"/>
    </row>
    <row r="31" spans="1:38" ht="15.95" customHeight="1" x14ac:dyDescent="0.35">
      <c r="AL31" s="1"/>
    </row>
    <row r="32" spans="1:38" ht="15.95" customHeight="1" x14ac:dyDescent="0.35">
      <c r="AL32" s="1"/>
    </row>
    <row r="41" spans="1:38" ht="15.9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95" customHeight="1" x14ac:dyDescent="0.35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.95" customHeight="1" x14ac:dyDescent="0.35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.95" customHeight="1" x14ac:dyDescent="0.35"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.95" customHeight="1" x14ac:dyDescent="0.35"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.95" customHeight="1" x14ac:dyDescent="0.35"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.95" customHeight="1" x14ac:dyDescent="0.35"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95" customHeight="1" x14ac:dyDescent="0.35">
      <c r="A49" s="1"/>
      <c r="B49" s="1"/>
      <c r="C49" s="1"/>
      <c r="D49" s="1"/>
      <c r="E49" s="1"/>
      <c r="F49" s="1"/>
      <c r="G49" s="1"/>
      <c r="H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.95" customHeight="1" x14ac:dyDescent="0.35"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.95" customHeight="1" x14ac:dyDescent="0.35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.95" customHeight="1" x14ac:dyDescent="0.35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.95" customHeight="1" x14ac:dyDescent="0.35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.95" customHeight="1" x14ac:dyDescent="0.35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95" customHeight="1" x14ac:dyDescent="0.3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.95" customHeight="1" x14ac:dyDescent="0.35">
      <c r="A56" s="1"/>
      <c r="B56" s="1"/>
      <c r="C56" s="1"/>
      <c r="D56" s="1"/>
      <c r="E56" s="1"/>
      <c r="F56" s="1"/>
      <c r="G56" s="1"/>
      <c r="H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x14ac:dyDescent="0.3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.95" customHeight="1" x14ac:dyDescent="0.35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.95" customHeight="1" x14ac:dyDescent="0.35"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.95" customHeight="1" x14ac:dyDescent="0.3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.95" customHeight="1" x14ac:dyDescent="0.35"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x14ac:dyDescent="0.35"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.95" customHeight="1" x14ac:dyDescent="0.35">
      <c r="A63" s="1"/>
      <c r="G63" s="1"/>
      <c r="H63" s="1"/>
      <c r="I63" s="1"/>
      <c r="J63" s="1"/>
      <c r="K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.95" customHeight="1" x14ac:dyDescent="0.35"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.95" customHeight="1" x14ac:dyDescent="0.35"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.95" customHeight="1" x14ac:dyDescent="0.35"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.95" customHeight="1" x14ac:dyDescent="0.35"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.95" customHeight="1" x14ac:dyDescent="0.35"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.95" customHeight="1" x14ac:dyDescent="0.35"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.95" customHeight="1" x14ac:dyDescent="0.35">
      <c r="A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.95" customHeight="1" x14ac:dyDescent="0.35"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x14ac:dyDescent="0.35"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.95" customHeight="1" x14ac:dyDescent="0.35"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.95" customHeight="1" x14ac:dyDescent="0.35"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.95" customHeight="1" x14ac:dyDescent="0.35"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.95" customHeight="1" x14ac:dyDescent="0.35"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.95" customHeight="1" x14ac:dyDescent="0.3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.95" customHeight="1" x14ac:dyDescent="0.3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.95" customHeight="1" x14ac:dyDescent="0.3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.9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.95" customHeight="1" x14ac:dyDescent="0.35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x14ac:dyDescent="0.35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.9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.9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.9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.9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.9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.9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.9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.9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.9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.9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.9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.9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.9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.9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.9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.9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.9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.9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.9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.9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.9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.9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.9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.9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.9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.9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.9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.9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.9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5.9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5.9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.9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.9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.9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.9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.9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5.9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5.9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.9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.9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.9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.9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.9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5.9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5.9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.9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.9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.9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5.9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5.9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.9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.9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.9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.9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5.9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5.9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.9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.9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.9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.9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.9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.9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.9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.9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.9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.9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.9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.9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.9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.9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.9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.9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.9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.9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.9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.9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.9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.9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.9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.9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.9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.9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.9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.9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.9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.9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.9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.9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.9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.9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.9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.9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.9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.9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.9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.9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.9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.9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.9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.9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.9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.9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.9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.9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.9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.9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.9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.9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.9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.9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.9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.9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.9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.9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.9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.9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.9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.9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.9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.9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.9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.9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.9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.9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.9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.9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5.9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.9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.9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.9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.9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.9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.9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.9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5.9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.9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.9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.9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.9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.9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.9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.9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5.9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.9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.9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.9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.9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5.9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.9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.9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.9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.9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.9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5.9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.9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.9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.9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.9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.9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.9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.9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.9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.9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.9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.9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.9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.9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.9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.9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.9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.9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.9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.9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.9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.9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.9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.9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.9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.9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.9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.9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.9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.9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.9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.9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.9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.9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.9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.9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.9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.9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.9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.9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.9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.9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.9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.9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.9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.9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.9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.9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.9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.9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.9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.9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.9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.9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.9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.9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.9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.9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.9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.9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.9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.9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.9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.9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.9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.9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.9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.9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.9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.9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5.9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.9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.9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.9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.9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.9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.9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.9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5.9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.9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.9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.9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.9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.9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.9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.9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5.9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.9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.9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.9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.9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5.9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.9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.9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.9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.9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.9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5.9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.9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.9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.9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.9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.9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.9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.9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.9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.9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.9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.9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.9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.9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.9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.9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.9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.9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.9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.9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.9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.9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.9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.9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.9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.9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.9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.9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.9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.9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.9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.9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.9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.9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.9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.9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.9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.9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.9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.9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.9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.9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.9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.9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.9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.9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.9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.9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.9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.9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.9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.9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.9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.9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.9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.9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.9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.9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.9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.9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.9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.9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.9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.9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.9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.9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.9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.9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.9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.9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5.9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.9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.9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.9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.9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.9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.9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.9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5.9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.9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.9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.9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.9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.9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.9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.9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5.9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.9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.9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.9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.9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5.9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.9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.9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.9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.9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.9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5.9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.9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.9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.9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.9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.9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.9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.9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.9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.9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.9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.9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.9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.9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.9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.9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.9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.9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.9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.9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.9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.9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.9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.9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.9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.9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.9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.9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.9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.9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.9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.9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.9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.9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.9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.9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.9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.9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.9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.9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.9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.9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.9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.9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.9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.9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.9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.9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.9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.9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.9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.9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.9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.9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.9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.9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.9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.9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.9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.9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.9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.9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.9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.9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.9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.9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.9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.9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.9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.9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.9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5.9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5.9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5.9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5.9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5.9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5.9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5.9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5.9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5.9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5.9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5.9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5.9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5.9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5.9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5.9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5.9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5.9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5.9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5.9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5.9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5.9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5.9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5.9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5.9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5.9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5.9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5.9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5.9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5.9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5.9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5.9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5.9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5.9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5.9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5.9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5.9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5.9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5.9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5.9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5.9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5.9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5.9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5.9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5.9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5.9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5.9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5.9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5.9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5.9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5.9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5.9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5.9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5.9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5.9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5.9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5.9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5.9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5.9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5.9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5.9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5.9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5.9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5.9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5.9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5.9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5.9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5.9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5.9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5.9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5.9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5.9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5.9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5.9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5.9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5.9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5.9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5.9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5.9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5.9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5.9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5.9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5.9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5.9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5.9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5.9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5.9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5.9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5.9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5.9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5.9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5.9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5.9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5.9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5.9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5.9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5.9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5.9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5.9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5.9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5.9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5.9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5.9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5.9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5.9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5.9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5.9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5.9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5.9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5.9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5.9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5.9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5.9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5.9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5.9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5.9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5.9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5.9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5.9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5.9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5.9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5.9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5.9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5.9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5.9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5.9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5.9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5.9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5.9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5.9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5.9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5.9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5.9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5.9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5.9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5.9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5.9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5.9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5.9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5.9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5.9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5.9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5.9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5.9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5.9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5.9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5.9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5.9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5.9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5.9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5.9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5.9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5.9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5.9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5.9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5.9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5.9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5.9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5.9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5.9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5.9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5.9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5.9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5.9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5.9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5.9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5.9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5.9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5.9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5.9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5.9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5.9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5.9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5.9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5.9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5.9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5.9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5.9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5.9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5.9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5.9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5.9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5.9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5.9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5.9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5.9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5.9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5.9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5.9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5.9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5.9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5.9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5.9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5.9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5.9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5.9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5.9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5.9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5.9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5.9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5.9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5.9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5.9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5.9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5.9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5.9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5.9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5.9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5.9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5.9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5.9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5.9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5.9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5.9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5.9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5.9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5.9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5.9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5.9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5.9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5.9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5.9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5.9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5.9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5.9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5.9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5.9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5.9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5.9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5.9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5.9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5.9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5.9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5.9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5.9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5.9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5.9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5.9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5.9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5.9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5.9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5.9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5.9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5.9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5.9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5.9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5.9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5.9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5.9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5.9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5.9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5.9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5.9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5.9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5.9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5.9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5.9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5.9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5.9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5.9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5.9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5.9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5.9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5.9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5.9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5.9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5.9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5.9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5.9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5.9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5.9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5.9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5.9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5.9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5.9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5.9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5.9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5.9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5.9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5.9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5.9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5.9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5.9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5.9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5.9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5.9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5.9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5.9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5.9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5.9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5.9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5.9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5.9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5.9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5.9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5.9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5.9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5.9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5.9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5.9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5.9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5.9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5.9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5.9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5.9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5.9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5.9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5.9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5.9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5.9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5.9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5.9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5.9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5.9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5.9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5.9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5.9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5.9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5.9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5.9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5.9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5.9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5.9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5.9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5.9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5.9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5.9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5.9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5.9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5.9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5.9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5.9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5.9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5.9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5.9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5.9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5.9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5.9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5.9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5.9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5.9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5.9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5.9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5.9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5.9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5.9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5.9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5.9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5.9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5.9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5.9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5.9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5.9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5.9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5.9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5.9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5.9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5.9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5.9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5.9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5.9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5.9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5.9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5.9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5.9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5.9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5.9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5.9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5.9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5.9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5.9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5.9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5.9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5.9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5.9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5.9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5.9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5.9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5.9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5.9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5.9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5.9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5.9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5.9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5.9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5.9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5.9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5.9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5.9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5.9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5.9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5.9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5.9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5.9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5.9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5.9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5.9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5.9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5.9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5.9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5.9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5.9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5.9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5.9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5.9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5.9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5.9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5.9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5.9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5.9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5.9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5.9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5.9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5.9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5.9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5.9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5.9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5.9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5.9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5.9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5.9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5.9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5.9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5.9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5.9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5.9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5.9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5.9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5.9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5.9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5.9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5.9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5.9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5.9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5.9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5.9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5.9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5.9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5.9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5.9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5.9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5.9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5.9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5.9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5.9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5.9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5.9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5.9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5.9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5.9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5.9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5.9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5.9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5.9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5.9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5.9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5.9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5.9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5.9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5.9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5.9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5.9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5.9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5.9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5.9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5.9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5.9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5.9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5.9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5.9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5.9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5.9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5.9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5.9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5.9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5.9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5.9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5.9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5.9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5.9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5.9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5.9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5.9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5.9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5.9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5.9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5.9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5.9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5.9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5.9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5.9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5.9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phoneticPr fontId="1"/>
  <conditionalFormatting sqref="J2:J7">
    <cfRule type="containsText" dxfId="19" priority="3" operator="containsText" text="OK">
      <formula>NOT(ISERROR(SEARCH("OK",J2)))</formula>
    </cfRule>
    <cfRule type="containsText" dxfId="18" priority="4" operator="containsText" text="NG">
      <formula>NOT(ISERROR(SEARCH("NG",J2)))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7959-495A-4C93-B376-8945B8AEB42D}">
  <dimension ref="A1:H7"/>
  <sheetViews>
    <sheetView zoomScale="160" zoomScaleNormal="160" workbookViewId="0">
      <selection activeCell="A2" sqref="A2:H2"/>
    </sheetView>
  </sheetViews>
  <sheetFormatPr defaultColWidth="12.7109375" defaultRowHeight="15.95" customHeight="1" x14ac:dyDescent="0.2"/>
  <sheetData>
    <row r="1" spans="1:8" ht="15.95" customHeight="1" x14ac:dyDescent="0.35">
      <c r="A1" s="7" t="s">
        <v>1</v>
      </c>
      <c r="B1" s="7" t="s">
        <v>2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6</v>
      </c>
    </row>
    <row r="2" spans="1:8" ht="15.95" customHeight="1" x14ac:dyDescent="0.35">
      <c r="A2" s="31" t="str">
        <f>Nd!A2</f>
        <v>HV1</v>
      </c>
      <c r="B2" s="29">
        <f>Nd!E2</f>
        <v>294.92500000000001</v>
      </c>
      <c r="C2" s="8">
        <v>9</v>
      </c>
      <c r="D2" s="8">
        <v>165</v>
      </c>
      <c r="E2" s="33">
        <f>(D2-18)*C2/100</f>
        <v>13.23</v>
      </c>
      <c r="F2" s="8">
        <v>235</v>
      </c>
      <c r="G2" s="9">
        <f t="shared" ref="G2:G7" si="0">E2*100*F2/1000</f>
        <v>310.90499999999997</v>
      </c>
      <c r="H2" s="8" t="str">
        <f t="shared" ref="H2:H7" si="1">IF(G2&gt;B2, "OK", "NG")</f>
        <v>OK</v>
      </c>
    </row>
    <row r="3" spans="1:8" ht="15.95" customHeight="1" x14ac:dyDescent="0.35">
      <c r="A3" s="31" t="str">
        <f>Nd!A3</f>
        <v>HV2</v>
      </c>
      <c r="B3" s="29">
        <f>Nd!E3</f>
        <v>74.7</v>
      </c>
      <c r="C3" s="8">
        <v>9</v>
      </c>
      <c r="D3" s="8">
        <v>85</v>
      </c>
      <c r="E3" s="33">
        <f>(D3-24)*C3/100</f>
        <v>5.49</v>
      </c>
      <c r="F3" s="8">
        <v>235</v>
      </c>
      <c r="G3" s="9">
        <f t="shared" si="0"/>
        <v>129.01499999999999</v>
      </c>
      <c r="H3" s="8" t="str">
        <f t="shared" si="1"/>
        <v>OK</v>
      </c>
    </row>
    <row r="4" spans="1:8" ht="15.95" customHeight="1" x14ac:dyDescent="0.35">
      <c r="A4" s="31">
        <f>Nd!A4</f>
        <v>0</v>
      </c>
      <c r="B4" s="29">
        <f>Nd!E4</f>
        <v>0</v>
      </c>
      <c r="C4" s="8"/>
      <c r="D4" s="8">
        <v>250</v>
      </c>
      <c r="E4" s="33">
        <f>(D4-2*24)*C4/100</f>
        <v>0</v>
      </c>
      <c r="F4" s="8">
        <v>325</v>
      </c>
      <c r="G4" s="9">
        <f t="shared" si="0"/>
        <v>0</v>
      </c>
      <c r="H4" s="8" t="str">
        <f t="shared" si="1"/>
        <v>NG</v>
      </c>
    </row>
    <row r="5" spans="1:8" ht="15.95" customHeight="1" x14ac:dyDescent="0.35">
      <c r="A5" s="31">
        <f>Nd!A5</f>
        <v>0</v>
      </c>
      <c r="B5" s="29">
        <f>Nd!E5</f>
        <v>0</v>
      </c>
      <c r="C5" s="8"/>
      <c r="D5" s="8">
        <v>300</v>
      </c>
      <c r="E5" s="33">
        <f>(D5-2*24)*C5/100</f>
        <v>0</v>
      </c>
      <c r="F5" s="8">
        <v>325</v>
      </c>
      <c r="G5" s="9">
        <f t="shared" si="0"/>
        <v>0</v>
      </c>
      <c r="H5" s="8" t="str">
        <f t="shared" si="1"/>
        <v>NG</v>
      </c>
    </row>
    <row r="6" spans="1:8" ht="15.95" customHeight="1" x14ac:dyDescent="0.35">
      <c r="A6" s="31">
        <f>Nd!A6</f>
        <v>0</v>
      </c>
      <c r="B6" s="29">
        <f>Nd!E6</f>
        <v>0</v>
      </c>
      <c r="C6" s="8"/>
      <c r="D6" s="8">
        <v>250</v>
      </c>
      <c r="E6" s="33">
        <f>(D6-2*24)*C6/100</f>
        <v>0</v>
      </c>
      <c r="F6" s="8">
        <v>325</v>
      </c>
      <c r="G6" s="9">
        <f t="shared" si="0"/>
        <v>0</v>
      </c>
      <c r="H6" s="8" t="str">
        <f t="shared" si="1"/>
        <v>NG</v>
      </c>
    </row>
    <row r="7" spans="1:8" ht="15.95" customHeight="1" x14ac:dyDescent="0.35">
      <c r="A7" s="31">
        <f>Nd!A7</f>
        <v>0</v>
      </c>
      <c r="B7" s="29">
        <f>Nd!E7</f>
        <v>0</v>
      </c>
      <c r="C7" s="8"/>
      <c r="D7" s="8">
        <v>150</v>
      </c>
      <c r="E7" s="33">
        <f>(D7-2*24)*C7/100</f>
        <v>0</v>
      </c>
      <c r="F7" s="8">
        <v>325</v>
      </c>
      <c r="G7" s="9">
        <f t="shared" si="0"/>
        <v>0</v>
      </c>
      <c r="H7" s="8" t="str">
        <f t="shared" si="1"/>
        <v>NG</v>
      </c>
    </row>
  </sheetData>
  <phoneticPr fontId="1"/>
  <conditionalFormatting sqref="H2:H7">
    <cfRule type="containsText" dxfId="17" priority="1" operator="containsText" text="NG">
      <formula>NOT(ISERROR(SEARCH("NG",H2)))</formula>
    </cfRule>
    <cfRule type="containsText" dxfId="16" priority="2" operator="containsText" text="OK">
      <formula>NOT(ISERROR(SEARCH("OK",H2)))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B858-B4FF-442F-B8B9-30283354E199}">
  <dimension ref="A1:M7"/>
  <sheetViews>
    <sheetView zoomScale="160" zoomScaleNormal="160" workbookViewId="0">
      <selection activeCell="A2" sqref="A2:J2"/>
    </sheetView>
  </sheetViews>
  <sheetFormatPr defaultColWidth="12.7109375" defaultRowHeight="15.95" customHeight="1" x14ac:dyDescent="0.2"/>
  <sheetData>
    <row r="1" spans="1:13" ht="15.95" customHeight="1" x14ac:dyDescent="0.35">
      <c r="A1" s="3" t="s">
        <v>1</v>
      </c>
      <c r="B1" s="3" t="s">
        <v>2</v>
      </c>
      <c r="C1" s="3" t="s">
        <v>9</v>
      </c>
      <c r="D1" s="3" t="s">
        <v>14</v>
      </c>
      <c r="E1" s="26" t="s">
        <v>67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6</v>
      </c>
      <c r="K1" s="1"/>
      <c r="L1" s="1"/>
      <c r="M1" s="1"/>
    </row>
    <row r="2" spans="1:13" ht="15.95" customHeight="1" x14ac:dyDescent="0.35">
      <c r="A2" s="31" t="str">
        <f>Nd!A2</f>
        <v>HV1</v>
      </c>
      <c r="B2" s="29">
        <f>Nd!E2</f>
        <v>294.92500000000001</v>
      </c>
      <c r="C2" s="31">
        <f>gpl_y!C2</f>
        <v>9</v>
      </c>
      <c r="D2" s="5">
        <v>7</v>
      </c>
      <c r="E2" s="35">
        <f>0.7*D2*2</f>
        <v>9.7999999999999989</v>
      </c>
      <c r="F2" s="10">
        <v>250</v>
      </c>
      <c r="G2" s="34">
        <f t="shared" ref="G2:G7" si="0">F2-2*D2</f>
        <v>236</v>
      </c>
      <c r="H2" s="4">
        <v>235</v>
      </c>
      <c r="I2" s="29">
        <f t="shared" ref="I2:I7" si="1">E2*G2*H2/SQRT(3)/1000</f>
        <v>313.79449010671505</v>
      </c>
      <c r="J2" s="4" t="str">
        <f t="shared" ref="J2:J7" si="2">IF(I2&gt;B2, "OK", "NG")</f>
        <v>OK</v>
      </c>
      <c r="K2" s="1"/>
      <c r="L2" s="1"/>
      <c r="M2" s="1"/>
    </row>
    <row r="3" spans="1:13" ht="15.95" customHeight="1" x14ac:dyDescent="0.35">
      <c r="A3" s="31" t="str">
        <f>Nd!A3</f>
        <v>HV2</v>
      </c>
      <c r="B3" s="29">
        <f>Nd!E3</f>
        <v>74.7</v>
      </c>
      <c r="C3" s="31">
        <f>gpl_y!C3</f>
        <v>9</v>
      </c>
      <c r="D3" s="5">
        <v>7</v>
      </c>
      <c r="E3" s="35">
        <f>0.7*D3*2</f>
        <v>9.7999999999999989</v>
      </c>
      <c r="F3" s="4">
        <v>100</v>
      </c>
      <c r="G3" s="34">
        <f t="shared" si="0"/>
        <v>86</v>
      </c>
      <c r="H3" s="4">
        <v>235</v>
      </c>
      <c r="I3" s="29">
        <f t="shared" si="1"/>
        <v>114.34883961515891</v>
      </c>
      <c r="J3" s="4" t="str">
        <f t="shared" si="2"/>
        <v>OK</v>
      </c>
      <c r="K3" s="1"/>
      <c r="L3" s="1"/>
      <c r="M3" s="1"/>
    </row>
    <row r="4" spans="1:13" ht="15.95" customHeight="1" x14ac:dyDescent="0.35">
      <c r="A4" s="31">
        <f>Nd!A4</f>
        <v>0</v>
      </c>
      <c r="B4" s="29">
        <f>Nd!E4</f>
        <v>0</v>
      </c>
      <c r="C4" s="31">
        <f>gpl_y!C4</f>
        <v>0</v>
      </c>
      <c r="D4" s="5">
        <v>22</v>
      </c>
      <c r="E4" s="35">
        <f>0.7*D4*2</f>
        <v>30.799999999999997</v>
      </c>
      <c r="F4" s="4">
        <v>500</v>
      </c>
      <c r="G4" s="34">
        <f t="shared" si="0"/>
        <v>456</v>
      </c>
      <c r="H4" s="4"/>
      <c r="I4" s="29">
        <f t="shared" si="1"/>
        <v>0</v>
      </c>
      <c r="J4" s="4" t="str">
        <f t="shared" si="2"/>
        <v>NG</v>
      </c>
      <c r="K4" s="1"/>
      <c r="L4" s="1"/>
      <c r="M4" s="1"/>
    </row>
    <row r="5" spans="1:13" ht="15.95" customHeight="1" x14ac:dyDescent="0.35">
      <c r="A5" s="31">
        <f>Nd!A5</f>
        <v>0</v>
      </c>
      <c r="B5" s="29">
        <f>Nd!E5</f>
        <v>0</v>
      </c>
      <c r="C5" s="31">
        <f>gpl_y!C5</f>
        <v>0</v>
      </c>
      <c r="D5" s="5">
        <v>12</v>
      </c>
      <c r="E5" s="35">
        <f>0.7*D5*2</f>
        <v>16.799999999999997</v>
      </c>
      <c r="F5" s="4">
        <v>500</v>
      </c>
      <c r="G5" s="34">
        <f t="shared" si="0"/>
        <v>476</v>
      </c>
      <c r="H5" s="4"/>
      <c r="I5" s="29">
        <f t="shared" si="1"/>
        <v>0</v>
      </c>
      <c r="J5" s="4" t="str">
        <f t="shared" si="2"/>
        <v>NG</v>
      </c>
      <c r="K5" s="1"/>
      <c r="L5" s="1"/>
      <c r="M5" s="1"/>
    </row>
    <row r="6" spans="1:13" ht="15.95" customHeight="1" x14ac:dyDescent="0.35">
      <c r="A6" s="31">
        <f>Nd!A6</f>
        <v>0</v>
      </c>
      <c r="B6" s="29">
        <f>Nd!E6</f>
        <v>0</v>
      </c>
      <c r="C6" s="31">
        <f>gpl_y!C6</f>
        <v>0</v>
      </c>
      <c r="D6" s="5">
        <v>12</v>
      </c>
      <c r="E6" s="35">
        <f t="shared" ref="E6:E7" si="3">0.7*D6*2</f>
        <v>16.799999999999997</v>
      </c>
      <c r="F6" s="4">
        <v>400</v>
      </c>
      <c r="G6" s="34">
        <f t="shared" si="0"/>
        <v>376</v>
      </c>
      <c r="H6" s="4"/>
      <c r="I6" s="29">
        <f t="shared" si="1"/>
        <v>0</v>
      </c>
      <c r="J6" s="4" t="str">
        <f t="shared" si="2"/>
        <v>NG</v>
      </c>
      <c r="K6" s="1"/>
      <c r="L6" s="1"/>
      <c r="M6" s="1"/>
    </row>
    <row r="7" spans="1:13" ht="15.95" customHeight="1" x14ac:dyDescent="0.35">
      <c r="A7" s="31">
        <f>Nd!A7</f>
        <v>0</v>
      </c>
      <c r="B7" s="29">
        <f>Nd!E7</f>
        <v>0</v>
      </c>
      <c r="C7" s="31">
        <f>gpl_y!C7</f>
        <v>0</v>
      </c>
      <c r="D7" s="5">
        <v>9</v>
      </c>
      <c r="E7" s="35">
        <f t="shared" si="3"/>
        <v>12.6</v>
      </c>
      <c r="F7" s="4">
        <v>200</v>
      </c>
      <c r="G7" s="34">
        <f t="shared" si="0"/>
        <v>182</v>
      </c>
      <c r="H7" s="4"/>
      <c r="I7" s="29">
        <f t="shared" si="1"/>
        <v>0</v>
      </c>
      <c r="J7" s="4" t="str">
        <f t="shared" si="2"/>
        <v>NG</v>
      </c>
    </row>
  </sheetData>
  <phoneticPr fontId="1"/>
  <conditionalFormatting sqref="J2:J7">
    <cfRule type="containsText" dxfId="15" priority="1" operator="containsText" text="NG">
      <formula>NOT(ISERROR(SEARCH("NG",J2)))</formula>
    </cfRule>
    <cfRule type="containsText" dxfId="14" priority="2" operator="containsText" text="OK">
      <formula>NOT(ISERROR(SEARCH("OK",J2)))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37D1-59AC-45F3-9F15-0CF7F31796EF}">
  <dimension ref="A1:AJ6"/>
  <sheetViews>
    <sheetView topLeftCell="S1" workbookViewId="0">
      <selection activeCell="Y14" sqref="Y14"/>
    </sheetView>
  </sheetViews>
  <sheetFormatPr defaultColWidth="12.7109375" defaultRowHeight="15.95" customHeight="1" x14ac:dyDescent="0.2"/>
  <sheetData>
    <row r="1" spans="1:36" ht="33" x14ac:dyDescent="0.35">
      <c r="A1" s="7" t="s">
        <v>1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49</v>
      </c>
      <c r="G1" s="7" t="s">
        <v>59</v>
      </c>
      <c r="H1" s="7" t="s">
        <v>60</v>
      </c>
      <c r="I1" s="7" t="s">
        <v>3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13" t="s">
        <v>45</v>
      </c>
      <c r="T1" s="7" t="s">
        <v>5</v>
      </c>
      <c r="U1" s="7" t="s">
        <v>6</v>
      </c>
      <c r="V1" s="1"/>
      <c r="W1" s="20" t="s">
        <v>1</v>
      </c>
      <c r="X1" s="20" t="s">
        <v>19</v>
      </c>
      <c r="Y1" s="20" t="s">
        <v>20</v>
      </c>
      <c r="Z1" s="20" t="s">
        <v>22</v>
      </c>
      <c r="AA1" s="20" t="s">
        <v>49</v>
      </c>
      <c r="AB1" s="20" t="s">
        <v>3</v>
      </c>
      <c r="AC1" s="20" t="s">
        <v>23</v>
      </c>
      <c r="AD1" s="21" t="s">
        <v>24</v>
      </c>
      <c r="AE1" s="21" t="s">
        <v>27</v>
      </c>
      <c r="AF1" s="22" t="s">
        <v>30</v>
      </c>
      <c r="AG1" s="22" t="s">
        <v>32</v>
      </c>
      <c r="AH1" s="22" t="s">
        <v>6</v>
      </c>
      <c r="AI1" s="2"/>
      <c r="AJ1" s="2"/>
    </row>
    <row r="2" spans="1:36" ht="15.95" customHeight="1" x14ac:dyDescent="0.35">
      <c r="A2" s="8" t="s">
        <v>68</v>
      </c>
      <c r="B2" s="8" t="s">
        <v>46</v>
      </c>
      <c r="C2" s="36" t="e">
        <f>_xlfn.XLOOKUP(B2,Nd!A:A,Nd!E:E)</f>
        <v>#N/A</v>
      </c>
      <c r="D2" s="14">
        <v>40</v>
      </c>
      <c r="E2" s="36" t="e">
        <f t="shared" ref="E2:E6" si="0">COS(D2/180*PI())*C2</f>
        <v>#N/A</v>
      </c>
      <c r="F2" s="9">
        <v>80</v>
      </c>
      <c r="G2" s="9" t="s">
        <v>50</v>
      </c>
      <c r="H2" s="9" t="s">
        <v>51</v>
      </c>
      <c r="I2" s="31">
        <f>1.5*P2*VLOOKUP(G2&amp;H2,bolt_qa!C:D,2,FALSE)</f>
        <v>121.5</v>
      </c>
      <c r="J2" s="37" t="e">
        <f t="shared" ref="J2:J6" si="1">ROUNDUP(SQRT((E2^2+F2^2)/(I2^2)),0)</f>
        <v>#N/A</v>
      </c>
      <c r="K2" s="8">
        <v>18</v>
      </c>
      <c r="L2" s="8">
        <v>2</v>
      </c>
      <c r="M2" s="8">
        <v>60</v>
      </c>
      <c r="N2" s="8">
        <v>12</v>
      </c>
      <c r="O2" s="37">
        <f t="shared" ref="O2:O6" si="2">(K2/L2-1)*M2+80</f>
        <v>560</v>
      </c>
      <c r="P2" s="8">
        <v>2</v>
      </c>
      <c r="Q2" s="37">
        <f t="shared" ref="Q2:Q6" si="3">N2*(O2-(K2/L2)*24)*P2</f>
        <v>8256</v>
      </c>
      <c r="R2" s="8">
        <v>325</v>
      </c>
      <c r="S2" s="37">
        <f t="shared" ref="S2:S6" si="4">Q2*R2/1000</f>
        <v>2683.2</v>
      </c>
      <c r="T2" s="38" t="e">
        <f t="shared" ref="T2:T6" si="5">E2/S2</f>
        <v>#N/A</v>
      </c>
      <c r="U2" s="8" t="e">
        <f t="shared" ref="U2:U6" si="6">IF(T2&lt;1, "OK", "NG")</f>
        <v>#N/A</v>
      </c>
      <c r="V2" s="1"/>
      <c r="W2" s="16" t="str">
        <f t="shared" ref="W2:Y6" si="7">A2</f>
        <v>G70</v>
      </c>
      <c r="X2" s="16" t="str">
        <f t="shared" si="7"/>
        <v>V1</v>
      </c>
      <c r="Y2" s="19" t="e">
        <f t="shared" si="7"/>
        <v>#N/A</v>
      </c>
      <c r="Z2" s="19" t="e">
        <f t="shared" ref="Z2:AA6" si="8">E2</f>
        <v>#N/A</v>
      </c>
      <c r="AA2" s="19">
        <f t="shared" si="8"/>
        <v>80</v>
      </c>
      <c r="AB2" s="16">
        <f t="shared" ref="AB2:AD6" si="9">I2</f>
        <v>121.5</v>
      </c>
      <c r="AC2" s="16" t="e">
        <f t="shared" si="9"/>
        <v>#N/A</v>
      </c>
      <c r="AD2" s="16">
        <f t="shared" si="9"/>
        <v>18</v>
      </c>
      <c r="AE2" s="8">
        <f t="shared" ref="AE2:AE6" si="10">N2</f>
        <v>12</v>
      </c>
      <c r="AF2" s="18">
        <f t="shared" ref="AF2:AF6" si="11">Q2</f>
        <v>8256</v>
      </c>
      <c r="AG2" s="18">
        <f t="shared" ref="AG2:AG6" si="12">S2</f>
        <v>2683.2</v>
      </c>
      <c r="AH2" s="18" t="e">
        <f t="shared" ref="AH2:AH6" si="13">U2</f>
        <v>#N/A</v>
      </c>
      <c r="AI2" s="2"/>
      <c r="AJ2" s="2"/>
    </row>
    <row r="3" spans="1:36" ht="15.95" customHeight="1" x14ac:dyDescent="0.35">
      <c r="A3" s="8" t="s">
        <v>69</v>
      </c>
      <c r="B3" s="8" t="s">
        <v>46</v>
      </c>
      <c r="C3" s="36" t="e">
        <f>_xlfn.XLOOKUP(B3,Nd!A:A,Nd!E:E)</f>
        <v>#N/A</v>
      </c>
      <c r="D3" s="14">
        <v>40</v>
      </c>
      <c r="E3" s="36" t="e">
        <f t="shared" si="0"/>
        <v>#N/A</v>
      </c>
      <c r="F3" s="9">
        <v>80</v>
      </c>
      <c r="G3" s="9" t="s">
        <v>50</v>
      </c>
      <c r="H3" s="9" t="s">
        <v>51</v>
      </c>
      <c r="I3" s="31">
        <f>1.5*P3*VLOOKUP(G3&amp;H3,bolt_qa!C:D,2,FALSE)</f>
        <v>121.5</v>
      </c>
      <c r="J3" s="37" t="e">
        <f t="shared" si="1"/>
        <v>#N/A</v>
      </c>
      <c r="K3" s="8">
        <v>18</v>
      </c>
      <c r="L3" s="8">
        <v>3</v>
      </c>
      <c r="M3" s="8">
        <v>60</v>
      </c>
      <c r="N3" s="8">
        <v>16</v>
      </c>
      <c r="O3" s="37">
        <f t="shared" si="2"/>
        <v>380</v>
      </c>
      <c r="P3" s="8">
        <v>2</v>
      </c>
      <c r="Q3" s="37">
        <f t="shared" si="3"/>
        <v>7552</v>
      </c>
      <c r="R3" s="8">
        <v>325</v>
      </c>
      <c r="S3" s="37">
        <f t="shared" si="4"/>
        <v>2454.4</v>
      </c>
      <c r="T3" s="38" t="e">
        <f t="shared" si="5"/>
        <v>#N/A</v>
      </c>
      <c r="U3" s="8" t="e">
        <f t="shared" si="6"/>
        <v>#N/A</v>
      </c>
      <c r="V3" s="1"/>
      <c r="W3" s="16" t="str">
        <f t="shared" si="7"/>
        <v>G49</v>
      </c>
      <c r="X3" s="16" t="str">
        <f t="shared" si="7"/>
        <v>V1</v>
      </c>
      <c r="Y3" s="19" t="e">
        <f t="shared" si="7"/>
        <v>#N/A</v>
      </c>
      <c r="Z3" s="19" t="e">
        <f t="shared" si="8"/>
        <v>#N/A</v>
      </c>
      <c r="AA3" s="19">
        <f t="shared" si="8"/>
        <v>80</v>
      </c>
      <c r="AB3" s="16">
        <f t="shared" si="9"/>
        <v>121.5</v>
      </c>
      <c r="AC3" s="16" t="e">
        <f t="shared" si="9"/>
        <v>#N/A</v>
      </c>
      <c r="AD3" s="16">
        <f t="shared" si="9"/>
        <v>18</v>
      </c>
      <c r="AE3" s="8">
        <f t="shared" si="10"/>
        <v>16</v>
      </c>
      <c r="AF3" s="18">
        <f t="shared" si="11"/>
        <v>7552</v>
      </c>
      <c r="AG3" s="18">
        <f t="shared" si="12"/>
        <v>2454.4</v>
      </c>
      <c r="AH3" s="18" t="e">
        <f t="shared" si="13"/>
        <v>#N/A</v>
      </c>
      <c r="AI3" s="2"/>
      <c r="AJ3" s="2"/>
    </row>
    <row r="4" spans="1:36" ht="15.95" customHeight="1" x14ac:dyDescent="0.35">
      <c r="A4" s="8" t="s">
        <v>70</v>
      </c>
      <c r="B4" s="8" t="s">
        <v>46</v>
      </c>
      <c r="C4" s="36" t="e">
        <f>_xlfn.XLOOKUP(B4,Nd!A:A,Nd!E:E)</f>
        <v>#N/A</v>
      </c>
      <c r="D4" s="14">
        <v>40</v>
      </c>
      <c r="E4" s="36" t="e">
        <f t="shared" si="0"/>
        <v>#N/A</v>
      </c>
      <c r="F4" s="9">
        <v>40</v>
      </c>
      <c r="G4" s="9" t="s">
        <v>50</v>
      </c>
      <c r="H4" s="9" t="s">
        <v>51</v>
      </c>
      <c r="I4" s="31">
        <f>1.5*P4*VLOOKUP(G4&amp;H4,bolt_qa!C:D,2,FALSE)</f>
        <v>121.5</v>
      </c>
      <c r="J4" s="37" t="e">
        <f t="shared" si="1"/>
        <v>#N/A</v>
      </c>
      <c r="K4" s="8">
        <v>20</v>
      </c>
      <c r="L4" s="8">
        <v>5</v>
      </c>
      <c r="M4" s="8">
        <v>60</v>
      </c>
      <c r="N4" s="8">
        <v>19</v>
      </c>
      <c r="O4" s="37">
        <f t="shared" si="2"/>
        <v>260</v>
      </c>
      <c r="P4" s="8">
        <v>2</v>
      </c>
      <c r="Q4" s="37">
        <f t="shared" si="3"/>
        <v>6232</v>
      </c>
      <c r="R4" s="8">
        <v>325</v>
      </c>
      <c r="S4" s="37">
        <f t="shared" si="4"/>
        <v>2025.4</v>
      </c>
      <c r="T4" s="38" t="e">
        <f t="shared" si="5"/>
        <v>#N/A</v>
      </c>
      <c r="U4" s="8" t="e">
        <f t="shared" si="6"/>
        <v>#N/A</v>
      </c>
      <c r="V4" s="1"/>
      <c r="W4" s="16" t="str">
        <f t="shared" si="7"/>
        <v>G34B</v>
      </c>
      <c r="X4" s="16" t="str">
        <f t="shared" si="7"/>
        <v>V1</v>
      </c>
      <c r="Y4" s="19" t="e">
        <f t="shared" si="7"/>
        <v>#N/A</v>
      </c>
      <c r="Z4" s="19" t="e">
        <f t="shared" si="8"/>
        <v>#N/A</v>
      </c>
      <c r="AA4" s="19">
        <f t="shared" si="8"/>
        <v>40</v>
      </c>
      <c r="AB4" s="16">
        <f t="shared" si="9"/>
        <v>121.5</v>
      </c>
      <c r="AC4" s="16" t="e">
        <f t="shared" si="9"/>
        <v>#N/A</v>
      </c>
      <c r="AD4" s="16">
        <f t="shared" si="9"/>
        <v>20</v>
      </c>
      <c r="AE4" s="8">
        <f t="shared" si="10"/>
        <v>19</v>
      </c>
      <c r="AF4" s="18">
        <f t="shared" si="11"/>
        <v>6232</v>
      </c>
      <c r="AG4" s="18">
        <f t="shared" si="12"/>
        <v>2025.4</v>
      </c>
      <c r="AH4" s="18" t="e">
        <f t="shared" si="13"/>
        <v>#N/A</v>
      </c>
      <c r="AI4" s="2"/>
      <c r="AJ4" s="2"/>
    </row>
    <row r="5" spans="1:36" ht="15.95" customHeight="1" x14ac:dyDescent="0.35">
      <c r="A5" s="8" t="s">
        <v>71</v>
      </c>
      <c r="B5" s="8" t="s">
        <v>65</v>
      </c>
      <c r="C5" s="36" t="e">
        <f>_xlfn.XLOOKUP(B5,Nd!A:A,Nd!E:E)</f>
        <v>#N/A</v>
      </c>
      <c r="D5" s="14">
        <v>40</v>
      </c>
      <c r="E5" s="36" t="e">
        <f t="shared" si="0"/>
        <v>#N/A</v>
      </c>
      <c r="F5" s="9">
        <v>80</v>
      </c>
      <c r="G5" s="9" t="s">
        <v>50</v>
      </c>
      <c r="H5" s="9" t="s">
        <v>51</v>
      </c>
      <c r="I5" s="31">
        <f>1.5*P5*VLOOKUP(G5&amp;H5,bolt_qa!C:D,2,FALSE)</f>
        <v>121.5</v>
      </c>
      <c r="J5" s="37" t="e">
        <f>ROUNDUP(SQRT((E5^2+F5^2)/(I5^2)),0)</f>
        <v>#N/A</v>
      </c>
      <c r="K5" s="8">
        <v>12</v>
      </c>
      <c r="L5" s="8">
        <v>3</v>
      </c>
      <c r="M5" s="8">
        <v>60</v>
      </c>
      <c r="N5" s="8">
        <v>16</v>
      </c>
      <c r="O5" s="37">
        <f t="shared" si="2"/>
        <v>260</v>
      </c>
      <c r="P5" s="8">
        <v>2</v>
      </c>
      <c r="Q5" s="37">
        <f t="shared" si="3"/>
        <v>5248</v>
      </c>
      <c r="R5" s="8">
        <v>235</v>
      </c>
      <c r="S5" s="37">
        <f t="shared" si="4"/>
        <v>1233.28</v>
      </c>
      <c r="T5" s="38" t="e">
        <f t="shared" si="5"/>
        <v>#N/A</v>
      </c>
      <c r="U5" s="8" t="e">
        <f t="shared" si="6"/>
        <v>#N/A</v>
      </c>
      <c r="V5" s="1"/>
      <c r="W5" s="16" t="str">
        <f t="shared" si="7"/>
        <v>G39B</v>
      </c>
      <c r="X5" s="16" t="str">
        <f t="shared" si="7"/>
        <v>V11</v>
      </c>
      <c r="Y5" s="19" t="e">
        <f t="shared" si="7"/>
        <v>#N/A</v>
      </c>
      <c r="Z5" s="19" t="e">
        <f t="shared" si="8"/>
        <v>#N/A</v>
      </c>
      <c r="AA5" s="19">
        <f t="shared" si="8"/>
        <v>80</v>
      </c>
      <c r="AB5" s="16">
        <f t="shared" si="9"/>
        <v>121.5</v>
      </c>
      <c r="AC5" s="16" t="e">
        <f>J5</f>
        <v>#N/A</v>
      </c>
      <c r="AD5" s="16">
        <f t="shared" si="9"/>
        <v>12</v>
      </c>
      <c r="AE5" s="8">
        <f t="shared" si="10"/>
        <v>16</v>
      </c>
      <c r="AF5" s="18">
        <f t="shared" si="11"/>
        <v>5248</v>
      </c>
      <c r="AG5" s="18">
        <f t="shared" si="12"/>
        <v>1233.28</v>
      </c>
      <c r="AH5" s="18" t="e">
        <f>U5</f>
        <v>#N/A</v>
      </c>
      <c r="AI5" s="2"/>
      <c r="AJ5" s="2"/>
    </row>
    <row r="6" spans="1:36" ht="15.95" customHeight="1" x14ac:dyDescent="0.35">
      <c r="A6" s="8" t="s">
        <v>72</v>
      </c>
      <c r="B6" s="8" t="s">
        <v>66</v>
      </c>
      <c r="C6" s="36" t="e">
        <f>_xlfn.XLOOKUP(B6,Nd!A:A,Nd!E:E)</f>
        <v>#N/A</v>
      </c>
      <c r="D6" s="14">
        <v>40</v>
      </c>
      <c r="E6" s="36" t="e">
        <f t="shared" si="0"/>
        <v>#N/A</v>
      </c>
      <c r="F6" s="9">
        <v>40</v>
      </c>
      <c r="G6" s="9" t="s">
        <v>50</v>
      </c>
      <c r="H6" s="9" t="s">
        <v>51</v>
      </c>
      <c r="I6" s="31">
        <f>1.5*P6*VLOOKUP(G6&amp;H6,bolt_qa!C:D,2,FALSE)</f>
        <v>121.5</v>
      </c>
      <c r="J6" s="37" t="e">
        <f t="shared" si="1"/>
        <v>#N/A</v>
      </c>
      <c r="K6" s="8">
        <v>6</v>
      </c>
      <c r="L6" s="8">
        <v>2</v>
      </c>
      <c r="M6" s="8">
        <v>60</v>
      </c>
      <c r="N6" s="8">
        <v>12</v>
      </c>
      <c r="O6" s="37">
        <f t="shared" si="2"/>
        <v>200</v>
      </c>
      <c r="P6" s="8">
        <v>2</v>
      </c>
      <c r="Q6" s="37">
        <f t="shared" si="3"/>
        <v>3072</v>
      </c>
      <c r="R6" s="8">
        <v>235</v>
      </c>
      <c r="S6" s="37">
        <f t="shared" si="4"/>
        <v>721.92</v>
      </c>
      <c r="T6" s="38" t="e">
        <f t="shared" si="5"/>
        <v>#N/A</v>
      </c>
      <c r="U6" s="8" t="e">
        <f t="shared" si="6"/>
        <v>#N/A</v>
      </c>
      <c r="V6" s="1"/>
      <c r="W6" s="16" t="str">
        <f t="shared" si="7"/>
        <v>G24B</v>
      </c>
      <c r="X6" s="16" t="str">
        <f t="shared" si="7"/>
        <v>V12</v>
      </c>
      <c r="Y6" s="19" t="e">
        <f t="shared" si="7"/>
        <v>#N/A</v>
      </c>
      <c r="Z6" s="19" t="e">
        <f t="shared" si="8"/>
        <v>#N/A</v>
      </c>
      <c r="AA6" s="19">
        <f t="shared" si="8"/>
        <v>40</v>
      </c>
      <c r="AB6" s="16">
        <f t="shared" si="9"/>
        <v>121.5</v>
      </c>
      <c r="AC6" s="16" t="e">
        <f t="shared" si="9"/>
        <v>#N/A</v>
      </c>
      <c r="AD6" s="16">
        <f t="shared" si="9"/>
        <v>6</v>
      </c>
      <c r="AE6" s="8">
        <f t="shared" si="10"/>
        <v>12</v>
      </c>
      <c r="AF6" s="18">
        <f t="shared" si="11"/>
        <v>3072</v>
      </c>
      <c r="AG6" s="18">
        <f t="shared" si="12"/>
        <v>721.92</v>
      </c>
      <c r="AH6" s="18" t="e">
        <f t="shared" si="13"/>
        <v>#N/A</v>
      </c>
      <c r="AI6" s="2"/>
      <c r="AJ6" s="2"/>
    </row>
  </sheetData>
  <phoneticPr fontId="1"/>
  <conditionalFormatting sqref="U2:U6 AH2:AH6">
    <cfRule type="containsText" dxfId="13" priority="1" operator="containsText" text="NG">
      <formula>NOT(ISERROR(SEARCH("NG",U2)))</formula>
    </cfRule>
    <cfRule type="containsText" dxfId="12" priority="2" operator="containsText" text="OK">
      <formula>NOT(ISERROR(SEARCH("OK",U2)))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3559-017D-4C60-AD87-0E8D1C842B57}">
  <dimension ref="A1:J7"/>
  <sheetViews>
    <sheetView zoomScale="160" zoomScaleNormal="160" workbookViewId="0">
      <selection activeCell="A2" sqref="A2:J2"/>
    </sheetView>
  </sheetViews>
  <sheetFormatPr defaultColWidth="12.7109375" defaultRowHeight="15.95" customHeight="1" x14ac:dyDescent="0.2"/>
  <sheetData>
    <row r="1" spans="1:10" ht="33" x14ac:dyDescent="0.35">
      <c r="A1" s="7" t="s">
        <v>1</v>
      </c>
      <c r="B1" s="13" t="s">
        <v>74</v>
      </c>
      <c r="C1" s="7" t="s">
        <v>59</v>
      </c>
      <c r="D1" s="7" t="s">
        <v>60</v>
      </c>
      <c r="E1" s="7" t="s">
        <v>61</v>
      </c>
      <c r="F1" s="15" t="s">
        <v>35</v>
      </c>
      <c r="G1" s="7" t="s">
        <v>0</v>
      </c>
      <c r="H1" s="15" t="s">
        <v>36</v>
      </c>
      <c r="I1" s="15" t="s">
        <v>5</v>
      </c>
      <c r="J1" s="15" t="s">
        <v>6</v>
      </c>
    </row>
    <row r="2" spans="1:10" ht="15.95" customHeight="1" x14ac:dyDescent="0.35">
      <c r="A2" s="31" t="str">
        <f>Nd!A2</f>
        <v>HV1</v>
      </c>
      <c r="B2" s="36">
        <f>Nd!H2</f>
        <v>479.4</v>
      </c>
      <c r="C2" s="37" t="str">
        <f>bolt_y!C2</f>
        <v>S10T</v>
      </c>
      <c r="D2" s="37" t="str">
        <f>bolt_y!D2</f>
        <v>M20</v>
      </c>
      <c r="E2" s="37">
        <f>bolt_y!E2</f>
        <v>1</v>
      </c>
      <c r="F2" s="31">
        <f>1.5*E2*VLOOKUP(C2&amp;D2,bolt_qa!C:E,3,FALSE)</f>
        <v>282</v>
      </c>
      <c r="G2" s="37">
        <f>bolt_y!G2</f>
        <v>5</v>
      </c>
      <c r="H2" s="37">
        <f t="shared" ref="H2:H7" si="0">F2*G2</f>
        <v>1410</v>
      </c>
      <c r="I2" s="38">
        <f t="shared" ref="I2:I7" si="1">B2/H2</f>
        <v>0.33999999999999997</v>
      </c>
      <c r="J2" s="8" t="str">
        <f t="shared" ref="J2:J7" si="2">IF(I2&lt;1, "OK", "NG")</f>
        <v>OK</v>
      </c>
    </row>
    <row r="3" spans="1:10" ht="15.95" customHeight="1" x14ac:dyDescent="0.35">
      <c r="A3" s="31" t="str">
        <f>Nd!A3</f>
        <v>HV2</v>
      </c>
      <c r="B3" s="36">
        <f>Nd!H3</f>
        <v>153.6</v>
      </c>
      <c r="C3" s="37" t="str">
        <f>bolt_y!C3</f>
        <v>S10T</v>
      </c>
      <c r="D3" s="37" t="str">
        <f>bolt_y!D3</f>
        <v>M22</v>
      </c>
      <c r="E3" s="37">
        <f>bolt_y!E3</f>
        <v>1</v>
      </c>
      <c r="F3" s="31">
        <f>1.5*E3*VLOOKUP(C3&amp;D3,bolt_qa!C:E,3,FALSE)</f>
        <v>342</v>
      </c>
      <c r="G3" s="37">
        <f>bolt_y!G3</f>
        <v>1</v>
      </c>
      <c r="H3" s="37">
        <f t="shared" si="0"/>
        <v>342</v>
      </c>
      <c r="I3" s="38">
        <f t="shared" si="1"/>
        <v>0.44912280701754387</v>
      </c>
      <c r="J3" s="8" t="str">
        <f t="shared" si="2"/>
        <v>OK</v>
      </c>
    </row>
    <row r="4" spans="1:10" ht="15.95" customHeight="1" x14ac:dyDescent="0.35">
      <c r="A4" s="31">
        <f>Nd!A4</f>
        <v>0</v>
      </c>
      <c r="B4" s="36">
        <f>Nd!H4</f>
        <v>0</v>
      </c>
      <c r="C4" s="37">
        <f>bolt_y!C4</f>
        <v>0</v>
      </c>
      <c r="D4" s="37">
        <f>bolt_y!D4</f>
        <v>0</v>
      </c>
      <c r="E4" s="37">
        <f>bolt_y!E4</f>
        <v>0</v>
      </c>
      <c r="F4" s="31" t="e">
        <f>1.5*E4*VLOOKUP(C4&amp;D4,bolt_qa!C:E,3,FALSE)</f>
        <v>#N/A</v>
      </c>
      <c r="G4" s="37">
        <f>bolt_y!G4</f>
        <v>0</v>
      </c>
      <c r="H4" s="37" t="e">
        <f t="shared" si="0"/>
        <v>#N/A</v>
      </c>
      <c r="I4" s="38" t="e">
        <f t="shared" si="1"/>
        <v>#N/A</v>
      </c>
      <c r="J4" s="8" t="e">
        <f t="shared" si="2"/>
        <v>#N/A</v>
      </c>
    </row>
    <row r="5" spans="1:10" ht="15.95" customHeight="1" x14ac:dyDescent="0.35">
      <c r="A5" s="31">
        <f>Nd!A5</f>
        <v>0</v>
      </c>
      <c r="B5" s="36">
        <f>Nd!H5</f>
        <v>0</v>
      </c>
      <c r="C5" s="37">
        <f>bolt_y!C5</f>
        <v>0</v>
      </c>
      <c r="D5" s="37">
        <f>bolt_y!D5</f>
        <v>0</v>
      </c>
      <c r="E5" s="37">
        <f>bolt_y!E5</f>
        <v>0</v>
      </c>
      <c r="F5" s="31" t="e">
        <f>1.5*E5*VLOOKUP(C5&amp;D5,bolt_qa!C:E,3,FALSE)</f>
        <v>#N/A</v>
      </c>
      <c r="G5" s="37">
        <f>bolt_y!G5</f>
        <v>0</v>
      </c>
      <c r="H5" s="37" t="e">
        <f t="shared" si="0"/>
        <v>#N/A</v>
      </c>
      <c r="I5" s="38" t="e">
        <f t="shared" si="1"/>
        <v>#N/A</v>
      </c>
      <c r="J5" s="8" t="e">
        <f t="shared" si="2"/>
        <v>#N/A</v>
      </c>
    </row>
    <row r="6" spans="1:10" ht="15.95" customHeight="1" x14ac:dyDescent="0.35">
      <c r="A6" s="31">
        <f>Nd!A6</f>
        <v>0</v>
      </c>
      <c r="B6" s="36">
        <f>Nd!H6</f>
        <v>0</v>
      </c>
      <c r="C6" s="37">
        <f>bolt_y!C6</f>
        <v>0</v>
      </c>
      <c r="D6" s="37">
        <f>bolt_y!D6</f>
        <v>0</v>
      </c>
      <c r="E6" s="37">
        <f>bolt_y!E6</f>
        <v>0</v>
      </c>
      <c r="F6" s="31" t="e">
        <f>1.5*E6*VLOOKUP(C6&amp;D6,bolt_qa!C:E,3,FALSE)</f>
        <v>#N/A</v>
      </c>
      <c r="G6" s="37">
        <v>8</v>
      </c>
      <c r="H6" s="37" t="e">
        <f t="shared" si="0"/>
        <v>#N/A</v>
      </c>
      <c r="I6" s="38" t="e">
        <f t="shared" si="1"/>
        <v>#N/A</v>
      </c>
      <c r="J6" s="8" t="e">
        <f t="shared" si="2"/>
        <v>#N/A</v>
      </c>
    </row>
    <row r="7" spans="1:10" ht="15.95" customHeight="1" x14ac:dyDescent="0.35">
      <c r="A7" s="31">
        <f>Nd!A7</f>
        <v>0</v>
      </c>
      <c r="B7" s="36">
        <f>Nd!H7</f>
        <v>0</v>
      </c>
      <c r="C7" s="37">
        <f>bolt_y!C7</f>
        <v>0</v>
      </c>
      <c r="D7" s="37">
        <f>bolt_y!D7</f>
        <v>0</v>
      </c>
      <c r="E7" s="37">
        <f>bolt_y!E7</f>
        <v>0</v>
      </c>
      <c r="F7" s="31" t="e">
        <f>1.5*E7*VLOOKUP(C7&amp;D7,bolt_qa!C:E,3,FALSE)</f>
        <v>#N/A</v>
      </c>
      <c r="G7" s="37">
        <v>9</v>
      </c>
      <c r="H7" s="37" t="e">
        <f t="shared" si="0"/>
        <v>#N/A</v>
      </c>
      <c r="I7" s="38" t="e">
        <f t="shared" si="1"/>
        <v>#N/A</v>
      </c>
      <c r="J7" s="8" t="e">
        <f t="shared" si="2"/>
        <v>#N/A</v>
      </c>
    </row>
  </sheetData>
  <phoneticPr fontId="1"/>
  <conditionalFormatting sqref="J2:J7">
    <cfRule type="containsText" dxfId="11" priority="1" operator="containsText" text="NG">
      <formula>NOT(ISERROR(SEARCH("NG",J2)))</formula>
    </cfRule>
    <cfRule type="containsText" dxfId="10" priority="2" operator="containsText" text="OK">
      <formula>NOT(ISERROR(SEARCH("OK",J2)))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3B7A-61CE-4972-8821-F3586CF779F9}">
  <dimension ref="A1:G7"/>
  <sheetViews>
    <sheetView tabSelected="1" zoomScale="160" zoomScaleNormal="160" workbookViewId="0">
      <selection activeCell="A2" sqref="A2:G2"/>
    </sheetView>
  </sheetViews>
  <sheetFormatPr defaultColWidth="12.7109375" defaultRowHeight="15.95" customHeight="1" x14ac:dyDescent="0.2"/>
  <sheetData>
    <row r="1" spans="1:7" ht="15.95" customHeight="1" x14ac:dyDescent="0.35">
      <c r="A1" s="7" t="s">
        <v>1</v>
      </c>
      <c r="B1" s="13" t="s">
        <v>74</v>
      </c>
      <c r="C1" s="7" t="s">
        <v>11</v>
      </c>
      <c r="D1" s="7" t="s">
        <v>37</v>
      </c>
      <c r="E1" s="7" t="s">
        <v>38</v>
      </c>
      <c r="F1" s="7" t="s">
        <v>5</v>
      </c>
      <c r="G1" s="7" t="s">
        <v>6</v>
      </c>
    </row>
    <row r="2" spans="1:7" ht="15.95" customHeight="1" x14ac:dyDescent="0.35">
      <c r="A2" s="31" t="str">
        <f>Nd!A2</f>
        <v>HV1</v>
      </c>
      <c r="B2" s="36">
        <f>Nd!H2</f>
        <v>479.4</v>
      </c>
      <c r="C2" s="33">
        <f>gpl_y!E2</f>
        <v>13.23</v>
      </c>
      <c r="D2" s="8">
        <v>400</v>
      </c>
      <c r="E2" s="36">
        <f t="shared" ref="E2:E7" si="0">D2*C2*100/1000</f>
        <v>529.20000000000005</v>
      </c>
      <c r="F2" s="38">
        <f>B2/E2</f>
        <v>0.90589569160997718</v>
      </c>
      <c r="G2" s="8" t="str">
        <f t="shared" ref="G2:G7" si="1">IF(F2&lt;1, "OK", "NG")</f>
        <v>OK</v>
      </c>
    </row>
    <row r="3" spans="1:7" ht="15.95" customHeight="1" x14ac:dyDescent="0.35">
      <c r="A3" s="31" t="str">
        <f>Nd!A3</f>
        <v>HV2</v>
      </c>
      <c r="B3" s="36">
        <f>Nd!H3</f>
        <v>153.6</v>
      </c>
      <c r="C3" s="33">
        <f>gpl_y!E3</f>
        <v>5.49</v>
      </c>
      <c r="D3" s="8">
        <v>400</v>
      </c>
      <c r="E3" s="36">
        <f t="shared" si="0"/>
        <v>219.6</v>
      </c>
      <c r="F3" s="38">
        <f t="shared" ref="F3:F7" si="2">B3/E3</f>
        <v>0.69945355191256831</v>
      </c>
      <c r="G3" s="8" t="str">
        <f t="shared" si="1"/>
        <v>OK</v>
      </c>
    </row>
    <row r="4" spans="1:7" ht="15.95" customHeight="1" x14ac:dyDescent="0.35">
      <c r="A4" s="31">
        <f>Nd!A4</f>
        <v>0</v>
      </c>
      <c r="B4" s="36">
        <f>Nd!H4</f>
        <v>0</v>
      </c>
      <c r="C4" s="33">
        <f>gpl_y!E4</f>
        <v>0</v>
      </c>
      <c r="D4" s="8">
        <v>490</v>
      </c>
      <c r="E4" s="36">
        <f t="shared" si="0"/>
        <v>0</v>
      </c>
      <c r="F4" s="38" t="e">
        <f t="shared" si="2"/>
        <v>#DIV/0!</v>
      </c>
      <c r="G4" s="8" t="e">
        <f t="shared" si="1"/>
        <v>#DIV/0!</v>
      </c>
    </row>
    <row r="5" spans="1:7" ht="15.95" customHeight="1" x14ac:dyDescent="0.35">
      <c r="A5" s="31">
        <f>Nd!A5</f>
        <v>0</v>
      </c>
      <c r="B5" s="36">
        <f>Nd!H5</f>
        <v>0</v>
      </c>
      <c r="C5" s="33">
        <f>gpl_y!E5</f>
        <v>0</v>
      </c>
      <c r="D5" s="8">
        <v>490</v>
      </c>
      <c r="E5" s="36">
        <f t="shared" si="0"/>
        <v>0</v>
      </c>
      <c r="F5" s="38" t="e">
        <f t="shared" si="2"/>
        <v>#DIV/0!</v>
      </c>
      <c r="G5" s="8" t="e">
        <f t="shared" si="1"/>
        <v>#DIV/0!</v>
      </c>
    </row>
    <row r="6" spans="1:7" ht="15.95" customHeight="1" x14ac:dyDescent="0.35">
      <c r="A6" s="31">
        <f>Nd!A6</f>
        <v>0</v>
      </c>
      <c r="B6" s="36">
        <f>Nd!H6</f>
        <v>0</v>
      </c>
      <c r="C6" s="33">
        <f>gpl_y!E6</f>
        <v>0</v>
      </c>
      <c r="D6" s="8">
        <v>490</v>
      </c>
      <c r="E6" s="36">
        <f t="shared" si="0"/>
        <v>0</v>
      </c>
      <c r="F6" s="38" t="e">
        <f t="shared" si="2"/>
        <v>#DIV/0!</v>
      </c>
      <c r="G6" s="8" t="e">
        <f t="shared" si="1"/>
        <v>#DIV/0!</v>
      </c>
    </row>
    <row r="7" spans="1:7" ht="15.95" customHeight="1" x14ac:dyDescent="0.35">
      <c r="A7" s="31">
        <f>Nd!A7</f>
        <v>0</v>
      </c>
      <c r="B7" s="36">
        <f>Nd!H7</f>
        <v>0</v>
      </c>
      <c r="C7" s="33">
        <f>gpl_y!E7</f>
        <v>0</v>
      </c>
      <c r="D7" s="8">
        <v>490</v>
      </c>
      <c r="E7" s="36">
        <f t="shared" si="0"/>
        <v>0</v>
      </c>
      <c r="F7" s="38" t="e">
        <f t="shared" si="2"/>
        <v>#DIV/0!</v>
      </c>
      <c r="G7" s="8" t="e">
        <f t="shared" si="1"/>
        <v>#DIV/0!</v>
      </c>
    </row>
  </sheetData>
  <phoneticPr fontId="1"/>
  <conditionalFormatting sqref="G2:G7">
    <cfRule type="containsText" dxfId="9" priority="1" operator="containsText" text="NG">
      <formula>NOT(ISERROR(SEARCH("NG",G2)))</formula>
    </cfRule>
    <cfRule type="containsText" dxfId="8" priority="2" operator="containsText" text="OK">
      <formula>NOT(ISERROR(SEARCH("OK",G2)))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E361-ED6F-4B3B-89DF-4B973A4AF614}">
  <dimension ref="A1:G7"/>
  <sheetViews>
    <sheetView zoomScale="175" zoomScaleNormal="175" workbookViewId="0">
      <selection activeCell="E3" sqref="E3"/>
    </sheetView>
  </sheetViews>
  <sheetFormatPr defaultColWidth="12.7109375" defaultRowHeight="15.95" customHeight="1" x14ac:dyDescent="0.2"/>
  <sheetData>
    <row r="1" spans="1:7" ht="15.95" customHeight="1" x14ac:dyDescent="0.35">
      <c r="A1" s="3" t="s">
        <v>1</v>
      </c>
      <c r="B1" s="13" t="s">
        <v>74</v>
      </c>
      <c r="C1" s="3" t="s">
        <v>39</v>
      </c>
      <c r="D1" s="3" t="s">
        <v>40</v>
      </c>
      <c r="E1" s="3" t="s">
        <v>41</v>
      </c>
      <c r="F1" s="3" t="s">
        <v>5</v>
      </c>
      <c r="G1" s="3" t="s">
        <v>6</v>
      </c>
    </row>
    <row r="2" spans="1:7" ht="15.95" customHeight="1" x14ac:dyDescent="0.35">
      <c r="A2" s="31" t="str">
        <f>Nd!A2</f>
        <v>HV1</v>
      </c>
      <c r="B2" s="36">
        <f>Nd!H2</f>
        <v>479.4</v>
      </c>
      <c r="C2" s="35">
        <f>weld_y!E2*weld_y!G2/100</f>
        <v>23.127999999999997</v>
      </c>
      <c r="D2" s="5">
        <f>400/SQRT(3)</f>
        <v>230.94010767585033</v>
      </c>
      <c r="E2" s="29">
        <f t="shared" ref="E2:E7" si="0">D2*C2*100/1000</f>
        <v>534.11828103270648</v>
      </c>
      <c r="F2" s="32">
        <f>B2/E2</f>
        <v>0.89755400072263047</v>
      </c>
      <c r="G2" s="4" t="str">
        <f t="shared" ref="G2:G7" si="1">IF(F2&lt;1, "OK", "NG")</f>
        <v>OK</v>
      </c>
    </row>
    <row r="3" spans="1:7" ht="15.95" customHeight="1" x14ac:dyDescent="0.35">
      <c r="A3" s="31" t="str">
        <f>Nd!A3</f>
        <v>HV2</v>
      </c>
      <c r="B3" s="36">
        <f>Nd!H3</f>
        <v>153.6</v>
      </c>
      <c r="C3" s="35">
        <f>weld_y!E3*weld_y!G3/100</f>
        <v>8.427999999999999</v>
      </c>
      <c r="D3" s="5">
        <f>400/SQRT(3)</f>
        <v>230.94010767585033</v>
      </c>
      <c r="E3" s="29">
        <f t="shared" si="0"/>
        <v>194.63632274920661</v>
      </c>
      <c r="F3" s="32">
        <f t="shared" ref="F3:F7" si="2">B3/E3</f>
        <v>0.78916410786242164</v>
      </c>
      <c r="G3" s="4" t="str">
        <f t="shared" si="1"/>
        <v>OK</v>
      </c>
    </row>
    <row r="4" spans="1:7" ht="15.95" customHeight="1" x14ac:dyDescent="0.35">
      <c r="A4" s="31">
        <f>Nd!A4</f>
        <v>0</v>
      </c>
      <c r="B4" s="36">
        <f>Nd!H4</f>
        <v>0</v>
      </c>
      <c r="C4" s="35">
        <f>weld_y!E4*weld_y!G4/100</f>
        <v>140.44799999999998</v>
      </c>
      <c r="D4" s="5">
        <f t="shared" ref="D4:D7" si="3">490/SQRT(3)</f>
        <v>282.90163190291662</v>
      </c>
      <c r="E4" s="29">
        <f t="shared" si="0"/>
        <v>3973.2968397500831</v>
      </c>
      <c r="F4" s="32">
        <f t="shared" si="2"/>
        <v>0</v>
      </c>
      <c r="G4" s="4" t="str">
        <f t="shared" si="1"/>
        <v>OK</v>
      </c>
    </row>
    <row r="5" spans="1:7" ht="15.95" customHeight="1" x14ac:dyDescent="0.35">
      <c r="A5" s="31">
        <f>Nd!A5</f>
        <v>0</v>
      </c>
      <c r="B5" s="36">
        <f>Nd!H5</f>
        <v>0</v>
      </c>
      <c r="C5" s="35">
        <f>weld_y!E5*weld_y!G5/100</f>
        <v>79.967999999999989</v>
      </c>
      <c r="D5" s="5">
        <f t="shared" si="3"/>
        <v>282.90163190291662</v>
      </c>
      <c r="E5" s="29">
        <f t="shared" si="0"/>
        <v>2262.3077700012432</v>
      </c>
      <c r="F5" s="32">
        <f t="shared" si="2"/>
        <v>0</v>
      </c>
      <c r="G5" s="4" t="str">
        <f t="shared" si="1"/>
        <v>OK</v>
      </c>
    </row>
    <row r="6" spans="1:7" ht="15.95" customHeight="1" x14ac:dyDescent="0.35">
      <c r="A6" s="31">
        <f>Nd!A6</f>
        <v>0</v>
      </c>
      <c r="B6" s="36">
        <f>Nd!H6</f>
        <v>0</v>
      </c>
      <c r="C6" s="35">
        <f>weld_y!E6*weld_y!G6/100</f>
        <v>63.167999999999992</v>
      </c>
      <c r="D6" s="5">
        <f t="shared" si="3"/>
        <v>282.90163190291662</v>
      </c>
      <c r="E6" s="29">
        <f t="shared" si="0"/>
        <v>1787.0330284043434</v>
      </c>
      <c r="F6" s="32">
        <f t="shared" si="2"/>
        <v>0</v>
      </c>
      <c r="G6" s="4" t="str">
        <f t="shared" si="1"/>
        <v>OK</v>
      </c>
    </row>
    <row r="7" spans="1:7" ht="15.95" customHeight="1" x14ac:dyDescent="0.35">
      <c r="A7" s="31">
        <f>Nd!A7</f>
        <v>0</v>
      </c>
      <c r="B7" s="36">
        <f>Nd!H7</f>
        <v>0</v>
      </c>
      <c r="C7" s="35">
        <f>weld_y!E7*weld_y!G7/100</f>
        <v>22.931999999999999</v>
      </c>
      <c r="D7" s="5">
        <f t="shared" si="3"/>
        <v>282.90163190291662</v>
      </c>
      <c r="E7" s="29">
        <f t="shared" si="0"/>
        <v>648.75002227976836</v>
      </c>
      <c r="F7" s="32">
        <f t="shared" si="2"/>
        <v>0</v>
      </c>
      <c r="G7" s="4" t="str">
        <f t="shared" si="1"/>
        <v>OK</v>
      </c>
    </row>
  </sheetData>
  <phoneticPr fontId="1"/>
  <conditionalFormatting sqref="G2:G7">
    <cfRule type="containsText" dxfId="7" priority="1" operator="containsText" text="NG">
      <formula>NOT(ISERROR(SEARCH("NG",G2)))</formula>
    </cfRule>
    <cfRule type="containsText" dxfId="6" priority="2" operator="containsText" text="OK">
      <formula>NOT(ISERROR(SEARCH("OK",G2)))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i</vt:lpstr>
      <vt:lpstr>Nd</vt:lpstr>
      <vt:lpstr>bolt_y</vt:lpstr>
      <vt:lpstr>gpl_y</vt:lpstr>
      <vt:lpstr>weld_y</vt:lpstr>
      <vt:lpstr>beam_y</vt:lpstr>
      <vt:lpstr>bolt_u</vt:lpstr>
      <vt:lpstr>gpl_u</vt:lpstr>
      <vt:lpstr>weld_u</vt:lpstr>
      <vt:lpstr>brace_u</vt:lpstr>
      <vt:lpstr>wcs_y</vt:lpstr>
      <vt:lpstr>wcs_u</vt:lpstr>
      <vt:lpstr>bolt_qa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TSUBOIK</dc:creator>
  <cp:lastModifiedBy>Kota Tsuboi</cp:lastModifiedBy>
  <dcterms:created xsi:type="dcterms:W3CDTF">2023-09-15T08:09:23Z</dcterms:created>
  <dcterms:modified xsi:type="dcterms:W3CDTF">2025-04-09T05:03:34Z</dcterms:modified>
</cp:coreProperties>
</file>