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a44ef2ff30a9bf4/00_24webclamp/00_戸田建設九州支店某案件495/02設計資料/基礎小梁/"/>
    </mc:Choice>
  </mc:AlternateContent>
  <xr:revisionPtr revIDLastSave="291" documentId="11_5EEEADA00B1E2A7B49CA2A72C5B4861EC27AFC8E" xr6:coauthVersionLast="47" xr6:coauthVersionMax="47" xr10:uidLastSave="{C4C90E94-9832-454A-8677-45439071CD3E}"/>
  <bookViews>
    <workbookView xWindow="-110" yWindow="-110" windowWidth="22620" windowHeight="13500" activeTab="4" xr2:uid="{00000000-000D-0000-FFFF-FFFF00000000}"/>
  </bookViews>
  <sheets>
    <sheet name="Fb1" sheetId="1" r:id="rId1"/>
    <sheet name="Fb2" sheetId="24" r:id="rId2"/>
    <sheet name="Fb3" sheetId="28" r:id="rId3"/>
    <sheet name="Fb4" sheetId="26" r:id="rId4"/>
    <sheet name="Fb5" sheetId="27" r:id="rId5"/>
    <sheet name="load" sheetId="14" r:id="rId6"/>
    <sheet name="rebar" sheetId="13" r:id="rId7"/>
  </sheets>
  <definedNames>
    <definedName name="_xlnm.Print_Area" localSheetId="0">'Fb1'!$A$2:$I$27</definedName>
    <definedName name="_xlnm.Print_Area" localSheetId="1">'Fb2'!$A$2:$I$27</definedName>
    <definedName name="_xlnm.Print_Area" localSheetId="2">'Fb3'!$A$2:$I$27</definedName>
    <definedName name="_xlnm.Print_Area" localSheetId="3">'Fb4'!$A$2:$I$27</definedName>
    <definedName name="_xlnm.Print_Area" localSheetId="4">'Fb5'!$A$2:$I$27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4" l="1"/>
  <c r="B27" i="26"/>
  <c r="B27" i="28"/>
  <c r="B27" i="24"/>
  <c r="B27" i="1"/>
  <c r="C8" i="27"/>
  <c r="B27" i="27" s="1"/>
  <c r="C8" i="26"/>
  <c r="C8" i="1"/>
  <c r="A27" i="28"/>
  <c r="A18" i="28"/>
  <c r="A23" i="28" s="1"/>
  <c r="A17" i="28"/>
  <c r="A22" i="28" s="1"/>
  <c r="L13" i="28" a="1"/>
  <c r="L13" i="28" s="1"/>
  <c r="G23" i="28" s="1"/>
  <c r="J13" i="28" a="1"/>
  <c r="J13" i="28" s="1"/>
  <c r="D18" i="28" s="1"/>
  <c r="F13" i="28"/>
  <c r="F18" i="28" s="1"/>
  <c r="A13" i="28"/>
  <c r="L12" i="28" a="1"/>
  <c r="L12" i="28" s="1"/>
  <c r="G22" i="28" s="1"/>
  <c r="J12" i="28" a="1"/>
  <c r="J12" i="28" s="1"/>
  <c r="D17" i="28" s="1"/>
  <c r="F12" i="28"/>
  <c r="F17" i="28" s="1"/>
  <c r="A12" i="28"/>
  <c r="A8" i="28"/>
  <c r="B8" i="28" s="1"/>
  <c r="C8" i="28" s="1"/>
  <c r="B8" i="1"/>
  <c r="A27" i="27"/>
  <c r="L13" i="27" a="1"/>
  <c r="L13" i="27" s="1"/>
  <c r="G23" i="27" s="1"/>
  <c r="J13" i="27" a="1"/>
  <c r="J13" i="27" s="1"/>
  <c r="D18" i="27" s="1"/>
  <c r="F13" i="27"/>
  <c r="F18" i="27" s="1"/>
  <c r="A13" i="27"/>
  <c r="A18" i="27" s="1"/>
  <c r="A23" i="27" s="1"/>
  <c r="L12" i="27" a="1"/>
  <c r="L12" i="27" s="1"/>
  <c r="G22" i="27" s="1"/>
  <c r="J12" i="27" a="1"/>
  <c r="J12" i="27" s="1"/>
  <c r="D17" i="27" s="1"/>
  <c r="F12" i="27"/>
  <c r="F17" i="27" s="1"/>
  <c r="A12" i="27"/>
  <c r="A17" i="27" s="1"/>
  <c r="A22" i="27" s="1"/>
  <c r="A8" i="27"/>
  <c r="B8" i="27" s="1"/>
  <c r="A27" i="26"/>
  <c r="L13" i="26" a="1"/>
  <c r="L13" i="26" s="1"/>
  <c r="G23" i="26" s="1"/>
  <c r="J13" i="26" a="1"/>
  <c r="J13" i="26" s="1"/>
  <c r="D18" i="26" s="1"/>
  <c r="F13" i="26"/>
  <c r="F18" i="26" s="1"/>
  <c r="A13" i="26"/>
  <c r="A18" i="26" s="1"/>
  <c r="A23" i="26" s="1"/>
  <c r="L12" i="26" a="1"/>
  <c r="L12" i="26" s="1"/>
  <c r="G22" i="26" s="1"/>
  <c r="J12" i="26" a="1"/>
  <c r="J12" i="26" s="1"/>
  <c r="D17" i="26" s="1"/>
  <c r="F12" i="26"/>
  <c r="F17" i="26" s="1"/>
  <c r="A12" i="26"/>
  <c r="A17" i="26" s="1"/>
  <c r="A22" i="26" s="1"/>
  <c r="A8" i="26"/>
  <c r="A27" i="24"/>
  <c r="L13" i="24" a="1"/>
  <c r="L13" i="24" s="1"/>
  <c r="G23" i="24" s="1"/>
  <c r="J13" i="24" a="1"/>
  <c r="J13" i="24" s="1"/>
  <c r="D18" i="24" s="1"/>
  <c r="F13" i="24"/>
  <c r="F18" i="24" s="1"/>
  <c r="A13" i="24"/>
  <c r="A18" i="24" s="1"/>
  <c r="A23" i="24" s="1"/>
  <c r="L12" i="24" a="1"/>
  <c r="L12" i="24" s="1"/>
  <c r="G22" i="24" s="1"/>
  <c r="J12" i="24" a="1"/>
  <c r="J12" i="24" s="1"/>
  <c r="D17" i="24" s="1"/>
  <c r="F12" i="24"/>
  <c r="F17" i="24" s="1"/>
  <c r="A12" i="24"/>
  <c r="A17" i="24" s="1"/>
  <c r="A22" i="24" s="1"/>
  <c r="A8" i="24"/>
  <c r="G22" i="1"/>
  <c r="B8" i="26" l="1"/>
  <c r="B8" i="24"/>
  <c r="F8" i="24" s="1"/>
  <c r="G23" i="1"/>
  <c r="L13" i="1" a="1"/>
  <c r="L13" i="1" s="1"/>
  <c r="L12" i="1" a="1"/>
  <c r="L12" i="1" s="1"/>
  <c r="J13" i="1" a="1"/>
  <c r="J13" i="1" s="1"/>
  <c r="D18" i="1" s="1"/>
  <c r="J12" i="1" a="1"/>
  <c r="J12" i="1" s="1"/>
  <c r="D17" i="1" s="1"/>
  <c r="F13" i="1"/>
  <c r="F12" i="1"/>
  <c r="A13" i="1"/>
  <c r="A18" i="1" s="1"/>
  <c r="A23" i="1" s="1"/>
  <c r="A12" i="1"/>
  <c r="A17" i="1" s="1"/>
  <c r="A22" i="1" s="1"/>
  <c r="A27" i="1"/>
  <c r="A8" i="1"/>
  <c r="C27" i="28" l="1"/>
  <c r="D27" i="28" s="1"/>
  <c r="F8" i="28"/>
  <c r="D8" i="28"/>
  <c r="E8" i="28"/>
  <c r="C27" i="27"/>
  <c r="D27" i="27" s="1"/>
  <c r="D8" i="27"/>
  <c r="E8" i="27"/>
  <c r="F8" i="27"/>
  <c r="D8" i="26"/>
  <c r="C27" i="26"/>
  <c r="D27" i="26" s="1"/>
  <c r="E8" i="26"/>
  <c r="F8" i="26"/>
  <c r="C22" i="24"/>
  <c r="B23" i="24"/>
  <c r="C23" i="24" s="1"/>
  <c r="B22" i="24"/>
  <c r="D8" i="24"/>
  <c r="C27" i="24"/>
  <c r="D27" i="24" s="1"/>
  <c r="E8" i="24"/>
  <c r="D8" i="1"/>
  <c r="G8" i="27" l="1"/>
  <c r="H8" i="27"/>
  <c r="B17" i="27" s="1"/>
  <c r="H8" i="26"/>
  <c r="B17" i="26" s="1"/>
  <c r="G8" i="26"/>
  <c r="G8" i="24"/>
  <c r="B18" i="24" s="1"/>
  <c r="H8" i="28"/>
  <c r="B17" i="28" s="1"/>
  <c r="H8" i="24"/>
  <c r="B17" i="24" s="1"/>
  <c r="D22" i="24" s="1"/>
  <c r="E22" i="24" s="1"/>
  <c r="F22" i="24" s="1"/>
  <c r="I22" i="24" s="1"/>
  <c r="G8" i="28"/>
  <c r="B18" i="28" s="1"/>
  <c r="C18" i="28" s="1"/>
  <c r="C22" i="28"/>
  <c r="B22" i="28"/>
  <c r="B23" i="28"/>
  <c r="C23" i="28" s="1"/>
  <c r="B23" i="27"/>
  <c r="C23" i="27" s="1"/>
  <c r="B22" i="27"/>
  <c r="C22" i="27"/>
  <c r="B18" i="27"/>
  <c r="C22" i="26"/>
  <c r="B23" i="26"/>
  <c r="C23" i="26" s="1"/>
  <c r="B22" i="26"/>
  <c r="B18" i="26"/>
  <c r="F8" i="1"/>
  <c r="E8" i="1"/>
  <c r="G8" i="1" s="1"/>
  <c r="C27" i="1"/>
  <c r="D27" i="1" s="1"/>
  <c r="F17" i="1"/>
  <c r="F18" i="1"/>
  <c r="D22" i="27" l="1"/>
  <c r="E22" i="27" s="1"/>
  <c r="F22" i="27" s="1"/>
  <c r="I22" i="27" s="1"/>
  <c r="C17" i="27"/>
  <c r="E17" i="27" s="1"/>
  <c r="G17" i="27" s="1"/>
  <c r="C17" i="26"/>
  <c r="D22" i="26"/>
  <c r="E22" i="26" s="1"/>
  <c r="F22" i="26" s="1"/>
  <c r="I22" i="26" s="1"/>
  <c r="C17" i="28"/>
  <c r="E17" i="28" s="1"/>
  <c r="G17" i="28" s="1"/>
  <c r="D22" i="28"/>
  <c r="E22" i="28" s="1"/>
  <c r="F22" i="28" s="1"/>
  <c r="I22" i="28" s="1"/>
  <c r="H8" i="1"/>
  <c r="B17" i="1" s="1"/>
  <c r="C17" i="24"/>
  <c r="E17" i="24" s="1"/>
  <c r="G17" i="24" s="1"/>
  <c r="E18" i="28"/>
  <c r="G18" i="28" s="1"/>
  <c r="D23" i="28"/>
  <c r="E23" i="28" s="1"/>
  <c r="F23" i="28" s="1"/>
  <c r="I23" i="28" s="1"/>
  <c r="C22" i="1"/>
  <c r="B22" i="1"/>
  <c r="D23" i="27"/>
  <c r="E23" i="27" s="1"/>
  <c r="F23" i="27" s="1"/>
  <c r="I23" i="27" s="1"/>
  <c r="C18" i="27"/>
  <c r="D23" i="26"/>
  <c r="E23" i="26" s="1"/>
  <c r="F23" i="26" s="1"/>
  <c r="I23" i="26" s="1"/>
  <c r="C18" i="26"/>
  <c r="E17" i="26"/>
  <c r="G17" i="26" s="1"/>
  <c r="D23" i="24"/>
  <c r="E23" i="24" s="1"/>
  <c r="F23" i="24" s="1"/>
  <c r="I23" i="24" s="1"/>
  <c r="C18" i="24"/>
  <c r="B23" i="1"/>
  <c r="C23" i="1" s="1"/>
  <c r="B18" i="1"/>
  <c r="C17" i="1" l="1"/>
  <c r="D22" i="1"/>
  <c r="E22" i="1" s="1"/>
  <c r="F22" i="1" s="1"/>
  <c r="E18" i="27"/>
  <c r="G18" i="27" s="1"/>
  <c r="E18" i="26"/>
  <c r="G18" i="26" s="1"/>
  <c r="E18" i="24"/>
  <c r="G18" i="24" s="1"/>
  <c r="D23" i="1"/>
  <c r="E23" i="1" s="1"/>
  <c r="F23" i="1" s="1"/>
  <c r="I23" i="1" s="1"/>
  <c r="C18" i="1"/>
  <c r="E18" i="1" s="1"/>
  <c r="E17" i="1"/>
  <c r="G18" i="1" l="1"/>
  <c r="G17" i="1"/>
  <c r="I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<sst xmlns="http://schemas.openxmlformats.org/spreadsheetml/2006/main" count="270" uniqueCount="71">
  <si>
    <t>記号</t>
  </si>
  <si>
    <t>材料情報</t>
  </si>
  <si>
    <t>荷重情報</t>
  </si>
  <si>
    <t>L[m]</t>
  </si>
  <si>
    <t>w[kN/m]</t>
  </si>
  <si>
    <t>M0[kNm]</t>
  </si>
  <si>
    <t>C[kNm]</t>
  </si>
  <si>
    <t>Q[kN]</t>
  </si>
  <si>
    <t>部材情報</t>
  </si>
  <si>
    <t>B [mm]</t>
  </si>
  <si>
    <t>D[mm]</t>
  </si>
  <si>
    <t>主筋</t>
  </si>
  <si>
    <t>あばら筋</t>
  </si>
  <si>
    <t>d[mm]</t>
  </si>
  <si>
    <t>2-D13</t>
  </si>
  <si>
    <t>M[kNm]</t>
  </si>
  <si>
    <t>at_d[mm2]</t>
  </si>
  <si>
    <t>at[mm2]</t>
  </si>
  <si>
    <t>判定</t>
  </si>
  <si>
    <t>せん断力の検討</t>
  </si>
  <si>
    <t>Q_d[kN]</t>
  </si>
  <si>
    <t>τd[N/mm2]</t>
  </si>
  <si>
    <t>α</t>
  </si>
  <si>
    <t>τa[N/mm2]</t>
  </si>
  <si>
    <t>τd/τa</t>
  </si>
  <si>
    <t>p[mm]</t>
  </si>
  <si>
    <t>変形の検討</t>
  </si>
  <si>
    <t>⊿[mm]</t>
  </si>
  <si>
    <t>L/⊿</t>
  </si>
  <si>
    <t>コンクリート
ヤング率
E [N/mm2]</t>
    <rPh sb="10" eb="11">
      <t>リツ</t>
    </rPh>
    <phoneticPr fontId="1"/>
  </si>
  <si>
    <t>コンクリート
せん断応力度
fs [N/mm2]</t>
    <rPh sb="9" eb="13">
      <t>ダンオウリョクド</t>
    </rPh>
    <phoneticPr fontId="1"/>
  </si>
  <si>
    <t>鉄筋
許容引張応力度
ft [kN/mm2]</t>
    <rPh sb="0" eb="2">
      <t>テッキン</t>
    </rPh>
    <rPh sb="3" eb="5">
      <t>キョヨウ</t>
    </rPh>
    <rPh sb="5" eb="7">
      <t>ヒッパリ</t>
    </rPh>
    <rPh sb="7" eb="10">
      <t>オウリョクド</t>
    </rPh>
    <phoneticPr fontId="1"/>
  </si>
  <si>
    <t>0.004Bd[mm2]</t>
    <phoneticPr fontId="1"/>
  </si>
  <si>
    <t>1.33at[mm2]</t>
    <phoneticPr fontId="1"/>
  </si>
  <si>
    <t>曲げの検討(at_d&lt;atかつmin(1.33at, 0.004Bd)&lt;at)</t>
    <phoneticPr fontId="1"/>
  </si>
  <si>
    <t>p(0.2%)[mm]</t>
    <phoneticPr fontId="1"/>
  </si>
  <si>
    <t>FB3</t>
    <phoneticPr fontId="1"/>
  </si>
  <si>
    <t>FB4</t>
    <phoneticPr fontId="1"/>
  </si>
  <si>
    <t>FB5</t>
    <phoneticPr fontId="1"/>
  </si>
  <si>
    <t>10-D25</t>
    <phoneticPr fontId="1"/>
  </si>
  <si>
    <t>FB2</t>
    <phoneticPr fontId="1"/>
  </si>
  <si>
    <t>D10</t>
    <phoneticPr fontId="1"/>
  </si>
  <si>
    <t>D13</t>
    <phoneticPr fontId="1"/>
  </si>
  <si>
    <t>D16</t>
    <phoneticPr fontId="1"/>
  </si>
  <si>
    <t>D19</t>
    <phoneticPr fontId="1"/>
  </si>
  <si>
    <t>D22</t>
    <phoneticPr fontId="1"/>
  </si>
  <si>
    <t>D25</t>
    <phoneticPr fontId="1"/>
  </si>
  <si>
    <t>D29</t>
    <phoneticPr fontId="1"/>
  </si>
  <si>
    <t>D32</t>
    <phoneticPr fontId="1"/>
  </si>
  <si>
    <t>D35</t>
    <phoneticPr fontId="1"/>
  </si>
  <si>
    <t>D38</t>
    <phoneticPr fontId="1"/>
  </si>
  <si>
    <t>D41</t>
    <phoneticPr fontId="1"/>
  </si>
  <si>
    <t>P[kN/m2]</t>
    <phoneticPr fontId="1"/>
  </si>
  <si>
    <t>t[mm]</t>
    <phoneticPr fontId="1"/>
  </si>
  <si>
    <t>b[m]</t>
    <phoneticPr fontId="1"/>
  </si>
  <si>
    <t>L[m]</t>
    <phoneticPr fontId="1"/>
  </si>
  <si>
    <t>符号</t>
    <rPh sb="0" eb="2">
      <t>フゴウ</t>
    </rPh>
    <phoneticPr fontId="1"/>
  </si>
  <si>
    <t>7-D25</t>
    <phoneticPr fontId="1"/>
  </si>
  <si>
    <t>f[kN/m2]</t>
    <phoneticPr fontId="1"/>
  </si>
  <si>
    <t>FB1</t>
    <phoneticPr fontId="1"/>
  </si>
  <si>
    <t>Y2-Y3/X7-X8</t>
    <phoneticPr fontId="1"/>
  </si>
  <si>
    <t>検討位置</t>
    <phoneticPr fontId="1"/>
  </si>
  <si>
    <t>Y6-Y7/X7-X8</t>
    <phoneticPr fontId="1"/>
  </si>
  <si>
    <t>端部曲げ
1.3C[kNm]</t>
    <rPh sb="0" eb="2">
      <t>タンブ</t>
    </rPh>
    <rPh sb="2" eb="3">
      <t>マ</t>
    </rPh>
    <phoneticPr fontId="1"/>
  </si>
  <si>
    <t>中央曲げ
M0-0.35C[kNm]</t>
    <rPh sb="0" eb="2">
      <t>チュウオウ</t>
    </rPh>
    <rPh sb="2" eb="3">
      <t>マ</t>
    </rPh>
    <phoneticPr fontId="1"/>
  </si>
  <si>
    <t>端部曲げ
0.6C[kNm]</t>
    <rPh sb="0" eb="2">
      <t>タンブ</t>
    </rPh>
    <rPh sb="2" eb="3">
      <t>マ</t>
    </rPh>
    <phoneticPr fontId="1"/>
  </si>
  <si>
    <t>3-D25</t>
    <phoneticPr fontId="1"/>
  </si>
  <si>
    <t>5-D25</t>
    <phoneticPr fontId="1"/>
  </si>
  <si>
    <t>13-D25</t>
    <phoneticPr fontId="1"/>
  </si>
  <si>
    <t>9-D25</t>
    <phoneticPr fontId="1"/>
  </si>
  <si>
    <t>3-D13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</si>
</sst>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8"/>
      <color rgb="FF000000"/>
      <name val="游ゴシック"/>
      <family val="3"/>
      <charset val="128"/>
    </font>
    <font>
      <sz val="8"/>
      <color theme="1"/>
      <name val="游ゴシック"/>
      <family val="3"/>
      <charset val="128"/>
    </font>
    <font>
      <sz val="8"/>
      <name val="游ゴシック"/>
      <family val="3"/>
      <charset val="128"/>
    </font>
    <font>
      <sz val="8"/>
      <color rgb="FFFF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b/>
      <sz val="10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76" fontId="2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176" fontId="2" fillId="2" borderId="6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2" fontId="6" fillId="0" borderId="7" xfId="0" applyNumberFormat="1" applyFont="1" applyBorder="1"/>
    <xf numFmtId="0" fontId="6" fillId="0" borderId="7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標準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27"/>
  <sheetViews>
    <sheetView zoomScale="130" zoomScaleNormal="130" workbookViewId="0">
      <selection activeCell="B28" sqref="B28"/>
    </sheetView>
  </sheetViews>
  <sheetFormatPr defaultColWidth="12.54296875" defaultRowHeight="15.75" customHeight="1" x14ac:dyDescent="0.4"/>
  <cols>
    <col min="1" max="1" width="8.54296875" style="1" bestFit="1" customWidth="1"/>
    <col min="2" max="9" width="12.7265625" style="1" customWidth="1"/>
    <col min="10" max="16384" width="12.54296875" style="1"/>
  </cols>
  <sheetData>
    <row r="1" spans="1:13" ht="13" x14ac:dyDescent="0.4"/>
    <row r="2" spans="1:13" ht="13.5" customHeight="1" x14ac:dyDescent="0.4">
      <c r="A2" s="26" t="s">
        <v>0</v>
      </c>
      <c r="B2" s="26" t="s">
        <v>1</v>
      </c>
      <c r="C2" s="26"/>
      <c r="D2" s="26"/>
    </row>
    <row r="3" spans="1:13" ht="39" x14ac:dyDescent="0.4">
      <c r="A3" s="26"/>
      <c r="B3" s="13" t="s">
        <v>29</v>
      </c>
      <c r="C3" s="13" t="s">
        <v>31</v>
      </c>
      <c r="D3" s="13" t="s">
        <v>30</v>
      </c>
    </row>
    <row r="4" spans="1:13" ht="13" x14ac:dyDescent="0.4">
      <c r="A4" s="3" t="s">
        <v>59</v>
      </c>
      <c r="B4" s="4">
        <v>21700</v>
      </c>
      <c r="C4" s="4">
        <v>0.215</v>
      </c>
      <c r="D4" s="4">
        <v>0.7</v>
      </c>
    </row>
    <row r="5" spans="1:13" ht="13" x14ac:dyDescent="0.4">
      <c r="J5" s="14"/>
    </row>
    <row r="6" spans="1:13" ht="13" x14ac:dyDescent="0.4">
      <c r="A6" s="24" t="s">
        <v>0</v>
      </c>
      <c r="B6" s="21" t="s">
        <v>2</v>
      </c>
      <c r="C6" s="22"/>
      <c r="D6" s="22"/>
      <c r="E6" s="22"/>
      <c r="F6" s="22"/>
      <c r="G6" s="22"/>
      <c r="H6" s="23"/>
      <c r="I6" s="2"/>
    </row>
    <row r="7" spans="1:13" ht="26" x14ac:dyDescent="0.4">
      <c r="A7" s="25"/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13" t="s">
        <v>64</v>
      </c>
      <c r="H7" s="13" t="s">
        <v>65</v>
      </c>
      <c r="I7" s="2"/>
    </row>
    <row r="8" spans="1:13" ht="15.75" customHeight="1" x14ac:dyDescent="0.4">
      <c r="A8" s="3" t="str">
        <f>A4</f>
        <v>FB1</v>
      </c>
      <c r="B8" s="4">
        <f>VLOOKUP(A8,load!A1:G7,3,FALSE)</f>
        <v>4.9000000000000004</v>
      </c>
      <c r="C8" s="12">
        <f>(154+35)*2/3+24*B12/1000*C12/1000</f>
        <v>141.12</v>
      </c>
      <c r="D8" s="8">
        <f>C8*B8^2/8</f>
        <v>423.53640000000013</v>
      </c>
      <c r="E8" s="8">
        <f>C8*B8^2/12</f>
        <v>282.3576000000001</v>
      </c>
      <c r="F8" s="8">
        <f>C8*B8/2</f>
        <v>345.74400000000003</v>
      </c>
      <c r="G8" s="8">
        <f>D8-0.35*E8</f>
        <v>324.71124000000009</v>
      </c>
      <c r="H8" s="8">
        <f>0.6*E8</f>
        <v>169.41456000000005</v>
      </c>
      <c r="I8" s="2"/>
    </row>
    <row r="9" spans="1:13" ht="13" x14ac:dyDescent="0.4">
      <c r="A9" s="2"/>
      <c r="B9" s="2"/>
      <c r="C9" s="2"/>
      <c r="D9" s="2"/>
      <c r="E9" s="2"/>
      <c r="F9" s="2"/>
      <c r="G9" s="2"/>
      <c r="H9" s="2"/>
      <c r="I9" s="2"/>
    </row>
    <row r="10" spans="1:13" ht="13" x14ac:dyDescent="0.4">
      <c r="A10" s="24" t="s">
        <v>0</v>
      </c>
      <c r="B10" s="21" t="s">
        <v>8</v>
      </c>
      <c r="C10" s="22"/>
      <c r="D10" s="22"/>
      <c r="E10" s="22"/>
      <c r="F10" s="23"/>
      <c r="G10" s="6"/>
      <c r="H10" s="6"/>
      <c r="I10" s="2"/>
    </row>
    <row r="11" spans="1:13" ht="13" x14ac:dyDescent="0.4">
      <c r="A11" s="25"/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2"/>
      <c r="H11" s="2"/>
      <c r="I11" s="2"/>
    </row>
    <row r="12" spans="1:13" ht="13" x14ac:dyDescent="0.4">
      <c r="A12" s="3" t="str">
        <f>A4&amp;"端部"</f>
        <v>FB1端部</v>
      </c>
      <c r="B12" s="5">
        <v>300</v>
      </c>
      <c r="C12" s="5">
        <v>2100</v>
      </c>
      <c r="D12" s="5" t="s">
        <v>66</v>
      </c>
      <c r="E12" s="5" t="s">
        <v>14</v>
      </c>
      <c r="F12" s="7">
        <f>(C12-90)*0.5+(C12-170)*0.5</f>
        <v>1970</v>
      </c>
      <c r="G12" s="2"/>
      <c r="J12" s="2" t="str" cm="1">
        <f t="array" ref="J12:K12">_xlfn.TEXTSPLIT(D12,"-")</f>
        <v>3</v>
      </c>
      <c r="K12" s="2" t="str">
        <v>D25</v>
      </c>
      <c r="L12" s="1" t="str" cm="1">
        <f t="array" ref="L12:M12">_xlfn.TEXTSPLIT(E12,"-")</f>
        <v>2</v>
      </c>
      <c r="M12" s="1" t="str">
        <v>D13</v>
      </c>
    </row>
    <row r="13" spans="1:13" ht="15.75" customHeight="1" x14ac:dyDescent="0.4">
      <c r="A13" s="3" t="str">
        <f>A4&amp;"中央"</f>
        <v>FB1中央</v>
      </c>
      <c r="B13" s="5">
        <v>300</v>
      </c>
      <c r="C13" s="5">
        <v>2100</v>
      </c>
      <c r="D13" s="5" t="s">
        <v>67</v>
      </c>
      <c r="E13" s="5" t="s">
        <v>14</v>
      </c>
      <c r="F13" s="7">
        <f>(C13-90)*0.5+(C13-170)*0.5</f>
        <v>1970</v>
      </c>
      <c r="G13" s="2"/>
      <c r="J13" s="2" t="str" cm="1">
        <f t="array" ref="J13:K13">_xlfn.TEXTSPLIT(D13,"-")</f>
        <v>5</v>
      </c>
      <c r="K13" s="2" t="str">
        <v>D25</v>
      </c>
      <c r="L13" s="1" t="str" cm="1">
        <f t="array" ref="L13:M13">_xlfn.TEXTSPLIT(E13,"-")</f>
        <v>2</v>
      </c>
      <c r="M13" s="1" t="str">
        <v>D13</v>
      </c>
    </row>
    <row r="14" spans="1:13" ht="13" x14ac:dyDescent="0.4">
      <c r="A14" s="2"/>
      <c r="B14" s="2"/>
      <c r="C14" s="2"/>
      <c r="D14" s="2"/>
      <c r="E14" s="2"/>
      <c r="F14" s="2"/>
      <c r="G14" s="2"/>
      <c r="H14" s="2"/>
      <c r="I14" s="2"/>
    </row>
    <row r="15" spans="1:13" ht="13" x14ac:dyDescent="0.4">
      <c r="A15" s="24" t="s">
        <v>0</v>
      </c>
      <c r="B15" s="21" t="s">
        <v>34</v>
      </c>
      <c r="C15" s="22"/>
      <c r="D15" s="22"/>
      <c r="E15" s="22"/>
      <c r="F15" s="22"/>
      <c r="G15" s="23"/>
      <c r="H15" s="2"/>
      <c r="I15" s="2"/>
    </row>
    <row r="16" spans="1:13" ht="13" x14ac:dyDescent="0.4">
      <c r="A16" s="25"/>
      <c r="B16" s="3" t="s">
        <v>15</v>
      </c>
      <c r="C16" s="3" t="s">
        <v>16</v>
      </c>
      <c r="D16" s="3" t="s">
        <v>17</v>
      </c>
      <c r="E16" s="3" t="s">
        <v>33</v>
      </c>
      <c r="F16" s="3" t="s">
        <v>32</v>
      </c>
      <c r="G16" s="3" t="s">
        <v>18</v>
      </c>
      <c r="H16" s="2"/>
      <c r="I16" s="2"/>
    </row>
    <row r="17" spans="1:9" ht="13" x14ac:dyDescent="0.4">
      <c r="A17" s="3" t="str">
        <f>A12</f>
        <v>FB1端部</v>
      </c>
      <c r="B17" s="8">
        <f>H8</f>
        <v>169.41456000000005</v>
      </c>
      <c r="C17" s="8">
        <f>B17*1000/($C$4*0.875*F12)</f>
        <v>457.12817849132352</v>
      </c>
      <c r="D17" s="3">
        <f>J12*VLOOKUP(K12,rebar!$A$1:$B$11,2,FALSE)</f>
        <v>1521</v>
      </c>
      <c r="E17" s="8">
        <f>C17*1.33</f>
        <v>607.98047739346032</v>
      </c>
      <c r="F17" s="3">
        <f>0.004*B12*F12</f>
        <v>2364</v>
      </c>
      <c r="G17" s="3" t="str">
        <f t="shared" ref="G17:G18" si="0">IF(AND(C17&lt;D17,MIN(E17,F17)&lt;D17), "OK", "NG")</f>
        <v>OK</v>
      </c>
      <c r="H17" s="2"/>
      <c r="I17" s="2"/>
    </row>
    <row r="18" spans="1:9" ht="15.75" customHeight="1" x14ac:dyDescent="0.4">
      <c r="A18" s="3" t="str">
        <f>A13</f>
        <v>FB1中央</v>
      </c>
      <c r="B18" s="8">
        <f>G8</f>
        <v>324.71124000000009</v>
      </c>
      <c r="C18" s="8">
        <f>B18*1000/($C$4*0.875*F13)</f>
        <v>876.16234210837001</v>
      </c>
      <c r="D18" s="3">
        <f>J13*VLOOKUP(K13,rebar!$A$1:$B$11,2,FALSE)</f>
        <v>2535</v>
      </c>
      <c r="E18" s="8">
        <f>C18*1.33</f>
        <v>1165.2959150041322</v>
      </c>
      <c r="F18" s="3">
        <f>0.004*B13*F13</f>
        <v>2364</v>
      </c>
      <c r="G18" s="3" t="str">
        <f t="shared" si="0"/>
        <v>OK</v>
      </c>
      <c r="H18" s="2"/>
      <c r="I18" s="2"/>
    </row>
    <row r="19" spans="1:9" ht="13.5" customHeight="1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ht="13" x14ac:dyDescent="0.4">
      <c r="A20" s="24" t="s">
        <v>0</v>
      </c>
      <c r="B20" s="21" t="s">
        <v>19</v>
      </c>
      <c r="C20" s="22"/>
      <c r="D20" s="22"/>
      <c r="E20" s="22"/>
      <c r="F20" s="22"/>
      <c r="G20" s="22"/>
      <c r="H20" s="22"/>
      <c r="I20" s="23"/>
    </row>
    <row r="21" spans="1:9" ht="13" x14ac:dyDescent="0.4">
      <c r="A21" s="25"/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35</v>
      </c>
      <c r="H21" s="3" t="s">
        <v>25</v>
      </c>
      <c r="I21" s="9" t="s">
        <v>18</v>
      </c>
    </row>
    <row r="22" spans="1:9" ht="15.75" customHeight="1" x14ac:dyDescent="0.4">
      <c r="A22" s="3" t="str">
        <f>A17</f>
        <v>FB1端部</v>
      </c>
      <c r="B22" s="11">
        <f>F8</f>
        <v>345.74400000000003</v>
      </c>
      <c r="C22" s="10">
        <f>F8*1000/(B12*F12*0.875)</f>
        <v>0.6685888324873096</v>
      </c>
      <c r="D22" s="10">
        <f>MEDIAN(1, 4 / (B17*1000/(F8*F12)+1), 2)</f>
        <v>2</v>
      </c>
      <c r="E22" s="10">
        <f>D22*$D$4</f>
        <v>1.4</v>
      </c>
      <c r="F22" s="10">
        <f>C22/E22</f>
        <v>0.47756345177664977</v>
      </c>
      <c r="G22" s="8">
        <f>L12*VLOOKUP(M12,rebar!$A$1:$B$11,2)/(B12*0.002)</f>
        <v>423.33333333333337</v>
      </c>
      <c r="H22" s="5">
        <v>200</v>
      </c>
      <c r="I22" s="9" t="str">
        <f t="shared" ref="I22:I23" si="1">IF(AND(F22&lt;1,H22&lt;G22), "OK", "NG")</f>
        <v>OK</v>
      </c>
    </row>
    <row r="23" spans="1:9" ht="15.75" customHeight="1" x14ac:dyDescent="0.4">
      <c r="A23" s="3" t="str">
        <f>A18</f>
        <v>FB1中央</v>
      </c>
      <c r="B23" s="8">
        <f>F8</f>
        <v>345.74400000000003</v>
      </c>
      <c r="C23" s="10">
        <f>B23*1000/(B13*F13*0.875)</f>
        <v>0.6685888324873096</v>
      </c>
      <c r="D23" s="10">
        <f>MEDIAN(1, 4 / (B18*1000/(B23*F13)+1), 2)</f>
        <v>2</v>
      </c>
      <c r="E23" s="10">
        <f>D23*$D$4</f>
        <v>1.4</v>
      </c>
      <c r="F23" s="10">
        <f>C23/E23</f>
        <v>0.47756345177664977</v>
      </c>
      <c r="G23" s="8">
        <f>L13*VLOOKUP(M13,rebar!$A$1:$B$11,2)/(B13*0.002)</f>
        <v>423.33333333333337</v>
      </c>
      <c r="H23" s="5">
        <v>200</v>
      </c>
      <c r="I23" s="9" t="str">
        <f t="shared" si="1"/>
        <v>OK</v>
      </c>
    </row>
    <row r="24" spans="1:9" ht="15.75" customHeight="1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ht="15.75" customHeight="1" x14ac:dyDescent="0.4">
      <c r="A25" s="24" t="s">
        <v>0</v>
      </c>
      <c r="B25" s="21" t="s">
        <v>26</v>
      </c>
      <c r="C25" s="22"/>
      <c r="D25" s="23"/>
      <c r="E25" s="2"/>
      <c r="F25" s="2"/>
      <c r="G25" s="2"/>
      <c r="H25" s="2"/>
      <c r="I25" s="2"/>
    </row>
    <row r="26" spans="1:9" ht="15.75" customHeight="1" x14ac:dyDescent="0.4">
      <c r="A26" s="25"/>
      <c r="B26" s="3" t="s">
        <v>27</v>
      </c>
      <c r="C26" s="3" t="s">
        <v>28</v>
      </c>
      <c r="D26" s="3" t="s">
        <v>18</v>
      </c>
      <c r="E26" s="2"/>
      <c r="F26" s="2"/>
      <c r="G26" s="2"/>
      <c r="H26" s="2"/>
      <c r="I26" s="2"/>
    </row>
    <row r="27" spans="1:9" ht="15.75" customHeight="1" x14ac:dyDescent="0.4">
      <c r="A27" s="3" t="str">
        <f>A4</f>
        <v>FB1</v>
      </c>
      <c r="B27" s="8">
        <f>8*5/384*C8*(B8*1000)^4/B4/(B12*C12^3/12)</f>
        <v>1.6867240143369175</v>
      </c>
      <c r="C27" s="8">
        <f>B8*1000/B27</f>
        <v>2905.0395668471469</v>
      </c>
      <c r="D27" s="3" t="str">
        <f>IF(C27&gt;200,"OK","NG")</f>
        <v>OK</v>
      </c>
      <c r="E27" s="2"/>
      <c r="F27" s="2"/>
      <c r="G27" s="2"/>
      <c r="H27" s="2"/>
      <c r="I27" s="2"/>
    </row>
  </sheetData>
  <mergeCells count="12">
    <mergeCell ref="B25:D25"/>
    <mergeCell ref="B6:H6"/>
    <mergeCell ref="A6:A7"/>
    <mergeCell ref="B2:D2"/>
    <mergeCell ref="A2:A3"/>
    <mergeCell ref="A10:A11"/>
    <mergeCell ref="B10:F10"/>
    <mergeCell ref="A25:A26"/>
    <mergeCell ref="B15:G15"/>
    <mergeCell ref="A15:A16"/>
    <mergeCell ref="B20:I20"/>
    <mergeCell ref="A20:A21"/>
  </mergeCells>
  <phoneticPr fontId="1"/>
  <pageMargins left="0" right="0" top="0" bottom="0" header="0" footer="0"/>
  <pageSetup paperSize="11" scale="96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200AC153-ED89-4F57-A6D3-E821AB34A9BE}">
            <xm:f>NOT(ISERROR(SEARCH("OK",D17)))</xm:f>
            <xm:f>"OK"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E5C81D99-CED0-4927-9E92-25E2F70CBC4E}">
            <xm:f>NOT(ISERROR(SEARCH("NG",D17)))</xm:f>
            <xm:f>"NG"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G17:G18 I22:I23 D27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86E4-F00B-4429-BBD3-83F4583F6545}">
  <sheetPr>
    <outlinePr summaryBelow="0" summaryRight="0"/>
    <pageSetUpPr fitToPage="1"/>
  </sheetPr>
  <dimension ref="A1:M27"/>
  <sheetViews>
    <sheetView zoomScale="130" zoomScaleNormal="130" workbookViewId="0">
      <selection activeCell="C9" sqref="C9"/>
    </sheetView>
  </sheetViews>
  <sheetFormatPr defaultColWidth="12.54296875" defaultRowHeight="15.75" customHeight="1" x14ac:dyDescent="0.4"/>
  <cols>
    <col min="1" max="1" width="8.54296875" style="1" bestFit="1" customWidth="1"/>
    <col min="2" max="9" width="12.7265625" style="1" customWidth="1"/>
    <col min="10" max="16384" width="12.54296875" style="1"/>
  </cols>
  <sheetData>
    <row r="1" spans="1:13" ht="13" x14ac:dyDescent="0.4"/>
    <row r="2" spans="1:13" ht="13.5" customHeight="1" x14ac:dyDescent="0.4">
      <c r="A2" s="26" t="s">
        <v>0</v>
      </c>
      <c r="B2" s="26" t="s">
        <v>1</v>
      </c>
      <c r="C2" s="26"/>
      <c r="D2" s="26"/>
    </row>
    <row r="3" spans="1:13" ht="39" x14ac:dyDescent="0.4">
      <c r="A3" s="26"/>
      <c r="B3" s="13" t="s">
        <v>29</v>
      </c>
      <c r="C3" s="13" t="s">
        <v>31</v>
      </c>
      <c r="D3" s="13" t="s">
        <v>30</v>
      </c>
    </row>
    <row r="4" spans="1:13" ht="13" x14ac:dyDescent="0.4">
      <c r="A4" s="3" t="s">
        <v>40</v>
      </c>
      <c r="B4" s="4">
        <v>21700</v>
      </c>
      <c r="C4" s="4">
        <v>0.215</v>
      </c>
      <c r="D4" s="4">
        <v>0.7</v>
      </c>
    </row>
    <row r="5" spans="1:13" ht="13" x14ac:dyDescent="0.4">
      <c r="J5" s="14"/>
    </row>
    <row r="6" spans="1:13" ht="13" x14ac:dyDescent="0.4">
      <c r="A6" s="24" t="s">
        <v>0</v>
      </c>
      <c r="B6" s="21" t="s">
        <v>2</v>
      </c>
      <c r="C6" s="22"/>
      <c r="D6" s="22"/>
      <c r="E6" s="22"/>
      <c r="F6" s="22"/>
      <c r="G6" s="22"/>
      <c r="H6" s="23"/>
      <c r="I6" s="2"/>
    </row>
    <row r="7" spans="1:13" ht="26" x14ac:dyDescent="0.4">
      <c r="A7" s="25"/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13" t="s">
        <v>64</v>
      </c>
      <c r="H7" s="13" t="s">
        <v>63</v>
      </c>
      <c r="I7" s="2"/>
    </row>
    <row r="8" spans="1:13" ht="15.75" customHeight="1" x14ac:dyDescent="0.4">
      <c r="A8" s="3" t="str">
        <f>A4</f>
        <v>FB2</v>
      </c>
      <c r="B8" s="4">
        <f>VLOOKUP(A8,load!A1:G7,3,FALSE)</f>
        <v>9.6999999999999993</v>
      </c>
      <c r="C8" s="12">
        <f>62+24*B12/1000*C12/1000</f>
        <v>77.599999999999994</v>
      </c>
      <c r="D8" s="8">
        <f>C8*B8^2/8</f>
        <v>912.67299999999977</v>
      </c>
      <c r="E8" s="8">
        <f>C8*B8^2/12</f>
        <v>608.44866666666655</v>
      </c>
      <c r="F8" s="8">
        <f>C8*B8/2</f>
        <v>376.35999999999996</v>
      </c>
      <c r="G8" s="8">
        <f>D8-0.35*E8</f>
        <v>699.71596666666653</v>
      </c>
      <c r="H8" s="8">
        <f>1.3*E8</f>
        <v>790.98326666666651</v>
      </c>
      <c r="I8" s="2"/>
    </row>
    <row r="9" spans="1:13" ht="13" x14ac:dyDescent="0.4">
      <c r="A9" s="2"/>
      <c r="B9" s="2"/>
      <c r="C9" s="2"/>
      <c r="D9" s="2"/>
      <c r="E9" s="2"/>
      <c r="F9" s="2"/>
      <c r="G9" s="2"/>
      <c r="H9" s="2"/>
      <c r="I9" s="2"/>
    </row>
    <row r="10" spans="1:13" ht="13" x14ac:dyDescent="0.4">
      <c r="A10" s="24" t="s">
        <v>0</v>
      </c>
      <c r="B10" s="21" t="s">
        <v>8</v>
      </c>
      <c r="C10" s="22"/>
      <c r="D10" s="22"/>
      <c r="E10" s="22"/>
      <c r="F10" s="23"/>
      <c r="G10" s="6"/>
      <c r="H10" s="6"/>
      <c r="I10" s="2"/>
    </row>
    <row r="11" spans="1:13" ht="13" x14ac:dyDescent="0.4">
      <c r="A11" s="25"/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2"/>
      <c r="H11" s="2"/>
      <c r="I11" s="2"/>
    </row>
    <row r="12" spans="1:13" ht="13" x14ac:dyDescent="0.4">
      <c r="A12" s="3" t="str">
        <f>A4&amp;"端部"</f>
        <v>FB2端部</v>
      </c>
      <c r="B12" s="5">
        <v>500</v>
      </c>
      <c r="C12" s="5">
        <v>1300</v>
      </c>
      <c r="D12" s="5" t="s">
        <v>39</v>
      </c>
      <c r="E12" s="5" t="s">
        <v>14</v>
      </c>
      <c r="F12" s="7">
        <f>(C12-90)*0.5+(C12-170)*0.5</f>
        <v>1170</v>
      </c>
      <c r="G12" s="2"/>
      <c r="J12" s="2" t="str" cm="1">
        <f t="array" ref="J12:K12">_xlfn.TEXTSPLIT(D12,"-")</f>
        <v>10</v>
      </c>
      <c r="K12" s="2" t="str">
        <v>D25</v>
      </c>
      <c r="L12" s="1" t="str" cm="1">
        <f t="array" ref="L12:M12">_xlfn.TEXTSPLIT(E12,"-")</f>
        <v>2</v>
      </c>
      <c r="M12" s="1" t="str">
        <v>D13</v>
      </c>
    </row>
    <row r="13" spans="1:13" ht="15.75" customHeight="1" x14ac:dyDescent="0.4">
      <c r="A13" s="3" t="str">
        <f>A4&amp;"中央"</f>
        <v>FB2中央</v>
      </c>
      <c r="B13" s="5">
        <v>500</v>
      </c>
      <c r="C13" s="5">
        <v>1300</v>
      </c>
      <c r="D13" s="5" t="s">
        <v>57</v>
      </c>
      <c r="E13" s="5" t="s">
        <v>14</v>
      </c>
      <c r="F13" s="7">
        <f>(C13-90)*0.5+(C13-170)*0.5</f>
        <v>1170</v>
      </c>
      <c r="G13" s="2"/>
      <c r="J13" s="2" t="str" cm="1">
        <f t="array" ref="J13:K13">_xlfn.TEXTSPLIT(D13,"-")</f>
        <v>7</v>
      </c>
      <c r="K13" s="2" t="str">
        <v>D25</v>
      </c>
      <c r="L13" s="1" t="str" cm="1">
        <f t="array" ref="L13:M13">_xlfn.TEXTSPLIT(E13,"-")</f>
        <v>2</v>
      </c>
      <c r="M13" s="1" t="str">
        <v>D13</v>
      </c>
    </row>
    <row r="14" spans="1:13" ht="13" x14ac:dyDescent="0.4">
      <c r="A14" s="2"/>
      <c r="B14" s="2"/>
      <c r="C14" s="2"/>
      <c r="D14" s="2"/>
      <c r="E14" s="2"/>
      <c r="F14" s="2"/>
      <c r="G14" s="2"/>
      <c r="H14" s="2"/>
      <c r="I14" s="2"/>
    </row>
    <row r="15" spans="1:13" ht="13" x14ac:dyDescent="0.4">
      <c r="A15" s="24" t="s">
        <v>0</v>
      </c>
      <c r="B15" s="21" t="s">
        <v>34</v>
      </c>
      <c r="C15" s="22"/>
      <c r="D15" s="22"/>
      <c r="E15" s="22"/>
      <c r="F15" s="22"/>
      <c r="G15" s="23"/>
      <c r="H15" s="2"/>
      <c r="I15" s="2"/>
    </row>
    <row r="16" spans="1:13" ht="13" x14ac:dyDescent="0.4">
      <c r="A16" s="25"/>
      <c r="B16" s="3" t="s">
        <v>15</v>
      </c>
      <c r="C16" s="3" t="s">
        <v>16</v>
      </c>
      <c r="D16" s="3" t="s">
        <v>17</v>
      </c>
      <c r="E16" s="3" t="s">
        <v>33</v>
      </c>
      <c r="F16" s="3" t="s">
        <v>32</v>
      </c>
      <c r="G16" s="3" t="s">
        <v>18</v>
      </c>
      <c r="H16" s="2"/>
      <c r="I16" s="2"/>
    </row>
    <row r="17" spans="1:9" ht="13" x14ac:dyDescent="0.4">
      <c r="A17" s="3" t="str">
        <f>A12</f>
        <v>FB2端部</v>
      </c>
      <c r="B17" s="8">
        <f>H8</f>
        <v>790.98326666666651</v>
      </c>
      <c r="C17" s="8">
        <f>B17*1000/($C$4*0.875*F12)</f>
        <v>3593.642918666174</v>
      </c>
      <c r="D17" s="3">
        <f>J12*VLOOKUP(K12,rebar!$A$1:$B$11,2,FALSE)</f>
        <v>5070</v>
      </c>
      <c r="E17" s="8">
        <f>C17*1.33</f>
        <v>4779.5450818260115</v>
      </c>
      <c r="F17" s="3">
        <f>0.004*B12*F12</f>
        <v>2340</v>
      </c>
      <c r="G17" s="3" t="str">
        <f t="shared" ref="G17:G18" si="0">IF(AND(C17&lt;D17,MIN(E17,F17)&lt;D17), "OK", "NG")</f>
        <v>OK</v>
      </c>
      <c r="H17" s="2"/>
      <c r="I17" s="2"/>
    </row>
    <row r="18" spans="1:9" ht="15.75" customHeight="1" x14ac:dyDescent="0.4">
      <c r="A18" s="3" t="str">
        <f>A13</f>
        <v>FB2中央</v>
      </c>
      <c r="B18" s="8">
        <f>G8</f>
        <v>699.71596666666653</v>
      </c>
      <c r="C18" s="8">
        <f>B18*1000/($C$4*0.875*F13)</f>
        <v>3178.991812666231</v>
      </c>
      <c r="D18" s="3">
        <f>J13*VLOOKUP(K13,rebar!$A$1:$B$11,2,FALSE)</f>
        <v>3549</v>
      </c>
      <c r="E18" s="8">
        <f>C18*1.33</f>
        <v>4228.0591108460876</v>
      </c>
      <c r="F18" s="3">
        <f>0.004*B13*F13</f>
        <v>2340</v>
      </c>
      <c r="G18" s="3" t="str">
        <f t="shared" si="0"/>
        <v>OK</v>
      </c>
      <c r="H18" s="2"/>
      <c r="I18" s="2"/>
    </row>
    <row r="19" spans="1:9" ht="13.5" customHeight="1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ht="13" x14ac:dyDescent="0.4">
      <c r="A20" s="24" t="s">
        <v>0</v>
      </c>
      <c r="B20" s="21" t="s">
        <v>19</v>
      </c>
      <c r="C20" s="22"/>
      <c r="D20" s="22"/>
      <c r="E20" s="22"/>
      <c r="F20" s="22"/>
      <c r="G20" s="22"/>
      <c r="H20" s="22"/>
      <c r="I20" s="23"/>
    </row>
    <row r="21" spans="1:9" ht="13" x14ac:dyDescent="0.4">
      <c r="A21" s="25"/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35</v>
      </c>
      <c r="H21" s="3" t="s">
        <v>25</v>
      </c>
      <c r="I21" s="9" t="s">
        <v>18</v>
      </c>
    </row>
    <row r="22" spans="1:9" ht="15.75" customHeight="1" x14ac:dyDescent="0.4">
      <c r="A22" s="3" t="str">
        <f>A17</f>
        <v>FB2端部</v>
      </c>
      <c r="B22" s="11">
        <f>F8</f>
        <v>376.35999999999996</v>
      </c>
      <c r="C22" s="10">
        <f>F8*1000/(B12*F12*0.875)</f>
        <v>0.73525763125763111</v>
      </c>
      <c r="D22" s="10">
        <f>MEDIAN(1, 4 / (B17*1000/(F8*F12)+1), 2)</f>
        <v>1.4304635761589406</v>
      </c>
      <c r="E22" s="10">
        <f>D22*$D$4</f>
        <v>1.0013245033112583</v>
      </c>
      <c r="F22" s="10">
        <f>C22/E22</f>
        <v>0.73428506825332207</v>
      </c>
      <c r="G22" s="8">
        <f>L12*VLOOKUP(M12,rebar!$A$1:$B$11,2)/(B12*0.002)</f>
        <v>254</v>
      </c>
      <c r="H22" s="5">
        <v>200</v>
      </c>
      <c r="I22" s="9" t="str">
        <f t="shared" ref="I22:I23" si="1">IF(AND(F22&lt;1,H22&lt;G22), "OK", "NG")</f>
        <v>OK</v>
      </c>
    </row>
    <row r="23" spans="1:9" ht="15.75" customHeight="1" x14ac:dyDescent="0.4">
      <c r="A23" s="3" t="str">
        <f>A18</f>
        <v>FB2中央</v>
      </c>
      <c r="B23" s="8">
        <f>F8</f>
        <v>376.35999999999996</v>
      </c>
      <c r="C23" s="10">
        <f>B23*1000/(B13*F13*0.875)</f>
        <v>0.73525763125763111</v>
      </c>
      <c r="D23" s="10">
        <f>MEDIAN(1, 4 / (B18*1000/(B23*F13)+1), 2)</f>
        <v>1.5449793672627237</v>
      </c>
      <c r="E23" s="10">
        <f>D23*$D$4</f>
        <v>1.0814855570839066</v>
      </c>
      <c r="F23" s="10">
        <f>C23/E23</f>
        <v>0.67985894628141252</v>
      </c>
      <c r="G23" s="8">
        <f>L13*VLOOKUP(M13,rebar!$A$1:$B$11,2)/(B13*0.002)</f>
        <v>254</v>
      </c>
      <c r="H23" s="5">
        <v>200</v>
      </c>
      <c r="I23" s="9" t="str">
        <f t="shared" si="1"/>
        <v>OK</v>
      </c>
    </row>
    <row r="24" spans="1:9" ht="15.75" customHeight="1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ht="15.75" customHeight="1" x14ac:dyDescent="0.4">
      <c r="A25" s="24" t="s">
        <v>0</v>
      </c>
      <c r="B25" s="21" t="s">
        <v>26</v>
      </c>
      <c r="C25" s="22"/>
      <c r="D25" s="23"/>
      <c r="E25" s="2"/>
      <c r="F25" s="2"/>
      <c r="G25" s="2"/>
      <c r="H25" s="2"/>
      <c r="I25" s="2"/>
    </row>
    <row r="26" spans="1:9" ht="15.75" customHeight="1" x14ac:dyDescent="0.4">
      <c r="A26" s="25"/>
      <c r="B26" s="3" t="s">
        <v>27</v>
      </c>
      <c r="C26" s="3" t="s">
        <v>28</v>
      </c>
      <c r="D26" s="3" t="s">
        <v>18</v>
      </c>
      <c r="E26" s="2"/>
      <c r="F26" s="2"/>
      <c r="G26" s="2"/>
      <c r="H26" s="2"/>
      <c r="I26" s="2"/>
    </row>
    <row r="27" spans="1:9" ht="15.75" customHeight="1" x14ac:dyDescent="0.4">
      <c r="A27" s="3" t="str">
        <f>A4</f>
        <v>FB2</v>
      </c>
      <c r="B27" s="8">
        <f>8*5/384*C8*(B8*1000)^4/B4/(B12*C12^3/12)</f>
        <v>36.024575854380394</v>
      </c>
      <c r="C27" s="8">
        <f>B8*1000/B27</f>
        <v>269.26063027666521</v>
      </c>
      <c r="D27" s="3" t="str">
        <f>IF(C27&gt;200,"OK","NG")</f>
        <v>OK</v>
      </c>
      <c r="E27" s="2"/>
      <c r="F27" s="2"/>
      <c r="G27" s="2"/>
      <c r="H27" s="2"/>
      <c r="I27" s="2"/>
    </row>
  </sheetData>
  <mergeCells count="12">
    <mergeCell ref="A15:A16"/>
    <mergeCell ref="B15:G15"/>
    <mergeCell ref="A20:A21"/>
    <mergeCell ref="B20:I20"/>
    <mergeCell ref="A25:A26"/>
    <mergeCell ref="B25:D25"/>
    <mergeCell ref="A2:A3"/>
    <mergeCell ref="B2:D2"/>
    <mergeCell ref="A6:A7"/>
    <mergeCell ref="B6:H6"/>
    <mergeCell ref="A10:A11"/>
    <mergeCell ref="B10:F10"/>
  </mergeCells>
  <phoneticPr fontId="1"/>
  <pageMargins left="0" right="0" top="0" bottom="0" header="0" footer="0"/>
  <pageSetup paperSize="11" scale="9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6EFA0E2-D8EA-4722-84E7-CE0B1D12059B}">
            <xm:f>NOT(ISERROR(SEARCH("OK",D17)))</xm:f>
            <xm:f>"OK"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39336432-09CE-43D0-8A80-7E33319B5E26}">
            <xm:f>NOT(ISERROR(SEARCH("NG",D17)))</xm:f>
            <xm:f>"NG"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G17:G18 I22:I23 D27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AB1A-8DDF-4CCE-BE80-BEAC9C7B373F}">
  <sheetPr>
    <outlinePr summaryBelow="0" summaryRight="0"/>
    <pageSetUpPr fitToPage="1"/>
  </sheetPr>
  <dimension ref="A1:M27"/>
  <sheetViews>
    <sheetView zoomScale="130" zoomScaleNormal="130" workbookViewId="0">
      <selection activeCell="B27" sqref="B27"/>
    </sheetView>
  </sheetViews>
  <sheetFormatPr defaultColWidth="12.54296875" defaultRowHeight="15.75" customHeight="1" x14ac:dyDescent="0.4"/>
  <cols>
    <col min="1" max="1" width="8.54296875" style="1" bestFit="1" customWidth="1"/>
    <col min="2" max="9" width="12.7265625" style="1" customWidth="1"/>
    <col min="10" max="16384" width="12.54296875" style="1"/>
  </cols>
  <sheetData>
    <row r="1" spans="1:13" ht="13" x14ac:dyDescent="0.4"/>
    <row r="2" spans="1:13" ht="13.5" customHeight="1" x14ac:dyDescent="0.4">
      <c r="A2" s="26" t="s">
        <v>0</v>
      </c>
      <c r="B2" s="26" t="s">
        <v>1</v>
      </c>
      <c r="C2" s="26"/>
      <c r="D2" s="26"/>
    </row>
    <row r="3" spans="1:13" ht="39" x14ac:dyDescent="0.4">
      <c r="A3" s="26"/>
      <c r="B3" s="13" t="s">
        <v>29</v>
      </c>
      <c r="C3" s="13" t="s">
        <v>31</v>
      </c>
      <c r="D3" s="13" t="s">
        <v>30</v>
      </c>
    </row>
    <row r="4" spans="1:13" ht="13" x14ac:dyDescent="0.4">
      <c r="A4" s="3" t="s">
        <v>36</v>
      </c>
      <c r="B4" s="4">
        <v>21700</v>
      </c>
      <c r="C4" s="4">
        <v>0.215</v>
      </c>
      <c r="D4" s="4">
        <v>0.7</v>
      </c>
    </row>
    <row r="5" spans="1:13" ht="13" x14ac:dyDescent="0.4">
      <c r="J5" s="14"/>
    </row>
    <row r="6" spans="1:13" ht="13" x14ac:dyDescent="0.4">
      <c r="A6" s="24" t="s">
        <v>0</v>
      </c>
      <c r="B6" s="21" t="s">
        <v>2</v>
      </c>
      <c r="C6" s="22"/>
      <c r="D6" s="22"/>
      <c r="E6" s="22"/>
      <c r="F6" s="22"/>
      <c r="G6" s="22"/>
      <c r="H6" s="23"/>
      <c r="I6" s="2"/>
    </row>
    <row r="7" spans="1:13" ht="26" x14ac:dyDescent="0.4">
      <c r="A7" s="25"/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13" t="s">
        <v>64</v>
      </c>
      <c r="H7" s="13" t="s">
        <v>63</v>
      </c>
      <c r="I7" s="2"/>
    </row>
    <row r="8" spans="1:13" ht="15.75" customHeight="1" x14ac:dyDescent="0.4">
      <c r="A8" s="3" t="str">
        <f>A4</f>
        <v>FB3</v>
      </c>
      <c r="B8" s="4">
        <f>VLOOKUP(A8,load!A1:G7,3,FALSE)</f>
        <v>9.6999999999999993</v>
      </c>
      <c r="C8" s="12">
        <f>(1*(48+134+52+89)+91+250+99+170)/B8+24*B12/1000*C12/1000</f>
        <v>127.86556701030929</v>
      </c>
      <c r="D8" s="8">
        <f>C8*B8^2/8</f>
        <v>1503.8588999999999</v>
      </c>
      <c r="E8" s="8">
        <f>C8*B8^2/12</f>
        <v>1002.5726</v>
      </c>
      <c r="F8" s="8">
        <f>C8*B8/2</f>
        <v>620.14800000000002</v>
      </c>
      <c r="G8" s="8">
        <f>D8-0.35*E8</f>
        <v>1152.95849</v>
      </c>
      <c r="H8" s="8">
        <f>1.3*E8</f>
        <v>1303.34438</v>
      </c>
      <c r="I8" s="2"/>
    </row>
    <row r="9" spans="1:13" ht="13" x14ac:dyDescent="0.4">
      <c r="A9" s="2"/>
      <c r="B9" s="2"/>
      <c r="C9" s="2"/>
      <c r="D9" s="2"/>
      <c r="E9" s="2"/>
      <c r="F9" s="2"/>
      <c r="G9" s="2"/>
      <c r="H9" s="2"/>
      <c r="I9" s="2"/>
    </row>
    <row r="10" spans="1:13" ht="13" x14ac:dyDescent="0.4">
      <c r="A10" s="24" t="s">
        <v>0</v>
      </c>
      <c r="B10" s="21" t="s">
        <v>8</v>
      </c>
      <c r="C10" s="22"/>
      <c r="D10" s="22"/>
      <c r="E10" s="22"/>
      <c r="F10" s="23"/>
      <c r="G10" s="6"/>
      <c r="H10" s="6"/>
      <c r="I10" s="2"/>
    </row>
    <row r="11" spans="1:13" ht="13" x14ac:dyDescent="0.4">
      <c r="A11" s="25"/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2"/>
      <c r="H11" s="2"/>
      <c r="I11" s="2"/>
    </row>
    <row r="12" spans="1:13" ht="13" x14ac:dyDescent="0.4">
      <c r="A12" s="3" t="str">
        <f>A4&amp;"端部"</f>
        <v>FB3端部</v>
      </c>
      <c r="B12" s="5">
        <v>600</v>
      </c>
      <c r="C12" s="5">
        <v>2200</v>
      </c>
      <c r="D12" s="5" t="s">
        <v>39</v>
      </c>
      <c r="E12" s="5" t="s">
        <v>14</v>
      </c>
      <c r="F12" s="7">
        <f>(C12-90)*0.5+(C12-170)*0.5</f>
        <v>2070</v>
      </c>
      <c r="G12" s="2"/>
      <c r="J12" s="2" t="str" cm="1">
        <f t="array" ref="J12:K12">_xlfn.TEXTSPLIT(D12,"-")</f>
        <v>10</v>
      </c>
      <c r="K12" s="2" t="str">
        <v>D25</v>
      </c>
      <c r="L12" s="1" t="str" cm="1">
        <f t="array" ref="L12:M12">_xlfn.TEXTSPLIT(E12,"-")</f>
        <v>2</v>
      </c>
      <c r="M12" s="1" t="str">
        <v>D13</v>
      </c>
    </row>
    <row r="13" spans="1:13" ht="15.75" customHeight="1" x14ac:dyDescent="0.4">
      <c r="A13" s="3" t="str">
        <f>A4&amp;"中央"</f>
        <v>FB3中央</v>
      </c>
      <c r="B13" s="5">
        <v>600</v>
      </c>
      <c r="C13" s="5">
        <v>2200</v>
      </c>
      <c r="D13" s="5" t="s">
        <v>39</v>
      </c>
      <c r="E13" s="5" t="s">
        <v>14</v>
      </c>
      <c r="F13" s="7">
        <f>(C13-90)*0.5+(C13-170)*0.5</f>
        <v>2070</v>
      </c>
      <c r="G13" s="2"/>
      <c r="J13" s="2" t="str" cm="1">
        <f t="array" ref="J13:K13">_xlfn.TEXTSPLIT(D13,"-")</f>
        <v>10</v>
      </c>
      <c r="K13" s="2" t="str">
        <v>D25</v>
      </c>
      <c r="L13" s="1" t="str" cm="1">
        <f t="array" ref="L13:M13">_xlfn.TEXTSPLIT(E13,"-")</f>
        <v>2</v>
      </c>
      <c r="M13" s="1" t="str">
        <v>D13</v>
      </c>
    </row>
    <row r="14" spans="1:13" ht="13" x14ac:dyDescent="0.4">
      <c r="A14" s="2"/>
      <c r="B14" s="2"/>
      <c r="C14" s="2"/>
      <c r="D14" s="2"/>
      <c r="E14" s="2"/>
      <c r="F14" s="2"/>
      <c r="G14" s="2"/>
      <c r="H14" s="2"/>
      <c r="I14" s="2"/>
    </row>
    <row r="15" spans="1:13" ht="13" x14ac:dyDescent="0.4">
      <c r="A15" s="24" t="s">
        <v>0</v>
      </c>
      <c r="B15" s="21" t="s">
        <v>34</v>
      </c>
      <c r="C15" s="22"/>
      <c r="D15" s="22"/>
      <c r="E15" s="22"/>
      <c r="F15" s="22"/>
      <c r="G15" s="23"/>
      <c r="H15" s="2"/>
      <c r="I15" s="2"/>
    </row>
    <row r="16" spans="1:13" ht="13" x14ac:dyDescent="0.4">
      <c r="A16" s="25"/>
      <c r="B16" s="3" t="s">
        <v>15</v>
      </c>
      <c r="C16" s="3" t="s">
        <v>16</v>
      </c>
      <c r="D16" s="3" t="s">
        <v>17</v>
      </c>
      <c r="E16" s="3" t="s">
        <v>33</v>
      </c>
      <c r="F16" s="3" t="s">
        <v>32</v>
      </c>
      <c r="G16" s="3" t="s">
        <v>18</v>
      </c>
      <c r="H16" s="2"/>
      <c r="I16" s="2"/>
    </row>
    <row r="17" spans="1:9" ht="13" x14ac:dyDescent="0.4">
      <c r="A17" s="3" t="str">
        <f>A12</f>
        <v>FB3端部</v>
      </c>
      <c r="B17" s="8">
        <f>H8</f>
        <v>1303.34438</v>
      </c>
      <c r="C17" s="8">
        <f>B17*1000/($C$4*0.875*F12)</f>
        <v>3346.8968302116937</v>
      </c>
      <c r="D17" s="3">
        <f>J12*VLOOKUP(K12,rebar!$A$1:$B$11,2,FALSE)</f>
        <v>5070</v>
      </c>
      <c r="E17" s="8">
        <f>C17*1.33</f>
        <v>4451.3727841815526</v>
      </c>
      <c r="F17" s="3">
        <f>0.004*B12*F12</f>
        <v>4968</v>
      </c>
      <c r="G17" s="3" t="str">
        <f t="shared" ref="G17:G18" si="0">IF(AND(C17&lt;D17,MIN(E17,F17)&lt;D17), "OK", "NG")</f>
        <v>OK</v>
      </c>
      <c r="H17" s="2"/>
      <c r="I17" s="2"/>
    </row>
    <row r="18" spans="1:9" ht="15.75" customHeight="1" x14ac:dyDescent="0.4">
      <c r="A18" s="3" t="str">
        <f>A13</f>
        <v>FB3中央</v>
      </c>
      <c r="B18" s="8">
        <f>G8</f>
        <v>1152.95849</v>
      </c>
      <c r="C18" s="8">
        <f>B18*1000/($C$4*0.875*F13)</f>
        <v>2960.716426725729</v>
      </c>
      <c r="D18" s="3">
        <f>J13*VLOOKUP(K13,rebar!$A$1:$B$11,2,FALSE)</f>
        <v>5070</v>
      </c>
      <c r="E18" s="8">
        <f>C18*1.33</f>
        <v>3937.7528475452195</v>
      </c>
      <c r="F18" s="3">
        <f>0.004*B13*F13</f>
        <v>4968</v>
      </c>
      <c r="G18" s="3" t="str">
        <f t="shared" si="0"/>
        <v>OK</v>
      </c>
      <c r="H18" s="2"/>
      <c r="I18" s="2"/>
    </row>
    <row r="19" spans="1:9" ht="13.5" customHeight="1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ht="13" x14ac:dyDescent="0.4">
      <c r="A20" s="24" t="s">
        <v>0</v>
      </c>
      <c r="B20" s="21" t="s">
        <v>19</v>
      </c>
      <c r="C20" s="22"/>
      <c r="D20" s="22"/>
      <c r="E20" s="22"/>
      <c r="F20" s="22"/>
      <c r="G20" s="22"/>
      <c r="H20" s="22"/>
      <c r="I20" s="23"/>
    </row>
    <row r="21" spans="1:9" ht="13" x14ac:dyDescent="0.4">
      <c r="A21" s="25"/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35</v>
      </c>
      <c r="H21" s="3" t="s">
        <v>25</v>
      </c>
      <c r="I21" s="9" t="s">
        <v>18</v>
      </c>
    </row>
    <row r="22" spans="1:9" ht="15.75" customHeight="1" x14ac:dyDescent="0.4">
      <c r="A22" s="3" t="str">
        <f>A17</f>
        <v>FB3端部</v>
      </c>
      <c r="B22" s="11">
        <f>F8</f>
        <v>620.14800000000002</v>
      </c>
      <c r="C22" s="10">
        <f>F8*1000/(B12*F12*0.875)</f>
        <v>0.5706445824706694</v>
      </c>
      <c r="D22" s="10">
        <f>MEDIAN(1, 4 / (B17*1000/(F8*F12)+1), 2)</f>
        <v>1.9848182181382346</v>
      </c>
      <c r="E22" s="10">
        <f>D22*$D$4</f>
        <v>1.3893727526967641</v>
      </c>
      <c r="F22" s="10">
        <f>C22/E22</f>
        <v>0.41072101159537766</v>
      </c>
      <c r="G22" s="8">
        <f>L12*VLOOKUP(M12,rebar!$A$1:$B$11,2)/(B12*0.002)</f>
        <v>211.66666666666669</v>
      </c>
      <c r="H22" s="5">
        <v>200</v>
      </c>
      <c r="I22" s="9" t="str">
        <f t="shared" ref="I22:I23" si="1">IF(AND(F22&lt;1,H22&lt;G22), "OK", "NG")</f>
        <v>OK</v>
      </c>
    </row>
    <row r="23" spans="1:9" ht="15.75" customHeight="1" x14ac:dyDescent="0.4">
      <c r="A23" s="3" t="str">
        <f>A18</f>
        <v>FB3中央</v>
      </c>
      <c r="B23" s="8">
        <f>F8</f>
        <v>620.14800000000002</v>
      </c>
      <c r="C23" s="10">
        <f>B23*1000/(B13*F13*0.875)</f>
        <v>0.5706445824706694</v>
      </c>
      <c r="D23" s="10">
        <f>MEDIAN(1, 4 / (B18*1000/(B23*F13)+1), 2)</f>
        <v>2</v>
      </c>
      <c r="E23" s="10">
        <f>D23*$D$4</f>
        <v>1.4</v>
      </c>
      <c r="F23" s="10">
        <f>C23/E23</f>
        <v>0.40760327319333534</v>
      </c>
      <c r="G23" s="8">
        <f>L13*VLOOKUP(M13,rebar!$A$1:$B$11,2)/(B13*0.002)</f>
        <v>211.66666666666669</v>
      </c>
      <c r="H23" s="5">
        <v>200</v>
      </c>
      <c r="I23" s="9" t="str">
        <f t="shared" si="1"/>
        <v>OK</v>
      </c>
    </row>
    <row r="24" spans="1:9" ht="15.75" customHeight="1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ht="15.75" customHeight="1" x14ac:dyDescent="0.4">
      <c r="A25" s="24" t="s">
        <v>0</v>
      </c>
      <c r="B25" s="21" t="s">
        <v>26</v>
      </c>
      <c r="C25" s="22"/>
      <c r="D25" s="23"/>
      <c r="E25" s="2"/>
      <c r="F25" s="2"/>
      <c r="G25" s="2"/>
      <c r="H25" s="2"/>
      <c r="I25" s="2"/>
    </row>
    <row r="26" spans="1:9" ht="15.75" customHeight="1" x14ac:dyDescent="0.4">
      <c r="A26" s="25"/>
      <c r="B26" s="3" t="s">
        <v>27</v>
      </c>
      <c r="C26" s="3" t="s">
        <v>28</v>
      </c>
      <c r="D26" s="3" t="s">
        <v>18</v>
      </c>
      <c r="E26" s="2"/>
      <c r="F26" s="2"/>
      <c r="G26" s="2"/>
      <c r="H26" s="2"/>
      <c r="I26" s="2"/>
    </row>
    <row r="27" spans="1:9" ht="15.75" customHeight="1" x14ac:dyDescent="0.4">
      <c r="A27" s="3" t="str">
        <f>A4</f>
        <v>FB3</v>
      </c>
      <c r="B27" s="8">
        <f>8*5/384*C8*(B8*1000)^4/B4/(B12*C12^3/12)</f>
        <v>10.206375262484119</v>
      </c>
      <c r="C27" s="8">
        <f>B8*1000/B27</f>
        <v>950.38637621473526</v>
      </c>
      <c r="D27" s="3" t="str">
        <f>IF(C27&gt;200,"OK","NG")</f>
        <v>OK</v>
      </c>
      <c r="E27" s="2"/>
      <c r="F27" s="2"/>
      <c r="G27" s="2"/>
      <c r="H27" s="2"/>
      <c r="I27" s="2"/>
    </row>
  </sheetData>
  <mergeCells count="12">
    <mergeCell ref="A2:A3"/>
    <mergeCell ref="B2:D2"/>
    <mergeCell ref="A6:A7"/>
    <mergeCell ref="B6:H6"/>
    <mergeCell ref="A10:A11"/>
    <mergeCell ref="B10:F10"/>
    <mergeCell ref="A15:A16"/>
    <mergeCell ref="B15:G15"/>
    <mergeCell ref="A20:A21"/>
    <mergeCell ref="B20:I20"/>
    <mergeCell ref="A25:A26"/>
    <mergeCell ref="B25:D25"/>
  </mergeCells>
  <phoneticPr fontId="1"/>
  <pageMargins left="0" right="0" top="0" bottom="0" header="0" footer="0"/>
  <pageSetup paperSize="11" scale="9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1ADEBD8-C0BD-4959-BA04-46419FAEFC41}">
            <xm:f>NOT(ISERROR(SEARCH("OK",D17)))</xm:f>
            <xm:f>"OK"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9320D738-B516-4DBE-9EA8-A891A53577AC}">
            <xm:f>NOT(ISERROR(SEARCH("NG",D17)))</xm:f>
            <xm:f>"NG"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G17:G18 I22:I23 D27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D3C8-8DB0-42EC-84F2-BAC2422D5961}">
  <sheetPr>
    <outlinePr summaryBelow="0" summaryRight="0"/>
    <pageSetUpPr fitToPage="1"/>
  </sheetPr>
  <dimension ref="A1:M27"/>
  <sheetViews>
    <sheetView topLeftCell="A11" zoomScale="130" zoomScaleNormal="130" workbookViewId="0">
      <selection activeCell="B27" sqref="B27"/>
    </sheetView>
  </sheetViews>
  <sheetFormatPr defaultColWidth="12.54296875" defaultRowHeight="15.75" customHeight="1" x14ac:dyDescent="0.4"/>
  <cols>
    <col min="1" max="1" width="8.54296875" style="1" bestFit="1" customWidth="1"/>
    <col min="2" max="9" width="12.7265625" style="1" customWidth="1"/>
    <col min="10" max="16384" width="12.54296875" style="1"/>
  </cols>
  <sheetData>
    <row r="1" spans="1:13" ht="13" x14ac:dyDescent="0.4"/>
    <row r="2" spans="1:13" ht="13.5" customHeight="1" x14ac:dyDescent="0.4">
      <c r="A2" s="26" t="s">
        <v>0</v>
      </c>
      <c r="B2" s="26" t="s">
        <v>1</v>
      </c>
      <c r="C2" s="26"/>
      <c r="D2" s="26"/>
    </row>
    <row r="3" spans="1:13" ht="39" x14ac:dyDescent="0.4">
      <c r="A3" s="26"/>
      <c r="B3" s="13" t="s">
        <v>29</v>
      </c>
      <c r="C3" s="13" t="s">
        <v>31</v>
      </c>
      <c r="D3" s="13" t="s">
        <v>30</v>
      </c>
    </row>
    <row r="4" spans="1:13" ht="13" x14ac:dyDescent="0.4">
      <c r="A4" s="3" t="s">
        <v>37</v>
      </c>
      <c r="B4" s="4">
        <v>21700</v>
      </c>
      <c r="C4" s="4">
        <v>0.215</v>
      </c>
      <c r="D4" s="4">
        <v>0.7</v>
      </c>
    </row>
    <row r="5" spans="1:13" ht="13" x14ac:dyDescent="0.4">
      <c r="J5" s="14"/>
    </row>
    <row r="6" spans="1:13" ht="13" x14ac:dyDescent="0.4">
      <c r="A6" s="24" t="s">
        <v>0</v>
      </c>
      <c r="B6" s="21" t="s">
        <v>2</v>
      </c>
      <c r="C6" s="22"/>
      <c r="D6" s="22"/>
      <c r="E6" s="22"/>
      <c r="F6" s="22"/>
      <c r="G6" s="22"/>
      <c r="H6" s="23"/>
      <c r="I6" s="2"/>
    </row>
    <row r="7" spans="1:13" ht="26" x14ac:dyDescent="0.4">
      <c r="A7" s="25"/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13" t="s">
        <v>64</v>
      </c>
      <c r="H7" s="13" t="s">
        <v>65</v>
      </c>
      <c r="I7" s="2"/>
    </row>
    <row r="8" spans="1:13" ht="15.75" customHeight="1" x14ac:dyDescent="0.4">
      <c r="A8" s="3" t="str">
        <f>A4</f>
        <v>FB4</v>
      </c>
      <c r="B8" s="4">
        <f>VLOOKUP(A8,load!A1:G7,3,FALSE)</f>
        <v>4.5999999999999996</v>
      </c>
      <c r="C8" s="12">
        <f>115*2/B8+122*2/3+24*B12/1000*C12/1000</f>
        <v>142.13333333333335</v>
      </c>
      <c r="D8" s="8">
        <f>C8*B8^2/8</f>
        <v>375.94266666666664</v>
      </c>
      <c r="E8" s="8">
        <f>C8*B8^2/12</f>
        <v>250.62844444444443</v>
      </c>
      <c r="F8" s="8">
        <f>C8*B8/2</f>
        <v>326.90666666666669</v>
      </c>
      <c r="G8" s="8">
        <f>D8-0.35*E8</f>
        <v>288.2227111111111</v>
      </c>
      <c r="H8" s="8">
        <f>0.6*E8</f>
        <v>150.37706666666665</v>
      </c>
      <c r="I8" s="2"/>
    </row>
    <row r="9" spans="1:13" ht="13" x14ac:dyDescent="0.4">
      <c r="A9" s="2"/>
      <c r="B9" s="2"/>
      <c r="C9" s="2"/>
      <c r="D9" s="2"/>
      <c r="E9" s="2"/>
      <c r="F9" s="2"/>
      <c r="G9" s="2"/>
      <c r="H9" s="2"/>
      <c r="I9" s="2"/>
    </row>
    <row r="10" spans="1:13" ht="13" x14ac:dyDescent="0.4">
      <c r="A10" s="24" t="s">
        <v>0</v>
      </c>
      <c r="B10" s="21" t="s">
        <v>8</v>
      </c>
      <c r="C10" s="22"/>
      <c r="D10" s="22"/>
      <c r="E10" s="22"/>
      <c r="F10" s="23"/>
      <c r="G10" s="6"/>
      <c r="H10" s="6"/>
      <c r="I10" s="2"/>
    </row>
    <row r="11" spans="1:13" ht="13" x14ac:dyDescent="0.4">
      <c r="A11" s="25"/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2"/>
      <c r="H11" s="2"/>
      <c r="I11" s="2"/>
    </row>
    <row r="12" spans="1:13" ht="13" x14ac:dyDescent="0.4">
      <c r="A12" s="3" t="str">
        <f>A4&amp;"端部"</f>
        <v>FB4端部</v>
      </c>
      <c r="B12" s="5">
        <v>300</v>
      </c>
      <c r="C12" s="5">
        <v>1500</v>
      </c>
      <c r="D12" s="5" t="s">
        <v>66</v>
      </c>
      <c r="E12" s="5" t="s">
        <v>14</v>
      </c>
      <c r="F12" s="7">
        <f>(C12-90)*0.5+(C12-170)*0.5</f>
        <v>1370</v>
      </c>
      <c r="G12" s="2"/>
      <c r="J12" s="2" t="str" cm="1">
        <f t="array" ref="J12:K12">_xlfn.TEXTSPLIT(D12,"-")</f>
        <v>3</v>
      </c>
      <c r="K12" s="2" t="str">
        <v>D25</v>
      </c>
      <c r="L12" s="1" t="str" cm="1">
        <f t="array" ref="L12:M12">_xlfn.TEXTSPLIT(E12,"-")</f>
        <v>2</v>
      </c>
      <c r="M12" s="1" t="str">
        <v>D13</v>
      </c>
    </row>
    <row r="13" spans="1:13" ht="15.75" customHeight="1" x14ac:dyDescent="0.4">
      <c r="A13" s="3" t="str">
        <f>A4&amp;"中央"</f>
        <v>FB4中央</v>
      </c>
      <c r="B13" s="5">
        <v>300</v>
      </c>
      <c r="C13" s="5">
        <v>1500</v>
      </c>
      <c r="D13" s="5" t="s">
        <v>67</v>
      </c>
      <c r="E13" s="5" t="s">
        <v>14</v>
      </c>
      <c r="F13" s="7">
        <f>(C13-90)*0.5+(C13-170)*0.5</f>
        <v>1370</v>
      </c>
      <c r="G13" s="2"/>
      <c r="J13" s="2" t="str" cm="1">
        <f t="array" ref="J13:K13">_xlfn.TEXTSPLIT(D13,"-")</f>
        <v>5</v>
      </c>
      <c r="K13" s="2" t="str">
        <v>D25</v>
      </c>
      <c r="L13" s="1" t="str" cm="1">
        <f t="array" ref="L13:M13">_xlfn.TEXTSPLIT(E13,"-")</f>
        <v>2</v>
      </c>
      <c r="M13" s="1" t="str">
        <v>D13</v>
      </c>
    </row>
    <row r="14" spans="1:13" ht="13" x14ac:dyDescent="0.4">
      <c r="A14" s="2"/>
      <c r="B14" s="2"/>
      <c r="C14" s="2"/>
      <c r="D14" s="2"/>
      <c r="E14" s="2"/>
      <c r="F14" s="2"/>
      <c r="G14" s="2"/>
      <c r="H14" s="2"/>
      <c r="I14" s="2"/>
    </row>
    <row r="15" spans="1:13" ht="13" x14ac:dyDescent="0.4">
      <c r="A15" s="24" t="s">
        <v>0</v>
      </c>
      <c r="B15" s="21" t="s">
        <v>34</v>
      </c>
      <c r="C15" s="22"/>
      <c r="D15" s="22"/>
      <c r="E15" s="22"/>
      <c r="F15" s="22"/>
      <c r="G15" s="23"/>
      <c r="H15" s="2"/>
      <c r="I15" s="2"/>
    </row>
    <row r="16" spans="1:13" ht="13" x14ac:dyDescent="0.4">
      <c r="A16" s="25"/>
      <c r="B16" s="3" t="s">
        <v>15</v>
      </c>
      <c r="C16" s="3" t="s">
        <v>16</v>
      </c>
      <c r="D16" s="3" t="s">
        <v>17</v>
      </c>
      <c r="E16" s="3" t="s">
        <v>33</v>
      </c>
      <c r="F16" s="3" t="s">
        <v>32</v>
      </c>
      <c r="G16" s="3" t="s">
        <v>18</v>
      </c>
      <c r="H16" s="2"/>
      <c r="I16" s="2"/>
    </row>
    <row r="17" spans="1:9" ht="13" x14ac:dyDescent="0.4">
      <c r="A17" s="3" t="str">
        <f>A12</f>
        <v>FB4端部</v>
      </c>
      <c r="B17" s="8">
        <f>H8</f>
        <v>150.37706666666665</v>
      </c>
      <c r="C17" s="8">
        <f>B17*1000/($C$4*0.875*F12)</f>
        <v>583.46462319438047</v>
      </c>
      <c r="D17" s="3">
        <f>J12*VLOOKUP(K12,rebar!$A$1:$B$11,2,FALSE)</f>
        <v>1521</v>
      </c>
      <c r="E17" s="8">
        <f>C17*1.33</f>
        <v>776.0079488485261</v>
      </c>
      <c r="F17" s="3">
        <f>0.004*B12*F12</f>
        <v>1644</v>
      </c>
      <c r="G17" s="3" t="str">
        <f t="shared" ref="G17:G18" si="0">IF(AND(C17&lt;D17,MIN(E17,F17)&lt;D17), "OK", "NG")</f>
        <v>OK</v>
      </c>
      <c r="H17" s="2"/>
      <c r="I17" s="2"/>
    </row>
    <row r="18" spans="1:9" ht="15.75" customHeight="1" x14ac:dyDescent="0.4">
      <c r="A18" s="3" t="str">
        <f>A13</f>
        <v>FB4中央</v>
      </c>
      <c r="B18" s="8">
        <f>G8</f>
        <v>288.2227111111111</v>
      </c>
      <c r="C18" s="8">
        <f>B18*1000/($C$4*0.875*F13)</f>
        <v>1118.3071944558958</v>
      </c>
      <c r="D18" s="3">
        <f>J13*VLOOKUP(K13,rebar!$A$1:$B$11,2,FALSE)</f>
        <v>2535</v>
      </c>
      <c r="E18" s="8">
        <f>C18*1.33</f>
        <v>1487.3485686263414</v>
      </c>
      <c r="F18" s="3">
        <f>0.004*B13*F13</f>
        <v>1644</v>
      </c>
      <c r="G18" s="3" t="str">
        <f t="shared" si="0"/>
        <v>OK</v>
      </c>
      <c r="H18" s="2"/>
      <c r="I18" s="2"/>
    </row>
    <row r="19" spans="1:9" ht="13.5" customHeight="1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ht="13" x14ac:dyDescent="0.4">
      <c r="A20" s="24" t="s">
        <v>0</v>
      </c>
      <c r="B20" s="21" t="s">
        <v>19</v>
      </c>
      <c r="C20" s="22"/>
      <c r="D20" s="22"/>
      <c r="E20" s="22"/>
      <c r="F20" s="22"/>
      <c r="G20" s="22"/>
      <c r="H20" s="22"/>
      <c r="I20" s="23"/>
    </row>
    <row r="21" spans="1:9" ht="13" x14ac:dyDescent="0.4">
      <c r="A21" s="25"/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35</v>
      </c>
      <c r="H21" s="3" t="s">
        <v>25</v>
      </c>
      <c r="I21" s="9" t="s">
        <v>18</v>
      </c>
    </row>
    <row r="22" spans="1:9" ht="15.75" customHeight="1" x14ac:dyDescent="0.4">
      <c r="A22" s="3" t="str">
        <f>A17</f>
        <v>FB4端部</v>
      </c>
      <c r="B22" s="11">
        <f>F8</f>
        <v>326.90666666666669</v>
      </c>
      <c r="C22" s="10">
        <f>F8*1000/(B12*F12*0.875)</f>
        <v>0.9090209709187812</v>
      </c>
      <c r="D22" s="10">
        <f>MEDIAN(1, 4 / (B17*1000/(F8*F12)+1), 2)</f>
        <v>2</v>
      </c>
      <c r="E22" s="10">
        <f>D22*$D$4</f>
        <v>1.4</v>
      </c>
      <c r="F22" s="10">
        <f>C22/E22</f>
        <v>0.64930069351341524</v>
      </c>
      <c r="G22" s="8">
        <f>L12*VLOOKUP(M12,rebar!$A$1:$B$11,2)/(B12*0.002)</f>
        <v>423.33333333333337</v>
      </c>
      <c r="H22" s="5">
        <v>200</v>
      </c>
      <c r="I22" s="9" t="str">
        <f t="shared" ref="I22:I23" si="1">IF(AND(F22&lt;1,H22&lt;G22), "OK", "NG")</f>
        <v>OK</v>
      </c>
    </row>
    <row r="23" spans="1:9" ht="15.75" customHeight="1" x14ac:dyDescent="0.4">
      <c r="A23" s="3" t="str">
        <f>A18</f>
        <v>FB4中央</v>
      </c>
      <c r="B23" s="8">
        <f>F8</f>
        <v>326.90666666666669</v>
      </c>
      <c r="C23" s="10">
        <f>B23*1000/(B13*F13*0.875)</f>
        <v>0.9090209709187812</v>
      </c>
      <c r="D23" s="10">
        <f>MEDIAN(1, 4 / (B18*1000/(B23*F13)+1), 2)</f>
        <v>2</v>
      </c>
      <c r="E23" s="10">
        <f>D23*$D$4</f>
        <v>1.4</v>
      </c>
      <c r="F23" s="10">
        <f>C23/E23</f>
        <v>0.64930069351341524</v>
      </c>
      <c r="G23" s="8">
        <f>L13*VLOOKUP(M13,rebar!$A$1:$B$11,2)/(B13*0.002)</f>
        <v>423.33333333333337</v>
      </c>
      <c r="H23" s="5">
        <v>200</v>
      </c>
      <c r="I23" s="9" t="str">
        <f t="shared" si="1"/>
        <v>OK</v>
      </c>
    </row>
    <row r="24" spans="1:9" ht="15.75" customHeight="1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ht="15.75" customHeight="1" x14ac:dyDescent="0.4">
      <c r="A25" s="24" t="s">
        <v>0</v>
      </c>
      <c r="B25" s="21" t="s">
        <v>26</v>
      </c>
      <c r="C25" s="22"/>
      <c r="D25" s="23"/>
      <c r="E25" s="2"/>
      <c r="F25" s="2"/>
      <c r="G25" s="2"/>
      <c r="H25" s="2"/>
      <c r="I25" s="2"/>
    </row>
    <row r="26" spans="1:9" ht="15.75" customHeight="1" x14ac:dyDescent="0.4">
      <c r="A26" s="25"/>
      <c r="B26" s="3" t="s">
        <v>27</v>
      </c>
      <c r="C26" s="3" t="s">
        <v>28</v>
      </c>
      <c r="D26" s="3" t="s">
        <v>18</v>
      </c>
      <c r="E26" s="2"/>
      <c r="F26" s="2"/>
      <c r="G26" s="2"/>
      <c r="H26" s="2"/>
      <c r="I26" s="2"/>
    </row>
    <row r="27" spans="1:9" ht="15.75" customHeight="1" x14ac:dyDescent="0.4">
      <c r="A27" s="3" t="str">
        <f>A4</f>
        <v>FB4</v>
      </c>
      <c r="B27" s="8">
        <f>8*5/384*C8*(B8*1000)^4/B4/(B12*C12^3/12)</f>
        <v>3.620616408564223</v>
      </c>
      <c r="C27" s="8">
        <f>B8*1000/B27</f>
        <v>1270.5018927492949</v>
      </c>
      <c r="D27" s="3" t="str">
        <f>IF(C27&gt;200,"OK","NG")</f>
        <v>OK</v>
      </c>
      <c r="E27" s="2"/>
      <c r="F27" s="2"/>
      <c r="G27" s="2"/>
      <c r="H27" s="2"/>
      <c r="I27" s="2"/>
    </row>
  </sheetData>
  <mergeCells count="12">
    <mergeCell ref="A15:A16"/>
    <mergeCell ref="B15:G15"/>
    <mergeCell ref="A20:A21"/>
    <mergeCell ref="B20:I20"/>
    <mergeCell ref="A25:A26"/>
    <mergeCell ref="B25:D25"/>
    <mergeCell ref="A2:A3"/>
    <mergeCell ref="B2:D2"/>
    <mergeCell ref="A6:A7"/>
    <mergeCell ref="B6:H6"/>
    <mergeCell ref="A10:A11"/>
    <mergeCell ref="B10:F10"/>
  </mergeCells>
  <phoneticPr fontId="1"/>
  <pageMargins left="0" right="0" top="0" bottom="0" header="0" footer="0"/>
  <pageSetup paperSize="11" scale="9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DD25514-7199-42CA-B785-26F00ADAF90C}">
            <xm:f>NOT(ISERROR(SEARCH("OK",D17)))</xm:f>
            <xm:f>"OK"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EEBC630E-6061-45D3-867B-352B36239AB0}">
            <xm:f>NOT(ISERROR(SEARCH("NG",D17)))</xm:f>
            <xm:f>"NG"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G17:G18 I22:I23 D27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9DB3-5E40-417B-9958-61E4345330EB}">
  <sheetPr>
    <outlinePr summaryBelow="0" summaryRight="0"/>
    <pageSetUpPr fitToPage="1"/>
  </sheetPr>
  <dimension ref="A1:M27"/>
  <sheetViews>
    <sheetView tabSelected="1" topLeftCell="A3" zoomScale="130" zoomScaleNormal="130" workbookViewId="0">
      <selection activeCell="I17" sqref="I17"/>
    </sheetView>
  </sheetViews>
  <sheetFormatPr defaultColWidth="12.54296875" defaultRowHeight="15.75" customHeight="1" x14ac:dyDescent="0.4"/>
  <cols>
    <col min="1" max="1" width="8.54296875" style="1" bestFit="1" customWidth="1"/>
    <col min="2" max="9" width="12.7265625" style="1" customWidth="1"/>
    <col min="10" max="16384" width="12.54296875" style="1"/>
  </cols>
  <sheetData>
    <row r="1" spans="1:13" ht="13" x14ac:dyDescent="0.4"/>
    <row r="2" spans="1:13" ht="13.5" customHeight="1" x14ac:dyDescent="0.4">
      <c r="A2" s="26" t="s">
        <v>0</v>
      </c>
      <c r="B2" s="26" t="s">
        <v>1</v>
      </c>
      <c r="C2" s="26"/>
      <c r="D2" s="26"/>
    </row>
    <row r="3" spans="1:13" ht="39" x14ac:dyDescent="0.4">
      <c r="A3" s="26"/>
      <c r="B3" s="13" t="s">
        <v>29</v>
      </c>
      <c r="C3" s="13" t="s">
        <v>31</v>
      </c>
      <c r="D3" s="13" t="s">
        <v>30</v>
      </c>
    </row>
    <row r="4" spans="1:13" ht="13" x14ac:dyDescent="0.4">
      <c r="A4" s="3" t="s">
        <v>38</v>
      </c>
      <c r="B4" s="4">
        <v>21700</v>
      </c>
      <c r="C4" s="4">
        <v>0.215</v>
      </c>
      <c r="D4" s="4">
        <v>0.7</v>
      </c>
    </row>
    <row r="5" spans="1:13" ht="13" x14ac:dyDescent="0.4">
      <c r="J5" s="14"/>
    </row>
    <row r="6" spans="1:13" ht="13" x14ac:dyDescent="0.4">
      <c r="A6" s="24" t="s">
        <v>0</v>
      </c>
      <c r="B6" s="21" t="s">
        <v>2</v>
      </c>
      <c r="C6" s="22"/>
      <c r="D6" s="22"/>
      <c r="E6" s="22"/>
      <c r="F6" s="22"/>
      <c r="G6" s="22"/>
      <c r="H6" s="23"/>
      <c r="I6" s="2"/>
    </row>
    <row r="7" spans="1:13" ht="26" x14ac:dyDescent="0.4">
      <c r="A7" s="25"/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13" t="s">
        <v>64</v>
      </c>
      <c r="H7" s="13" t="s">
        <v>65</v>
      </c>
      <c r="I7" s="2"/>
    </row>
    <row r="8" spans="1:13" ht="15.75" customHeight="1" x14ac:dyDescent="0.4">
      <c r="A8" s="3" t="str">
        <f>A4</f>
        <v>FB5</v>
      </c>
      <c r="B8" s="4">
        <f>VLOOKUP(A8,load!A1:G7,3,FALSE)</f>
        <v>13.4</v>
      </c>
      <c r="C8" s="12">
        <f>55*2/3+195*2/B8+24*B12/1000*C12/1000</f>
        <v>94.571144278606951</v>
      </c>
      <c r="D8" s="8">
        <f>C8*B8^2/8</f>
        <v>2122.6493333333328</v>
      </c>
      <c r="E8" s="8">
        <f>C8*B8^2/12</f>
        <v>1415.0995555555553</v>
      </c>
      <c r="F8" s="8">
        <f>C8*B8/2</f>
        <v>633.62666666666655</v>
      </c>
      <c r="G8" s="8">
        <f>D8-0.35*E8</f>
        <v>1627.3644888888884</v>
      </c>
      <c r="H8" s="8">
        <f>0.6*E8</f>
        <v>849.05973333333316</v>
      </c>
      <c r="I8" s="2"/>
    </row>
    <row r="9" spans="1:13" ht="13" x14ac:dyDescent="0.4">
      <c r="A9" s="2"/>
      <c r="B9" s="2"/>
      <c r="C9" s="2"/>
      <c r="D9" s="2"/>
      <c r="E9" s="2"/>
      <c r="F9" s="2"/>
      <c r="G9" s="2"/>
      <c r="H9" s="2"/>
      <c r="I9" s="2"/>
    </row>
    <row r="10" spans="1:13" ht="13" x14ac:dyDescent="0.4">
      <c r="A10" s="24" t="s">
        <v>0</v>
      </c>
      <c r="B10" s="21" t="s">
        <v>8</v>
      </c>
      <c r="C10" s="22"/>
      <c r="D10" s="22"/>
      <c r="E10" s="22"/>
      <c r="F10" s="23"/>
      <c r="G10" s="6"/>
      <c r="H10" s="6"/>
      <c r="I10" s="2"/>
    </row>
    <row r="11" spans="1:13" ht="13" x14ac:dyDescent="0.4">
      <c r="A11" s="25"/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2"/>
      <c r="H11" s="2"/>
      <c r="I11" s="2"/>
    </row>
    <row r="12" spans="1:13" ht="13" x14ac:dyDescent="0.4">
      <c r="A12" s="3" t="str">
        <f>A4&amp;"端部"</f>
        <v>FB5端部</v>
      </c>
      <c r="B12" s="5">
        <v>800</v>
      </c>
      <c r="C12" s="5">
        <v>1500</v>
      </c>
      <c r="D12" s="5" t="s">
        <v>69</v>
      </c>
      <c r="E12" s="5" t="s">
        <v>70</v>
      </c>
      <c r="F12" s="7">
        <f>(C12-90)*0.5+(C12-170)*0.5</f>
        <v>1370</v>
      </c>
      <c r="G12" s="2"/>
      <c r="J12" s="2" t="str" cm="1">
        <f t="array" ref="J12:K12">_xlfn.TEXTSPLIT(D12,"-")</f>
        <v>9</v>
      </c>
      <c r="K12" s="2" t="str">
        <v>D25</v>
      </c>
      <c r="L12" s="1" t="str" cm="1">
        <f t="array" ref="L12:M12">_xlfn.TEXTSPLIT(E12,"-")</f>
        <v>3</v>
      </c>
      <c r="M12" s="1" t="str">
        <v>D13</v>
      </c>
    </row>
    <row r="13" spans="1:13" ht="15.75" customHeight="1" x14ac:dyDescent="0.4">
      <c r="A13" s="3" t="str">
        <f>A4&amp;"中央"</f>
        <v>FB5中央</v>
      </c>
      <c r="B13" s="5">
        <v>800</v>
      </c>
      <c r="C13" s="5">
        <v>1500</v>
      </c>
      <c r="D13" s="5" t="s">
        <v>68</v>
      </c>
      <c r="E13" s="5" t="s">
        <v>70</v>
      </c>
      <c r="F13" s="7">
        <f>(C13-90)*0.5+(C13-170)*0.5</f>
        <v>1370</v>
      </c>
      <c r="G13" s="2"/>
      <c r="J13" s="2" t="str" cm="1">
        <f t="array" ref="J13:K13">_xlfn.TEXTSPLIT(D13,"-")</f>
        <v>13</v>
      </c>
      <c r="K13" s="2" t="str">
        <v>D25</v>
      </c>
      <c r="L13" s="1" t="str" cm="1">
        <f t="array" ref="L13:M13">_xlfn.TEXTSPLIT(E13,"-")</f>
        <v>3</v>
      </c>
      <c r="M13" s="1" t="str">
        <v>D13</v>
      </c>
    </row>
    <row r="14" spans="1:13" ht="13" x14ac:dyDescent="0.4">
      <c r="A14" s="2"/>
      <c r="B14" s="2"/>
      <c r="C14" s="2"/>
      <c r="D14" s="2"/>
      <c r="E14" s="2"/>
      <c r="F14" s="2"/>
      <c r="G14" s="2"/>
      <c r="H14" s="2"/>
      <c r="I14" s="2"/>
    </row>
    <row r="15" spans="1:13" ht="13" x14ac:dyDescent="0.4">
      <c r="A15" s="24" t="s">
        <v>0</v>
      </c>
      <c r="B15" s="21" t="s">
        <v>34</v>
      </c>
      <c r="C15" s="22"/>
      <c r="D15" s="22"/>
      <c r="E15" s="22"/>
      <c r="F15" s="22"/>
      <c r="G15" s="23"/>
      <c r="H15" s="2"/>
      <c r="I15" s="2"/>
    </row>
    <row r="16" spans="1:13" ht="13" x14ac:dyDescent="0.4">
      <c r="A16" s="25"/>
      <c r="B16" s="3" t="s">
        <v>15</v>
      </c>
      <c r="C16" s="3" t="s">
        <v>16</v>
      </c>
      <c r="D16" s="3" t="s">
        <v>17</v>
      </c>
      <c r="E16" s="3" t="s">
        <v>33</v>
      </c>
      <c r="F16" s="3" t="s">
        <v>32</v>
      </c>
      <c r="G16" s="3" t="s">
        <v>18</v>
      </c>
      <c r="H16" s="2"/>
      <c r="I16" s="2"/>
    </row>
    <row r="17" spans="1:9" ht="13" x14ac:dyDescent="0.4">
      <c r="A17" s="3" t="str">
        <f>A12</f>
        <v>FB5端部</v>
      </c>
      <c r="B17" s="8">
        <f>H8</f>
        <v>849.05973333333316</v>
      </c>
      <c r="C17" s="8">
        <f>B17*1000/($C$4*0.875*F12)</f>
        <v>3294.360824825601</v>
      </c>
      <c r="D17" s="3">
        <f>J12*VLOOKUP(K12,rebar!$A$1:$B$11,2,FALSE)</f>
        <v>4563</v>
      </c>
      <c r="E17" s="8">
        <f>C17*1.33</f>
        <v>4381.4998970180495</v>
      </c>
      <c r="F17" s="3">
        <f>0.004*B12*F12</f>
        <v>4384</v>
      </c>
      <c r="G17" s="3" t="str">
        <f t="shared" ref="G17:G18" si="0">IF(AND(C17&lt;D17,MIN(E17,F17)&lt;D17), "OK", "NG")</f>
        <v>OK</v>
      </c>
      <c r="H17" s="2"/>
      <c r="I17" s="2"/>
    </row>
    <row r="18" spans="1:9" ht="15.75" customHeight="1" x14ac:dyDescent="0.4">
      <c r="A18" s="3" t="str">
        <f>A13</f>
        <v>FB5中央</v>
      </c>
      <c r="B18" s="8">
        <f>G8</f>
        <v>1627.3644888888884</v>
      </c>
      <c r="C18" s="8">
        <f>B18*1000/($C$4*0.875*F13)</f>
        <v>6314.1915809157344</v>
      </c>
      <c r="D18" s="3">
        <f>J13*VLOOKUP(K13,rebar!$A$1:$B$11,2,FALSE)</f>
        <v>6591</v>
      </c>
      <c r="E18" s="8">
        <f>C18*1.33</f>
        <v>8397.8748026179273</v>
      </c>
      <c r="F18" s="3">
        <f>0.004*B13*F13</f>
        <v>4384</v>
      </c>
      <c r="G18" s="3" t="str">
        <f t="shared" si="0"/>
        <v>OK</v>
      </c>
      <c r="H18" s="2"/>
      <c r="I18" s="2"/>
    </row>
    <row r="19" spans="1:9" ht="13.5" customHeight="1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ht="13" x14ac:dyDescent="0.4">
      <c r="A20" s="24" t="s">
        <v>0</v>
      </c>
      <c r="B20" s="21" t="s">
        <v>19</v>
      </c>
      <c r="C20" s="22"/>
      <c r="D20" s="22"/>
      <c r="E20" s="22"/>
      <c r="F20" s="22"/>
      <c r="G20" s="22"/>
      <c r="H20" s="22"/>
      <c r="I20" s="23"/>
    </row>
    <row r="21" spans="1:9" ht="13" x14ac:dyDescent="0.4">
      <c r="A21" s="25"/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35</v>
      </c>
      <c r="H21" s="3" t="s">
        <v>25</v>
      </c>
      <c r="I21" s="9" t="s">
        <v>18</v>
      </c>
    </row>
    <row r="22" spans="1:9" ht="15.75" customHeight="1" x14ac:dyDescent="0.4">
      <c r="A22" s="3" t="str">
        <f>A17</f>
        <v>FB5端部</v>
      </c>
      <c r="B22" s="11">
        <f>F8</f>
        <v>633.62666666666655</v>
      </c>
      <c r="C22" s="10">
        <f>F8*1000/(B12*F12*0.875)</f>
        <v>0.66071602363573145</v>
      </c>
      <c r="D22" s="10">
        <f>MEDIAN(1, 4 / (B17*1000/(F8*F12)+1), 2)</f>
        <v>2</v>
      </c>
      <c r="E22" s="10">
        <f>D22*$D$4</f>
        <v>1.4</v>
      </c>
      <c r="F22" s="10">
        <f>C22/E22</f>
        <v>0.47194001688266535</v>
      </c>
      <c r="G22" s="8">
        <f>L12*VLOOKUP(M12,rebar!$A$1:$B$11,2)/(B12*0.002)</f>
        <v>238.125</v>
      </c>
      <c r="H22" s="5">
        <v>200</v>
      </c>
      <c r="I22" s="9" t="str">
        <f t="shared" ref="I22:I23" si="1">IF(AND(F22&lt;1,H22&lt;G22), "OK", "NG")</f>
        <v>OK</v>
      </c>
    </row>
    <row r="23" spans="1:9" ht="15.75" customHeight="1" x14ac:dyDescent="0.4">
      <c r="A23" s="3" t="str">
        <f>A18</f>
        <v>FB5中央</v>
      </c>
      <c r="B23" s="8">
        <f>F8</f>
        <v>633.62666666666655</v>
      </c>
      <c r="C23" s="10">
        <f>B23*1000/(B13*F13*0.875)</f>
        <v>0.66071602363573145</v>
      </c>
      <c r="D23" s="10">
        <f>MEDIAN(1, 4 / (B18*1000/(B23*F13)+1), 2)</f>
        <v>1.3914515446466358</v>
      </c>
      <c r="E23" s="10">
        <f>D23*$D$4</f>
        <v>0.97401608125264494</v>
      </c>
      <c r="F23" s="10">
        <f>C23/E23</f>
        <v>0.67834200723463389</v>
      </c>
      <c r="G23" s="8">
        <f>L13*VLOOKUP(M13,rebar!$A$1:$B$11,2)/(B13*0.002)</f>
        <v>238.125</v>
      </c>
      <c r="H23" s="5">
        <v>200</v>
      </c>
      <c r="I23" s="9" t="str">
        <f t="shared" si="1"/>
        <v>OK</v>
      </c>
    </row>
    <row r="24" spans="1:9" ht="15.75" customHeight="1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ht="15.75" customHeight="1" x14ac:dyDescent="0.4">
      <c r="A25" s="24" t="s">
        <v>0</v>
      </c>
      <c r="B25" s="21" t="s">
        <v>26</v>
      </c>
      <c r="C25" s="22"/>
      <c r="D25" s="23"/>
      <c r="E25" s="2"/>
      <c r="F25" s="2"/>
      <c r="G25" s="2"/>
      <c r="H25" s="2"/>
      <c r="I25" s="2"/>
    </row>
    <row r="26" spans="1:9" ht="15.75" customHeight="1" x14ac:dyDescent="0.4">
      <c r="A26" s="25"/>
      <c r="B26" s="3" t="s">
        <v>27</v>
      </c>
      <c r="C26" s="3" t="s">
        <v>28</v>
      </c>
      <c r="D26" s="3" t="s">
        <v>18</v>
      </c>
      <c r="E26" s="2"/>
      <c r="F26" s="2"/>
      <c r="G26" s="2"/>
      <c r="H26" s="2"/>
      <c r="I26" s="2"/>
    </row>
    <row r="27" spans="1:9" ht="15.75" customHeight="1" x14ac:dyDescent="0.4">
      <c r="A27" s="3" t="str">
        <f>A4</f>
        <v>FB5</v>
      </c>
      <c r="B27" s="8">
        <f>8*5/384*C8*(B8*1000)^4/B4/(B12*C12^3/12)</f>
        <v>65.052554069522671</v>
      </c>
      <c r="C27" s="8">
        <f>B8*1000/B27</f>
        <v>205.98730044756141</v>
      </c>
      <c r="D27" s="3" t="str">
        <f>IF(C27&gt;200,"OK","NG")</f>
        <v>OK</v>
      </c>
      <c r="E27" s="2"/>
      <c r="F27" s="2"/>
      <c r="G27" s="2"/>
      <c r="H27" s="2"/>
      <c r="I27" s="2"/>
    </row>
  </sheetData>
  <mergeCells count="12">
    <mergeCell ref="A15:A16"/>
    <mergeCell ref="B15:G15"/>
    <mergeCell ref="A20:A21"/>
    <mergeCell ref="B20:I20"/>
    <mergeCell ref="A25:A26"/>
    <mergeCell ref="B25:D25"/>
    <mergeCell ref="A2:A3"/>
    <mergeCell ref="B2:D2"/>
    <mergeCell ref="A6:A7"/>
    <mergeCell ref="B6:H6"/>
    <mergeCell ref="A10:A11"/>
    <mergeCell ref="B10:F10"/>
  </mergeCells>
  <phoneticPr fontId="1"/>
  <pageMargins left="0" right="0" top="0" bottom="0" header="0" footer="0"/>
  <pageSetup paperSize="11" scale="96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109F0B2-56A7-4C70-A1C7-17E9BE1DD327}">
            <xm:f>NOT(ISERROR(SEARCH("OK",D17)))</xm:f>
            <xm:f>"OK"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89F09BBE-5560-4C32-B47C-255739F70E02}">
            <xm:f>NOT(ISERROR(SEARCH("NG",D17)))</xm:f>
            <xm:f>"NG"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G17:G18 I22:I23 D27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zoomScale="120" workbookViewId="0">
      <selection activeCell="B4" sqref="B4"/>
    </sheetView>
  </sheetViews>
  <sheetFormatPr defaultColWidth="9.1796875" defaultRowHeight="16.5" x14ac:dyDescent="0.5"/>
  <cols>
    <col min="1" max="1" width="9.1796875" style="15"/>
    <col min="2" max="2" width="13.54296875" style="15" bestFit="1" customWidth="1"/>
    <col min="3" max="16384" width="9.1796875" style="15"/>
  </cols>
  <sheetData>
    <row r="1" spans="1:7" x14ac:dyDescent="0.5">
      <c r="A1" s="17" t="s">
        <v>56</v>
      </c>
      <c r="B1" s="17" t="s">
        <v>61</v>
      </c>
      <c r="C1" s="17" t="s">
        <v>55</v>
      </c>
      <c r="D1" s="17" t="s">
        <v>53</v>
      </c>
      <c r="E1" s="17" t="s">
        <v>58</v>
      </c>
      <c r="F1" s="17" t="s">
        <v>52</v>
      </c>
      <c r="G1" s="17" t="s">
        <v>54</v>
      </c>
    </row>
    <row r="2" spans="1:7" x14ac:dyDescent="0.5">
      <c r="A2" s="18" t="s">
        <v>59</v>
      </c>
      <c r="B2" s="18" t="s">
        <v>62</v>
      </c>
      <c r="C2" s="19">
        <v>4.9000000000000004</v>
      </c>
      <c r="D2" s="20"/>
      <c r="E2" s="20"/>
      <c r="F2" s="20"/>
      <c r="G2" s="19"/>
    </row>
    <row r="3" spans="1:7" x14ac:dyDescent="0.5">
      <c r="A3" s="18" t="s">
        <v>40</v>
      </c>
      <c r="B3" s="18" t="s">
        <v>60</v>
      </c>
      <c r="C3" s="19">
        <v>9.6999999999999993</v>
      </c>
      <c r="D3" s="20"/>
      <c r="E3" s="20"/>
      <c r="F3" s="20"/>
      <c r="G3" s="19"/>
    </row>
    <row r="4" spans="1:7" x14ac:dyDescent="0.5">
      <c r="A4" s="18" t="s">
        <v>36</v>
      </c>
      <c r="B4" s="18"/>
      <c r="C4" s="19">
        <v>9.6999999999999993</v>
      </c>
      <c r="D4" s="20"/>
      <c r="E4" s="20"/>
      <c r="F4" s="20"/>
      <c r="G4" s="19"/>
    </row>
    <row r="5" spans="1:7" x14ac:dyDescent="0.5">
      <c r="A5" s="18" t="s">
        <v>37</v>
      </c>
      <c r="B5" s="18"/>
      <c r="C5" s="19">
        <v>4.5999999999999996</v>
      </c>
      <c r="D5" s="20"/>
      <c r="E5" s="20"/>
      <c r="F5" s="20"/>
      <c r="G5" s="19"/>
    </row>
    <row r="6" spans="1:7" x14ac:dyDescent="0.5">
      <c r="A6" s="18" t="s">
        <v>38</v>
      </c>
      <c r="B6" s="18"/>
      <c r="C6" s="19">
        <v>13.4</v>
      </c>
      <c r="D6" s="20"/>
      <c r="E6" s="20"/>
      <c r="F6" s="20"/>
      <c r="G6" s="19"/>
    </row>
    <row r="7" spans="1:7" x14ac:dyDescent="0.5">
      <c r="A7" s="18"/>
      <c r="B7" s="18"/>
      <c r="C7" s="19"/>
      <c r="D7" s="20"/>
      <c r="E7" s="20"/>
      <c r="F7" s="20"/>
      <c r="G7" s="19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zoomScale="115" zoomScaleNormal="190" workbookViewId="0">
      <selection activeCell="D7" sqref="D7"/>
    </sheetView>
  </sheetViews>
  <sheetFormatPr defaultColWidth="9.1796875" defaultRowHeight="16.5" x14ac:dyDescent="0.5"/>
  <cols>
    <col min="1" max="16384" width="9.1796875" style="15"/>
  </cols>
  <sheetData>
    <row r="1" spans="1:2" x14ac:dyDescent="0.5">
      <c r="A1" s="16" t="s">
        <v>41</v>
      </c>
      <c r="B1" s="15">
        <v>71</v>
      </c>
    </row>
    <row r="2" spans="1:2" x14ac:dyDescent="0.5">
      <c r="A2" s="16" t="s">
        <v>42</v>
      </c>
      <c r="B2" s="15">
        <v>127</v>
      </c>
    </row>
    <row r="3" spans="1:2" x14ac:dyDescent="0.5">
      <c r="A3" s="16" t="s">
        <v>43</v>
      </c>
      <c r="B3" s="15">
        <v>199</v>
      </c>
    </row>
    <row r="4" spans="1:2" x14ac:dyDescent="0.5">
      <c r="A4" s="16" t="s">
        <v>44</v>
      </c>
      <c r="B4" s="15">
        <v>287</v>
      </c>
    </row>
    <row r="5" spans="1:2" x14ac:dyDescent="0.5">
      <c r="A5" s="16" t="s">
        <v>45</v>
      </c>
      <c r="B5" s="15">
        <v>387</v>
      </c>
    </row>
    <row r="6" spans="1:2" x14ac:dyDescent="0.5">
      <c r="A6" s="16" t="s">
        <v>46</v>
      </c>
      <c r="B6" s="15">
        <v>507</v>
      </c>
    </row>
    <row r="7" spans="1:2" x14ac:dyDescent="0.5">
      <c r="A7" s="16" t="s">
        <v>47</v>
      </c>
      <c r="B7" s="15">
        <v>642</v>
      </c>
    </row>
    <row r="8" spans="1:2" x14ac:dyDescent="0.5">
      <c r="A8" s="16" t="s">
        <v>48</v>
      </c>
      <c r="B8" s="15">
        <v>794</v>
      </c>
    </row>
    <row r="9" spans="1:2" x14ac:dyDescent="0.5">
      <c r="A9" s="16" t="s">
        <v>49</v>
      </c>
      <c r="B9" s="15">
        <v>957</v>
      </c>
    </row>
    <row r="10" spans="1:2" x14ac:dyDescent="0.5">
      <c r="A10" s="16" t="s">
        <v>50</v>
      </c>
      <c r="B10" s="15">
        <v>1140</v>
      </c>
    </row>
    <row r="11" spans="1:2" x14ac:dyDescent="0.5">
      <c r="A11" s="16" t="s">
        <v>51</v>
      </c>
      <c r="B11" s="15">
        <v>1340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Fb1</vt:lpstr>
      <vt:lpstr>Fb2</vt:lpstr>
      <vt:lpstr>Fb3</vt:lpstr>
      <vt:lpstr>Fb4</vt:lpstr>
      <vt:lpstr>Fb5</vt:lpstr>
      <vt:lpstr>load</vt:lpstr>
      <vt:lpstr>rebar</vt:lpstr>
      <vt:lpstr>'Fb1'!Print_Area</vt:lpstr>
      <vt:lpstr>'Fb2'!Print_Area</vt:lpstr>
      <vt:lpstr>'Fb3'!Print_Area</vt:lpstr>
      <vt:lpstr>'Fb4'!Print_Area</vt:lpstr>
      <vt:lpstr>'Fb5'!Print_Area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TSUBOIK</dc:creator>
  <cp:keywords/>
  <dc:description/>
  <cp:lastModifiedBy>keita araki</cp:lastModifiedBy>
  <cp:revision/>
  <cp:lastPrinted>2025-05-02T05:39:59Z</cp:lastPrinted>
  <dcterms:created xsi:type="dcterms:W3CDTF">2023-08-31T09:49:14Z</dcterms:created>
  <dcterms:modified xsi:type="dcterms:W3CDTF">2025-05-09T08:29:03Z</dcterms:modified>
  <cp:category/>
  <cp:contentStatus/>
</cp:coreProperties>
</file>