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BFFE7AD-0E8B-4ED6-9384-37EBDBA2878D}" xr6:coauthVersionLast="44" xr6:coauthVersionMax="44" xr10:uidLastSave="{00000000-0000-0000-0000-000000000000}"/>
  <bookViews>
    <workbookView xWindow="620" yWindow="420" windowWidth="15090" windowHeight="9180" xr2:uid="{00000000-000D-0000-FFFF-FFFF00000000}"/>
  </bookViews>
  <sheets>
    <sheet name="B29" sheetId="4" r:id="rId1"/>
    <sheet name="B34" sheetId="10" r:id="rId2"/>
    <sheet name="B39" sheetId="5" r:id="rId3"/>
    <sheet name="B49" sheetId="7" r:id="rId4"/>
    <sheet name="B59" sheetId="6" r:id="rId5"/>
    <sheet name="B60" sheetId="8" r:id="rId6"/>
    <sheet name="G69B" sheetId="11" r:id="rId7"/>
    <sheet name="G79B" sheetId="12" r:id="rId8"/>
    <sheet name="G63B" sheetId="13" r:id="rId9"/>
  </sheets>
  <definedNames>
    <definedName name="_xlnm.Print_Area" localSheetId="0">'B29'!$A$1:$P$46</definedName>
    <definedName name="_xlnm.Print_Area" localSheetId="1">'B34'!$A$1:$P$20</definedName>
    <definedName name="_xlnm.Print_Area" localSheetId="2">'B39'!$A$1:$P$20</definedName>
    <definedName name="_xlnm.Print_Area" localSheetId="3">'B49'!$A$1:$P$47</definedName>
    <definedName name="_xlnm.Print_Area" localSheetId="4">'B59'!$A$1:$P$47</definedName>
    <definedName name="_xlnm.Print_Area" localSheetId="5">'B60'!$A$1:$P$47</definedName>
    <definedName name="_xlnm.Print_Area" localSheetId="8">G63B!$A$1:$P$20</definedName>
    <definedName name="_xlnm.Print_Area" localSheetId="6">G69B!$A$1:$P$20</definedName>
    <definedName name="_xlnm.Print_Area" localSheetId="7">G79B!$A$1:$P$20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6" i="13" l="1"/>
  <c r="D37" i="13"/>
  <c r="D36" i="13"/>
  <c r="M30" i="13"/>
  <c r="M28" i="13"/>
  <c r="M24" i="13"/>
  <c r="M23" i="13"/>
  <c r="N44" i="13" s="1"/>
  <c r="L18" i="13"/>
  <c r="L19" i="13" s="1"/>
  <c r="O18" i="13" s="1"/>
  <c r="F18" i="13"/>
  <c r="F17" i="13"/>
  <c r="L38" i="13" s="1"/>
  <c r="L39" i="13" s="1"/>
  <c r="T9" i="13"/>
  <c r="N46" i="12"/>
  <c r="D37" i="12"/>
  <c r="D36" i="12"/>
  <c r="D38" i="12" s="1"/>
  <c r="M25" i="12" s="1"/>
  <c r="M30" i="12"/>
  <c r="M28" i="12"/>
  <c r="M24" i="12"/>
  <c r="M23" i="12"/>
  <c r="N44" i="12" s="1"/>
  <c r="L18" i="12"/>
  <c r="L19" i="12" s="1"/>
  <c r="O18" i="12" s="1"/>
  <c r="F18" i="12"/>
  <c r="F17" i="12"/>
  <c r="L38" i="12" s="1"/>
  <c r="L39" i="12" s="1"/>
  <c r="T9" i="12"/>
  <c r="N46" i="11"/>
  <c r="D37" i="11"/>
  <c r="D36" i="11"/>
  <c r="D38" i="11" s="1"/>
  <c r="M25" i="11" s="1"/>
  <c r="M30" i="11"/>
  <c r="M28" i="11"/>
  <c r="M24" i="11"/>
  <c r="M23" i="11"/>
  <c r="N44" i="11" s="1"/>
  <c r="L18" i="11"/>
  <c r="L19" i="11" s="1"/>
  <c r="O18" i="11" s="1"/>
  <c r="F18" i="11"/>
  <c r="F17" i="11"/>
  <c r="L38" i="11" s="1"/>
  <c r="L39" i="11" s="1"/>
  <c r="T9" i="11"/>
  <c r="N46" i="10"/>
  <c r="D37" i="10"/>
  <c r="D36" i="10"/>
  <c r="M30" i="10"/>
  <c r="M28" i="10"/>
  <c r="M24" i="10"/>
  <c r="M23" i="10"/>
  <c r="N44" i="10" s="1"/>
  <c r="L18" i="10"/>
  <c r="L19" i="10" s="1"/>
  <c r="O18" i="10" s="1"/>
  <c r="F18" i="10"/>
  <c r="F17" i="10"/>
  <c r="L38" i="10" s="1"/>
  <c r="L39" i="10" s="1"/>
  <c r="L14" i="10"/>
  <c r="L35" i="10" s="1"/>
  <c r="L36" i="10" s="1"/>
  <c r="T9" i="10"/>
  <c r="N46" i="8"/>
  <c r="D37" i="8"/>
  <c r="D36" i="8"/>
  <c r="D38" i="8" s="1"/>
  <c r="M25" i="8" s="1"/>
  <c r="M30" i="8"/>
  <c r="M28" i="8"/>
  <c r="M24" i="8"/>
  <c r="M23" i="8"/>
  <c r="N44" i="8" s="1"/>
  <c r="L18" i="8"/>
  <c r="L19" i="8" s="1"/>
  <c r="O18" i="8" s="1"/>
  <c r="F18" i="8"/>
  <c r="F17" i="8"/>
  <c r="L38" i="8" s="1"/>
  <c r="L39" i="8" s="1"/>
  <c r="L14" i="8"/>
  <c r="L35" i="8" s="1"/>
  <c r="L36" i="8" s="1"/>
  <c r="T9" i="8"/>
  <c r="N46" i="7"/>
  <c r="D37" i="7"/>
  <c r="M23" i="7" s="1"/>
  <c r="N44" i="7" s="1"/>
  <c r="D36" i="7"/>
  <c r="D38" i="7" s="1"/>
  <c r="M25" i="7" s="1"/>
  <c r="M30" i="7"/>
  <c r="M28" i="7"/>
  <c r="M24" i="7"/>
  <c r="L18" i="7"/>
  <c r="L19" i="7" s="1"/>
  <c r="O18" i="7" s="1"/>
  <c r="F18" i="7"/>
  <c r="F17" i="7"/>
  <c r="S15" i="7" s="1"/>
  <c r="T9" i="7"/>
  <c r="N46" i="6"/>
  <c r="D37" i="6"/>
  <c r="D36" i="6"/>
  <c r="M30" i="6"/>
  <c r="M28" i="6"/>
  <c r="M24" i="6"/>
  <c r="M23" i="6"/>
  <c r="N44" i="6" s="1"/>
  <c r="L18" i="6"/>
  <c r="L19" i="6" s="1"/>
  <c r="O18" i="6" s="1"/>
  <c r="F18" i="6"/>
  <c r="F17" i="6"/>
  <c r="L38" i="6" s="1"/>
  <c r="L39" i="6" s="1"/>
  <c r="T9" i="6"/>
  <c r="D36" i="5"/>
  <c r="D38" i="5" s="1"/>
  <c r="M25" i="5" s="1"/>
  <c r="N46" i="5"/>
  <c r="D37" i="5"/>
  <c r="M30" i="5"/>
  <c r="M28" i="5"/>
  <c r="M24" i="5"/>
  <c r="M23" i="5"/>
  <c r="N44" i="5" s="1"/>
  <c r="L18" i="5"/>
  <c r="L19" i="5" s="1"/>
  <c r="O18" i="5" s="1"/>
  <c r="F18" i="5"/>
  <c r="F17" i="5"/>
  <c r="S15" i="5" s="1"/>
  <c r="T9" i="5"/>
  <c r="L37" i="4"/>
  <c r="S14" i="4"/>
  <c r="F17" i="4"/>
  <c r="F16" i="4"/>
  <c r="T8" i="4"/>
  <c r="M28" i="4" s="1"/>
  <c r="M27" i="4"/>
  <c r="L17" i="4"/>
  <c r="L18" i="4" s="1"/>
  <c r="O17" i="4" s="1"/>
  <c r="D36" i="4"/>
  <c r="N45" i="4"/>
  <c r="M29" i="4"/>
  <c r="L15" i="8" l="1"/>
  <c r="O14" i="8" s="1"/>
  <c r="L14" i="13"/>
  <c r="D38" i="13"/>
  <c r="M25" i="13" s="1"/>
  <c r="S15" i="13"/>
  <c r="L14" i="12"/>
  <c r="L35" i="12" s="1"/>
  <c r="L36" i="12" s="1"/>
  <c r="L15" i="12"/>
  <c r="O14" i="12" s="1"/>
  <c r="L40" i="12"/>
  <c r="M29" i="12"/>
  <c r="M31" i="12" s="1"/>
  <c r="L32" i="12" s="1"/>
  <c r="L37" i="12"/>
  <c r="N43" i="12"/>
  <c r="N45" i="12" s="1"/>
  <c r="S15" i="12"/>
  <c r="L14" i="11"/>
  <c r="L40" i="11"/>
  <c r="M29" i="11"/>
  <c r="M31" i="11" s="1"/>
  <c r="L32" i="11" s="1"/>
  <c r="N43" i="11"/>
  <c r="N45" i="11" s="1"/>
  <c r="S15" i="11"/>
  <c r="L15" i="10"/>
  <c r="O14" i="10" s="1"/>
  <c r="L37" i="10"/>
  <c r="S15" i="10"/>
  <c r="D38" i="10"/>
  <c r="M25" i="10" s="1"/>
  <c r="L40" i="8"/>
  <c r="M29" i="8"/>
  <c r="M31" i="8" s="1"/>
  <c r="L32" i="8" s="1"/>
  <c r="L37" i="8"/>
  <c r="N43" i="8"/>
  <c r="N45" i="8" s="1"/>
  <c r="S15" i="8"/>
  <c r="L38" i="7"/>
  <c r="L39" i="7" s="1"/>
  <c r="L14" i="7"/>
  <c r="N43" i="7"/>
  <c r="N45" i="7" s="1"/>
  <c r="L40" i="7"/>
  <c r="M29" i="7"/>
  <c r="M31" i="7" s="1"/>
  <c r="L32" i="7" s="1"/>
  <c r="L14" i="6"/>
  <c r="L35" i="6" s="1"/>
  <c r="L36" i="6" s="1"/>
  <c r="L37" i="6" s="1"/>
  <c r="L15" i="6"/>
  <c r="O14" i="6" s="1"/>
  <c r="D38" i="6"/>
  <c r="M25" i="6" s="1"/>
  <c r="S15" i="6"/>
  <c r="L14" i="5"/>
  <c r="L35" i="5" s="1"/>
  <c r="L36" i="5" s="1"/>
  <c r="L37" i="5" s="1"/>
  <c r="M29" i="5"/>
  <c r="M31" i="5" s="1"/>
  <c r="L32" i="5" s="1"/>
  <c r="L38" i="5"/>
  <c r="L39" i="5" s="1"/>
  <c r="L40" i="5" s="1"/>
  <c r="N43" i="5"/>
  <c r="N45" i="5" s="1"/>
  <c r="L13" i="4"/>
  <c r="L34" i="4" s="1"/>
  <c r="L35" i="4" s="1"/>
  <c r="L38" i="4"/>
  <c r="L39" i="4" s="1"/>
  <c r="D37" i="4"/>
  <c r="M22" i="4"/>
  <c r="N43" i="4" s="1"/>
  <c r="M23" i="4"/>
  <c r="L35" i="13" l="1"/>
  <c r="L36" i="13" s="1"/>
  <c r="L37" i="13" s="1"/>
  <c r="L15" i="13"/>
  <c r="O14" i="13" s="1"/>
  <c r="L40" i="13"/>
  <c r="M29" i="13"/>
  <c r="M31" i="13" s="1"/>
  <c r="L32" i="13" s="1"/>
  <c r="N43" i="13"/>
  <c r="N45" i="13" s="1"/>
  <c r="L35" i="11"/>
  <c r="L36" i="11" s="1"/>
  <c r="L37" i="11" s="1"/>
  <c r="L15" i="11"/>
  <c r="O14" i="11" s="1"/>
  <c r="L40" i="10"/>
  <c r="M29" i="10"/>
  <c r="M31" i="10" s="1"/>
  <c r="L32" i="10" s="1"/>
  <c r="N43" i="10"/>
  <c r="N45" i="10" s="1"/>
  <c r="L35" i="7"/>
  <c r="L36" i="7" s="1"/>
  <c r="L37" i="7" s="1"/>
  <c r="L15" i="7"/>
  <c r="O14" i="7" s="1"/>
  <c r="L40" i="6"/>
  <c r="M29" i="6"/>
  <c r="M31" i="6" s="1"/>
  <c r="L32" i="6" s="1"/>
  <c r="N43" i="6"/>
  <c r="N45" i="6" s="1"/>
  <c r="L15" i="5"/>
  <c r="O14" i="5" s="1"/>
  <c r="L14" i="4"/>
  <c r="O13" i="4" s="1"/>
  <c r="L36" i="4"/>
  <c r="N42" i="4"/>
  <c r="N44" i="4" s="1"/>
  <c r="M24" i="4"/>
  <c r="M30" i="4" l="1"/>
  <c r="L31" i="4" s="1"/>
</calcChain>
</file>

<file path=xl/sharedStrings.xml><?xml version="1.0" encoding="utf-8"?>
<sst xmlns="http://schemas.openxmlformats.org/spreadsheetml/2006/main" count="1129" uniqueCount="102">
  <si>
    <t>ガセットプレートおよび横補剛の検討</t>
    <rPh sb="11" eb="12">
      <t>ヨコ</t>
    </rPh>
    <rPh sb="12" eb="14">
      <t>ホゴウ</t>
    </rPh>
    <rPh sb="15" eb="17">
      <t>ケントウ</t>
    </rPh>
    <phoneticPr fontId="1"/>
  </si>
  <si>
    <t>Ql=</t>
    <phoneticPr fontId="1"/>
  </si>
  <si>
    <t>部材長</t>
    <rPh sb="0" eb="2">
      <t>ブザイ</t>
    </rPh>
    <rPh sb="2" eb="3">
      <t>チョウ</t>
    </rPh>
    <phoneticPr fontId="1"/>
  </si>
  <si>
    <t>l b=</t>
    <phoneticPr fontId="1"/>
  </si>
  <si>
    <t>mm</t>
    <phoneticPr fontId="1"/>
  </si>
  <si>
    <t>kN</t>
    <phoneticPr fontId="1"/>
  </si>
  <si>
    <t>SS400</t>
    <phoneticPr fontId="1"/>
  </si>
  <si>
    <t>gAe=</t>
    <phoneticPr fontId="1"/>
  </si>
  <si>
    <t>mm^2</t>
    <phoneticPr fontId="1"/>
  </si>
  <si>
    <t>LQa=</t>
    <phoneticPr fontId="1"/>
  </si>
  <si>
    <t>Ql/LQa=</t>
    <phoneticPr fontId="1"/>
  </si>
  <si>
    <t>OK</t>
    <phoneticPr fontId="1"/>
  </si>
  <si>
    <t>gIe=</t>
    <phoneticPr fontId="1"/>
  </si>
  <si>
    <t>PL-</t>
    <phoneticPr fontId="1"/>
  </si>
  <si>
    <t>x</t>
    <phoneticPr fontId="1"/>
  </si>
  <si>
    <t>gZe=</t>
    <phoneticPr fontId="1"/>
  </si>
  <si>
    <t>mm^4</t>
    <phoneticPr fontId="1"/>
  </si>
  <si>
    <t>mm^3</t>
    <phoneticPr fontId="1"/>
  </si>
  <si>
    <t>σ/f=</t>
    <phoneticPr fontId="1"/>
  </si>
  <si>
    <t>Rq=</t>
    <phoneticPr fontId="1"/>
  </si>
  <si>
    <t>R=</t>
    <phoneticPr fontId="1"/>
  </si>
  <si>
    <t>R/Rl=</t>
    <phoneticPr fontId="1"/>
  </si>
  <si>
    <t>②横補剛の検討</t>
    <rPh sb="1" eb="2">
      <t>ヨコ</t>
    </rPh>
    <rPh sb="2" eb="4">
      <t>ホゴウ</t>
    </rPh>
    <rPh sb="5" eb="7">
      <t>ケントウ</t>
    </rPh>
    <phoneticPr fontId="1"/>
  </si>
  <si>
    <t>① ガセットプレートの長期荷重の検討</t>
    <rPh sb="11" eb="13">
      <t>チョウキ</t>
    </rPh>
    <rPh sb="13" eb="15">
      <t>カジュウ</t>
    </rPh>
    <rPh sb="16" eb="18">
      <t>ケントウ</t>
    </rPh>
    <phoneticPr fontId="1"/>
  </si>
  <si>
    <t>断面積</t>
    <rPh sb="0" eb="3">
      <t>ダンメンセキ</t>
    </rPh>
    <phoneticPr fontId="1"/>
  </si>
  <si>
    <t>Le=</t>
    <phoneticPr fontId="1"/>
  </si>
  <si>
    <t>F=</t>
    <phoneticPr fontId="1"/>
  </si>
  <si>
    <t>F・le=</t>
    <phoneticPr fontId="1"/>
  </si>
  <si>
    <t>ボルト接合部分の検討</t>
    <rPh sb="3" eb="5">
      <t>セツゴウ</t>
    </rPh>
    <rPh sb="5" eb="7">
      <t>ブブン</t>
    </rPh>
    <rPh sb="8" eb="10">
      <t>ケントウ</t>
    </rPh>
    <phoneticPr fontId="1"/>
  </si>
  <si>
    <t>水平反力</t>
    <rPh sb="0" eb="2">
      <t>スイヘイ</t>
    </rPh>
    <rPh sb="2" eb="4">
      <t>ハンリョク</t>
    </rPh>
    <phoneticPr fontId="1"/>
  </si>
  <si>
    <t>r1=</t>
    <phoneticPr fontId="1"/>
  </si>
  <si>
    <t>鉛直反力</t>
    <rPh sb="0" eb="2">
      <t>エンチョク</t>
    </rPh>
    <rPh sb="2" eb="4">
      <t>ハンリョク</t>
    </rPh>
    <phoneticPr fontId="1"/>
  </si>
  <si>
    <t>r2=</t>
    <phoneticPr fontId="1"/>
  </si>
  <si>
    <t>r3=</t>
    <phoneticPr fontId="1"/>
  </si>
  <si>
    <t>ボルト反力</t>
    <rPh sb="3" eb="5">
      <t>ハンリョク</t>
    </rPh>
    <phoneticPr fontId="1"/>
  </si>
  <si>
    <t>r=</t>
    <phoneticPr fontId="1"/>
  </si>
  <si>
    <t>r/rs=</t>
    <phoneticPr fontId="1"/>
  </si>
  <si>
    <t>母材の検討</t>
    <rPh sb="0" eb="2">
      <t>ボザイ</t>
    </rPh>
    <rPh sb="3" eb="5">
      <t>ケントウ</t>
    </rPh>
    <phoneticPr fontId="1"/>
  </si>
  <si>
    <t>ガセット部の検討に使用する応力</t>
    <rPh sb="4" eb="5">
      <t>ブ</t>
    </rPh>
    <rPh sb="6" eb="8">
      <t>ケントウ</t>
    </rPh>
    <rPh sb="9" eb="11">
      <t>シヨウ</t>
    </rPh>
    <rPh sb="13" eb="15">
      <t>オウリョク</t>
    </rPh>
    <phoneticPr fontId="1"/>
  </si>
  <si>
    <t>水平軸力</t>
    <rPh sb="0" eb="2">
      <t>スイヘイ</t>
    </rPh>
    <rPh sb="2" eb="4">
      <t>ジクリョク</t>
    </rPh>
    <phoneticPr fontId="1"/>
  </si>
  <si>
    <t>N=</t>
    <phoneticPr fontId="1"/>
  </si>
  <si>
    <t>せん断力</t>
    <rPh sb="2" eb="4">
      <t>ダンリョク</t>
    </rPh>
    <phoneticPr fontId="1"/>
  </si>
  <si>
    <t>Q=Ql=</t>
    <phoneticPr fontId="1"/>
  </si>
  <si>
    <t>曲げ</t>
    <rPh sb="0" eb="1">
      <t>マ</t>
    </rPh>
    <phoneticPr fontId="1"/>
  </si>
  <si>
    <t>kNm</t>
    <phoneticPr fontId="1"/>
  </si>
  <si>
    <t>Q/LQa=</t>
    <phoneticPr fontId="1"/>
  </si>
  <si>
    <t>小梁の曲げ変形</t>
    <rPh sb="0" eb="2">
      <t>コハリ</t>
    </rPh>
    <rPh sb="3" eb="4">
      <t>マ</t>
    </rPh>
    <rPh sb="5" eb="7">
      <t>ヘンケイ</t>
    </rPh>
    <phoneticPr fontId="1"/>
  </si>
  <si>
    <t>Ib=</t>
    <phoneticPr fontId="1"/>
  </si>
  <si>
    <t>δm=le*M/EI*(lb/2)=</t>
    <phoneticPr fontId="1"/>
  </si>
  <si>
    <t>小梁の軸変形</t>
    <rPh sb="0" eb="2">
      <t>コハリ</t>
    </rPh>
    <rPh sb="3" eb="4">
      <t>ジク</t>
    </rPh>
    <rPh sb="4" eb="6">
      <t>ヘンケイ</t>
    </rPh>
    <phoneticPr fontId="1"/>
  </si>
  <si>
    <t>Ab=</t>
    <phoneticPr fontId="1"/>
  </si>
  <si>
    <t>δa=N/Eab*lb=</t>
    <phoneticPr fontId="1"/>
  </si>
  <si>
    <t>剛性</t>
    <rPh sb="0" eb="2">
      <t>ゴウセイ</t>
    </rPh>
    <phoneticPr fontId="1"/>
  </si>
  <si>
    <t>Kb=F/(δm+δa)=</t>
    <phoneticPr fontId="1"/>
  </si>
  <si>
    <t>必要補剛剛性</t>
    <rPh sb="0" eb="2">
      <t>ヒツヨウ</t>
    </rPh>
    <rPh sb="2" eb="4">
      <t>ホゴウ</t>
    </rPh>
    <rPh sb="4" eb="6">
      <t>ゴウセイ</t>
    </rPh>
    <phoneticPr fontId="1"/>
  </si>
  <si>
    <t>K=</t>
    <phoneticPr fontId="1"/>
  </si>
  <si>
    <t>lg=</t>
    <phoneticPr fontId="1"/>
  </si>
  <si>
    <t>kN/mm</t>
    <phoneticPr fontId="1"/>
  </si>
  <si>
    <t>cm^4</t>
    <phoneticPr fontId="1"/>
  </si>
  <si>
    <t>ボルトの距離</t>
    <rPh sb="4" eb="6">
      <t>キョリ</t>
    </rPh>
    <phoneticPr fontId="1"/>
  </si>
  <si>
    <t>M=F・le=</t>
    <phoneticPr fontId="1"/>
  </si>
  <si>
    <t>F8T</t>
    <phoneticPr fontId="1"/>
  </si>
  <si>
    <t>-</t>
    <phoneticPr fontId="1"/>
  </si>
  <si>
    <t>@</t>
    <phoneticPr fontId="1"/>
  </si>
  <si>
    <t>m</t>
    <phoneticPr fontId="1"/>
  </si>
  <si>
    <t>n</t>
    <phoneticPr fontId="1"/>
  </si>
  <si>
    <t>p</t>
    <phoneticPr fontId="1"/>
  </si>
  <si>
    <t>【GPL】</t>
  </si>
  <si>
    <t>【ボルト接合部】</t>
  </si>
  <si>
    <t>断面積A=</t>
    <rPh sb="0" eb="3">
      <t>ダンメンセキ</t>
    </rPh>
    <phoneticPr fontId="1"/>
  </si>
  <si>
    <t>・GPL部のせん断の検討</t>
    <phoneticPr fontId="1"/>
  </si>
  <si>
    <t>・ボルト接合部の検討</t>
    <phoneticPr fontId="1"/>
  </si>
  <si>
    <t>ボルトあたり</t>
    <phoneticPr fontId="1"/>
  </si>
  <si>
    <t>長期</t>
    <rPh sb="0" eb="2">
      <t>チョウキ</t>
    </rPh>
    <phoneticPr fontId="1"/>
  </si>
  <si>
    <t>短期</t>
    <rPh sb="0" eb="2">
      <t>タンキ</t>
    </rPh>
    <phoneticPr fontId="1"/>
  </si>
  <si>
    <t>許容せん断力</t>
    <rPh sb="0" eb="2">
      <t>キョヨウ</t>
    </rPh>
    <rPh sb="4" eb="6">
      <t>ダンリョク</t>
    </rPh>
    <phoneticPr fontId="1"/>
  </si>
  <si>
    <t>x</t>
  </si>
  <si>
    <t>Fs</t>
    <phoneticPr fontId="1"/>
  </si>
  <si>
    <t>Fl</t>
    <phoneticPr fontId="1"/>
  </si>
  <si>
    <t>N/mm-2</t>
    <phoneticPr fontId="1"/>
  </si>
  <si>
    <t>N/mm^2</t>
    <phoneticPr fontId="1"/>
  </si>
  <si>
    <t>剛性の検討</t>
  </si>
  <si>
    <t>Fy=</t>
    <phoneticPr fontId="1"/>
  </si>
  <si>
    <t>長期せん断</t>
    <rPh sb="0" eb="2">
      <t>チョウキ</t>
    </rPh>
    <rPh sb="4" eb="5">
      <t>ダン</t>
    </rPh>
    <phoneticPr fontId="1"/>
  </si>
  <si>
    <t>断面二次</t>
    <rPh sb="0" eb="2">
      <t>ダンメン</t>
    </rPh>
    <rPh sb="2" eb="4">
      <t>ニジ</t>
    </rPh>
    <phoneticPr fontId="1"/>
  </si>
  <si>
    <t>(補剛部最大長)</t>
    <rPh sb="1" eb="3">
      <t>ホゴウ</t>
    </rPh>
    <rPh sb="3" eb="4">
      <t>ブ</t>
    </rPh>
    <rPh sb="4" eb="6">
      <t>サイダイ</t>
    </rPh>
    <rPh sb="6" eb="7">
      <t>ナガ</t>
    </rPh>
    <phoneticPr fontId="1"/>
  </si>
  <si>
    <t>M</t>
    <phoneticPr fontId="1"/>
  </si>
  <si>
    <t>I</t>
    <phoneticPr fontId="1"/>
  </si>
  <si>
    <t>↑補剛の最小区間</t>
    <rPh sb="1" eb="3">
      <t>ホゴウ</t>
    </rPh>
    <rPh sb="4" eb="6">
      <t>サイショウ</t>
    </rPh>
    <rPh sb="6" eb="8">
      <t>クカン</t>
    </rPh>
    <phoneticPr fontId="1"/>
  </si>
  <si>
    <t>【大梁】H-750x250x12x19</t>
    <phoneticPr fontId="1"/>
  </si>
  <si>
    <t>SM490</t>
    <phoneticPr fontId="1"/>
  </si>
  <si>
    <t xml:space="preserve">【B29】H-298x149x5.5x8 </t>
    <phoneticPr fontId="1"/>
  </si>
  <si>
    <t>SS400</t>
  </si>
  <si>
    <t>H</t>
    <phoneticPr fontId="1"/>
  </si>
  <si>
    <t>【B49】</t>
    <phoneticPr fontId="1"/>
  </si>
  <si>
    <t>【大梁】H-596x199x10x14</t>
    <phoneticPr fontId="1"/>
  </si>
  <si>
    <t>【B60】</t>
    <phoneticPr fontId="1"/>
  </si>
  <si>
    <t>【B34】</t>
    <phoneticPr fontId="1"/>
  </si>
  <si>
    <t>G69B</t>
    <phoneticPr fontId="1"/>
  </si>
  <si>
    <t>G79B</t>
    <phoneticPr fontId="1"/>
  </si>
  <si>
    <t>G63B</t>
    <phoneticPr fontId="1"/>
  </si>
  <si>
    <t>【B59】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</si>
</sst>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76" fontId="0" fillId="0" borderId="0" xfId="0" applyNumberFormat="1"/>
    <xf numFmtId="176" fontId="0" fillId="0" borderId="0" xfId="0" applyNumberFormat="1" applyAlignment="1">
      <alignment horizontal="right"/>
    </xf>
    <xf numFmtId="176" fontId="0" fillId="0" borderId="1" xfId="0" applyNumberFormat="1" applyBorder="1"/>
    <xf numFmtId="176" fontId="0" fillId="0" borderId="0" xfId="0" applyNumberFormat="1" applyBorder="1"/>
    <xf numFmtId="176" fontId="0" fillId="0" borderId="0" xfId="0" applyNumberFormat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/>
    <xf numFmtId="176" fontId="0" fillId="2" borderId="0" xfId="0" applyNumberFormat="1" applyFill="1"/>
    <xf numFmtId="176" fontId="0" fillId="0" borderId="0" xfId="0" applyNumberFormat="1" applyBorder="1" applyAlignment="1">
      <alignment horizontal="center"/>
    </xf>
    <xf numFmtId="176" fontId="0" fillId="2" borderId="0" xfId="0" applyNumberFormat="1" applyFill="1" applyBorder="1"/>
    <xf numFmtId="176" fontId="0" fillId="2" borderId="0" xfId="0" applyNumberFormat="1" applyFill="1" applyBorder="1" applyAlignment="1">
      <alignment horizontal="center"/>
    </xf>
    <xf numFmtId="176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left"/>
    </xf>
    <xf numFmtId="176" fontId="0" fillId="2" borderId="1" xfId="0" applyNumberFormat="1" applyFill="1" applyBorder="1" applyAlignment="1">
      <alignment horizontal="right"/>
    </xf>
    <xf numFmtId="176" fontId="0" fillId="2" borderId="0" xfId="0" applyNumberFormat="1" applyFill="1" applyBorder="1" applyAlignment="1">
      <alignment horizontal="right"/>
    </xf>
    <xf numFmtId="176" fontId="0" fillId="0" borderId="0" xfId="0" applyNumberFormat="1" applyFill="1"/>
    <xf numFmtId="176" fontId="0" fillId="3" borderId="0" xfId="0" applyNumberFormat="1" applyFill="1"/>
    <xf numFmtId="176" fontId="0" fillId="3" borderId="0" xfId="0" applyNumberForma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176" fontId="0" fillId="4" borderId="0" xfId="0" applyNumberFormat="1" applyFill="1"/>
    <xf numFmtId="176" fontId="0" fillId="3" borderId="0" xfId="0" applyNumberFormat="1" applyFill="1" applyAlignment="1">
      <alignment horizontal="left"/>
    </xf>
    <xf numFmtId="176" fontId="0" fillId="0" borderId="0" xfId="0" applyNumberFormat="1" applyFill="1" applyBorder="1"/>
    <xf numFmtId="176" fontId="0" fillId="0" borderId="0" xfId="0" applyNumberFormat="1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21</xdr:row>
      <xdr:rowOff>47626</xdr:rowOff>
    </xdr:from>
    <xdr:to>
      <xdr:col>8</xdr:col>
      <xdr:colOff>51574</xdr:colOff>
      <xdr:row>28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B19EC81-0C49-464A-B90C-1E03A5374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94291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396B0ED-ACDF-4A13-B760-D932E9E45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3155" y="635001"/>
          <a:ext cx="2004286" cy="1555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523288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BBA6F98-2483-4C85-B716-8A4CA602F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2733609-E212-4D04-89B5-1EE3F0652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450717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72BCE4F-9325-4913-B7FB-7362CABA1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4848226"/>
          <a:ext cx="2480737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F03FA65-D1D8-4E22-A71F-9BABF8B51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9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487003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A4AF596-B16E-488C-A02B-9912B83F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11</xdr:col>
      <xdr:colOff>337096</xdr:colOff>
      <xdr:row>2</xdr:row>
      <xdr:rowOff>162753</xdr:rowOff>
    </xdr:from>
    <xdr:to>
      <xdr:col>13</xdr:col>
      <xdr:colOff>446520</xdr:colOff>
      <xdr:row>9</xdr:row>
      <xdr:rowOff>97105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63910F2-BFF8-4DBF-BD3B-6141B636E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7739" y="616324"/>
          <a:ext cx="2005353" cy="15218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532360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12D0A82-263C-426A-A92D-543F4E84D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92734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DE8306-9F89-4B19-9B10-AF13A4C6B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523288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FC656A9-72F2-4B43-8A11-1B0D0B689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CD13DBC-3AA7-44E9-8650-727A896BE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459788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52AEFBF-0DB1-4343-8F14-92810CCBD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0EF7252-F0C5-4C12-9D49-C67F99346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6</xdr:col>
      <xdr:colOff>487003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836BAC2-987F-4A81-8CC4-35396E447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92734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309CE92-FA44-4845-B1B2-999D383F9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98137</xdr:colOff>
      <xdr:row>22</xdr:row>
      <xdr:rowOff>47626</xdr:rowOff>
    </xdr:from>
    <xdr:to>
      <xdr:col>7</xdr:col>
      <xdr:colOff>24360</xdr:colOff>
      <xdr:row>29</xdr:row>
      <xdr:rowOff>206376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A2123A-6F90-4508-AB65-E8A80F36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37" y="5076826"/>
          <a:ext cx="2481644" cy="1758950"/>
        </a:xfrm>
        <a:prstGeom prst="rect">
          <a:avLst/>
        </a:prstGeom>
      </xdr:spPr>
    </xdr:pic>
    <xdr:clientData/>
  </xdr:twoCellAnchor>
  <xdr:twoCellAnchor editAs="oneCell">
    <xdr:from>
      <xdr:col>10</xdr:col>
      <xdr:colOff>718096</xdr:colOff>
      <xdr:row>2</xdr:row>
      <xdr:rowOff>171825</xdr:rowOff>
    </xdr:from>
    <xdr:to>
      <xdr:col>13</xdr:col>
      <xdr:colOff>92735</xdr:colOff>
      <xdr:row>9</xdr:row>
      <xdr:rowOff>106177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B69C6A2-2730-4D6D-AA7C-11BE90D44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046" y="629025"/>
          <a:ext cx="2003539" cy="1534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CD8F-EB76-46D2-85A7-E9535211182A}">
  <dimension ref="A2:T52"/>
  <sheetViews>
    <sheetView tabSelected="1" view="pageBreakPreview" topLeftCell="A12" zoomScale="40" zoomScaleNormal="70" zoomScaleSheetLayoutView="40" workbookViewId="0">
      <selection activeCell="K15" sqref="K15"/>
    </sheetView>
  </sheetViews>
  <sheetFormatPr defaultRowHeight="18"/>
  <cols>
    <col min="1" max="1" width="5.1640625" style="1" customWidth="1"/>
    <col min="2" max="2" width="4.6640625" style="1" customWidth="1"/>
    <col min="3" max="3" width="5.83203125" style="1" customWidth="1"/>
    <col min="4" max="4" width="3.9140625" style="1" customWidth="1"/>
    <col min="5" max="5" width="5.4140625" style="1" customWidth="1"/>
    <col min="6" max="6" width="3.9140625" style="1" customWidth="1"/>
    <col min="7" max="7" width="5.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91</v>
      </c>
      <c r="B4" s="9"/>
      <c r="C4" s="9"/>
      <c r="D4" s="9"/>
      <c r="E4" s="9" t="s">
        <v>6</v>
      </c>
      <c r="F4" s="9"/>
      <c r="G4" s="9"/>
      <c r="H4" s="9"/>
      <c r="I4" s="9"/>
    </row>
    <row r="5" spans="1:20">
      <c r="A5" s="7" t="s">
        <v>2</v>
      </c>
      <c r="B5" s="7"/>
      <c r="C5" s="2" t="s">
        <v>3</v>
      </c>
      <c r="D5" s="21">
        <v>5000</v>
      </c>
      <c r="E5" s="21"/>
      <c r="F5" s="21"/>
      <c r="G5" s="1" t="s">
        <v>4</v>
      </c>
      <c r="H5" s="1" t="s">
        <v>85</v>
      </c>
    </row>
    <row r="6" spans="1:20">
      <c r="A6" s="7" t="s">
        <v>83</v>
      </c>
      <c r="B6" s="7"/>
      <c r="C6" s="2" t="s">
        <v>1</v>
      </c>
      <c r="D6" s="21">
        <v>45</v>
      </c>
      <c r="E6" s="21"/>
      <c r="F6" s="21"/>
      <c r="G6" s="1" t="s">
        <v>5</v>
      </c>
    </row>
    <row r="7" spans="1:20">
      <c r="A7" s="7" t="s">
        <v>84</v>
      </c>
      <c r="B7" s="7"/>
      <c r="C7" s="2" t="s">
        <v>47</v>
      </c>
      <c r="D7" s="21">
        <v>6320</v>
      </c>
      <c r="E7" s="21"/>
      <c r="F7" s="21"/>
      <c r="G7" s="1" t="s">
        <v>58</v>
      </c>
      <c r="T7">
        <v>235</v>
      </c>
    </row>
    <row r="8" spans="1:20">
      <c r="A8" s="7" t="s">
        <v>24</v>
      </c>
      <c r="B8" s="7"/>
      <c r="C8" s="2" t="s">
        <v>50</v>
      </c>
      <c r="D8" s="21">
        <v>4080</v>
      </c>
      <c r="E8" s="21"/>
      <c r="F8" s="21"/>
      <c r="G8" s="1" t="s">
        <v>8</v>
      </c>
      <c r="S8" t="s">
        <v>59</v>
      </c>
      <c r="T8">
        <f>I11*(E11-1)</f>
        <v>170</v>
      </c>
    </row>
    <row r="9" spans="1:20">
      <c r="A9" s="9" t="s">
        <v>68</v>
      </c>
      <c r="B9" s="9"/>
      <c r="C9" s="9"/>
      <c r="D9" s="9"/>
      <c r="E9" s="9"/>
      <c r="F9" s="9"/>
      <c r="G9" s="9"/>
      <c r="H9" s="9"/>
      <c r="I9" s="9"/>
      <c r="S9" s="1"/>
    </row>
    <row r="10" spans="1:20">
      <c r="E10" s="1" t="s">
        <v>64</v>
      </c>
      <c r="G10" s="1" t="s">
        <v>65</v>
      </c>
      <c r="I10" s="1" t="s">
        <v>66</v>
      </c>
    </row>
    <row r="11" spans="1:20">
      <c r="A11" s="1" t="s">
        <v>61</v>
      </c>
      <c r="B11" s="2" t="s">
        <v>86</v>
      </c>
      <c r="C11" s="20">
        <v>22</v>
      </c>
      <c r="D11" s="1" t="s">
        <v>62</v>
      </c>
      <c r="E11" s="20">
        <v>2</v>
      </c>
      <c r="F11" s="1" t="s">
        <v>62</v>
      </c>
      <c r="G11" s="20">
        <v>3</v>
      </c>
      <c r="H11" s="1" t="s">
        <v>63</v>
      </c>
      <c r="I11" s="20">
        <v>170</v>
      </c>
      <c r="K11" s="1" t="s">
        <v>23</v>
      </c>
    </row>
    <row r="12" spans="1:20">
      <c r="B12" s="1" t="s">
        <v>72</v>
      </c>
      <c r="F12" s="1" t="s">
        <v>73</v>
      </c>
      <c r="G12" s="20">
        <v>44</v>
      </c>
      <c r="H12" s="1" t="s">
        <v>5</v>
      </c>
      <c r="K12" s="1" t="s">
        <v>70</v>
      </c>
    </row>
    <row r="13" spans="1:20">
      <c r="B13" s="1" t="s">
        <v>75</v>
      </c>
      <c r="F13" s="1" t="s">
        <v>74</v>
      </c>
      <c r="G13" s="20">
        <v>66</v>
      </c>
      <c r="H13" s="1" t="s">
        <v>5</v>
      </c>
      <c r="K13" s="1" t="s">
        <v>7</v>
      </c>
      <c r="L13" s="1">
        <f>F16*C16-E11*G11*(C11+2)</f>
        <v>2106</v>
      </c>
      <c r="M13" s="1" t="s">
        <v>8</v>
      </c>
      <c r="N13" s="11" t="s">
        <v>10</v>
      </c>
      <c r="O13" s="11">
        <f>D6/L14</f>
        <v>0.17081368910935671</v>
      </c>
    </row>
    <row r="14" spans="1:20">
      <c r="A14" s="19"/>
      <c r="B14" s="19"/>
      <c r="C14" s="19"/>
      <c r="D14" s="19"/>
      <c r="E14" s="19"/>
      <c r="F14" s="19"/>
      <c r="G14" s="19"/>
      <c r="H14" s="19"/>
      <c r="I14" s="19"/>
      <c r="K14" s="3" t="s">
        <v>9</v>
      </c>
      <c r="L14" s="3">
        <f>F17/SQRT(3)*L13/1000</f>
        <v>263.44492783122627</v>
      </c>
      <c r="M14" s="3" t="s">
        <v>5</v>
      </c>
      <c r="N14" s="13"/>
      <c r="O14" s="17" t="s">
        <v>11</v>
      </c>
      <c r="R14" s="1" t="s">
        <v>87</v>
      </c>
      <c r="S14">
        <f>C16*F16*F16*F16/12</f>
        <v>11718750</v>
      </c>
    </row>
    <row r="15" spans="1:20">
      <c r="A15" s="9" t="s">
        <v>67</v>
      </c>
      <c r="B15" s="9"/>
      <c r="C15" s="9"/>
      <c r="D15" s="9"/>
      <c r="E15" s="9"/>
      <c r="F15" s="9"/>
      <c r="G15" s="9"/>
      <c r="H15" s="9"/>
      <c r="I15" s="9"/>
      <c r="K15" s="4"/>
      <c r="L15" s="4"/>
      <c r="M15" s="4"/>
      <c r="N15" s="11"/>
      <c r="O15" s="18"/>
    </row>
    <row r="16" spans="1:20">
      <c r="B16" s="2" t="s">
        <v>13</v>
      </c>
      <c r="C16" s="21">
        <v>9</v>
      </c>
      <c r="D16" s="21"/>
      <c r="E16" s="1" t="s">
        <v>76</v>
      </c>
      <c r="F16" s="7">
        <f>(E11-1)*I11+80</f>
        <v>250</v>
      </c>
      <c r="G16" s="7"/>
      <c r="H16" s="6"/>
      <c r="I16" s="6"/>
      <c r="K16" s="1" t="s">
        <v>71</v>
      </c>
    </row>
    <row r="17" spans="1:16">
      <c r="B17" s="22" t="s">
        <v>90</v>
      </c>
      <c r="C17" s="22"/>
      <c r="D17" s="22"/>
      <c r="E17" s="1" t="s">
        <v>78</v>
      </c>
      <c r="F17" s="21">
        <f>F18/3*2</f>
        <v>216.66666666666666</v>
      </c>
      <c r="G17" s="21"/>
      <c r="H17" s="10" t="s">
        <v>79</v>
      </c>
      <c r="I17" s="10"/>
      <c r="K17" s="1" t="s">
        <v>19</v>
      </c>
      <c r="L17" s="1">
        <f>D6/E11/G11</f>
        <v>7.5</v>
      </c>
      <c r="M17" s="1" t="s">
        <v>5</v>
      </c>
      <c r="N17" s="11" t="s">
        <v>21</v>
      </c>
      <c r="O17" s="11">
        <f>L18/G12</f>
        <v>0.17045454545454544</v>
      </c>
    </row>
    <row r="18" spans="1:16">
      <c r="B18" s="22"/>
      <c r="C18" s="22"/>
      <c r="D18" s="22"/>
      <c r="E18" s="1" t="s">
        <v>77</v>
      </c>
      <c r="F18" s="21">
        <v>325</v>
      </c>
      <c r="G18" s="21"/>
      <c r="H18" s="7" t="s">
        <v>80</v>
      </c>
      <c r="I18" s="7"/>
      <c r="K18" s="3" t="s">
        <v>20</v>
      </c>
      <c r="L18" s="3">
        <f>L17</f>
        <v>7.5</v>
      </c>
      <c r="M18" s="3" t="s">
        <v>5</v>
      </c>
      <c r="N18" s="13"/>
      <c r="O18" s="17" t="s">
        <v>11</v>
      </c>
      <c r="P18" s="5"/>
    </row>
    <row r="19" spans="1:16">
      <c r="H19" s="8"/>
      <c r="I19" s="8"/>
      <c r="J19" s="8"/>
    </row>
    <row r="20" spans="1:16">
      <c r="A20" s="9" t="s">
        <v>22</v>
      </c>
      <c r="B20" s="9"/>
      <c r="C20" s="9"/>
      <c r="D20" s="9"/>
      <c r="E20" s="9"/>
      <c r="F20" s="9"/>
      <c r="G20" s="9"/>
      <c r="H20" s="11"/>
      <c r="I20" s="11"/>
      <c r="J20" s="11"/>
      <c r="K20" s="9"/>
      <c r="L20" s="9"/>
      <c r="M20" s="9"/>
      <c r="N20" s="9"/>
      <c r="O20" s="9"/>
    </row>
    <row r="21" spans="1:16">
      <c r="K21" s="16" t="s">
        <v>38</v>
      </c>
      <c r="L21" s="16"/>
      <c r="M21" s="16"/>
      <c r="N21" s="16"/>
    </row>
    <row r="22" spans="1:16">
      <c r="K22" s="1" t="s">
        <v>39</v>
      </c>
      <c r="L22" s="1" t="s">
        <v>40</v>
      </c>
      <c r="M22" s="1">
        <f>D36</f>
        <v>43.052000000000007</v>
      </c>
      <c r="N22" s="1" t="s">
        <v>5</v>
      </c>
    </row>
    <row r="23" spans="1:16">
      <c r="K23" s="1" t="s">
        <v>41</v>
      </c>
      <c r="L23" s="1" t="s">
        <v>42</v>
      </c>
      <c r="M23" s="1">
        <f>D6</f>
        <v>45</v>
      </c>
      <c r="N23" s="1" t="s">
        <v>5</v>
      </c>
    </row>
    <row r="24" spans="1:16">
      <c r="K24" s="1" t="s">
        <v>43</v>
      </c>
      <c r="L24" s="1" t="s">
        <v>60</v>
      </c>
      <c r="M24" s="1">
        <f>D37</f>
        <v>25.874252000000006</v>
      </c>
      <c r="N24" s="1" t="s">
        <v>44</v>
      </c>
    </row>
    <row r="26" spans="1:16">
      <c r="K26" s="16" t="s">
        <v>28</v>
      </c>
      <c r="L26" s="16"/>
      <c r="M26" s="16"/>
      <c r="N26" s="16"/>
    </row>
    <row r="27" spans="1:16">
      <c r="K27" s="1" t="s">
        <v>29</v>
      </c>
      <c r="L27" s="1" t="s">
        <v>30</v>
      </c>
      <c r="M27" s="1">
        <f>D36/E11/G11</f>
        <v>7.1753333333333345</v>
      </c>
      <c r="N27" s="1" t="s">
        <v>5</v>
      </c>
    </row>
    <row r="28" spans="1:16">
      <c r="L28" s="1" t="s">
        <v>32</v>
      </c>
      <c r="M28" s="1">
        <f>M24/T8*1000/G11</f>
        <v>50.733827450980407</v>
      </c>
      <c r="N28" s="1" t="s">
        <v>5</v>
      </c>
    </row>
    <row r="29" spans="1:16">
      <c r="K29" s="1" t="s">
        <v>31</v>
      </c>
      <c r="L29" s="1" t="s">
        <v>33</v>
      </c>
      <c r="M29" s="1">
        <f>D6/5</f>
        <v>9</v>
      </c>
      <c r="N29" s="1" t="s">
        <v>5</v>
      </c>
    </row>
    <row r="30" spans="1:16">
      <c r="K30" s="4" t="s">
        <v>34</v>
      </c>
      <c r="L30" s="4" t="s">
        <v>35</v>
      </c>
      <c r="M30" s="4">
        <f>SQRT((M27+M28)*(M27+M28)+M29*M29)</f>
        <v>58.604359076296539</v>
      </c>
      <c r="N30" s="4" t="s">
        <v>5</v>
      </c>
    </row>
    <row r="31" spans="1:16">
      <c r="K31" s="13" t="s">
        <v>36</v>
      </c>
      <c r="L31" s="13">
        <f>M30/G13</f>
        <v>0.88794483448934147</v>
      </c>
      <c r="M31" s="14" t="s">
        <v>11</v>
      </c>
      <c r="N31" s="13"/>
    </row>
    <row r="32" spans="1:16">
      <c r="A32" s="16" t="s">
        <v>89</v>
      </c>
      <c r="B32" s="16"/>
      <c r="C32" s="16"/>
      <c r="D32" s="16"/>
      <c r="E32" s="16"/>
      <c r="F32" s="16"/>
      <c r="G32" s="16"/>
      <c r="H32" s="16"/>
      <c r="I32" s="16"/>
    </row>
    <row r="33" spans="2:16">
      <c r="B33" s="7" t="s">
        <v>82</v>
      </c>
      <c r="C33" s="7"/>
      <c r="D33" s="21">
        <v>235</v>
      </c>
      <c r="E33" s="21"/>
      <c r="F33" s="21"/>
      <c r="G33" s="1" t="s">
        <v>80</v>
      </c>
      <c r="K33" s="15" t="s">
        <v>37</v>
      </c>
      <c r="L33" s="15"/>
      <c r="M33" s="15"/>
      <c r="N33" s="15"/>
    </row>
    <row r="34" spans="2:16">
      <c r="B34" s="7" t="s">
        <v>69</v>
      </c>
      <c r="C34" s="7"/>
      <c r="D34" s="21">
        <v>18320</v>
      </c>
      <c r="E34" s="21"/>
      <c r="F34" s="21"/>
      <c r="G34" s="1" t="s">
        <v>8</v>
      </c>
      <c r="K34" s="1" t="s">
        <v>7</v>
      </c>
      <c r="L34" s="1">
        <f>L13</f>
        <v>2106</v>
      </c>
      <c r="M34" s="1" t="s">
        <v>8</v>
      </c>
    </row>
    <row r="35" spans="2:16">
      <c r="B35" s="7" t="s">
        <v>25</v>
      </c>
      <c r="C35" s="7"/>
      <c r="D35" s="21">
        <v>601</v>
      </c>
      <c r="E35" s="21"/>
      <c r="F35" s="21"/>
      <c r="G35" s="1" t="s">
        <v>4</v>
      </c>
      <c r="K35" s="4" t="s">
        <v>9</v>
      </c>
      <c r="L35" s="4">
        <f>235/SQRT(3)*L34/1000</f>
        <v>285.73642172463769</v>
      </c>
      <c r="M35" s="4" t="s">
        <v>5</v>
      </c>
      <c r="N35" s="4"/>
    </row>
    <row r="36" spans="2:16">
      <c r="B36" s="7" t="s">
        <v>26</v>
      </c>
      <c r="C36" s="7"/>
      <c r="D36" s="7">
        <f>0.02*D34*D33/2000</f>
        <v>43.052000000000007</v>
      </c>
      <c r="E36" s="7"/>
      <c r="F36" s="7"/>
      <c r="G36" s="1" t="s">
        <v>5</v>
      </c>
      <c r="K36" s="11" t="s">
        <v>45</v>
      </c>
      <c r="L36" s="11">
        <f>M23/L35</f>
        <v>0.15748779846961969</v>
      </c>
      <c r="M36" s="12" t="s">
        <v>11</v>
      </c>
      <c r="N36" s="12"/>
    </row>
    <row r="37" spans="2:16">
      <c r="B37" s="7" t="s">
        <v>27</v>
      </c>
      <c r="C37" s="7"/>
      <c r="D37" s="7">
        <f>D36*D35/1000</f>
        <v>25.874252000000006</v>
      </c>
      <c r="E37" s="7"/>
      <c r="F37" s="7"/>
      <c r="G37" s="1" t="s">
        <v>5</v>
      </c>
      <c r="K37" s="1" t="s">
        <v>12</v>
      </c>
      <c r="L37" s="23">
        <f>C16*F16*F16*F16/12</f>
        <v>11718750</v>
      </c>
      <c r="M37" s="1" t="s">
        <v>16</v>
      </c>
    </row>
    <row r="38" spans="2:16">
      <c r="B38" s="7" t="s">
        <v>56</v>
      </c>
      <c r="C38" s="7"/>
      <c r="D38" s="21">
        <v>2000</v>
      </c>
      <c r="E38" s="21"/>
      <c r="F38" s="21"/>
      <c r="G38" s="1" t="s">
        <v>4</v>
      </c>
      <c r="K38" s="4" t="s">
        <v>15</v>
      </c>
      <c r="L38" s="4">
        <f>L37/(F16/2)</f>
        <v>93750</v>
      </c>
      <c r="M38" s="4" t="s">
        <v>17</v>
      </c>
      <c r="P38" s="5"/>
    </row>
    <row r="39" spans="2:16">
      <c r="B39" s="1" t="s">
        <v>88</v>
      </c>
      <c r="K39" s="13" t="s">
        <v>18</v>
      </c>
      <c r="L39" s="13">
        <f>M24*1000000/L38/(F18)</f>
        <v>0.84920621948717956</v>
      </c>
      <c r="M39" s="14" t="s">
        <v>11</v>
      </c>
      <c r="N39" s="13"/>
    </row>
    <row r="41" spans="2:16">
      <c r="K41" s="16" t="s">
        <v>81</v>
      </c>
      <c r="L41" s="16"/>
      <c r="M41" s="16"/>
      <c r="N41" s="16"/>
    </row>
    <row r="42" spans="2:16">
      <c r="K42" s="1" t="s">
        <v>46</v>
      </c>
      <c r="L42" s="1" t="s">
        <v>48</v>
      </c>
      <c r="N42" s="1">
        <f>D35*D37*1000000/205000/(D7*10000)*(D5)</f>
        <v>6.0012447715344255</v>
      </c>
      <c r="O42" s="1" t="s">
        <v>4</v>
      </c>
    </row>
    <row r="43" spans="2:16">
      <c r="K43" s="1" t="s">
        <v>49</v>
      </c>
      <c r="L43" s="1" t="s">
        <v>51</v>
      </c>
      <c r="N43" s="1">
        <f>M22*1000/205000/D8*D5</f>
        <v>0.25736489717838357</v>
      </c>
      <c r="O43" s="1" t="s">
        <v>4</v>
      </c>
    </row>
    <row r="44" spans="2:16">
      <c r="K44" s="1" t="s">
        <v>52</v>
      </c>
      <c r="L44" s="1" t="s">
        <v>53</v>
      </c>
      <c r="N44" s="1">
        <f>D36/(N42+N43)</f>
        <v>6.8788440690301735</v>
      </c>
      <c r="O44" s="1" t="s">
        <v>57</v>
      </c>
    </row>
    <row r="45" spans="2:16">
      <c r="K45" s="3" t="s">
        <v>54</v>
      </c>
      <c r="L45" s="3" t="s">
        <v>55</v>
      </c>
      <c r="M45" s="3"/>
      <c r="N45" s="3">
        <f>5*235*D34/2/D38/1000</f>
        <v>5.3815</v>
      </c>
      <c r="O45" s="3" t="s">
        <v>57</v>
      </c>
    </row>
    <row r="52" spans="15:16">
      <c r="O52" s="4"/>
      <c r="P52" s="5"/>
    </row>
  </sheetData>
  <mergeCells count="32">
    <mergeCell ref="A6:B6"/>
    <mergeCell ref="A2:O2"/>
    <mergeCell ref="K41:N41"/>
    <mergeCell ref="K21:N21"/>
    <mergeCell ref="K26:N26"/>
    <mergeCell ref="B38:C38"/>
    <mergeCell ref="D38:F38"/>
    <mergeCell ref="B33:C33"/>
    <mergeCell ref="D33:F33"/>
    <mergeCell ref="A32:I32"/>
    <mergeCell ref="F18:G18"/>
    <mergeCell ref="H17:I17"/>
    <mergeCell ref="H18:I18"/>
    <mergeCell ref="B17:D18"/>
    <mergeCell ref="D6:F6"/>
    <mergeCell ref="D7:F7"/>
    <mergeCell ref="D8:F8"/>
    <mergeCell ref="F17:G17"/>
    <mergeCell ref="A5:B5"/>
    <mergeCell ref="A8:B8"/>
    <mergeCell ref="A7:B7"/>
    <mergeCell ref="D35:F35"/>
    <mergeCell ref="D36:F36"/>
    <mergeCell ref="D37:F37"/>
    <mergeCell ref="B35:C35"/>
    <mergeCell ref="B36:C36"/>
    <mergeCell ref="B37:C37"/>
    <mergeCell ref="D34:F34"/>
    <mergeCell ref="B34:C34"/>
    <mergeCell ref="F16:G16"/>
    <mergeCell ref="C16:D16"/>
    <mergeCell ref="D5:F5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F3B1-EFB5-4365-87A7-B4D58DA42D0A}">
  <dimension ref="A2:T53"/>
  <sheetViews>
    <sheetView view="pageBreakPreview" zoomScale="70" zoomScaleNormal="70" zoomScaleSheetLayoutView="70" workbookViewId="0">
      <selection activeCell="A5" sqref="A5:I5"/>
    </sheetView>
  </sheetViews>
  <sheetFormatPr defaultRowHeight="18"/>
  <cols>
    <col min="1" max="1" width="5.1640625" style="1" customWidth="1"/>
    <col min="2" max="2" width="4.6640625" style="1" customWidth="1"/>
    <col min="3" max="3" width="7.41406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97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346</v>
      </c>
      <c r="D5" s="20" t="s">
        <v>14</v>
      </c>
      <c r="E5" s="24">
        <v>174</v>
      </c>
      <c r="F5" s="20" t="s">
        <v>14</v>
      </c>
      <c r="G5" s="24">
        <v>6</v>
      </c>
      <c r="H5" s="20" t="s">
        <v>14</v>
      </c>
      <c r="I5" s="24">
        <v>9</v>
      </c>
    </row>
    <row r="6" spans="1:20">
      <c r="A6" s="7" t="s">
        <v>2</v>
      </c>
      <c r="B6" s="7"/>
      <c r="C6" s="2" t="s">
        <v>3</v>
      </c>
      <c r="D6" s="21">
        <v>8500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70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19800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7141</v>
      </c>
      <c r="E9" s="21"/>
      <c r="F9" s="21"/>
      <c r="G9" s="1" t="s">
        <v>8</v>
      </c>
      <c r="S9" t="s">
        <v>59</v>
      </c>
      <c r="T9">
        <f>I12*(E12-1)</f>
        <v>180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4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2244</v>
      </c>
      <c r="M14" s="1" t="s">
        <v>8</v>
      </c>
      <c r="N14" s="11" t="s">
        <v>10</v>
      </c>
      <c r="O14" s="11">
        <f>D7/L15</f>
        <v>0.34487301322625269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202.97326063630484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13182000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11"/>
      <c r="O16" s="18"/>
    </row>
    <row r="17" spans="1:20">
      <c r="B17" s="2" t="s">
        <v>13</v>
      </c>
      <c r="C17" s="21">
        <v>9</v>
      </c>
      <c r="D17" s="21"/>
      <c r="E17" s="1" t="s">
        <v>76</v>
      </c>
      <c r="F17" s="7">
        <f>(E12-1)*I12+80</f>
        <v>260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17.5</v>
      </c>
      <c r="M18" s="1" t="s">
        <v>5</v>
      </c>
      <c r="N18" s="11" t="s">
        <v>21</v>
      </c>
      <c r="O18" s="11">
        <f>L19/G13</f>
        <v>0.39772727272727271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17.5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70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24.841004000000005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10.763000000000002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138.0055777777778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14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149.42586701780493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2.2640282881485594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2244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577</v>
      </c>
      <c r="E36" s="21"/>
      <c r="F36" s="21"/>
      <c r="G36" s="1" t="s">
        <v>4</v>
      </c>
      <c r="K36" s="4" t="s">
        <v>9</v>
      </c>
      <c r="L36" s="4">
        <f>235/SQRT(3)*L35/1000</f>
        <v>304.45989095445725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0.22991534215083514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24.841004000000005</v>
      </c>
      <c r="E38" s="7"/>
      <c r="F38" s="7"/>
      <c r="G38" s="1" t="s">
        <v>5</v>
      </c>
      <c r="K38" s="1" t="s">
        <v>12</v>
      </c>
      <c r="L38" s="23">
        <f>C17*F17*F17*F17/12</f>
        <v>13182000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101400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1.0424694280078897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3.0015448169007151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0.24997660367305261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13.240570930147216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E7C2-8B3C-497F-9E04-17C0262BE909}">
  <dimension ref="A2:T53"/>
  <sheetViews>
    <sheetView view="pageBreakPreview" zoomScale="70" zoomScaleNormal="70" zoomScaleSheetLayoutView="70" workbookViewId="0">
      <selection activeCell="A5" sqref="A5:I5"/>
    </sheetView>
  </sheetViews>
  <sheetFormatPr defaultRowHeight="18"/>
  <cols>
    <col min="1" max="1" width="5.1640625" style="1" customWidth="1"/>
    <col min="2" max="2" width="4.6640625" style="1" customWidth="1"/>
    <col min="3" max="3" width="8.332031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94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396</v>
      </c>
      <c r="D5" s="20" t="s">
        <v>14</v>
      </c>
      <c r="E5" s="24">
        <v>199</v>
      </c>
      <c r="F5" s="20" t="s">
        <v>14</v>
      </c>
      <c r="G5" s="24">
        <v>7</v>
      </c>
      <c r="H5" s="20" t="s">
        <v>14</v>
      </c>
      <c r="I5" s="24">
        <v>11</v>
      </c>
    </row>
    <row r="6" spans="1:20">
      <c r="A6" s="7" t="s">
        <v>2</v>
      </c>
      <c r="B6" s="7"/>
      <c r="C6" s="2" t="s">
        <v>3</v>
      </c>
      <c r="D6" s="21">
        <v>5000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95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19800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7141</v>
      </c>
      <c r="E9" s="21"/>
      <c r="F9" s="21"/>
      <c r="G9" s="1" t="s">
        <v>8</v>
      </c>
      <c r="S9" t="s">
        <v>59</v>
      </c>
      <c r="T9">
        <f>I12*(E12-1)</f>
        <v>240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5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2760</v>
      </c>
      <c r="M14" s="1" t="s">
        <v>8</v>
      </c>
      <c r="N14" s="11" t="s">
        <v>10</v>
      </c>
      <c r="O14" s="11">
        <f>D7/L15</f>
        <v>0.38053845217170057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249.64625639759421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24576000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11"/>
      <c r="O16" s="18"/>
    </row>
    <row r="17" spans="1:20">
      <c r="B17" s="2" t="s">
        <v>13</v>
      </c>
      <c r="C17" s="21">
        <v>9</v>
      </c>
      <c r="D17" s="21"/>
      <c r="E17" s="1" t="s">
        <v>76</v>
      </c>
      <c r="F17" s="7">
        <f>(E12-1)*I12+80</f>
        <v>320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19</v>
      </c>
      <c r="M18" s="1" t="s">
        <v>5</v>
      </c>
      <c r="N18" s="11" t="s">
        <v>21</v>
      </c>
      <c r="O18" s="11">
        <f>L19/G13</f>
        <v>0.43181818181818182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19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95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23.764704000000005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8.6104000000000021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99.019600000000025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19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109.29417596560214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1.6559723631151839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2760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552</v>
      </c>
      <c r="E36" s="21"/>
      <c r="F36" s="21"/>
      <c r="G36" s="1" t="s">
        <v>4</v>
      </c>
      <c r="K36" s="4" t="s">
        <v>9</v>
      </c>
      <c r="L36" s="4">
        <f>235/SQRT(3)*L35/1000</f>
        <v>374.46938459639131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0.25369230144780036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23.764704000000005</v>
      </c>
      <c r="E38" s="7"/>
      <c r="F38" s="7"/>
      <c r="G38" s="1" t="s">
        <v>5</v>
      </c>
      <c r="K38" s="1" t="s">
        <v>12</v>
      </c>
      <c r="L38" s="23">
        <f>C17*F17*F17*F17/12</f>
        <v>24576000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153600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0.65837500000000004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1.6159296141906876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0.14704506098414857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24.420089866424483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BFB6-D420-4B59-A4B5-3C0A758CA36B}">
  <dimension ref="A2:T53"/>
  <sheetViews>
    <sheetView view="pageBreakPreview" zoomScale="70" zoomScaleNormal="70" zoomScaleSheetLayoutView="70" workbookViewId="0">
      <selection activeCell="A5" sqref="A5:I5"/>
    </sheetView>
  </sheetViews>
  <sheetFormatPr defaultRowHeight="18"/>
  <cols>
    <col min="1" max="1" width="5.1640625" style="1" customWidth="1"/>
    <col min="2" max="2" width="4.6640625" style="1" customWidth="1"/>
    <col min="3" max="3" width="7.832031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94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496</v>
      </c>
      <c r="D5" s="20" t="s">
        <v>14</v>
      </c>
      <c r="E5" s="24">
        <v>199</v>
      </c>
      <c r="F5" s="20" t="s">
        <v>14</v>
      </c>
      <c r="G5" s="24">
        <v>9</v>
      </c>
      <c r="H5" s="20" t="s">
        <v>14</v>
      </c>
      <c r="I5" s="24">
        <v>14</v>
      </c>
    </row>
    <row r="6" spans="1:20">
      <c r="A6" s="7" t="s">
        <v>2</v>
      </c>
      <c r="B6" s="7"/>
      <c r="C6" s="2" t="s">
        <v>3</v>
      </c>
      <c r="D6" s="21">
        <v>12500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95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19800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7141</v>
      </c>
      <c r="E9" s="21"/>
      <c r="F9" s="21"/>
      <c r="G9" s="1" t="s">
        <v>8</v>
      </c>
      <c r="S9" t="s">
        <v>59</v>
      </c>
      <c r="T9">
        <f>I12*(E12-1)</f>
        <v>300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6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3276</v>
      </c>
      <c r="M14" s="1" t="s">
        <v>8</v>
      </c>
      <c r="N14" s="11" t="s">
        <v>10</v>
      </c>
      <c r="O14" s="11">
        <f>D7/L15</f>
        <v>0.32060016117029716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296.31925215888356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41154000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11"/>
      <c r="O16" s="18"/>
    </row>
    <row r="17" spans="1:20">
      <c r="B17" s="2" t="s">
        <v>13</v>
      </c>
      <c r="C17" s="21">
        <v>9</v>
      </c>
      <c r="D17" s="21"/>
      <c r="E17" s="1" t="s">
        <v>76</v>
      </c>
      <c r="F17" s="7">
        <f>(E12-1)*I12+80</f>
        <v>380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15.833333333333334</v>
      </c>
      <c r="M18" s="1" t="s">
        <v>5</v>
      </c>
      <c r="N18" s="11" t="s">
        <v>21</v>
      </c>
      <c r="O18" s="11">
        <f>L19/G13</f>
        <v>0.35984848484848486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15.833333333333334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27.683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95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9.6336839999999988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4.613833333333333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32.112279999999991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19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41.349817418857413</v>
      </c>
      <c r="N31" s="4" t="s">
        <v>5</v>
      </c>
      <c r="S31"/>
      <c r="T31"/>
    </row>
    <row r="32" spans="1:20" s="1" customFormat="1">
      <c r="B32" s="20">
        <v>596</v>
      </c>
      <c r="K32" s="13" t="s">
        <v>36</v>
      </c>
      <c r="L32" s="13">
        <f>M31/G14</f>
        <v>0.62651238513420326</v>
      </c>
      <c r="M32" s="14" t="s">
        <v>11</v>
      </c>
      <c r="N32" s="13"/>
      <c r="S32"/>
      <c r="T32"/>
    </row>
    <row r="33" spans="1:20" s="1" customFormat="1">
      <c r="A33" s="16" t="s">
        <v>95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11780</v>
      </c>
      <c r="E35" s="21"/>
      <c r="F35" s="21"/>
      <c r="G35" s="1" t="s">
        <v>8</v>
      </c>
      <c r="K35" s="1" t="s">
        <v>7</v>
      </c>
      <c r="L35" s="1">
        <f>L14</f>
        <v>3276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348</v>
      </c>
      <c r="E36" s="21"/>
      <c r="F36" s="21"/>
      <c r="G36" s="1" t="s">
        <v>4</v>
      </c>
      <c r="K36" s="4" t="s">
        <v>9</v>
      </c>
      <c r="L36" s="4">
        <f>235/SQRT(3)*L35/1000</f>
        <v>444.47887823832531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27.683</v>
      </c>
      <c r="E37" s="7"/>
      <c r="F37" s="7"/>
      <c r="G37" s="1" t="s">
        <v>5</v>
      </c>
      <c r="K37" s="11" t="s">
        <v>45</v>
      </c>
      <c r="L37" s="11">
        <f>M24/L36</f>
        <v>0.21373344078019813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9.6336839999999988</v>
      </c>
      <c r="E38" s="7"/>
      <c r="F38" s="7"/>
      <c r="G38" s="1" t="s">
        <v>5</v>
      </c>
      <c r="K38" s="1" t="s">
        <v>12</v>
      </c>
      <c r="L38" s="23">
        <f>C17*F17*F17*F17/12</f>
        <v>41154000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216600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0.18926315789473683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1.0324347228381372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0.23637975141829559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21.818004571726814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3.460375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C27C-6B86-4175-939F-DFDCCE4ABDA9}">
  <dimension ref="A2:T53"/>
  <sheetViews>
    <sheetView view="pageBreakPreview" zoomScale="70" zoomScaleNormal="70" zoomScaleSheetLayoutView="70" workbookViewId="0">
      <selection activeCell="B18" sqref="B18:D19"/>
    </sheetView>
  </sheetViews>
  <sheetFormatPr defaultRowHeight="18"/>
  <cols>
    <col min="1" max="1" width="5.1640625" style="1" customWidth="1"/>
    <col min="2" max="2" width="4.6640625" style="1" customWidth="1"/>
    <col min="3" max="3" width="7.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101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596</v>
      </c>
      <c r="D5" s="20" t="s">
        <v>14</v>
      </c>
      <c r="E5" s="24">
        <v>199</v>
      </c>
      <c r="F5" s="20" t="s">
        <v>14</v>
      </c>
      <c r="G5" s="24">
        <v>10</v>
      </c>
      <c r="H5" s="20" t="s">
        <v>14</v>
      </c>
      <c r="I5" s="24">
        <v>15</v>
      </c>
    </row>
    <row r="6" spans="1:20">
      <c r="A6" s="7" t="s">
        <v>2</v>
      </c>
      <c r="B6" s="7"/>
      <c r="C6" s="2" t="s">
        <v>3</v>
      </c>
      <c r="D6" s="21">
        <v>13650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145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66600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11780</v>
      </c>
      <c r="E9" s="21"/>
      <c r="F9" s="21"/>
      <c r="G9" s="1" t="s">
        <v>8</v>
      </c>
      <c r="S9" t="s">
        <v>59</v>
      </c>
      <c r="T9">
        <f>I12*(E12-1)</f>
        <v>420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8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5808</v>
      </c>
      <c r="M14" s="1" t="s">
        <v>8</v>
      </c>
      <c r="N14" s="11" t="s">
        <v>10</v>
      </c>
      <c r="O14" s="11">
        <f>D7/L15</f>
        <v>0.27601038233854319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525.34255694102421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125000000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11"/>
      <c r="O16" s="18"/>
    </row>
    <row r="17" spans="1:20">
      <c r="B17" s="2" t="s">
        <v>13</v>
      </c>
      <c r="C17" s="21">
        <v>12</v>
      </c>
      <c r="D17" s="21"/>
      <c r="E17" s="1" t="s">
        <v>76</v>
      </c>
      <c r="F17" s="7">
        <f>(E12-1)*I12+80</f>
        <v>500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18.125</v>
      </c>
      <c r="M18" s="1" t="s">
        <v>5</v>
      </c>
      <c r="N18" s="11" t="s">
        <v>21</v>
      </c>
      <c r="O18" s="11">
        <f>L19/G13</f>
        <v>0.41193181818181818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18.125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145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19.459504000000006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5.3815000000000008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46.332152380952394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29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59.289980962874182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0.89833304489203303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5808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452</v>
      </c>
      <c r="E36" s="21"/>
      <c r="F36" s="21"/>
      <c r="G36" s="1" t="s">
        <v>4</v>
      </c>
      <c r="K36" s="4" t="s">
        <v>9</v>
      </c>
      <c r="L36" s="4">
        <f>235/SQRT(3)*L35/1000</f>
        <v>788.01383541153643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0.18400692155902879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19.459504000000006</v>
      </c>
      <c r="E38" s="7"/>
      <c r="F38" s="7"/>
      <c r="G38" s="1" t="s">
        <v>5</v>
      </c>
      <c r="K38" s="1" t="s">
        <v>12</v>
      </c>
      <c r="L38" s="23">
        <f>C17*F17*F17*F17/12</f>
        <v>125000000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500000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0.16561280000000006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0.87937631128103744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0.24334746780404992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38.346030254283271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E137-74DD-464C-997E-E6BA7BF46F2E}">
  <dimension ref="A2:T53"/>
  <sheetViews>
    <sheetView view="pageBreakPreview" zoomScale="70" zoomScaleNormal="70" zoomScaleSheetLayoutView="70" workbookViewId="0">
      <selection activeCell="B18" sqref="B18:D19"/>
    </sheetView>
  </sheetViews>
  <sheetFormatPr defaultRowHeight="18"/>
  <cols>
    <col min="1" max="1" width="5.1640625" style="1" customWidth="1"/>
    <col min="2" max="2" width="4.6640625" style="1" customWidth="1"/>
    <col min="3" max="3" width="7.41406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96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600</v>
      </c>
      <c r="D5" s="20" t="s">
        <v>14</v>
      </c>
      <c r="E5" s="24">
        <v>200</v>
      </c>
      <c r="F5" s="20" t="s">
        <v>14</v>
      </c>
      <c r="G5" s="24">
        <v>11</v>
      </c>
      <c r="H5" s="20" t="s">
        <v>14</v>
      </c>
      <c r="I5" s="24">
        <v>17</v>
      </c>
    </row>
    <row r="6" spans="1:20">
      <c r="A6" s="7" t="s">
        <v>2</v>
      </c>
      <c r="B6" s="7"/>
      <c r="C6" s="2" t="s">
        <v>3</v>
      </c>
      <c r="D6" s="21">
        <v>13650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145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75600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13170</v>
      </c>
      <c r="E9" s="21"/>
      <c r="F9" s="21"/>
      <c r="G9" s="1" t="s">
        <v>8</v>
      </c>
      <c r="S9" t="s">
        <v>59</v>
      </c>
      <c r="T9">
        <f>I12*(E12-1)</f>
        <v>420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8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5808</v>
      </c>
      <c r="M14" s="1" t="s">
        <v>8</v>
      </c>
      <c r="N14" s="11" t="s">
        <v>10</v>
      </c>
      <c r="O14" s="11">
        <f>D7/L15</f>
        <v>0.27601038233854319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525.34255694102421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125000000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11"/>
      <c r="O16" s="18"/>
    </row>
    <row r="17" spans="1:20">
      <c r="B17" s="2" t="s">
        <v>13</v>
      </c>
      <c r="C17" s="21">
        <v>12</v>
      </c>
      <c r="D17" s="21"/>
      <c r="E17" s="1" t="s">
        <v>76</v>
      </c>
      <c r="F17" s="7">
        <f>(E12-1)*I12+80</f>
        <v>500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18.125</v>
      </c>
      <c r="M18" s="1" t="s">
        <v>5</v>
      </c>
      <c r="N18" s="11" t="s">
        <v>21</v>
      </c>
      <c r="O18" s="11">
        <f>L19/G13</f>
        <v>0.41193181818181818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18.125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145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19.3734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5.3815000000000008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46.127142857142857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29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59.1112534885253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0.89562505285644389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5808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450</v>
      </c>
      <c r="E36" s="21"/>
      <c r="F36" s="21"/>
      <c r="G36" s="1" t="s">
        <v>4</v>
      </c>
      <c r="K36" s="4" t="s">
        <v>9</v>
      </c>
      <c r="L36" s="4">
        <f>235/SQRT(3)*L35/1000</f>
        <v>788.01383541153643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0.18400692155902879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19.3734</v>
      </c>
      <c r="E38" s="7"/>
      <c r="F38" s="7"/>
      <c r="G38" s="1" t="s">
        <v>5</v>
      </c>
      <c r="K38" s="1" t="s">
        <v>12</v>
      </c>
      <c r="L38" s="23">
        <f>C17*F17*F17*F17/12</f>
        <v>125000000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500000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0.16488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0.7678481707317073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0.21766387021501196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43.684905116575401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E397-1DA4-4998-92EA-A47D59A38D88}">
  <dimension ref="A2:T53"/>
  <sheetViews>
    <sheetView view="pageBreakPreview" zoomScale="70" zoomScaleNormal="70" zoomScaleSheetLayoutView="70" workbookViewId="0">
      <selection activeCell="D7" sqref="D7:F7"/>
    </sheetView>
  </sheetViews>
  <sheetFormatPr defaultRowHeight="18"/>
  <cols>
    <col min="1" max="1" width="5.1640625" style="1" customWidth="1"/>
    <col min="2" max="2" width="4.6640625" style="1" customWidth="1"/>
    <col min="3" max="3" width="8.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98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692</v>
      </c>
      <c r="D5" s="20" t="s">
        <v>14</v>
      </c>
      <c r="E5" s="24">
        <v>300</v>
      </c>
      <c r="F5" s="20" t="s">
        <v>14</v>
      </c>
      <c r="G5" s="24">
        <v>13</v>
      </c>
      <c r="H5" s="20" t="s">
        <v>14</v>
      </c>
      <c r="I5" s="24">
        <v>20</v>
      </c>
    </row>
    <row r="6" spans="1:20">
      <c r="A6" s="7" t="s">
        <v>2</v>
      </c>
      <c r="B6" s="7"/>
      <c r="C6" s="2" t="s">
        <v>3</v>
      </c>
      <c r="D6" s="21">
        <v>13650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260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168000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20750</v>
      </c>
      <c r="E9" s="21"/>
      <c r="F9" s="21"/>
      <c r="G9" s="1" t="s">
        <v>8</v>
      </c>
      <c r="S9" t="s">
        <v>59</v>
      </c>
      <c r="T9">
        <f>I12*(E12-1)</f>
        <v>480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9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6504</v>
      </c>
      <c r="M14" s="1" t="s">
        <v>8</v>
      </c>
      <c r="N14" s="11" t="s">
        <v>10</v>
      </c>
      <c r="O14" s="11">
        <f>D7/L15</f>
        <v>0.44195376655404345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588.29683029346108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175616000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25"/>
      <c r="O16" s="26"/>
    </row>
    <row r="17" spans="1:20">
      <c r="B17" s="2" t="s">
        <v>13</v>
      </c>
      <c r="C17" s="21">
        <v>12</v>
      </c>
      <c r="D17" s="21"/>
      <c r="E17" s="1" t="s">
        <v>76</v>
      </c>
      <c r="F17" s="7">
        <f>(E12-1)*I12+80</f>
        <v>560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28.888888888888889</v>
      </c>
      <c r="M18" s="1" t="s">
        <v>5</v>
      </c>
      <c r="N18" s="11" t="s">
        <v>21</v>
      </c>
      <c r="O18" s="11">
        <f>L19/G13</f>
        <v>0.65656565656565657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28.888888888888889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260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17.393008000000002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4.783555555555556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36.23543333333334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52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66.231091259821397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1.0035013827245667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6504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404</v>
      </c>
      <c r="E36" s="21"/>
      <c r="F36" s="21"/>
      <c r="G36" s="1" t="s">
        <v>4</v>
      </c>
      <c r="K36" s="4" t="s">
        <v>9</v>
      </c>
      <c r="L36" s="4">
        <f>235/SQRT(3)*L35/1000</f>
        <v>882.44524544019157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0.2946358443693623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17.393008000000002</v>
      </c>
      <c r="E38" s="7"/>
      <c r="F38" s="7"/>
      <c r="G38" s="1" t="s">
        <v>5</v>
      </c>
      <c r="K38" s="1" t="s">
        <v>12</v>
      </c>
      <c r="L38" s="23">
        <f>C17*F17*F17*F17/12</f>
        <v>175616000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627200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0.11800510204081634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0.27850023785365857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0.13815099617984133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103.32862711871509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268C-A30F-49C6-9DFA-174C3E5D13A5}">
  <dimension ref="A2:T53"/>
  <sheetViews>
    <sheetView view="pageBreakPreview" zoomScale="70" zoomScaleNormal="70" zoomScaleSheetLayoutView="70" workbookViewId="0">
      <selection activeCell="I12" sqref="I12"/>
    </sheetView>
  </sheetViews>
  <sheetFormatPr defaultRowHeight="18"/>
  <cols>
    <col min="1" max="1" width="5.1640625" style="1" customWidth="1"/>
    <col min="2" max="2" width="4.6640625" style="1" customWidth="1"/>
    <col min="3" max="3" width="7.8320312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99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792</v>
      </c>
      <c r="D5" s="20" t="s">
        <v>14</v>
      </c>
      <c r="E5" s="24">
        <v>300</v>
      </c>
      <c r="F5" s="20" t="s">
        <v>14</v>
      </c>
      <c r="G5" s="24">
        <v>14</v>
      </c>
      <c r="H5" s="20" t="s">
        <v>14</v>
      </c>
      <c r="I5" s="24">
        <v>22</v>
      </c>
    </row>
    <row r="6" spans="1:20">
      <c r="A6" s="7" t="s">
        <v>2</v>
      </c>
      <c r="B6" s="7"/>
      <c r="C6" s="2" t="s">
        <v>3</v>
      </c>
      <c r="D6" s="21">
        <v>13650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325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248000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23950</v>
      </c>
      <c r="E9" s="21"/>
      <c r="F9" s="21"/>
      <c r="G9" s="1" t="s">
        <v>8</v>
      </c>
      <c r="S9" t="s">
        <v>59</v>
      </c>
      <c r="T9">
        <f>I12*(E12-1)</f>
        <v>600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9</v>
      </c>
      <c r="F12" s="1" t="s">
        <v>62</v>
      </c>
      <c r="G12" s="20">
        <v>1</v>
      </c>
      <c r="H12" s="1" t="s">
        <v>63</v>
      </c>
      <c r="I12" s="20">
        <v>75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7944</v>
      </c>
      <c r="M14" s="1" t="s">
        <v>8</v>
      </c>
      <c r="N14" s="11" t="s">
        <v>10</v>
      </c>
      <c r="O14" s="11">
        <f>D7/L15</f>
        <v>0.45230162664707618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718.54705102264063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314432000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25"/>
      <c r="O16" s="26"/>
    </row>
    <row r="17" spans="1:20">
      <c r="B17" s="2" t="s">
        <v>13</v>
      </c>
      <c r="C17" s="21">
        <v>12</v>
      </c>
      <c r="D17" s="21"/>
      <c r="E17" s="1" t="s">
        <v>76</v>
      </c>
      <c r="F17" s="7">
        <f>(E12-1)*I12+80</f>
        <v>680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36.111111111111114</v>
      </c>
      <c r="M18" s="1" t="s">
        <v>5</v>
      </c>
      <c r="N18" s="11" t="s">
        <v>21</v>
      </c>
      <c r="O18" s="11">
        <f>L19/G13</f>
        <v>0.82070707070707083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36.111111111111114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325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15.240408000000004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4.783555555555556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25.400680000000005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65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71.666505956920105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1.0858561508624258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7944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354</v>
      </c>
      <c r="E36" s="21"/>
      <c r="F36" s="21"/>
      <c r="G36" s="1" t="s">
        <v>4</v>
      </c>
      <c r="K36" s="4" t="s">
        <v>9</v>
      </c>
      <c r="L36" s="4">
        <f>235/SQRT(3)*L35/1000</f>
        <v>1077.8205765339608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0.30153441776471751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15.240408000000004</v>
      </c>
      <c r="E38" s="7"/>
      <c r="F38" s="7"/>
      <c r="G38" s="1" t="s">
        <v>5</v>
      </c>
      <c r="K38" s="1" t="s">
        <v>12</v>
      </c>
      <c r="L38" s="23">
        <f>C17*F17*F17*F17/12</f>
        <v>314432000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924800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7.0126297577854685E-2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0.1448528235578285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0.11969240796374561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162.73965609729407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1ACE9-B476-49B5-9DEF-6A4C43B61F9D}">
  <dimension ref="A2:T53"/>
  <sheetViews>
    <sheetView view="pageBreakPreview" topLeftCell="A4" zoomScale="70" zoomScaleNormal="70" zoomScaleSheetLayoutView="70" workbookViewId="0">
      <selection activeCell="D8" sqref="D8:F8"/>
    </sheetView>
  </sheetViews>
  <sheetFormatPr defaultRowHeight="18"/>
  <cols>
    <col min="1" max="1" width="5.1640625" style="1" customWidth="1"/>
    <col min="2" max="2" width="4.6640625" style="1" customWidth="1"/>
    <col min="3" max="3" width="6.75" style="1" customWidth="1"/>
    <col min="4" max="4" width="3.9140625" style="1" customWidth="1"/>
    <col min="5" max="5" width="7.08203125" style="1" customWidth="1"/>
    <col min="6" max="6" width="3.9140625" style="1" customWidth="1"/>
    <col min="7" max="7" width="7.1640625" style="1" customWidth="1"/>
    <col min="8" max="8" width="3.9140625" style="1" customWidth="1"/>
    <col min="9" max="9" width="6.4140625" style="1" customWidth="1"/>
    <col min="10" max="10" width="5" style="1" customWidth="1"/>
    <col min="11" max="11" width="9.6640625" style="1" customWidth="1"/>
    <col min="12" max="12" width="12.58203125" style="1" customWidth="1"/>
    <col min="13" max="13" width="12.25" style="1" customWidth="1"/>
    <col min="14" max="15" width="10.58203125" style="1" customWidth="1"/>
    <col min="16" max="16" width="7.75" style="1" customWidth="1"/>
    <col min="17" max="18" width="10.58203125" style="1" customWidth="1"/>
    <col min="19" max="19" width="13.58203125" customWidth="1"/>
  </cols>
  <sheetData>
    <row r="2" spans="1:20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8"/>
      <c r="R2" s="8"/>
    </row>
    <row r="4" spans="1:20">
      <c r="A4" s="9" t="s">
        <v>100</v>
      </c>
      <c r="B4" s="9"/>
      <c r="C4" s="9"/>
      <c r="D4" s="9"/>
      <c r="E4" s="9"/>
      <c r="F4" s="9"/>
      <c r="G4" s="9"/>
      <c r="H4" s="9"/>
      <c r="I4" s="9" t="s">
        <v>92</v>
      </c>
    </row>
    <row r="5" spans="1:20">
      <c r="A5" s="20" t="s">
        <v>93</v>
      </c>
      <c r="B5" s="20" t="s">
        <v>62</v>
      </c>
      <c r="C5" s="24">
        <v>600</v>
      </c>
      <c r="D5" s="20" t="s">
        <v>14</v>
      </c>
      <c r="E5" s="24">
        <v>300</v>
      </c>
      <c r="F5" s="20" t="s">
        <v>14</v>
      </c>
      <c r="G5" s="24">
        <v>12</v>
      </c>
      <c r="H5" s="20" t="s">
        <v>14</v>
      </c>
      <c r="I5" s="24">
        <v>28</v>
      </c>
    </row>
    <row r="6" spans="1:20">
      <c r="A6" s="7" t="s">
        <v>2</v>
      </c>
      <c r="B6" s="7"/>
      <c r="C6" s="2" t="s">
        <v>3</v>
      </c>
      <c r="D6" s="21">
        <v>13650</v>
      </c>
      <c r="E6" s="21"/>
      <c r="F6" s="21"/>
      <c r="G6" s="1" t="s">
        <v>4</v>
      </c>
      <c r="H6" s="1" t="s">
        <v>85</v>
      </c>
    </row>
    <row r="7" spans="1:20">
      <c r="A7" s="7" t="s">
        <v>83</v>
      </c>
      <c r="B7" s="7"/>
      <c r="C7" s="2" t="s">
        <v>1</v>
      </c>
      <c r="D7" s="21">
        <v>220</v>
      </c>
      <c r="E7" s="21"/>
      <c r="F7" s="21"/>
      <c r="G7" s="1" t="s">
        <v>5</v>
      </c>
    </row>
    <row r="8" spans="1:20">
      <c r="A8" s="7" t="s">
        <v>84</v>
      </c>
      <c r="B8" s="7"/>
      <c r="C8" s="2" t="s">
        <v>47</v>
      </c>
      <c r="D8" s="21">
        <v>155000</v>
      </c>
      <c r="E8" s="21"/>
      <c r="F8" s="21"/>
      <c r="G8" s="1" t="s">
        <v>58</v>
      </c>
      <c r="T8">
        <v>235</v>
      </c>
    </row>
    <row r="9" spans="1:20">
      <c r="A9" s="7" t="s">
        <v>24</v>
      </c>
      <c r="B9" s="7"/>
      <c r="C9" s="2" t="s">
        <v>50</v>
      </c>
      <c r="D9" s="21">
        <v>23470</v>
      </c>
      <c r="E9" s="21"/>
      <c r="F9" s="21"/>
      <c r="G9" s="1" t="s">
        <v>8</v>
      </c>
      <c r="S9" t="s">
        <v>59</v>
      </c>
      <c r="T9">
        <f>I12*(E12-1)</f>
        <v>420</v>
      </c>
    </row>
    <row r="10" spans="1:20">
      <c r="A10" s="9" t="s">
        <v>68</v>
      </c>
      <c r="B10" s="9"/>
      <c r="C10" s="9"/>
      <c r="D10" s="9"/>
      <c r="E10" s="9"/>
      <c r="F10" s="9"/>
      <c r="G10" s="9"/>
      <c r="H10" s="9"/>
      <c r="I10" s="9"/>
      <c r="S10" s="1"/>
    </row>
    <row r="11" spans="1:20">
      <c r="E11" s="1" t="s">
        <v>64</v>
      </c>
      <c r="G11" s="1" t="s">
        <v>65</v>
      </c>
      <c r="I11" s="1" t="s">
        <v>66</v>
      </c>
    </row>
    <row r="12" spans="1:20">
      <c r="A12" s="1" t="s">
        <v>61</v>
      </c>
      <c r="B12" s="2" t="s">
        <v>86</v>
      </c>
      <c r="C12" s="20">
        <v>22</v>
      </c>
      <c r="D12" s="1" t="s">
        <v>62</v>
      </c>
      <c r="E12" s="20">
        <v>8</v>
      </c>
      <c r="F12" s="1" t="s">
        <v>62</v>
      </c>
      <c r="G12" s="20">
        <v>1</v>
      </c>
      <c r="H12" s="1" t="s">
        <v>63</v>
      </c>
      <c r="I12" s="20">
        <v>60</v>
      </c>
      <c r="K12" s="1" t="s">
        <v>23</v>
      </c>
    </row>
    <row r="13" spans="1:20">
      <c r="B13" s="1" t="s">
        <v>72</v>
      </c>
      <c r="F13" s="1" t="s">
        <v>73</v>
      </c>
      <c r="G13" s="20">
        <v>44</v>
      </c>
      <c r="H13" s="1" t="s">
        <v>5</v>
      </c>
      <c r="K13" s="1" t="s">
        <v>70</v>
      </c>
    </row>
    <row r="14" spans="1:20">
      <c r="B14" s="1" t="s">
        <v>75</v>
      </c>
      <c r="F14" s="1" t="s">
        <v>74</v>
      </c>
      <c r="G14" s="20">
        <v>66</v>
      </c>
      <c r="H14" s="1" t="s">
        <v>5</v>
      </c>
      <c r="K14" s="1" t="s">
        <v>7</v>
      </c>
      <c r="L14" s="1">
        <f>F17*C17-E12*G12*(C12+2)</f>
        <v>5808</v>
      </c>
      <c r="M14" s="1" t="s">
        <v>8</v>
      </c>
      <c r="N14" s="11" t="s">
        <v>10</v>
      </c>
      <c r="O14" s="11">
        <f>D7/L15</f>
        <v>0.41877437320330696</v>
      </c>
    </row>
    <row r="15" spans="1:20">
      <c r="A15" s="19"/>
      <c r="B15" s="19"/>
      <c r="C15" s="19"/>
      <c r="D15" s="19"/>
      <c r="E15" s="19"/>
      <c r="F15" s="19"/>
      <c r="G15" s="19"/>
      <c r="H15" s="19"/>
      <c r="I15" s="19"/>
      <c r="K15" s="3" t="s">
        <v>9</v>
      </c>
      <c r="L15" s="3">
        <f>F18/SQRT(3)*L14/1000</f>
        <v>525.34255694102421</v>
      </c>
      <c r="M15" s="3" t="s">
        <v>5</v>
      </c>
      <c r="N15" s="13"/>
      <c r="O15" s="17" t="s">
        <v>11</v>
      </c>
      <c r="R15" s="1" t="s">
        <v>87</v>
      </c>
      <c r="S15">
        <f>C17*F17*F17*F17/12</f>
        <v>125000000</v>
      </c>
    </row>
    <row r="16" spans="1:20">
      <c r="A16" s="9" t="s">
        <v>67</v>
      </c>
      <c r="B16" s="9"/>
      <c r="C16" s="9"/>
      <c r="D16" s="9"/>
      <c r="E16" s="9"/>
      <c r="F16" s="9"/>
      <c r="G16" s="9"/>
      <c r="H16" s="9"/>
      <c r="I16" s="9"/>
      <c r="K16" s="4"/>
      <c r="L16" s="4"/>
      <c r="M16" s="4"/>
      <c r="N16" s="25"/>
      <c r="O16" s="26"/>
    </row>
    <row r="17" spans="1:20">
      <c r="B17" s="2" t="s">
        <v>13</v>
      </c>
      <c r="C17" s="21">
        <v>12</v>
      </c>
      <c r="D17" s="21"/>
      <c r="E17" s="1" t="s">
        <v>76</v>
      </c>
      <c r="F17" s="7">
        <f>(E12-1)*I12+80</f>
        <v>500</v>
      </c>
      <c r="G17" s="7"/>
      <c r="H17" s="6"/>
      <c r="I17" s="6"/>
      <c r="K17" s="1" t="s">
        <v>71</v>
      </c>
    </row>
    <row r="18" spans="1:20" s="1" customFormat="1">
      <c r="B18" s="22" t="s">
        <v>90</v>
      </c>
      <c r="C18" s="22"/>
      <c r="D18" s="22"/>
      <c r="E18" s="1" t="s">
        <v>78</v>
      </c>
      <c r="F18" s="21">
        <f>F19/3*2</f>
        <v>156.66666666666666</v>
      </c>
      <c r="G18" s="21"/>
      <c r="H18" s="10" t="s">
        <v>79</v>
      </c>
      <c r="I18" s="10"/>
      <c r="K18" s="1" t="s">
        <v>19</v>
      </c>
      <c r="L18" s="1">
        <f>D7/E12/G12</f>
        <v>27.5</v>
      </c>
      <c r="M18" s="1" t="s">
        <v>5</v>
      </c>
      <c r="N18" s="11" t="s">
        <v>21</v>
      </c>
      <c r="O18" s="11">
        <f>L19/G13</f>
        <v>0.625</v>
      </c>
      <c r="S18"/>
      <c r="T18"/>
    </row>
    <row r="19" spans="1:20" s="1" customFormat="1">
      <c r="B19" s="22"/>
      <c r="C19" s="22"/>
      <c r="D19" s="22"/>
      <c r="E19" s="1" t="s">
        <v>77</v>
      </c>
      <c r="F19" s="21">
        <v>235</v>
      </c>
      <c r="G19" s="21"/>
      <c r="H19" s="7" t="s">
        <v>80</v>
      </c>
      <c r="I19" s="7"/>
      <c r="K19" s="3" t="s">
        <v>20</v>
      </c>
      <c r="L19" s="3">
        <f>L18</f>
        <v>27.5</v>
      </c>
      <c r="M19" s="3" t="s">
        <v>5</v>
      </c>
      <c r="N19" s="13"/>
      <c r="O19" s="17" t="s">
        <v>11</v>
      </c>
      <c r="P19" s="5"/>
      <c r="S19"/>
      <c r="T19"/>
    </row>
    <row r="20" spans="1:20" s="1" customFormat="1">
      <c r="H20" s="8"/>
      <c r="I20" s="8"/>
      <c r="J20" s="8"/>
      <c r="S20"/>
      <c r="T20"/>
    </row>
    <row r="21" spans="1:20" s="1" customFormat="1">
      <c r="A21" s="9" t="s">
        <v>22</v>
      </c>
      <c r="B21" s="9"/>
      <c r="C21" s="9"/>
      <c r="D21" s="9"/>
      <c r="E21" s="9"/>
      <c r="F21" s="9"/>
      <c r="G21" s="9"/>
      <c r="H21" s="11"/>
      <c r="I21" s="11"/>
      <c r="J21" s="11"/>
      <c r="K21" s="9"/>
      <c r="L21" s="9"/>
      <c r="M21" s="9"/>
      <c r="N21" s="9"/>
      <c r="O21" s="9"/>
      <c r="S21"/>
      <c r="T21"/>
    </row>
    <row r="22" spans="1:20" s="1" customFormat="1">
      <c r="K22" s="16" t="s">
        <v>38</v>
      </c>
      <c r="L22" s="16"/>
      <c r="M22" s="16"/>
      <c r="N22" s="16"/>
      <c r="S22"/>
      <c r="T22"/>
    </row>
    <row r="23" spans="1:20" s="1" customFormat="1">
      <c r="K23" s="1" t="s">
        <v>39</v>
      </c>
      <c r="L23" s="1" t="s">
        <v>40</v>
      </c>
      <c r="M23" s="1">
        <f>D37</f>
        <v>43.052000000000007</v>
      </c>
      <c r="N23" s="1" t="s">
        <v>5</v>
      </c>
      <c r="S23"/>
      <c r="T23"/>
    </row>
    <row r="24" spans="1:20" s="1" customFormat="1">
      <c r="K24" s="1" t="s">
        <v>41</v>
      </c>
      <c r="L24" s="1" t="s">
        <v>42</v>
      </c>
      <c r="M24" s="1">
        <f>D7</f>
        <v>220</v>
      </c>
      <c r="N24" s="1" t="s">
        <v>5</v>
      </c>
      <c r="S24"/>
      <c r="T24"/>
    </row>
    <row r="25" spans="1:20" s="1" customFormat="1">
      <c r="K25" s="1" t="s">
        <v>43</v>
      </c>
      <c r="L25" s="1" t="s">
        <v>60</v>
      </c>
      <c r="M25" s="1">
        <f>D38</f>
        <v>19.3734</v>
      </c>
      <c r="N25" s="1" t="s">
        <v>44</v>
      </c>
      <c r="S25"/>
      <c r="T25"/>
    </row>
    <row r="27" spans="1:20" s="1" customFormat="1">
      <c r="K27" s="16" t="s">
        <v>28</v>
      </c>
      <c r="L27" s="16"/>
      <c r="M27" s="16"/>
      <c r="N27" s="16"/>
      <c r="S27"/>
      <c r="T27"/>
    </row>
    <row r="28" spans="1:20" s="1" customFormat="1">
      <c r="K28" s="1" t="s">
        <v>29</v>
      </c>
      <c r="L28" s="1" t="s">
        <v>30</v>
      </c>
      <c r="M28" s="1">
        <f>D37/E12/G12</f>
        <v>5.3815000000000008</v>
      </c>
      <c r="N28" s="1" t="s">
        <v>5</v>
      </c>
      <c r="S28"/>
      <c r="T28"/>
    </row>
    <row r="29" spans="1:20" s="1" customFormat="1">
      <c r="L29" s="1" t="s">
        <v>32</v>
      </c>
      <c r="M29" s="1">
        <f>M25/T9*1000/G12</f>
        <v>46.127142857142857</v>
      </c>
      <c r="N29" s="1" t="s">
        <v>5</v>
      </c>
      <c r="S29"/>
      <c r="T29"/>
    </row>
    <row r="30" spans="1:20" s="1" customFormat="1">
      <c r="K30" s="1" t="s">
        <v>31</v>
      </c>
      <c r="L30" s="1" t="s">
        <v>33</v>
      </c>
      <c r="M30" s="1">
        <f>D7/5</f>
        <v>44</v>
      </c>
      <c r="N30" s="1" t="s">
        <v>5</v>
      </c>
      <c r="S30"/>
      <c r="T30"/>
    </row>
    <row r="31" spans="1:20" s="1" customFormat="1">
      <c r="K31" s="4" t="s">
        <v>34</v>
      </c>
      <c r="L31" s="4" t="s">
        <v>35</v>
      </c>
      <c r="M31" s="4">
        <f>SQRT((M28+M29)*(M28+M29)+M30*M30)</f>
        <v>67.743193672757215</v>
      </c>
      <c r="N31" s="4" t="s">
        <v>5</v>
      </c>
      <c r="S31"/>
      <c r="T31"/>
    </row>
    <row r="32" spans="1:20" s="1" customFormat="1">
      <c r="B32" s="20">
        <v>750</v>
      </c>
      <c r="K32" s="13" t="s">
        <v>36</v>
      </c>
      <c r="L32" s="13">
        <f>M31/G14</f>
        <v>1.0264120253448064</v>
      </c>
      <c r="M32" s="14" t="s">
        <v>11</v>
      </c>
      <c r="N32" s="13"/>
      <c r="S32"/>
      <c r="T32"/>
    </row>
    <row r="33" spans="1:20" s="1" customFormat="1">
      <c r="A33" s="16" t="s">
        <v>89</v>
      </c>
      <c r="B33" s="16"/>
      <c r="C33" s="16"/>
      <c r="D33" s="16"/>
      <c r="E33" s="16"/>
      <c r="F33" s="16"/>
      <c r="G33" s="16"/>
      <c r="H33" s="16"/>
      <c r="I33" s="16"/>
      <c r="S33"/>
      <c r="T33"/>
    </row>
    <row r="34" spans="1:20" s="1" customFormat="1">
      <c r="B34" s="7" t="s">
        <v>82</v>
      </c>
      <c r="C34" s="7"/>
      <c r="D34" s="21">
        <v>235</v>
      </c>
      <c r="E34" s="21"/>
      <c r="F34" s="21"/>
      <c r="G34" s="1" t="s">
        <v>80</v>
      </c>
      <c r="K34" s="15" t="s">
        <v>37</v>
      </c>
      <c r="L34" s="15"/>
      <c r="M34" s="15"/>
      <c r="N34" s="15"/>
      <c r="S34"/>
      <c r="T34"/>
    </row>
    <row r="35" spans="1:20" s="1" customFormat="1">
      <c r="B35" s="7" t="s">
        <v>69</v>
      </c>
      <c r="C35" s="7"/>
      <c r="D35" s="21">
        <v>18320</v>
      </c>
      <c r="E35" s="21"/>
      <c r="F35" s="21"/>
      <c r="G35" s="1" t="s">
        <v>8</v>
      </c>
      <c r="K35" s="1" t="s">
        <v>7</v>
      </c>
      <c r="L35" s="1">
        <f>L14</f>
        <v>5808</v>
      </c>
      <c r="M35" s="1" t="s">
        <v>8</v>
      </c>
      <c r="S35"/>
      <c r="T35"/>
    </row>
    <row r="36" spans="1:20" s="1" customFormat="1">
      <c r="B36" s="7" t="s">
        <v>25</v>
      </c>
      <c r="C36" s="7"/>
      <c r="D36" s="21">
        <f>B32-C5/2</f>
        <v>450</v>
      </c>
      <c r="E36" s="21"/>
      <c r="F36" s="21"/>
      <c r="G36" s="1" t="s">
        <v>4</v>
      </c>
      <c r="K36" s="4" t="s">
        <v>9</v>
      </c>
      <c r="L36" s="4">
        <f>235/SQRT(3)*L35/1000</f>
        <v>788.01383541153643</v>
      </c>
      <c r="M36" s="4" t="s">
        <v>5</v>
      </c>
      <c r="N36" s="4"/>
      <c r="S36"/>
      <c r="T36"/>
    </row>
    <row r="37" spans="1:20" s="1" customFormat="1">
      <c r="B37" s="7" t="s">
        <v>26</v>
      </c>
      <c r="C37" s="7"/>
      <c r="D37" s="7">
        <f>0.02*D35*D34/2000</f>
        <v>43.052000000000007</v>
      </c>
      <c r="E37" s="7"/>
      <c r="F37" s="7"/>
      <c r="G37" s="1" t="s">
        <v>5</v>
      </c>
      <c r="K37" s="11" t="s">
        <v>45</v>
      </c>
      <c r="L37" s="11">
        <f>M24/L36</f>
        <v>0.27918291546887125</v>
      </c>
      <c r="M37" s="12" t="s">
        <v>11</v>
      </c>
      <c r="N37" s="12"/>
      <c r="S37"/>
      <c r="T37"/>
    </row>
    <row r="38" spans="1:20" s="1" customFormat="1">
      <c r="B38" s="7" t="s">
        <v>27</v>
      </c>
      <c r="C38" s="7"/>
      <c r="D38" s="7">
        <f>D37*D36/1000</f>
        <v>19.3734</v>
      </c>
      <c r="E38" s="7"/>
      <c r="F38" s="7"/>
      <c r="G38" s="1" t="s">
        <v>5</v>
      </c>
      <c r="K38" s="1" t="s">
        <v>12</v>
      </c>
      <c r="L38" s="23">
        <f>C17*F17*F17*F17/12</f>
        <v>125000000</v>
      </c>
      <c r="M38" s="1" t="s">
        <v>16</v>
      </c>
      <c r="S38"/>
      <c r="T38"/>
    </row>
    <row r="39" spans="1:20" s="1" customFormat="1">
      <c r="B39" s="7" t="s">
        <v>56</v>
      </c>
      <c r="C39" s="7"/>
      <c r="D39" s="21">
        <v>2000</v>
      </c>
      <c r="E39" s="21"/>
      <c r="F39" s="21"/>
      <c r="G39" s="1" t="s">
        <v>4</v>
      </c>
      <c r="K39" s="4" t="s">
        <v>15</v>
      </c>
      <c r="L39" s="4">
        <f>L38/(F17/2)</f>
        <v>500000</v>
      </c>
      <c r="M39" s="4" t="s">
        <v>17</v>
      </c>
      <c r="P39" s="5"/>
      <c r="S39"/>
      <c r="T39"/>
    </row>
    <row r="40" spans="1:20" s="1" customFormat="1">
      <c r="B40" s="1" t="s">
        <v>88</v>
      </c>
      <c r="K40" s="13" t="s">
        <v>18</v>
      </c>
      <c r="L40" s="13">
        <f>M25*1000000/L39/(F19)</f>
        <v>0.16488</v>
      </c>
      <c r="M40" s="14" t="s">
        <v>11</v>
      </c>
      <c r="N40" s="13"/>
      <c r="S40"/>
      <c r="T40"/>
    </row>
    <row r="42" spans="1:20" s="1" customFormat="1">
      <c r="K42" s="16" t="s">
        <v>81</v>
      </c>
      <c r="L42" s="16"/>
      <c r="M42" s="16"/>
      <c r="N42" s="16"/>
      <c r="S42"/>
      <c r="T42"/>
    </row>
    <row r="43" spans="1:20" s="1" customFormat="1">
      <c r="K43" s="1" t="s">
        <v>46</v>
      </c>
      <c r="L43" s="1" t="s">
        <v>48</v>
      </c>
      <c r="N43" s="1">
        <f>D36*D38*1000000/205000/(D8*10000)*(D6)</f>
        <v>0.37451175295043271</v>
      </c>
      <c r="O43" s="1" t="s">
        <v>4</v>
      </c>
      <c r="S43"/>
      <c r="T43"/>
    </row>
    <row r="44" spans="1:20" s="1" customFormat="1">
      <c r="K44" s="1" t="s">
        <v>49</v>
      </c>
      <c r="L44" s="1" t="s">
        <v>51</v>
      </c>
      <c r="N44" s="1">
        <f>M23*1000/205000/D9*D6</f>
        <v>0.1221403140490715</v>
      </c>
      <c r="O44" s="1" t="s">
        <v>4</v>
      </c>
      <c r="S44"/>
      <c r="T44"/>
    </row>
    <row r="45" spans="1:20" s="1" customFormat="1">
      <c r="K45" s="1" t="s">
        <v>52</v>
      </c>
      <c r="L45" s="1" t="s">
        <v>53</v>
      </c>
      <c r="N45" s="1">
        <f>D37/(N43+N44)</f>
        <v>86.684427309638039</v>
      </c>
      <c r="O45" s="1" t="s">
        <v>57</v>
      </c>
      <c r="S45"/>
      <c r="T45"/>
    </row>
    <row r="46" spans="1:20" s="1" customFormat="1">
      <c r="K46" s="3" t="s">
        <v>54</v>
      </c>
      <c r="L46" s="3" t="s">
        <v>55</v>
      </c>
      <c r="M46" s="3"/>
      <c r="N46" s="3">
        <f>5*235*D35/2/D39/1000</f>
        <v>5.3815</v>
      </c>
      <c r="O46" s="3" t="s">
        <v>57</v>
      </c>
      <c r="S46"/>
      <c r="T46"/>
    </row>
    <row r="53" spans="15:20" s="1" customFormat="1">
      <c r="O53" s="4"/>
      <c r="P53" s="5"/>
      <c r="S53"/>
      <c r="T53"/>
    </row>
  </sheetData>
  <mergeCells count="32">
    <mergeCell ref="K42:N42"/>
    <mergeCell ref="B37:C37"/>
    <mergeCell ref="D37:F37"/>
    <mergeCell ref="B38:C38"/>
    <mergeCell ref="D38:F38"/>
    <mergeCell ref="B39:C39"/>
    <mergeCell ref="D39:F39"/>
    <mergeCell ref="B34:C34"/>
    <mergeCell ref="D34:F34"/>
    <mergeCell ref="B35:C35"/>
    <mergeCell ref="D35:F35"/>
    <mergeCell ref="B36:C36"/>
    <mergeCell ref="D36:F36"/>
    <mergeCell ref="H18:I18"/>
    <mergeCell ref="F19:G19"/>
    <mergeCell ref="H19:I19"/>
    <mergeCell ref="K22:N22"/>
    <mergeCell ref="K27:N27"/>
    <mergeCell ref="A33:I33"/>
    <mergeCell ref="A9:B9"/>
    <mergeCell ref="D9:F9"/>
    <mergeCell ref="C17:D17"/>
    <mergeCell ref="F17:G17"/>
    <mergeCell ref="B18:D19"/>
    <mergeCell ref="F18:G18"/>
    <mergeCell ref="A2:O2"/>
    <mergeCell ref="A6:B6"/>
    <mergeCell ref="D6:F6"/>
    <mergeCell ref="A7:B7"/>
    <mergeCell ref="D7:F7"/>
    <mergeCell ref="A8:B8"/>
    <mergeCell ref="D8:F8"/>
  </mergeCells>
  <phoneticPr fontId="1"/>
  <pageMargins left="0.7" right="0.7" top="0.75" bottom="0.75" header="0.3" footer="0.3"/>
  <pageSetup paperSize="9" scale="68" orientation="portrait" horizontalDpi="4294967292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B29</vt:lpstr>
      <vt:lpstr>B34</vt:lpstr>
      <vt:lpstr>B39</vt:lpstr>
      <vt:lpstr>B49</vt:lpstr>
      <vt:lpstr>B59</vt:lpstr>
      <vt:lpstr>B60</vt:lpstr>
      <vt:lpstr>G69B</vt:lpstr>
      <vt:lpstr>G79B</vt:lpstr>
      <vt:lpstr>G63B</vt:lpstr>
      <vt:lpstr>'B29'!Print_Area</vt:lpstr>
      <vt:lpstr>'B34'!Print_Area</vt:lpstr>
      <vt:lpstr>'B39'!Print_Area</vt:lpstr>
      <vt:lpstr>'B49'!Print_Area</vt:lpstr>
      <vt:lpstr>'B59'!Print_Area</vt:lpstr>
      <vt:lpstr>'B60'!Print_Area</vt:lpstr>
      <vt:lpstr>G63B!Print_Area</vt:lpstr>
      <vt:lpstr>G69B!Print_Area</vt:lpstr>
      <vt:lpstr>G79B!Print_Area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2019-09-29T02:52:10Z</dcterms:modified>
</cp:coreProperties>
</file>