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LukeMills\Box\05 Arcan Corporate\05 Reporting\07 Arcan Client Reports\Weekly Reports\03 Latitude Weekly Reports\55 Pharr\"/>
    </mc:Choice>
  </mc:AlternateContent>
  <xr:revisionPtr revIDLastSave="0" documentId="13_ncr:1_{26058BCE-FDE0-4BF3-A5B2-2B435DB2C051}" xr6:coauthVersionLast="45" xr6:coauthVersionMax="47" xr10:uidLastSave="{00000000-0000-0000-0000-000000000000}"/>
  <bookViews>
    <workbookView xWindow="-120" yWindow="-120" windowWidth="29040" windowHeight="1572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Cash'!$A$1:$AB$50</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2" i="3" l="1"/>
  <c r="AF13" i="3"/>
  <c r="AF14" i="3"/>
  <c r="AE14" i="3"/>
  <c r="AE13" i="3"/>
  <c r="C16" i="3"/>
  <c r="C10" i="3"/>
  <c r="N47" i="3"/>
  <c r="C8" i="3"/>
  <c r="A33" i="3"/>
  <c r="A34" i="3" s="1"/>
  <c r="A35" i="3" s="1"/>
  <c r="A36" i="3" s="1"/>
  <c r="A37" i="3" s="1"/>
  <c r="A38" i="3" s="1"/>
  <c r="A39" i="3" s="1"/>
  <c r="A40" i="3" s="1"/>
  <c r="A41" i="3" s="1"/>
  <c r="A42" i="3" s="1"/>
  <c r="A43" i="3" s="1"/>
  <c r="AP13" i="3" l="1"/>
  <c r="AP12" i="3" s="1"/>
  <c r="AP11" i="3" s="1"/>
  <c r="AP10" i="3" s="1"/>
  <c r="AP9" i="3" s="1"/>
  <c r="AP8" i="3" s="1"/>
  <c r="AP7" i="3" s="1"/>
  <c r="AP6" i="3" s="1"/>
  <c r="AP5" i="3" s="1"/>
  <c r="AP4" i="3" s="1"/>
  <c r="AP3" i="3" s="1"/>
  <c r="C12" i="3"/>
  <c r="J3" i="3" l="1"/>
  <c r="K3" i="3"/>
  <c r="H5" i="3"/>
  <c r="I5" i="3"/>
  <c r="J5" i="3"/>
  <c r="K5" i="3"/>
  <c r="H18" i="3"/>
  <c r="H20" i="3" s="1"/>
  <c r="H26" i="3" s="1"/>
  <c r="I18" i="3"/>
  <c r="I20" i="3" s="1"/>
  <c r="I26" i="3" s="1"/>
  <c r="J18" i="3"/>
  <c r="K18" i="3"/>
  <c r="J20" i="3"/>
  <c r="J26" i="3" s="1"/>
  <c r="K20" i="3"/>
  <c r="K26" i="3" s="1"/>
  <c r="N46" i="3" l="1"/>
  <c r="N44" i="3" l="1"/>
  <c r="N43" i="3"/>
  <c r="N45" i="3" l="1"/>
  <c r="C33" i="6" l="1"/>
  <c r="B33" i="6"/>
  <c r="G33" i="6"/>
  <c r="K33" i="6"/>
  <c r="F33" i="6"/>
  <c r="AD14" i="3"/>
  <c r="J33" i="6" l="1"/>
  <c r="AG14" i="3" l="1"/>
  <c r="AG13" i="3"/>
  <c r="AG3" i="3"/>
  <c r="E40" i="8"/>
  <c r="F40" i="8"/>
  <c r="G40" i="8"/>
  <c r="H40" i="8"/>
  <c r="E41" i="8"/>
  <c r="F41" i="8"/>
  <c r="G41" i="8"/>
  <c r="H41" i="8"/>
  <c r="N42" i="3"/>
  <c r="AG4" i="3"/>
  <c r="AG5" i="3"/>
  <c r="AG6" i="3"/>
  <c r="AG7" i="3"/>
  <c r="AG8" i="3"/>
  <c r="AG9" i="3"/>
  <c r="AG10" i="3"/>
  <c r="AG11" i="3"/>
  <c r="AG12" i="3"/>
  <c r="N41" i="3" l="1"/>
  <c r="N40" i="3"/>
  <c r="N39" i="3" l="1"/>
  <c r="N38" i="3" l="1"/>
  <c r="N37" i="3" l="1"/>
  <c r="N36" i="3" l="1"/>
  <c r="N35" i="3" l="1"/>
  <c r="N34" i="3" l="1"/>
  <c r="N33" i="3" l="1"/>
  <c r="N32" i="3" l="1"/>
  <c r="A44" i="3"/>
  <c r="N31" i="3" l="1"/>
  <c r="C6" i="3"/>
  <c r="N30" i="3" l="1"/>
  <c r="N29" i="3" l="1"/>
  <c r="A29" i="3" l="1"/>
  <c r="N28" i="3"/>
  <c r="N27" i="3" l="1"/>
  <c r="N26" i="3" l="1"/>
  <c r="G18" i="3" l="1"/>
  <c r="F18" i="3"/>
  <c r="N25" i="3" l="1"/>
  <c r="L29" i="5" l="1"/>
  <c r="L30" i="5"/>
  <c r="L31" i="5"/>
  <c r="K30" i="5"/>
  <c r="K31" i="5"/>
  <c r="K29" i="5"/>
  <c r="G30" i="5"/>
  <c r="H30" i="5"/>
  <c r="G31" i="5"/>
  <c r="H31" i="5"/>
  <c r="H29" i="5"/>
  <c r="G29" i="5"/>
  <c r="D29" i="5"/>
  <c r="D30" i="5"/>
  <c r="D31" i="5"/>
  <c r="C30" i="5"/>
  <c r="C31" i="5"/>
  <c r="C29" i="5"/>
  <c r="I29" i="5" l="1"/>
  <c r="M30" i="5"/>
  <c r="I30" i="5"/>
  <c r="I31" i="5"/>
  <c r="E31" i="5"/>
  <c r="M29" i="5"/>
  <c r="E29" i="5"/>
  <c r="M31" i="5"/>
  <c r="E30" i="5"/>
  <c r="AT4" i="3" l="1"/>
  <c r="AT5" i="3" s="1"/>
  <c r="AT6" i="3" s="1"/>
  <c r="AT7" i="3" s="1"/>
  <c r="AT8" i="3" s="1"/>
  <c r="AT9" i="3" s="1"/>
  <c r="AT10" i="3" s="1"/>
  <c r="AT11" i="3" s="1"/>
  <c r="AT12" i="3" s="1"/>
  <c r="AT13" i="3" s="1"/>
  <c r="AT14" i="3" s="1"/>
  <c r="AT15" i="3" s="1"/>
  <c r="AT16" i="3" s="1"/>
  <c r="AT17" i="3" s="1"/>
  <c r="AT18" i="3" s="1"/>
  <c r="AT19" i="3" s="1"/>
  <c r="AT20" i="3" s="1"/>
  <c r="AT21" i="3" s="1"/>
  <c r="AT22" i="3" s="1"/>
  <c r="AT23" i="3" s="1"/>
  <c r="AT24" i="3" s="1"/>
  <c r="AT25" i="3" s="1"/>
  <c r="AT26" i="3" s="1"/>
  <c r="AT27" i="3" s="1"/>
  <c r="AT28" i="3" s="1"/>
  <c r="AT29" i="3" s="1"/>
  <c r="AT30" i="3" s="1"/>
  <c r="AT31" i="3" s="1"/>
  <c r="AT32" i="3" s="1"/>
  <c r="AT33" i="3" s="1"/>
  <c r="AT34" i="3" s="1"/>
  <c r="AT35" i="3" s="1"/>
  <c r="AT36" i="3" s="1"/>
  <c r="AT37" i="3" s="1"/>
  <c r="AT38" i="3" s="1"/>
  <c r="AT39" i="3" s="1"/>
  <c r="AT40" i="3" s="1"/>
  <c r="AT41" i="3" s="1"/>
  <c r="AT42" i="3" s="1"/>
  <c r="AT43" i="3" s="1"/>
  <c r="AT44" i="3" s="1"/>
  <c r="AT45" i="3" s="1"/>
  <c r="AT46" i="3" s="1"/>
  <c r="AT47" i="3" s="1"/>
  <c r="AT48" i="3" s="1"/>
  <c r="AT49" i="3" s="1"/>
  <c r="AT50" i="3" s="1"/>
  <c r="AT51" i="3" s="1"/>
  <c r="AT52" i="3" s="1"/>
  <c r="AT53" i="3" s="1"/>
  <c r="AT54" i="3" s="1"/>
  <c r="AT56" i="3" s="1"/>
  <c r="AT57" i="3" s="1"/>
  <c r="AT58" i="3" s="1"/>
  <c r="AT59" i="3" s="1"/>
  <c r="AT60" i="3" s="1"/>
  <c r="AT61" i="3" s="1"/>
  <c r="AT62" i="3" s="1"/>
  <c r="AT63" i="3" s="1"/>
  <c r="AT64" i="3" s="1"/>
  <c r="AT65" i="3" s="1"/>
  <c r="AT66" i="3" s="1"/>
  <c r="AT67" i="3" s="1"/>
  <c r="AT68" i="3" s="1"/>
  <c r="AT69" i="3" s="1"/>
  <c r="AT70" i="3" s="1"/>
  <c r="AT71" i="3" s="1"/>
  <c r="AT72" i="3" s="1"/>
  <c r="AT73" i="3" s="1"/>
  <c r="AT74" i="3" s="1"/>
  <c r="AT75" i="3" s="1"/>
  <c r="AT76" i="3" s="1"/>
  <c r="AT77" i="3" s="1"/>
  <c r="AT78" i="3" s="1"/>
  <c r="AT79" i="3" s="1"/>
  <c r="AT80" i="3" s="1"/>
  <c r="AT81" i="3" s="1"/>
  <c r="AT82" i="3" s="1"/>
  <c r="AT83" i="3" s="1"/>
  <c r="AT84" i="3" s="1"/>
  <c r="AT85" i="3" s="1"/>
  <c r="AT86" i="3" s="1"/>
  <c r="AT87" i="3" s="1"/>
  <c r="AT88" i="3" s="1"/>
  <c r="AT89" i="3" s="1"/>
  <c r="AT90" i="3" s="1"/>
  <c r="AT91" i="3" s="1"/>
  <c r="AT92" i="3" s="1"/>
  <c r="AT93" i="3" s="1"/>
  <c r="AT94" i="3" s="1"/>
  <c r="AT95" i="3" s="1"/>
  <c r="AT96" i="3" s="1"/>
  <c r="AT97" i="3" s="1"/>
  <c r="AT98" i="3" s="1"/>
  <c r="AT99" i="3" s="1"/>
  <c r="AT100" i="3" s="1"/>
  <c r="AT101" i="3" s="1"/>
  <c r="AT102" i="3" s="1"/>
  <c r="AT103" i="3" s="1"/>
  <c r="AT104" i="3" s="1"/>
  <c r="AT105" i="3" s="1"/>
  <c r="AT106" i="3" s="1"/>
  <c r="AT107" i="3" s="1"/>
  <c r="AT108" i="3" s="1"/>
  <c r="AT109" i="3" s="1"/>
  <c r="AT110" i="3" s="1"/>
  <c r="AT111" i="3" s="1"/>
  <c r="AT112" i="3" s="1"/>
  <c r="AT113" i="3" s="1"/>
  <c r="AT114" i="3" s="1"/>
  <c r="AT115" i="3" s="1"/>
  <c r="AT116" i="3" s="1"/>
  <c r="AT117" i="3" s="1"/>
  <c r="AT118" i="3" s="1"/>
  <c r="AT119" i="3" s="1"/>
  <c r="AT120" i="3" s="1"/>
  <c r="AT121" i="3" s="1"/>
  <c r="AT122" i="3" s="1"/>
  <c r="AT123" i="3" s="1"/>
  <c r="AT124" i="3" s="1"/>
  <c r="AT125" i="3" s="1"/>
  <c r="AT126" i="3" s="1"/>
  <c r="AT127" i="3" s="1"/>
  <c r="AT128" i="3" s="1"/>
  <c r="AT129" i="3" s="1"/>
  <c r="AT130" i="3" s="1"/>
  <c r="AT131" i="3" s="1"/>
  <c r="AT132" i="3" s="1"/>
  <c r="AT133" i="3" s="1"/>
  <c r="AT134" i="3" s="1"/>
  <c r="AT135" i="3" s="1"/>
  <c r="AT136" i="3" s="1"/>
  <c r="AT137" i="3" s="1"/>
  <c r="AT138" i="3" s="1"/>
  <c r="AT139" i="3" s="1"/>
  <c r="AT140" i="3" s="1"/>
  <c r="AT141" i="3" s="1"/>
  <c r="AT142" i="3" s="1"/>
  <c r="AT143" i="3" s="1"/>
  <c r="AT144" i="3" s="1"/>
  <c r="AT145" i="3" s="1"/>
  <c r="AT146" i="3" s="1"/>
  <c r="AT147" i="3" s="1"/>
  <c r="AT148" i="3" s="1"/>
  <c r="AT149" i="3" s="1"/>
  <c r="AT150" i="3" s="1"/>
  <c r="AT151" i="3" s="1"/>
  <c r="AT152" i="3" s="1"/>
  <c r="AT153" i="3" s="1"/>
  <c r="AT154" i="3" s="1"/>
  <c r="AT155" i="3" s="1"/>
  <c r="AT156" i="3" s="1"/>
  <c r="AT157" i="3" s="1"/>
  <c r="AT158" i="3" s="1"/>
  <c r="AT159" i="3" s="1"/>
  <c r="AT160" i="3" s="1"/>
  <c r="AT161" i="3" s="1"/>
  <c r="AT162" i="3" s="1"/>
  <c r="AT163" i="3" s="1"/>
  <c r="AT164" i="3" s="1"/>
  <c r="AT165" i="3" s="1"/>
  <c r="AT166" i="3" s="1"/>
  <c r="AT167" i="3" s="1"/>
  <c r="AT168" i="3" s="1"/>
  <c r="AT169" i="3" s="1"/>
  <c r="AT170" i="3" s="1"/>
  <c r="AT171" i="3" s="1"/>
  <c r="AT172" i="3" s="1"/>
  <c r="AT173" i="3" s="1"/>
  <c r="AT174" i="3" s="1"/>
  <c r="AT175" i="3" s="1"/>
  <c r="AT176" i="3" s="1"/>
  <c r="AT177" i="3" s="1"/>
  <c r="AT178" i="3" s="1"/>
  <c r="AT179" i="3" s="1"/>
  <c r="AT180" i="3" s="1"/>
  <c r="AT181" i="3" s="1"/>
  <c r="AT182" i="3" s="1"/>
  <c r="AT183" i="3" s="1"/>
  <c r="AT184" i="3" s="1"/>
  <c r="AT185" i="3" s="1"/>
  <c r="AT186" i="3" s="1"/>
  <c r="AT187" i="3" s="1"/>
  <c r="AT188" i="3" s="1"/>
  <c r="AT189" i="3" s="1"/>
  <c r="AT190" i="3" s="1"/>
  <c r="AT191" i="3" s="1"/>
  <c r="AT192" i="3" s="1"/>
  <c r="AT193" i="3" s="1"/>
  <c r="AT194" i="3" s="1"/>
  <c r="AT195" i="3" s="1"/>
  <c r="AT196" i="3" s="1"/>
  <c r="AT197" i="3" s="1"/>
  <c r="AT198" i="3" s="1"/>
  <c r="AT199" i="3" s="1"/>
  <c r="AT200" i="3" s="1"/>
  <c r="AT201" i="3" s="1"/>
  <c r="AT202" i="3" s="1"/>
  <c r="AT203" i="3" s="1"/>
  <c r="AT204" i="3" s="1"/>
  <c r="AT205" i="3" s="1"/>
  <c r="AT206" i="3" s="1"/>
  <c r="AT207" i="3" s="1"/>
  <c r="AT208" i="3" s="1"/>
  <c r="AT209" i="3" s="1"/>
  <c r="AT210" i="3" s="1"/>
  <c r="AT211" i="3" s="1"/>
  <c r="AG15" i="3" l="1"/>
  <c r="K5" i="5" l="1"/>
  <c r="G5" i="5"/>
  <c r="C5" i="5"/>
  <c r="B34" i="1"/>
  <c r="E33" i="2"/>
  <c r="O33" i="6"/>
  <c r="H7" i="8"/>
  <c r="K14" i="5"/>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C14" i="5"/>
  <c r="D14" i="5"/>
  <c r="C15" i="5"/>
  <c r="D15" i="5"/>
  <c r="C16" i="5"/>
  <c r="D16" i="5"/>
  <c r="C17" i="5"/>
  <c r="D17" i="5"/>
  <c r="C18" i="5"/>
  <c r="D18" i="5"/>
  <c r="C19" i="5"/>
  <c r="D19" i="5"/>
  <c r="C20" i="5"/>
  <c r="D20" i="5"/>
  <c r="C21" i="5"/>
  <c r="D21" i="5"/>
  <c r="C22" i="5"/>
  <c r="D22" i="5"/>
  <c r="D13" i="5"/>
  <c r="C13" i="5"/>
  <c r="C9" i="5"/>
  <c r="D9" i="5"/>
  <c r="D8" i="5"/>
  <c r="C8" i="5"/>
  <c r="G5" i="3"/>
  <c r="F5" i="3"/>
  <c r="Q6" i="2"/>
  <c r="R6" i="2"/>
  <c r="S6" i="2"/>
  <c r="Q7"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P7" i="2"/>
  <c r="P8" i="2"/>
  <c r="P9" i="2"/>
  <c r="P10" i="2"/>
  <c r="P11" i="2"/>
  <c r="P12" i="2"/>
  <c r="P13" i="2"/>
  <c r="P14" i="2"/>
  <c r="P15" i="2"/>
  <c r="P16" i="2"/>
  <c r="P17" i="2"/>
  <c r="P18" i="2"/>
  <c r="P6" i="2"/>
  <c r="O7" i="2"/>
  <c r="O8" i="2"/>
  <c r="O9" i="2"/>
  <c r="O10" i="2"/>
  <c r="O11" i="2"/>
  <c r="O12" i="2"/>
  <c r="O13" i="2"/>
  <c r="O14" i="2"/>
  <c r="O15" i="2"/>
  <c r="O16" i="2"/>
  <c r="O17" i="2"/>
  <c r="O18" i="2"/>
  <c r="O6" i="2"/>
  <c r="I27" i="2"/>
  <c r="J27" i="2"/>
  <c r="I28" i="2"/>
  <c r="J28" i="2"/>
  <c r="I29" i="2"/>
  <c r="J29" i="2"/>
  <c r="I30" i="2"/>
  <c r="J30" i="2"/>
  <c r="I31" i="2"/>
  <c r="J31" i="2"/>
  <c r="J26" i="2"/>
  <c r="I26" i="2"/>
  <c r="H27" i="2"/>
  <c r="H28" i="2"/>
  <c r="H29" i="2"/>
  <c r="H30" i="2"/>
  <c r="H31" i="2"/>
  <c r="H26" i="2"/>
  <c r="F27" i="2"/>
  <c r="F28" i="2"/>
  <c r="F29" i="2"/>
  <c r="F30" i="2"/>
  <c r="F26" i="2"/>
  <c r="C27" i="2"/>
  <c r="C28" i="2"/>
  <c r="C29" i="2"/>
  <c r="C30" i="2"/>
  <c r="C31" i="2"/>
  <c r="C32" i="2"/>
  <c r="C26" i="2"/>
  <c r="C25" i="2" s="1"/>
  <c r="E48"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2" i="8"/>
  <c r="E43" i="8"/>
  <c r="E44" i="8"/>
  <c r="E45" i="8"/>
  <c r="E46" i="8"/>
  <c r="E47" i="8"/>
  <c r="E9"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2" i="8"/>
  <c r="H43" i="8"/>
  <c r="H44" i="8"/>
  <c r="H45" i="8"/>
  <c r="H46" i="8"/>
  <c r="H47" i="8"/>
  <c r="H48" i="8"/>
  <c r="B10" i="8"/>
  <c r="C10" i="8"/>
  <c r="D10" i="8"/>
  <c r="F10" i="8"/>
  <c r="G10" i="8"/>
  <c r="B11" i="8"/>
  <c r="C11" i="8"/>
  <c r="D11" i="8"/>
  <c r="F11" i="8"/>
  <c r="G11" i="8"/>
  <c r="B12" i="8"/>
  <c r="C12" i="8"/>
  <c r="D12" i="8"/>
  <c r="F12" i="8"/>
  <c r="G12" i="8"/>
  <c r="B13" i="8"/>
  <c r="C13" i="8"/>
  <c r="D13" i="8"/>
  <c r="F13" i="8"/>
  <c r="G13" i="8"/>
  <c r="B14" i="8"/>
  <c r="C14" i="8"/>
  <c r="D14" i="8"/>
  <c r="F14" i="8"/>
  <c r="G14" i="8"/>
  <c r="B15" i="8"/>
  <c r="C15" i="8"/>
  <c r="D15" i="8"/>
  <c r="F15" i="8"/>
  <c r="G15" i="8"/>
  <c r="B16" i="8"/>
  <c r="C16" i="8"/>
  <c r="D16" i="8"/>
  <c r="F16" i="8"/>
  <c r="G16" i="8"/>
  <c r="B17" i="8"/>
  <c r="C17" i="8"/>
  <c r="D17" i="8"/>
  <c r="F17" i="8"/>
  <c r="G17" i="8"/>
  <c r="B18" i="8"/>
  <c r="C18" i="8"/>
  <c r="D18" i="8"/>
  <c r="F18" i="8"/>
  <c r="G18" i="8"/>
  <c r="B19" i="8"/>
  <c r="C19" i="8"/>
  <c r="D19" i="8"/>
  <c r="F19" i="8"/>
  <c r="G19" i="8"/>
  <c r="B20" i="8"/>
  <c r="C20" i="8"/>
  <c r="D20" i="8"/>
  <c r="F20" i="8"/>
  <c r="G20" i="8"/>
  <c r="B21" i="8"/>
  <c r="C21" i="8"/>
  <c r="D21" i="8"/>
  <c r="F21" i="8"/>
  <c r="G21" i="8"/>
  <c r="B22" i="8"/>
  <c r="C22" i="8"/>
  <c r="D22" i="8"/>
  <c r="F22" i="8"/>
  <c r="G22" i="8"/>
  <c r="B23" i="8"/>
  <c r="C23" i="8"/>
  <c r="D23" i="8"/>
  <c r="F23" i="8"/>
  <c r="G23" i="8"/>
  <c r="B24" i="8"/>
  <c r="C24" i="8"/>
  <c r="D24" i="8"/>
  <c r="F24" i="8"/>
  <c r="G24" i="8"/>
  <c r="B25" i="8"/>
  <c r="C25" i="8"/>
  <c r="D25" i="8"/>
  <c r="F25" i="8"/>
  <c r="G25" i="8"/>
  <c r="B26" i="8"/>
  <c r="C26" i="8"/>
  <c r="D26" i="8"/>
  <c r="F26" i="8"/>
  <c r="G26" i="8"/>
  <c r="B27" i="8"/>
  <c r="C27" i="8"/>
  <c r="D27" i="8"/>
  <c r="F27" i="8"/>
  <c r="G27" i="8"/>
  <c r="B28" i="8"/>
  <c r="C28" i="8"/>
  <c r="D28" i="8"/>
  <c r="F28" i="8"/>
  <c r="G28" i="8"/>
  <c r="B29" i="8"/>
  <c r="C29" i="8"/>
  <c r="D29" i="8"/>
  <c r="F29" i="8"/>
  <c r="G29" i="8"/>
  <c r="B30" i="8"/>
  <c r="C30" i="8"/>
  <c r="D30" i="8"/>
  <c r="F30" i="8"/>
  <c r="G30" i="8"/>
  <c r="B31" i="8"/>
  <c r="C31" i="8"/>
  <c r="D31" i="8"/>
  <c r="F31" i="8"/>
  <c r="G31" i="8"/>
  <c r="B32" i="8"/>
  <c r="C32" i="8"/>
  <c r="D32" i="8"/>
  <c r="F32" i="8"/>
  <c r="G32" i="8"/>
  <c r="B33" i="8"/>
  <c r="C33" i="8"/>
  <c r="D33" i="8"/>
  <c r="F33" i="8"/>
  <c r="G33" i="8"/>
  <c r="B34" i="8"/>
  <c r="C34" i="8"/>
  <c r="D34" i="8"/>
  <c r="F34" i="8"/>
  <c r="G34" i="8"/>
  <c r="B35" i="8"/>
  <c r="C35" i="8"/>
  <c r="D35" i="8"/>
  <c r="F35" i="8"/>
  <c r="G35" i="8"/>
  <c r="B36" i="8"/>
  <c r="C36" i="8"/>
  <c r="D36" i="8"/>
  <c r="G36" i="8"/>
  <c r="B37" i="8"/>
  <c r="C37" i="8"/>
  <c r="D37" i="8"/>
  <c r="F37" i="8"/>
  <c r="G37" i="8"/>
  <c r="B38" i="8"/>
  <c r="C38" i="8"/>
  <c r="D38" i="8"/>
  <c r="F38" i="8"/>
  <c r="G38" i="8"/>
  <c r="B39" i="8"/>
  <c r="C39" i="8"/>
  <c r="D39" i="8"/>
  <c r="F39" i="8"/>
  <c r="G39" i="8"/>
  <c r="B40" i="8"/>
  <c r="C40" i="8"/>
  <c r="D40" i="8"/>
  <c r="B41" i="8"/>
  <c r="C41" i="8"/>
  <c r="D41" i="8"/>
  <c r="B42" i="8"/>
  <c r="C42" i="8"/>
  <c r="D42" i="8"/>
  <c r="F42" i="8"/>
  <c r="G42" i="8"/>
  <c r="B43" i="8"/>
  <c r="C43" i="8"/>
  <c r="D43" i="8"/>
  <c r="F43" i="8"/>
  <c r="G43" i="8"/>
  <c r="B44" i="8"/>
  <c r="C44" i="8"/>
  <c r="D44" i="8"/>
  <c r="F44" i="8"/>
  <c r="G44" i="8"/>
  <c r="B45" i="8"/>
  <c r="C45" i="8"/>
  <c r="D45" i="8"/>
  <c r="F45" i="8"/>
  <c r="G45" i="8"/>
  <c r="B46" i="8"/>
  <c r="C46" i="8"/>
  <c r="D46" i="8"/>
  <c r="F46" i="8"/>
  <c r="G46" i="8"/>
  <c r="B47" i="8"/>
  <c r="C47" i="8"/>
  <c r="D47" i="8"/>
  <c r="F47" i="8"/>
  <c r="G47" i="8"/>
  <c r="B48" i="8"/>
  <c r="C48" i="8"/>
  <c r="D48" i="8"/>
  <c r="F48" i="8"/>
  <c r="G48" i="8"/>
  <c r="C9" i="8"/>
  <c r="D9" i="8"/>
  <c r="F9" i="8"/>
  <c r="G9" i="8"/>
  <c r="B9" i="8"/>
  <c r="W44" i="8"/>
  <c r="X44" i="8"/>
  <c r="V44" i="8"/>
  <c r="M17" i="5" l="1"/>
  <c r="M21" i="5"/>
  <c r="E20" i="5"/>
  <c r="I22" i="5"/>
  <c r="E21" i="5"/>
  <c r="E18" i="5"/>
  <c r="I14" i="5"/>
  <c r="E9" i="5"/>
  <c r="I21" i="5"/>
  <c r="I17" i="5"/>
  <c r="M22" i="5"/>
  <c r="M18" i="5"/>
  <c r="M14" i="5"/>
  <c r="K32" i="5"/>
  <c r="E19" i="5"/>
  <c r="E16" i="5"/>
  <c r="E15" i="5"/>
  <c r="E14" i="5"/>
  <c r="E17" i="5"/>
  <c r="G20" i="3"/>
  <c r="G26" i="3" s="1"/>
  <c r="D32" i="5" s="1"/>
  <c r="E8" i="5"/>
  <c r="I19" i="5"/>
  <c r="M16" i="5"/>
  <c r="M20" i="5"/>
  <c r="M19" i="5"/>
  <c r="M15" i="5"/>
  <c r="I18" i="5"/>
  <c r="H32" i="5"/>
  <c r="I20" i="5"/>
  <c r="I16" i="5"/>
  <c r="I15" i="5"/>
  <c r="F20" i="3"/>
  <c r="C33" i="2"/>
  <c r="F25" i="2" s="1"/>
  <c r="D10" i="5"/>
  <c r="E22" i="5"/>
  <c r="C10" i="5"/>
  <c r="D23" i="5"/>
  <c r="E13" i="5"/>
  <c r="C23" i="5"/>
  <c r="G32" i="5"/>
  <c r="L32" i="5"/>
  <c r="E7" i="8"/>
  <c r="K26" i="2"/>
  <c r="I44" i="8"/>
  <c r="I36" i="8"/>
  <c r="I28" i="8"/>
  <c r="I20" i="8"/>
  <c r="I12" i="8"/>
  <c r="I41" i="8"/>
  <c r="I33" i="8"/>
  <c r="I25" i="8"/>
  <c r="I17" i="8"/>
  <c r="I9" i="8"/>
  <c r="D7" i="8"/>
  <c r="G7" i="8" s="1"/>
  <c r="I48" i="8"/>
  <c r="I40" i="8"/>
  <c r="I32" i="8"/>
  <c r="I24" i="8"/>
  <c r="I16" i="8"/>
  <c r="I47" i="8"/>
  <c r="I39" i="8"/>
  <c r="I31" i="8"/>
  <c r="I23" i="8"/>
  <c r="I15" i="8"/>
  <c r="I46" i="8"/>
  <c r="I38" i="8"/>
  <c r="I30" i="8"/>
  <c r="I22" i="8"/>
  <c r="I14" i="8"/>
  <c r="I45" i="8"/>
  <c r="I37" i="8"/>
  <c r="I29" i="8"/>
  <c r="I21" i="8"/>
  <c r="I13" i="8"/>
  <c r="I43" i="8"/>
  <c r="I35" i="8"/>
  <c r="I27" i="8"/>
  <c r="I19" i="8"/>
  <c r="I11" i="8"/>
  <c r="I42" i="8"/>
  <c r="I34" i="8"/>
  <c r="I26" i="8"/>
  <c r="I18" i="8"/>
  <c r="I10" i="8"/>
  <c r="X33" i="6"/>
  <c r="W33" i="6"/>
  <c r="T33" i="6"/>
  <c r="S33" i="6"/>
  <c r="P33" i="6"/>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L23" i="5"/>
  <c r="K23" i="5"/>
  <c r="L10" i="5"/>
  <c r="K10" i="5"/>
  <c r="M13" i="5"/>
  <c r="M9" i="5"/>
  <c r="M8" i="5"/>
  <c r="I13" i="5"/>
  <c r="I9" i="5"/>
  <c r="I8" i="5"/>
  <c r="H23" i="5"/>
  <c r="H10" i="5"/>
  <c r="G10" i="5"/>
  <c r="G23" i="5"/>
  <c r="T7" i="2"/>
  <c r="T8" i="2"/>
  <c r="T9" i="2"/>
  <c r="T10" i="2"/>
  <c r="T11" i="2"/>
  <c r="T12" i="2"/>
  <c r="T13" i="2"/>
  <c r="T14" i="2"/>
  <c r="T15" i="2"/>
  <c r="T16" i="2"/>
  <c r="T17" i="2"/>
  <c r="T18" i="2"/>
  <c r="T6" i="2"/>
  <c r="S19" i="2"/>
  <c r="R19" i="2"/>
  <c r="Q19" i="2"/>
  <c r="P19" i="2"/>
  <c r="B27" i="1"/>
  <c r="B28" i="1"/>
  <c r="B33" i="1"/>
  <c r="T19" i="2" l="1"/>
  <c r="F26" i="3"/>
  <c r="C32" i="5" s="1"/>
  <c r="E32" i="5" s="1"/>
  <c r="I32" i="5"/>
  <c r="M32" i="5"/>
  <c r="D26" i="5"/>
  <c r="E10" i="5"/>
  <c r="C26" i="5"/>
  <c r="I10" i="5"/>
  <c r="E23" i="5"/>
  <c r="F7" i="8"/>
  <c r="I23" i="5"/>
  <c r="H26" i="5"/>
  <c r="G26" i="5"/>
  <c r="K26" i="5"/>
  <c r="M10" i="5"/>
  <c r="K27" i="2"/>
  <c r="K28" i="2" s="1"/>
  <c r="K29" i="2" s="1"/>
  <c r="K30" i="2" s="1"/>
  <c r="K31" i="2" s="1"/>
  <c r="L26" i="2"/>
  <c r="L44" i="8"/>
  <c r="L46" i="8"/>
  <c r="I7" i="8"/>
  <c r="Q33" i="6"/>
  <c r="U33" i="6"/>
  <c r="Y33" i="6"/>
  <c r="L33" i="6"/>
  <c r="H33" i="6"/>
  <c r="D33" i="6"/>
  <c r="L26" i="5"/>
  <c r="M23" i="5"/>
  <c r="E26" i="5" l="1"/>
  <c r="I26" i="5"/>
  <c r="M26" i="5"/>
  <c r="L27" i="2"/>
  <c r="P46" i="8"/>
  <c r="O46" i="8"/>
  <c r="N46" i="8"/>
  <c r="M46" i="8"/>
  <c r="P44" i="8"/>
  <c r="O44" i="8"/>
  <c r="N44" i="8"/>
  <c r="M44" i="8"/>
  <c r="L28" i="2"/>
  <c r="L29" i="2" l="1"/>
  <c r="L31" i="2" l="1"/>
  <c r="L30" i="2"/>
  <c r="AP14" i="3" l="1"/>
</calcChain>
</file>

<file path=xl/sharedStrings.xml><?xml version="1.0" encoding="utf-8"?>
<sst xmlns="http://schemas.openxmlformats.org/spreadsheetml/2006/main" count="243" uniqueCount="122">
  <si>
    <t>INPUT PAGE</t>
  </si>
  <si>
    <t>FINANCIAL</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</si>
  <si>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</si>
  <si>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</si>
  <si>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</si>
  <si>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</si>
  <si>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</si>
  <si>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</si>
  <si>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</si>
  <si>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</si>
  <si>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</si>
  <si>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</si>
  <si>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</si>
  <si>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</si>
  <si>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</si>
  <si>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</si>
  <si>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</si>
  <si>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</si>
  <si>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</si>
  <si>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</si>
  <si>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</si>
  <si>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</si>
  <si>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</si>
  <si>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</si>
  <si>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</si>
  <si>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</si>
  <si>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</si>
  <si>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</si>
  <si>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</si>
  <si>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</si>
  <si>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55 PHARR</t>
  </si>
  <si>
    <t>NET RENTAL INCOME</t>
  </si>
  <si>
    <t>1x1</t>
  </si>
  <si>
    <t>1101a1</t>
  </si>
  <si>
    <t>LOCATION</t>
  </si>
  <si>
    <t>ATLANTA, GA</t>
  </si>
  <si>
    <t>OTHER INCOME</t>
  </si>
  <si>
    <t xml:space="preserve">ACTUAL </t>
  </si>
  <si>
    <t>ADJUSTED</t>
  </si>
  <si>
    <t>1x1 C Bldg</t>
  </si>
  <si>
    <t>1101a1c</t>
  </si>
  <si>
    <t>UNITS</t>
  </si>
  <si>
    <t>TOTAL INCOME</t>
  </si>
  <si>
    <t>1x1 Reno</t>
  </si>
  <si>
    <t>1101a1r</t>
  </si>
  <si>
    <t>WEEK END</t>
  </si>
  <si>
    <t>1x1 Upgrade</t>
  </si>
  <si>
    <t>1101a1u</t>
  </si>
  <si>
    <t>EXPENSES</t>
  </si>
  <si>
    <t>2x1</t>
  </si>
  <si>
    <t>1101b1</t>
  </si>
  <si>
    <t>TOTAL OCCUPIED UNITS</t>
  </si>
  <si>
    <t>PAYROLL | BENEFITS</t>
  </si>
  <si>
    <t>2x1 C Bldg</t>
  </si>
  <si>
    <t>1101b1c</t>
  </si>
  <si>
    <t>MODEL/DOWN UNITS</t>
  </si>
  <si>
    <t>MANAGEMENT FEE</t>
  </si>
  <si>
    <t>2x1 Reno</t>
  </si>
  <si>
    <t>1101b1r</t>
  </si>
  <si>
    <t>VACANT RENTABLE UNITS</t>
  </si>
  <si>
    <t>GENERAL | ADMIN</t>
  </si>
  <si>
    <t>2x1 Upgrade</t>
  </si>
  <si>
    <t>1101b1u</t>
  </si>
  <si>
    <t>LEASED VACANT UNITS</t>
  </si>
  <si>
    <t>UTILITIES</t>
  </si>
  <si>
    <t>NOTICE UNITS</t>
  </si>
  <si>
    <t>REPAIRS &amp; MAINTENANCE</t>
  </si>
  <si>
    <t>UNITS UNDER EVICTION</t>
  </si>
  <si>
    <t>CONTRACT SERVICES</t>
  </si>
  <si>
    <t>PRE-LEASED NOTICE/EVICTION UNITS</t>
  </si>
  <si>
    <t>MAKE READY</t>
  </si>
  <si>
    <t>RECREATION AMENITIES</t>
  </si>
  <si>
    <t>TOTAL TRAFFIC</t>
  </si>
  <si>
    <t>ADVERTISING | MARKETING</t>
  </si>
  <si>
    <t>TOTAL APPLICATIONS</t>
  </si>
  <si>
    <t>TAXES &amp; INSURANCE</t>
  </si>
  <si>
    <t>APPLICATIONS APPROVED</t>
  </si>
  <si>
    <t>TOTAL OPERATING EXPENSES</t>
  </si>
  <si>
    <t>APPLICATIONS CANCELLED</t>
  </si>
  <si>
    <t>APPLICATIONS DENIED</t>
  </si>
  <si>
    <t>NET OPERATING INCOME</t>
  </si>
  <si>
    <t>DEBT SERVICE</t>
  </si>
  <si>
    <t>SCHEDULED MOVE INS</t>
  </si>
  <si>
    <t>SCHEDULED MOVE OUTS</t>
  </si>
  <si>
    <t>ROUTINE REPLACEMENT</t>
  </si>
  <si>
    <t>CAPITAL IMPROVEMENTS</t>
  </si>
  <si>
    <t>NET INCOME FOR TAX</t>
  </si>
  <si>
    <t>MONTH</t>
  </si>
  <si>
    <t>LEASE EXPIRATIONS</t>
  </si>
  <si>
    <t>RENEWED</t>
  </si>
  <si>
    <t>NOTICE/EVICTION</t>
  </si>
  <si>
    <t>MOVE-OUT</t>
  </si>
  <si>
    <t>WEEKLY REPORT</t>
  </si>
  <si>
    <t>TURNOVER</t>
  </si>
  <si>
    <t>TOTAL</t>
  </si>
  <si>
    <t>UNITS OCCUPIED</t>
  </si>
  <si>
    <t>OCCUPANCY</t>
  </si>
  <si>
    <t>TOTAL OCCUPIED PERCENTAGE</t>
  </si>
  <si>
    <t>TOTAL LEASED PERCENTAGE</t>
  </si>
  <si>
    <t xml:space="preserve">NET TO RENT </t>
  </si>
  <si>
    <t>VARIANCE</t>
  </si>
  <si>
    <t>NOI</t>
  </si>
  <si>
    <t>NON-OPERATING EXPENSES</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</si>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</sst>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3" x14ac:knownFonts="1">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sz val="11"/>
      <color rgb="FFC00000"/>
      <name val="Calibri"/>
      <family val="2"/>
      <scheme val="minor"/>
    </font>
    <font>
      <b/>
      <sz val="11"/>
      <color rgb="FF0000FF"/>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0">
    <xf numFmtId="0" fontId="0" fillId="0" borderId="0" xfId="0"/>
    <xf numFmtId="0" fontId="2" fillId="0" borderId="0" xfId="0" applyFont="1"/>
    <xf numFmtId="14" fontId="5" fillId="4" borderId="0" xfId="0" applyNumberFormat="1" applyFont="1" applyFill="1" applyAlignment="1">
      <alignment horizontal="center"/>
    </xf>
    <xf numFmtId="0" fontId="7" fillId="0" borderId="0" xfId="0" applyFont="1"/>
    <xf numFmtId="0" fontId="8" fillId="0" borderId="0" xfId="0" applyFont="1" applyAlignment="1">
      <alignment horizontal="left" vertic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44" fontId="0" fillId="0" borderId="0" xfId="0" applyNumberFormat="1"/>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0" fontId="4" fillId="0" borderId="0" xfId="0" applyFont="1" applyAlignment="1">
      <alignment horizontal="center" vertical="center"/>
    </xf>
    <xf numFmtId="165" fontId="0" fillId="0" borderId="0" xfId="2" applyNumberFormat="1" applyFont="1" applyFill="1"/>
    <xf numFmtId="0" fontId="5" fillId="0" borderId="0" xfId="0" applyFont="1" applyAlignment="1">
      <alignment horizontal="center"/>
    </xf>
    <xf numFmtId="1" fontId="5" fillId="4" borderId="0" xfId="1" applyNumberFormat="1" applyFont="1" applyFill="1" applyAlignment="1">
      <alignment horizontal="center"/>
    </xf>
    <xf numFmtId="14" fontId="20" fillId="0" borderId="0" xfId="0" applyNumberFormat="1" applyFont="1" applyAlignment="1">
      <alignment horizontal="center"/>
    </xf>
    <xf numFmtId="0" fontId="0" fillId="8" borderId="0" xfId="0" applyFill="1"/>
    <xf numFmtId="0" fontId="0" fillId="8" borderId="1" xfId="0" applyFill="1" applyBorder="1" applyAlignment="1">
      <alignment horizontal="center" vertical="center"/>
    </xf>
    <xf numFmtId="0" fontId="21" fillId="0" borderId="0" xfId="0" applyFont="1"/>
    <xf numFmtId="44" fontId="5" fillId="4" borderId="5" xfId="1" applyFont="1" applyFill="1" applyBorder="1" applyAlignment="1">
      <alignment horizontal="center"/>
    </xf>
    <xf numFmtId="44" fontId="5" fillId="4" borderId="6" xfId="1" applyFont="1" applyFill="1" applyBorder="1" applyAlignment="1">
      <alignment horizontal="center"/>
    </xf>
    <xf numFmtId="165" fontId="0" fillId="8" borderId="0" xfId="2" applyNumberFormat="1" applyFont="1" applyFill="1"/>
    <xf numFmtId="166" fontId="5" fillId="0" borderId="0" xfId="2" applyNumberFormat="1" applyFont="1" applyFill="1" applyAlignment="1">
      <alignment horizontal="center"/>
    </xf>
    <xf numFmtId="44" fontId="5" fillId="0" borderId="0" xfId="1" applyFont="1" applyFill="1" applyAlignment="1">
      <alignment horizontal="center"/>
    </xf>
    <xf numFmtId="3" fontId="5" fillId="0" borderId="0" xfId="2" applyNumberFormat="1" applyFont="1" applyFill="1" applyAlignment="1">
      <alignment horizontal="center"/>
    </xf>
    <xf numFmtId="0" fontId="5" fillId="0" borderId="0" xfId="2" applyNumberFormat="1" applyFont="1" applyFill="1" applyAlignment="1">
      <alignment horizontal="center"/>
    </xf>
    <xf numFmtId="0" fontId="5" fillId="4" borderId="0" xfId="0" applyFont="1" applyFill="1" applyAlignment="1">
      <alignment horizontal="center"/>
    </xf>
    <xf numFmtId="0" fontId="22" fillId="4" borderId="0" xfId="0" applyFont="1" applyFill="1" applyAlignment="1">
      <alignment horizontal="center"/>
    </xf>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 xfId="0" applyFont="1" applyBorder="1" applyAlignment="1">
      <alignment horizontal="center" vertical="center"/>
    </xf>
    <xf numFmtId="0" fontId="16" fillId="0" borderId="0" xfId="0" applyFont="1" applyAlignment="1">
      <alignment horizontal="left"/>
    </xf>
    <xf numFmtId="0" fontId="5" fillId="4" borderId="8" xfId="0" applyFont="1" applyFill="1" applyBorder="1" applyAlignment="1">
      <alignment horizontal="center"/>
    </xf>
    <xf numFmtId="0" fontId="5" fillId="4" borderId="7"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left"/>
    </xf>
    <xf numFmtId="164" fontId="2" fillId="0" borderId="0" xfId="0" applyNumberFormat="1" applyFont="1" applyAlignment="1">
      <alignment horizontal="left"/>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19" fillId="2" borderId="0" xfId="0" applyFont="1" applyFill="1" applyAlignment="1">
      <alignment horizontal="center" vertical="center"/>
    </xf>
    <xf numFmtId="0" fontId="6" fillId="0" borderId="0" xfId="0" applyFont="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0" fontId="10" fillId="2" borderId="1" xfId="0" applyFont="1" applyFill="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INPUT!$M$2:$M$266</c:f>
              <c:numCache>
                <c:formatCode>mm/dd/yyyy;@</c:formatCode>
                <c:ptCount val="265"/>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pt idx="38">
                  <c:v>45658</c:v>
                </c:pt>
                <c:pt idx="39">
                  <c:v>45689</c:v>
                </c:pt>
                <c:pt idx="40">
                  <c:v>45717</c:v>
                </c:pt>
                <c:pt idx="41">
                  <c:v>45748</c:v>
                </c:pt>
                <c:pt idx="42">
                  <c:v>45778</c:v>
                </c:pt>
                <c:pt idx="43">
                  <c:v>45809</c:v>
                </c:pt>
                <c:pt idx="44">
                  <c:v>45839</c:v>
                </c:pt>
                <c:pt idx="45">
                  <c:v>45870</c:v>
                </c:pt>
              </c:numCache>
            </c:numRef>
          </c:cat>
          <c:val>
            <c:numRef>
              <c:f>INPUT!$N$2:$N$266</c:f>
              <c:numCache>
                <c:formatCode>0.0%</c:formatCode>
                <c:ptCount val="265"/>
                <c:pt idx="0">
                  <c:v>0.91100000000000003</c:v>
                </c:pt>
                <c:pt idx="1">
                  <c:v>0.92700000000000005</c:v>
                </c:pt>
                <c:pt idx="2">
                  <c:v>0.94099999999999995</c:v>
                </c:pt>
                <c:pt idx="3">
                  <c:v>0.94599999999999995</c:v>
                </c:pt>
                <c:pt idx="4">
                  <c:v>0.93789999999999996</c:v>
                </c:pt>
                <c:pt idx="5">
                  <c:v>0.91220000000000001</c:v>
                </c:pt>
                <c:pt idx="6">
                  <c:v>0.89139999999999997</c:v>
                </c:pt>
                <c:pt idx="7">
                  <c:v>0.88080000000000003</c:v>
                </c:pt>
                <c:pt idx="8">
                  <c:v>0.91900000000000004</c:v>
                </c:pt>
                <c:pt idx="9">
                  <c:v>0.90939999999999999</c:v>
                </c:pt>
                <c:pt idx="10">
                  <c:v>0.92700000000000005</c:v>
                </c:pt>
                <c:pt idx="11">
                  <c:v>0.84389999999999998</c:v>
                </c:pt>
                <c:pt idx="12">
                  <c:v>0.84109999999999996</c:v>
                </c:pt>
                <c:pt idx="13">
                  <c:v>0.872</c:v>
                </c:pt>
                <c:pt idx="14">
                  <c:v>0.88949999999999996</c:v>
                </c:pt>
                <c:pt idx="15">
                  <c:v>0.8972</c:v>
                </c:pt>
                <c:pt idx="16">
                  <c:v>0.87170000000000003</c:v>
                </c:pt>
                <c:pt idx="17">
                  <c:v>0.83730000000000004</c:v>
                </c:pt>
                <c:pt idx="18">
                  <c:v>0.82899999999999996</c:v>
                </c:pt>
                <c:pt idx="19">
                  <c:v>0.81300813008130079</c:v>
                </c:pt>
                <c:pt idx="20">
                  <c:v>0.82110000000000005</c:v>
                </c:pt>
                <c:pt idx="21">
                  <c:v>0.86178861788617889</c:v>
                </c:pt>
                <c:pt idx="22">
                  <c:v>0.95934959349593496</c:v>
                </c:pt>
                <c:pt idx="23">
                  <c:v>0.96747967479674801</c:v>
                </c:pt>
                <c:pt idx="24">
                  <c:v>0.92561983471074383</c:v>
                </c:pt>
                <c:pt idx="25">
                  <c:v>0.94214876033057848</c:v>
                </c:pt>
                <c:pt idx="26">
                  <c:v>0.93388429752066116</c:v>
                </c:pt>
                <c:pt idx="27">
                  <c:v>0.93388429752066116</c:v>
                </c:pt>
                <c:pt idx="28">
                  <c:v>0.92561983471074383</c:v>
                </c:pt>
                <c:pt idx="29">
                  <c:v>0.95867768595041325</c:v>
                </c:pt>
                <c:pt idx="30">
                  <c:v>0.95041322314049592</c:v>
                </c:pt>
                <c:pt idx="31">
                  <c:v>0.95041322314049592</c:v>
                </c:pt>
                <c:pt idx="32">
                  <c:v>0.94214876033057848</c:v>
                </c:pt>
                <c:pt idx="33">
                  <c:v>0.95041322314049592</c:v>
                </c:pt>
                <c:pt idx="34">
                  <c:v>0.92561983471074383</c:v>
                </c:pt>
                <c:pt idx="35">
                  <c:v>0.95041322314049592</c:v>
                </c:pt>
                <c:pt idx="36">
                  <c:v>0.93388429752066116</c:v>
                </c:pt>
                <c:pt idx="37">
                  <c:v>0.9173553719008265</c:v>
                </c:pt>
                <c:pt idx="38">
                  <c:v>0.9173553719008265</c:v>
                </c:pt>
                <c:pt idx="39">
                  <c:v>0.9173553719008265</c:v>
                </c:pt>
                <c:pt idx="40">
                  <c:v>0.88429752066115708</c:v>
                </c:pt>
                <c:pt idx="41">
                  <c:v>0.87603305785123964</c:v>
                </c:pt>
                <c:pt idx="42">
                  <c:v>0.92561983471074383</c:v>
                </c:pt>
                <c:pt idx="43">
                  <c:v>0.88429752066115708</c:v>
                </c:pt>
                <c:pt idx="44">
                  <c:v>0.88429752066115708</c:v>
                </c:pt>
                <c:pt idx="45">
                  <c:v>0.86776859504132231</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min val="44531"/>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40000"/>
                <a:lumOff val="6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INPUT!$AF$3:$AF$14</c:f>
              <c:numCache>
                <c:formatCode>_("$"* #,##0.00_);_("$"* \(#,##0.00\);_("$"* "-"??_);_(@_)</c:formatCode>
                <c:ptCount val="12"/>
                <c:pt idx="0">
                  <c:v>192483.61</c:v>
                </c:pt>
                <c:pt idx="1">
                  <c:v>199055</c:v>
                </c:pt>
                <c:pt idx="2">
                  <c:v>192356.12</c:v>
                </c:pt>
                <c:pt idx="3">
                  <c:v>192104.56</c:v>
                </c:pt>
                <c:pt idx="4">
                  <c:v>196894.34000000003</c:v>
                </c:pt>
                <c:pt idx="5">
                  <c:v>198912.42</c:v>
                </c:pt>
                <c:pt idx="6">
                  <c:v>186943.16999999998</c:v>
                </c:pt>
                <c:pt idx="7">
                  <c:v>188542.88999999998</c:v>
                </c:pt>
                <c:pt idx="8">
                  <c:v>200245.44</c:v>
                </c:pt>
                <c:pt idx="9">
                  <c:v>183692.52</c:v>
                </c:pt>
                <c:pt idx="10">
                  <c:v>195715.51</c:v>
                </c:pt>
                <c:pt idx="11">
                  <c:v>155864.87000000002</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210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2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5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INPUT!$AG$3:$AG$14</c:f>
              <c:numCache>
                <c:formatCode>0.0%</c:formatCode>
                <c:ptCount val="12"/>
                <c:pt idx="0">
                  <c:v>0.93295572794167925</c:v>
                </c:pt>
                <c:pt idx="1">
                  <c:v>0.92445268017202142</c:v>
                </c:pt>
                <c:pt idx="2">
                  <c:v>0.90889487050420237</c:v>
                </c:pt>
                <c:pt idx="3">
                  <c:v>0.91177986881503037</c:v>
                </c:pt>
                <c:pt idx="4">
                  <c:v>0.93521802202209636</c:v>
                </c:pt>
                <c:pt idx="5">
                  <c:v>0.94094703219995013</c:v>
                </c:pt>
                <c:pt idx="6">
                  <c:v>0.9312279821542403</c:v>
                </c:pt>
                <c:pt idx="7">
                  <c:v>0.93573814781279652</c:v>
                </c:pt>
                <c:pt idx="8">
                  <c:v>0.94701665226601062</c:v>
                </c:pt>
                <c:pt idx="9">
                  <c:v>0.93375982698967563</c:v>
                </c:pt>
                <c:pt idx="10">
                  <c:v>0.94079878687433482</c:v>
                </c:pt>
                <c:pt idx="11">
                  <c:v>0.77314897717461328</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1598.59</c:v>
                </c:pt>
                <c:pt idx="1">
                  <c:v>1623.59</c:v>
                </c:pt>
                <c:pt idx="2">
                  <c:v>1623.59</c:v>
                </c:pt>
                <c:pt idx="3">
                  <c:v>1623.59</c:v>
                </c:pt>
                <c:pt idx="4">
                  <c:v>1623.59</c:v>
                </c:pt>
                <c:pt idx="5">
                  <c:v>1623.59</c:v>
                </c:pt>
                <c:pt idx="6">
                  <c:v>1623.59</c:v>
                </c:pt>
                <c:pt idx="7">
                  <c:v>1655.91</c:v>
                </c:pt>
                <c:pt idx="8">
                  <c:v>1623.59</c:v>
                </c:pt>
                <c:pt idx="9">
                  <c:v>1623.59</c:v>
                </c:pt>
                <c:pt idx="10">
                  <c:v>1598.59</c:v>
                </c:pt>
                <c:pt idx="11">
                  <c:v>1630.91</c:v>
                </c:pt>
                <c:pt idx="12">
                  <c:v>1630.91</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INPUT!$AR$3:$AR$15</c:f>
              <c:numCache>
                <c:formatCode>_("$"* #,##0.00_);_("$"* \(#,##0.00\);_("$"* "-"??_);_(@_)</c:formatCode>
                <c:ptCount val="13"/>
                <c:pt idx="0">
                  <c:v>1585.99</c:v>
                </c:pt>
                <c:pt idx="1">
                  <c:v>1596.83</c:v>
                </c:pt>
                <c:pt idx="2">
                  <c:v>1603.33</c:v>
                </c:pt>
                <c:pt idx="3">
                  <c:v>1625.7</c:v>
                </c:pt>
                <c:pt idx="4">
                  <c:v>1617.9</c:v>
                </c:pt>
                <c:pt idx="5">
                  <c:v>1617.19</c:v>
                </c:pt>
                <c:pt idx="6">
                  <c:v>1618.32</c:v>
                </c:pt>
                <c:pt idx="7">
                  <c:v>1624.38</c:v>
                </c:pt>
                <c:pt idx="8">
                  <c:v>1621.04</c:v>
                </c:pt>
                <c:pt idx="9">
                  <c:v>1625.05</c:v>
                </c:pt>
                <c:pt idx="10">
                  <c:v>1628.64</c:v>
                </c:pt>
                <c:pt idx="11">
                  <c:v>1635.83</c:v>
                </c:pt>
                <c:pt idx="12">
                  <c:v>1639.09</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750"/>
          <c:min val="125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INPUT!$Z$5:$Z$43</c:f>
              <c:numCache>
                <c:formatCode>mm/dd/yyyy;@</c:formatCode>
                <c:ptCount val="39"/>
                <c:pt idx="0">
                  <c:v>44753</c:v>
                </c:pt>
                <c:pt idx="1">
                  <c:v>44788</c:v>
                </c:pt>
                <c:pt idx="2">
                  <c:v>44819</c:v>
                </c:pt>
                <c:pt idx="3">
                  <c:v>44840</c:v>
                </c:pt>
                <c:pt idx="4">
                  <c:v>44879</c:v>
                </c:pt>
                <c:pt idx="5">
                  <c:v>44914</c:v>
                </c:pt>
                <c:pt idx="6">
                  <c:v>44943</c:v>
                </c:pt>
                <c:pt idx="7">
                  <c:v>44973</c:v>
                </c:pt>
                <c:pt idx="8">
                  <c:v>45001</c:v>
                </c:pt>
                <c:pt idx="9">
                  <c:v>45034</c:v>
                </c:pt>
                <c:pt idx="10">
                  <c:v>45061</c:v>
                </c:pt>
                <c:pt idx="11">
                  <c:v>45092</c:v>
                </c:pt>
                <c:pt idx="12">
                  <c:v>45122</c:v>
                </c:pt>
                <c:pt idx="13">
                  <c:v>45155</c:v>
                </c:pt>
                <c:pt idx="14">
                  <c:v>45189</c:v>
                </c:pt>
                <c:pt idx="15">
                  <c:v>45215</c:v>
                </c:pt>
                <c:pt idx="16">
                  <c:v>45245</c:v>
                </c:pt>
                <c:pt idx="17">
                  <c:v>45278</c:v>
                </c:pt>
                <c:pt idx="18">
                  <c:v>45309</c:v>
                </c:pt>
                <c:pt idx="19">
                  <c:v>45337</c:v>
                </c:pt>
                <c:pt idx="20">
                  <c:v>45366</c:v>
                </c:pt>
                <c:pt idx="21">
                  <c:v>45398</c:v>
                </c:pt>
                <c:pt idx="22">
                  <c:v>45428</c:v>
                </c:pt>
                <c:pt idx="23">
                  <c:v>45460</c:v>
                </c:pt>
                <c:pt idx="24">
                  <c:v>45489</c:v>
                </c:pt>
                <c:pt idx="25">
                  <c:v>45520</c:v>
                </c:pt>
                <c:pt idx="26">
                  <c:v>45551</c:v>
                </c:pt>
                <c:pt idx="27">
                  <c:v>45581</c:v>
                </c:pt>
                <c:pt idx="28">
                  <c:v>45614</c:v>
                </c:pt>
                <c:pt idx="29">
                  <c:v>45643</c:v>
                </c:pt>
                <c:pt idx="30">
                  <c:v>45673</c:v>
                </c:pt>
                <c:pt idx="31">
                  <c:v>45705</c:v>
                </c:pt>
                <c:pt idx="32">
                  <c:v>45733</c:v>
                </c:pt>
                <c:pt idx="33">
                  <c:v>45763</c:v>
                </c:pt>
                <c:pt idx="34">
                  <c:v>45792</c:v>
                </c:pt>
                <c:pt idx="35">
                  <c:v>45825</c:v>
                </c:pt>
                <c:pt idx="36">
                  <c:v>45854</c:v>
                </c:pt>
              </c:numCache>
            </c:numRef>
          </c:cat>
          <c:val>
            <c:numRef>
              <c:f>INPUT!$AA$5:$AA$43</c:f>
              <c:numCache>
                <c:formatCode>_("$"* #,##0.00_);_("$"* \(#,##0.00\);_("$"* "-"??_);_(@_)</c:formatCode>
                <c:ptCount val="39"/>
                <c:pt idx="0">
                  <c:v>399423.12</c:v>
                </c:pt>
                <c:pt idx="1">
                  <c:v>369955.8</c:v>
                </c:pt>
                <c:pt idx="2">
                  <c:v>425991.85</c:v>
                </c:pt>
                <c:pt idx="3">
                  <c:v>394120.31</c:v>
                </c:pt>
                <c:pt idx="4">
                  <c:v>366580.64</c:v>
                </c:pt>
                <c:pt idx="5">
                  <c:v>226400.21</c:v>
                </c:pt>
                <c:pt idx="6">
                  <c:v>404228.84</c:v>
                </c:pt>
                <c:pt idx="7">
                  <c:v>437594.57</c:v>
                </c:pt>
                <c:pt idx="8">
                  <c:v>437092.75</c:v>
                </c:pt>
                <c:pt idx="9">
                  <c:v>353704.41</c:v>
                </c:pt>
                <c:pt idx="10">
                  <c:v>340473.49</c:v>
                </c:pt>
                <c:pt idx="11">
                  <c:v>328286.53999999998</c:v>
                </c:pt>
                <c:pt idx="12">
                  <c:v>314547.14</c:v>
                </c:pt>
                <c:pt idx="13">
                  <c:v>334428.58</c:v>
                </c:pt>
                <c:pt idx="14">
                  <c:v>303435.59000000003</c:v>
                </c:pt>
                <c:pt idx="15">
                  <c:v>308183.15999999997</c:v>
                </c:pt>
                <c:pt idx="16">
                  <c:v>380496.55</c:v>
                </c:pt>
                <c:pt idx="17">
                  <c:v>376494.08000000002</c:v>
                </c:pt>
                <c:pt idx="18">
                  <c:v>340579.94</c:v>
                </c:pt>
                <c:pt idx="19">
                  <c:v>329316.99</c:v>
                </c:pt>
                <c:pt idx="20">
                  <c:v>392757.26</c:v>
                </c:pt>
                <c:pt idx="21">
                  <c:v>416836.11</c:v>
                </c:pt>
                <c:pt idx="22">
                  <c:v>389960</c:v>
                </c:pt>
                <c:pt idx="23">
                  <c:v>758993.78</c:v>
                </c:pt>
                <c:pt idx="24">
                  <c:v>882658.45</c:v>
                </c:pt>
                <c:pt idx="25">
                  <c:v>883793.78</c:v>
                </c:pt>
                <c:pt idx="26">
                  <c:v>401219.12</c:v>
                </c:pt>
                <c:pt idx="27">
                  <c:v>437278.06</c:v>
                </c:pt>
                <c:pt idx="28">
                  <c:v>454728.37</c:v>
                </c:pt>
                <c:pt idx="29">
                  <c:v>466886.83</c:v>
                </c:pt>
                <c:pt idx="30">
                  <c:v>490646.38</c:v>
                </c:pt>
                <c:pt idx="31">
                  <c:v>473139.69</c:v>
                </c:pt>
                <c:pt idx="32">
                  <c:v>534466.55000000005</c:v>
                </c:pt>
                <c:pt idx="33">
                  <c:v>446114.61</c:v>
                </c:pt>
                <c:pt idx="34">
                  <c:v>452618.77</c:v>
                </c:pt>
                <c:pt idx="35">
                  <c:v>449757.43</c:v>
                </c:pt>
                <c:pt idx="36">
                  <c:v>440625.75</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cat>
            <c:numRef>
              <c:f>INPUT!$Z$5:$Z$43</c:f>
              <c:numCache>
                <c:formatCode>mm/dd/yyyy;@</c:formatCode>
                <c:ptCount val="39"/>
                <c:pt idx="0">
                  <c:v>44753</c:v>
                </c:pt>
                <c:pt idx="1">
                  <c:v>44788</c:v>
                </c:pt>
                <c:pt idx="2">
                  <c:v>44819</c:v>
                </c:pt>
                <c:pt idx="3">
                  <c:v>44840</c:v>
                </c:pt>
                <c:pt idx="4">
                  <c:v>44879</c:v>
                </c:pt>
                <c:pt idx="5">
                  <c:v>44914</c:v>
                </c:pt>
                <c:pt idx="6">
                  <c:v>44943</c:v>
                </c:pt>
                <c:pt idx="7">
                  <c:v>44973</c:v>
                </c:pt>
                <c:pt idx="8">
                  <c:v>45001</c:v>
                </c:pt>
                <c:pt idx="9">
                  <c:v>45034</c:v>
                </c:pt>
                <c:pt idx="10">
                  <c:v>45061</c:v>
                </c:pt>
                <c:pt idx="11">
                  <c:v>45092</c:v>
                </c:pt>
                <c:pt idx="12">
                  <c:v>45122</c:v>
                </c:pt>
                <c:pt idx="13">
                  <c:v>45155</c:v>
                </c:pt>
                <c:pt idx="14">
                  <c:v>45189</c:v>
                </c:pt>
                <c:pt idx="15">
                  <c:v>45215</c:v>
                </c:pt>
                <c:pt idx="16">
                  <c:v>45245</c:v>
                </c:pt>
                <c:pt idx="17">
                  <c:v>45278</c:v>
                </c:pt>
                <c:pt idx="18">
                  <c:v>45309</c:v>
                </c:pt>
                <c:pt idx="19">
                  <c:v>45337</c:v>
                </c:pt>
                <c:pt idx="20">
                  <c:v>45366</c:v>
                </c:pt>
                <c:pt idx="21">
                  <c:v>45398</c:v>
                </c:pt>
                <c:pt idx="22">
                  <c:v>45428</c:v>
                </c:pt>
                <c:pt idx="23">
                  <c:v>45460</c:v>
                </c:pt>
                <c:pt idx="24">
                  <c:v>45489</c:v>
                </c:pt>
                <c:pt idx="25">
                  <c:v>45520</c:v>
                </c:pt>
                <c:pt idx="26">
                  <c:v>45551</c:v>
                </c:pt>
                <c:pt idx="27">
                  <c:v>45581</c:v>
                </c:pt>
                <c:pt idx="28">
                  <c:v>45614</c:v>
                </c:pt>
                <c:pt idx="29">
                  <c:v>45643</c:v>
                </c:pt>
                <c:pt idx="30">
                  <c:v>45673</c:v>
                </c:pt>
                <c:pt idx="31">
                  <c:v>45705</c:v>
                </c:pt>
                <c:pt idx="32">
                  <c:v>45733</c:v>
                </c:pt>
                <c:pt idx="33">
                  <c:v>45763</c:v>
                </c:pt>
                <c:pt idx="34">
                  <c:v>45792</c:v>
                </c:pt>
                <c:pt idx="35">
                  <c:v>45825</c:v>
                </c:pt>
                <c:pt idx="36">
                  <c:v>45854</c:v>
                </c:pt>
              </c:numCache>
            </c:numRef>
          </c:cat>
          <c:val>
            <c:numRef>
              <c:f>INPUT!$AB$5:$AB$43</c:f>
              <c:numCache>
                <c:formatCode>_("$"* #,##0.00_);_("$"* \(#,##0.00\);_("$"* "-"??_);_(@_)</c:formatCode>
                <c:ptCount val="39"/>
                <c:pt idx="0">
                  <c:v>365743.58999999997</c:v>
                </c:pt>
                <c:pt idx="1">
                  <c:v>328609.59999999998</c:v>
                </c:pt>
                <c:pt idx="2">
                  <c:v>406054.77999999997</c:v>
                </c:pt>
                <c:pt idx="3">
                  <c:v>188246.77000000002</c:v>
                </c:pt>
                <c:pt idx="4">
                  <c:v>345779.23</c:v>
                </c:pt>
                <c:pt idx="5">
                  <c:v>215690.96999999997</c:v>
                </c:pt>
                <c:pt idx="6">
                  <c:v>334369.33</c:v>
                </c:pt>
                <c:pt idx="7">
                  <c:v>417782.23</c:v>
                </c:pt>
                <c:pt idx="8">
                  <c:v>346773.66000000003</c:v>
                </c:pt>
                <c:pt idx="9">
                  <c:v>327212.08</c:v>
                </c:pt>
                <c:pt idx="10">
                  <c:v>372081.11</c:v>
                </c:pt>
                <c:pt idx="11">
                  <c:v>346533.4</c:v>
                </c:pt>
                <c:pt idx="12">
                  <c:v>276974.07</c:v>
                </c:pt>
                <c:pt idx="13">
                  <c:v>220469.49</c:v>
                </c:pt>
                <c:pt idx="14">
                  <c:v>291495.42</c:v>
                </c:pt>
                <c:pt idx="15">
                  <c:v>289282.49</c:v>
                </c:pt>
                <c:pt idx="16">
                  <c:v>374261.36</c:v>
                </c:pt>
                <c:pt idx="17">
                  <c:v>352435.69</c:v>
                </c:pt>
                <c:pt idx="18">
                  <c:v>329654.05</c:v>
                </c:pt>
                <c:pt idx="19">
                  <c:v>307963.78000000003</c:v>
                </c:pt>
                <c:pt idx="20">
                  <c:v>367129.23</c:v>
                </c:pt>
                <c:pt idx="21">
                  <c:v>391657.08</c:v>
                </c:pt>
                <c:pt idx="22">
                  <c:v>383863.45</c:v>
                </c:pt>
                <c:pt idx="23">
                  <c:v>752413.73</c:v>
                </c:pt>
                <c:pt idx="24">
                  <c:v>875321.36</c:v>
                </c:pt>
                <c:pt idx="25">
                  <c:v>810123.35</c:v>
                </c:pt>
                <c:pt idx="26">
                  <c:v>377016.43</c:v>
                </c:pt>
                <c:pt idx="27">
                  <c:v>430939.61</c:v>
                </c:pt>
                <c:pt idx="28">
                  <c:v>438795.86</c:v>
                </c:pt>
                <c:pt idx="29">
                  <c:v>461881.32</c:v>
                </c:pt>
                <c:pt idx="30">
                  <c:v>488097.51</c:v>
                </c:pt>
                <c:pt idx="31">
                  <c:v>470665.51</c:v>
                </c:pt>
                <c:pt idx="32">
                  <c:v>445547.43</c:v>
                </c:pt>
                <c:pt idx="33">
                  <c:v>438545.94</c:v>
                </c:pt>
                <c:pt idx="34">
                  <c:v>444899.69</c:v>
                </c:pt>
                <c:pt idx="35">
                  <c:v>438826.53</c:v>
                </c:pt>
                <c:pt idx="36">
                  <c:v>427212.89</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45886</c:v>
                </c:pt>
                <c:pt idx="1">
                  <c:v>45893</c:v>
                </c:pt>
                <c:pt idx="2">
                  <c:v>45900</c:v>
                </c:pt>
                <c:pt idx="3">
                  <c:v>45907</c:v>
                </c:pt>
                <c:pt idx="4">
                  <c:v>45914</c:v>
                </c:pt>
                <c:pt idx="5">
                  <c:v>45921</c:v>
                </c:pt>
              </c:numCache>
            </c:numRef>
          </c:cat>
          <c:val>
            <c:numRef>
              <c:f>Occ!$L$26:$L$31</c:f>
              <c:numCache>
                <c:formatCode>0.0%</c:formatCode>
                <c:ptCount val="6"/>
                <c:pt idx="0">
                  <c:v>0.88429752066115708</c:v>
                </c:pt>
                <c:pt idx="1">
                  <c:v>0.90909090909090906</c:v>
                </c:pt>
                <c:pt idx="2">
                  <c:v>0.90082644628099173</c:v>
                </c:pt>
                <c:pt idx="3">
                  <c:v>0.90909090909090906</c:v>
                </c:pt>
                <c:pt idx="4">
                  <c:v>0.90909090909090906</c:v>
                </c:pt>
                <c:pt idx="5">
                  <c:v>0.90909090909090906</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INPUT!$P$1</c:f>
              <c:strCache>
                <c:ptCount val="1"/>
                <c:pt idx="0">
                  <c:v>HISTORICAL TURNOVER</c:v>
                </c:pt>
              </c:strCache>
            </c:strRef>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INPUT!$P$2:$P$80</c:f>
              <c:numCache>
                <c:formatCode>mm/dd/yyyy;@</c:formatCode>
                <c:ptCount val="79"/>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pt idx="42">
                  <c:v>45839</c:v>
                </c:pt>
                <c:pt idx="43">
                  <c:v>45870</c:v>
                </c:pt>
              </c:numCache>
            </c:numRef>
          </c:cat>
          <c:val>
            <c:numRef>
              <c:f>INPUT!$Q$2:$Q$80</c:f>
              <c:numCache>
                <c:formatCode>0.0%</c:formatCode>
                <c:ptCount val="79"/>
                <c:pt idx="0">
                  <c:v>0.5</c:v>
                </c:pt>
                <c:pt idx="1">
                  <c:v>0</c:v>
                </c:pt>
                <c:pt idx="2">
                  <c:v>0.3</c:v>
                </c:pt>
                <c:pt idx="3">
                  <c:v>0.1</c:v>
                </c:pt>
                <c:pt idx="4">
                  <c:v>0.55600000000000005</c:v>
                </c:pt>
                <c:pt idx="5">
                  <c:v>7.6999999999999999E-2</c:v>
                </c:pt>
                <c:pt idx="6">
                  <c:v>0.23499999999999999</c:v>
                </c:pt>
                <c:pt idx="7">
                  <c:v>0.4</c:v>
                </c:pt>
                <c:pt idx="8">
                  <c:v>0.2</c:v>
                </c:pt>
                <c:pt idx="9">
                  <c:v>0.66700000000000004</c:v>
                </c:pt>
                <c:pt idx="10">
                  <c:v>0.5</c:v>
                </c:pt>
                <c:pt idx="11">
                  <c:v>0.5</c:v>
                </c:pt>
                <c:pt idx="12">
                  <c:v>0.111</c:v>
                </c:pt>
                <c:pt idx="13">
                  <c:v>0.25</c:v>
                </c:pt>
                <c:pt idx="14">
                  <c:v>0.222</c:v>
                </c:pt>
                <c:pt idx="15">
                  <c:v>0.4</c:v>
                </c:pt>
                <c:pt idx="16">
                  <c:v>0.16700000000000001</c:v>
                </c:pt>
                <c:pt idx="17">
                  <c:v>0.57099999999999995</c:v>
                </c:pt>
                <c:pt idx="18">
                  <c:v>0.375</c:v>
                </c:pt>
                <c:pt idx="19">
                  <c:v>0</c:v>
                </c:pt>
                <c:pt idx="20">
                  <c:v>0.125</c:v>
                </c:pt>
                <c:pt idx="21">
                  <c:v>0.33333333333333331</c:v>
                </c:pt>
                <c:pt idx="22">
                  <c:v>0.25</c:v>
                </c:pt>
                <c:pt idx="23">
                  <c:v>0.2857142857142857</c:v>
                </c:pt>
                <c:pt idx="24">
                  <c:v>0.33333333333333331</c:v>
                </c:pt>
                <c:pt idx="25">
                  <c:v>0.4</c:v>
                </c:pt>
                <c:pt idx="26">
                  <c:v>0</c:v>
                </c:pt>
                <c:pt idx="27">
                  <c:v>0.2857142857142857</c:v>
                </c:pt>
                <c:pt idx="28">
                  <c:v>0.45454545454545453</c:v>
                </c:pt>
                <c:pt idx="29">
                  <c:v>0.45454545454545453</c:v>
                </c:pt>
                <c:pt idx="30">
                  <c:v>0.44444444444444442</c:v>
                </c:pt>
                <c:pt idx="31">
                  <c:v>0.47058823529411764</c:v>
                </c:pt>
                <c:pt idx="32">
                  <c:v>0.5</c:v>
                </c:pt>
                <c:pt idx="33">
                  <c:v>0.4</c:v>
                </c:pt>
                <c:pt idx="34">
                  <c:v>0.33333333333333331</c:v>
                </c:pt>
                <c:pt idx="35">
                  <c:v>0.33333333333333331</c:v>
                </c:pt>
                <c:pt idx="36">
                  <c:v>0.5</c:v>
                </c:pt>
                <c:pt idx="37">
                  <c:v>0.42857142857142855</c:v>
                </c:pt>
                <c:pt idx="38">
                  <c:v>0.4</c:v>
                </c:pt>
                <c:pt idx="39">
                  <c:v>0.4</c:v>
                </c:pt>
                <c:pt idx="40">
                  <c:v>0.2857142857142857</c:v>
                </c:pt>
                <c:pt idx="41">
                  <c:v>0.5714285714285714</c:v>
                </c:pt>
                <c:pt idx="42">
                  <c:v>0.25</c:v>
                </c:pt>
                <c:pt idx="43">
                  <c:v>7.6923076923076927E-2</c:v>
                </c:pt>
              </c:numCache>
            </c:numRef>
          </c:val>
          <c:smooth val="1"/>
          <c:extLst>
            <c:ext xmlns:c16="http://schemas.microsoft.com/office/drawing/2014/chart" uri="{C3380CC4-5D6E-409C-BE32-E72D297353CC}">
              <c16:uniqueId val="{00000000-23B0-489D-93D3-4771716E6D0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45778</c:v>
                </c:pt>
                <c:pt idx="1">
                  <c:v>45809</c:v>
                </c:pt>
                <c:pt idx="2">
                  <c:v>45839</c:v>
                </c:pt>
                <c:pt idx="3">
                  <c:v>45870</c:v>
                </c:pt>
                <c:pt idx="4">
                  <c:v>45901</c:v>
                </c:pt>
                <c:pt idx="5">
                  <c:v>45931</c:v>
                </c:pt>
                <c:pt idx="6">
                  <c:v>45962</c:v>
                </c:pt>
                <c:pt idx="7">
                  <c:v>45992</c:v>
                </c:pt>
                <c:pt idx="8">
                  <c:v>46023</c:v>
                </c:pt>
                <c:pt idx="9">
                  <c:v>46054</c:v>
                </c:pt>
                <c:pt idx="10">
                  <c:v>46082</c:v>
                </c:pt>
                <c:pt idx="11">
                  <c:v>46113</c:v>
                </c:pt>
                <c:pt idx="12">
                  <c:v>46143</c:v>
                </c:pt>
              </c:numCache>
            </c:numRef>
          </c:cat>
          <c:val>
            <c:numRef>
              <c:f>Occ!$P$6:$P$18</c:f>
              <c:numCache>
                <c:formatCode>General</c:formatCode>
                <c:ptCount val="13"/>
                <c:pt idx="0">
                  <c:v>7</c:v>
                </c:pt>
                <c:pt idx="1">
                  <c:v>7</c:v>
                </c:pt>
                <c:pt idx="2">
                  <c:v>8</c:v>
                </c:pt>
                <c:pt idx="3">
                  <c:v>13</c:v>
                </c:pt>
                <c:pt idx="4">
                  <c:v>14</c:v>
                </c:pt>
                <c:pt idx="5">
                  <c:v>5</c:v>
                </c:pt>
                <c:pt idx="6">
                  <c:v>5</c:v>
                </c:pt>
                <c:pt idx="7">
                  <c:v>8</c:v>
                </c:pt>
                <c:pt idx="8">
                  <c:v>2</c:v>
                </c:pt>
                <c:pt idx="9">
                  <c:v>9</c:v>
                </c:pt>
                <c:pt idx="10">
                  <c:v>10</c:v>
                </c:pt>
                <c:pt idx="11">
                  <c:v>8</c:v>
                </c:pt>
                <c:pt idx="12">
                  <c:v>10</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 Actual</c:v>
          </c:tx>
          <c:spPr>
            <a:solidFill>
              <a:schemeClr val="tx1">
                <a:lumMod val="50000"/>
                <a:lumOff val="50000"/>
              </a:schemeClr>
            </a:solidFill>
            <a:ln w="25400">
              <a:solidFill>
                <a:schemeClr val="tx1"/>
              </a:solidFill>
            </a:ln>
            <a:effectLst/>
          </c:spPr>
          <c:cat>
            <c:numRef>
              <c:f>INPUT!$S$5:$S$70</c:f>
              <c:numCache>
                <c:formatCode>mm/dd/yyyy;@</c:formatCode>
                <c:ptCount val="66"/>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numCache>
            </c:numRef>
          </c:cat>
          <c:val>
            <c:numRef>
              <c:f>INPUT!$T$5:$T$70</c:f>
              <c:numCache>
                <c:formatCode>_("$"* #,##0.00_);_("$"* \(#,##0.00\);_("$"* "-"??_);_(@_)</c:formatCode>
                <c:ptCount val="66"/>
                <c:pt idx="0">
                  <c:v>166489.99</c:v>
                </c:pt>
                <c:pt idx="1">
                  <c:v>161795.76999999999</c:v>
                </c:pt>
                <c:pt idx="2">
                  <c:v>166808.13</c:v>
                </c:pt>
                <c:pt idx="3">
                  <c:v>155713.48000000001</c:v>
                </c:pt>
                <c:pt idx="4">
                  <c:v>167320.37</c:v>
                </c:pt>
                <c:pt idx="5">
                  <c:v>162426.35999999999</c:v>
                </c:pt>
                <c:pt idx="6">
                  <c:v>176941.41</c:v>
                </c:pt>
                <c:pt idx="7">
                  <c:v>178445.17</c:v>
                </c:pt>
                <c:pt idx="8">
                  <c:v>164233.4</c:v>
                </c:pt>
                <c:pt idx="9">
                  <c:v>163741.24</c:v>
                </c:pt>
                <c:pt idx="10">
                  <c:v>156126</c:v>
                </c:pt>
                <c:pt idx="11">
                  <c:v>150903.37</c:v>
                </c:pt>
                <c:pt idx="12">
                  <c:v>159536.18</c:v>
                </c:pt>
                <c:pt idx="13">
                  <c:v>164945.68</c:v>
                </c:pt>
                <c:pt idx="14">
                  <c:v>178295.2</c:v>
                </c:pt>
                <c:pt idx="15">
                  <c:v>152460.14000000001</c:v>
                </c:pt>
                <c:pt idx="16">
                  <c:v>156058.68</c:v>
                </c:pt>
                <c:pt idx="17">
                  <c:v>148724.85</c:v>
                </c:pt>
                <c:pt idx="18">
                  <c:v>153109.18</c:v>
                </c:pt>
                <c:pt idx="19">
                  <c:v>176189.7</c:v>
                </c:pt>
                <c:pt idx="20">
                  <c:v>176629.64</c:v>
                </c:pt>
                <c:pt idx="21">
                  <c:v>188685.39</c:v>
                </c:pt>
                <c:pt idx="22">
                  <c:v>184877.41</c:v>
                </c:pt>
                <c:pt idx="23">
                  <c:v>189560.06</c:v>
                </c:pt>
                <c:pt idx="24">
                  <c:v>181072.22</c:v>
                </c:pt>
                <c:pt idx="25">
                  <c:v>184947.20000000001</c:v>
                </c:pt>
                <c:pt idx="26">
                  <c:v>209177.37</c:v>
                </c:pt>
                <c:pt idx="27">
                  <c:v>219919.02</c:v>
                </c:pt>
                <c:pt idx="28">
                  <c:v>197884.18</c:v>
                </c:pt>
                <c:pt idx="29">
                  <c:v>199797.34</c:v>
                </c:pt>
                <c:pt idx="30">
                  <c:v>204845.74</c:v>
                </c:pt>
                <c:pt idx="31">
                  <c:v>181905.37</c:v>
                </c:pt>
                <c:pt idx="32">
                  <c:v>192483.61</c:v>
                </c:pt>
                <c:pt idx="33">
                  <c:v>219558.52</c:v>
                </c:pt>
                <c:pt idx="34">
                  <c:v>209059.48</c:v>
                </c:pt>
                <c:pt idx="35">
                  <c:v>215467.91</c:v>
                </c:pt>
                <c:pt idx="36">
                  <c:v>198352.83000000002</c:v>
                </c:pt>
                <c:pt idx="37">
                  <c:v>176071.38</c:v>
                </c:pt>
                <c:pt idx="38">
                  <c:v>186051.8</c:v>
                </c:pt>
                <c:pt idx="39">
                  <c:v>214290.90999999997</c:v>
                </c:pt>
                <c:pt idx="40">
                  <c:v>223138.42</c:v>
                </c:pt>
                <c:pt idx="41">
                  <c:v>159577.56</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INPUT!$S$5:$S$70</c:f>
              <c:numCache>
                <c:formatCode>mm/dd/yyyy;@</c:formatCode>
                <c:ptCount val="66"/>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numCache>
            </c:numRef>
          </c:cat>
          <c:val>
            <c:numRef>
              <c:f>INPUT!$U$5:$U$70</c:f>
              <c:numCache>
                <c:formatCode>_("$"* #,##0.00_);_("$"* \(#,##0.00\);_("$"* "-"??_);_(@_)</c:formatCode>
                <c:ptCount val="66"/>
                <c:pt idx="0">
                  <c:v>158014.99</c:v>
                </c:pt>
                <c:pt idx="1">
                  <c:v>161532.39000000001</c:v>
                </c:pt>
                <c:pt idx="2">
                  <c:v>164875.66</c:v>
                </c:pt>
                <c:pt idx="3">
                  <c:v>168057.84</c:v>
                </c:pt>
                <c:pt idx="4">
                  <c:v>171090.99</c:v>
                </c:pt>
                <c:pt idx="5">
                  <c:v>173986.35</c:v>
                </c:pt>
                <c:pt idx="6">
                  <c:v>176754.21</c:v>
                </c:pt>
                <c:pt idx="7">
                  <c:v>179404.25</c:v>
                </c:pt>
                <c:pt idx="8">
                  <c:v>181945.35</c:v>
                </c:pt>
                <c:pt idx="9">
                  <c:v>184387</c:v>
                </c:pt>
                <c:pt idx="10">
                  <c:v>186735</c:v>
                </c:pt>
                <c:pt idx="11">
                  <c:v>188996</c:v>
                </c:pt>
                <c:pt idx="12">
                  <c:v>161974</c:v>
                </c:pt>
                <c:pt idx="13">
                  <c:v>168672</c:v>
                </c:pt>
                <c:pt idx="14">
                  <c:v>173317</c:v>
                </c:pt>
                <c:pt idx="15">
                  <c:v>179848</c:v>
                </c:pt>
                <c:pt idx="16">
                  <c:v>186314</c:v>
                </c:pt>
                <c:pt idx="17">
                  <c:v>186314</c:v>
                </c:pt>
                <c:pt idx="18">
                  <c:v>193538</c:v>
                </c:pt>
                <c:pt idx="19">
                  <c:v>195772</c:v>
                </c:pt>
                <c:pt idx="20">
                  <c:v>198174</c:v>
                </c:pt>
                <c:pt idx="21">
                  <c:v>200502</c:v>
                </c:pt>
                <c:pt idx="22">
                  <c:v>202511</c:v>
                </c:pt>
                <c:pt idx="23">
                  <c:v>204456</c:v>
                </c:pt>
                <c:pt idx="24">
                  <c:v>192432.91999999998</c:v>
                </c:pt>
                <c:pt idx="25">
                  <c:v>194192.7</c:v>
                </c:pt>
                <c:pt idx="26">
                  <c:v>195645.5</c:v>
                </c:pt>
                <c:pt idx="27">
                  <c:v>197205.36</c:v>
                </c:pt>
                <c:pt idx="28">
                  <c:v>198573.69999999998</c:v>
                </c:pt>
                <c:pt idx="29">
                  <c:v>199413.81</c:v>
                </c:pt>
                <c:pt idx="30">
                  <c:v>200221.41999999998</c:v>
                </c:pt>
                <c:pt idx="31">
                  <c:v>201000.06</c:v>
                </c:pt>
                <c:pt idx="32">
                  <c:v>201753.09</c:v>
                </c:pt>
                <c:pt idx="33">
                  <c:v>202377.4</c:v>
                </c:pt>
                <c:pt idx="34">
                  <c:v>202989.55</c:v>
                </c:pt>
                <c:pt idx="35">
                  <c:v>203591.88</c:v>
                </c:pt>
                <c:pt idx="36">
                  <c:v>203520.35</c:v>
                </c:pt>
                <c:pt idx="37">
                  <c:v>204691.49</c:v>
                </c:pt>
                <c:pt idx="38">
                  <c:v>205864.46</c:v>
                </c:pt>
                <c:pt idx="39">
                  <c:v>208060.2</c:v>
                </c:pt>
                <c:pt idx="40">
                  <c:v>208215.88</c:v>
                </c:pt>
                <c:pt idx="41">
                  <c:v>208371.71</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tx1">
                <a:lumMod val="50000"/>
                <a:lumOff val="50000"/>
              </a:schemeClr>
            </a:solidFill>
            <a:ln w="25400">
              <a:solidFill>
                <a:schemeClr val="tx1"/>
              </a:solidFill>
            </a:ln>
            <a:effectLst/>
          </c:spPr>
          <c:cat>
            <c:numRef>
              <c:f>INPUT!$S$5:$S$70</c:f>
              <c:numCache>
                <c:formatCode>mm/dd/yyyy;@</c:formatCode>
                <c:ptCount val="66"/>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numCache>
            </c:numRef>
          </c:cat>
          <c:val>
            <c:numRef>
              <c:f>INPUT!$W$5:$W$70</c:f>
              <c:numCache>
                <c:formatCode>_("$"* #,##0.00_);_("$"* \(#,##0.00\);_("$"* "-"??_);_(@_)</c:formatCode>
                <c:ptCount val="66"/>
                <c:pt idx="0">
                  <c:v>98241.78</c:v>
                </c:pt>
                <c:pt idx="1">
                  <c:v>98175.43</c:v>
                </c:pt>
                <c:pt idx="2">
                  <c:v>105983.63</c:v>
                </c:pt>
                <c:pt idx="3">
                  <c:v>97138.25</c:v>
                </c:pt>
                <c:pt idx="4">
                  <c:v>100073.67</c:v>
                </c:pt>
                <c:pt idx="5">
                  <c:v>101659.26999999999</c:v>
                </c:pt>
                <c:pt idx="6">
                  <c:v>101747.23000000001</c:v>
                </c:pt>
                <c:pt idx="7">
                  <c:v>112900.42000000001</c:v>
                </c:pt>
                <c:pt idx="8">
                  <c:v>103064.88999999998</c:v>
                </c:pt>
                <c:pt idx="9">
                  <c:v>120764.96</c:v>
                </c:pt>
                <c:pt idx="10">
                  <c:v>136400.09</c:v>
                </c:pt>
                <c:pt idx="11">
                  <c:v>232636.97</c:v>
                </c:pt>
                <c:pt idx="12">
                  <c:v>117234.86000000002</c:v>
                </c:pt>
                <c:pt idx="13">
                  <c:v>112318.66000000002</c:v>
                </c:pt>
                <c:pt idx="14">
                  <c:v>106527.26999999999</c:v>
                </c:pt>
                <c:pt idx="15">
                  <c:v>112702.08</c:v>
                </c:pt>
                <c:pt idx="16">
                  <c:v>115763.16999999998</c:v>
                </c:pt>
                <c:pt idx="17">
                  <c:v>110023.82</c:v>
                </c:pt>
                <c:pt idx="18">
                  <c:v>117838.1</c:v>
                </c:pt>
                <c:pt idx="19">
                  <c:v>130796.93</c:v>
                </c:pt>
                <c:pt idx="20">
                  <c:v>110397.27</c:v>
                </c:pt>
                <c:pt idx="21">
                  <c:v>123607.27000000002</c:v>
                </c:pt>
                <c:pt idx="22">
                  <c:v>125682.57999999999</c:v>
                </c:pt>
                <c:pt idx="23">
                  <c:v>122025.29</c:v>
                </c:pt>
                <c:pt idx="24">
                  <c:v>121745.62</c:v>
                </c:pt>
                <c:pt idx="25">
                  <c:v>147805.49</c:v>
                </c:pt>
                <c:pt idx="26">
                  <c:v>125256.32000000001</c:v>
                </c:pt>
                <c:pt idx="27">
                  <c:v>119704.06999999999</c:v>
                </c:pt>
                <c:pt idx="28">
                  <c:v>155552.60999999999</c:v>
                </c:pt>
                <c:pt idx="29">
                  <c:v>123180.03</c:v>
                </c:pt>
                <c:pt idx="30">
                  <c:v>120551.5</c:v>
                </c:pt>
                <c:pt idx="31">
                  <c:v>202553.01</c:v>
                </c:pt>
                <c:pt idx="32">
                  <c:v>123092.68</c:v>
                </c:pt>
                <c:pt idx="33">
                  <c:v>122619.32</c:v>
                </c:pt>
                <c:pt idx="34">
                  <c:v>132768.00999999998</c:v>
                </c:pt>
                <c:pt idx="35">
                  <c:v>99778.610000000015</c:v>
                </c:pt>
                <c:pt idx="36">
                  <c:v>128525.3</c:v>
                </c:pt>
                <c:pt idx="37">
                  <c:v>141708.39000000001</c:v>
                </c:pt>
                <c:pt idx="38">
                  <c:v>133397.77000000002</c:v>
                </c:pt>
                <c:pt idx="39">
                  <c:v>134296.15000000002</c:v>
                </c:pt>
                <c:pt idx="40">
                  <c:v>135117.56</c:v>
                </c:pt>
                <c:pt idx="41">
                  <c:v>138873.04999999999</c:v>
                </c:pt>
              </c:numCache>
            </c:numRef>
          </c:val>
          <c:extLst>
            <c:ext xmlns:c16="http://schemas.microsoft.com/office/drawing/2014/chart" uri="{C3380CC4-5D6E-409C-BE32-E72D297353CC}">
              <c16:uniqueId val="{00000000-5D89-4E40-9E31-23569637780C}"/>
            </c:ext>
          </c:extLst>
        </c:ser>
        <c:ser>
          <c:idx val="1"/>
          <c:order val="1"/>
          <c:spPr>
            <a:solidFill>
              <a:schemeClr val="accent1">
                <a:lumMod val="20000"/>
                <a:lumOff val="80000"/>
                <a:alpha val="60000"/>
              </a:schemeClr>
            </a:solidFill>
            <a:ln w="25400">
              <a:solidFill>
                <a:schemeClr val="accent1">
                  <a:lumMod val="50000"/>
                </a:schemeClr>
              </a:solidFill>
            </a:ln>
            <a:effectLst/>
          </c:spPr>
          <c:cat>
            <c:numRef>
              <c:f>INPUT!$S$5:$S$70</c:f>
              <c:numCache>
                <c:formatCode>mm/dd/yyyy;@</c:formatCode>
                <c:ptCount val="66"/>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numCache>
            </c:numRef>
          </c:cat>
          <c:val>
            <c:numRef>
              <c:f>INPUT!$X$5:$X$70</c:f>
              <c:numCache>
                <c:formatCode>_("$"* #,##0.00_);_("$"* \(#,##0.00\);_("$"* "-"??_);_(@_)</c:formatCode>
                <c:ptCount val="66"/>
                <c:pt idx="0">
                  <c:v>99540.11</c:v>
                </c:pt>
                <c:pt idx="1">
                  <c:v>99645.63</c:v>
                </c:pt>
                <c:pt idx="2">
                  <c:v>99745.93</c:v>
                </c:pt>
                <c:pt idx="3">
                  <c:v>100556.41</c:v>
                </c:pt>
                <c:pt idx="4">
                  <c:v>100647.4</c:v>
                </c:pt>
                <c:pt idx="5">
                  <c:v>100734.26000000001</c:v>
                </c:pt>
                <c:pt idx="6">
                  <c:v>100817.3</c:v>
                </c:pt>
                <c:pt idx="7">
                  <c:v>100896.8</c:v>
                </c:pt>
                <c:pt idx="8">
                  <c:v>100973.03</c:v>
                </c:pt>
                <c:pt idx="9">
                  <c:v>101049</c:v>
                </c:pt>
                <c:pt idx="10">
                  <c:v>101119</c:v>
                </c:pt>
                <c:pt idx="11">
                  <c:v>101187</c:v>
                </c:pt>
                <c:pt idx="12">
                  <c:v>107878</c:v>
                </c:pt>
                <c:pt idx="13">
                  <c:v>108079</c:v>
                </c:pt>
                <c:pt idx="14">
                  <c:v>108228</c:v>
                </c:pt>
                <c:pt idx="15">
                  <c:v>108951</c:v>
                </c:pt>
                <c:pt idx="16">
                  <c:v>109145</c:v>
                </c:pt>
                <c:pt idx="17">
                  <c:v>109145</c:v>
                </c:pt>
                <c:pt idx="18">
                  <c:v>109362</c:v>
                </c:pt>
                <c:pt idx="19">
                  <c:v>109429</c:v>
                </c:pt>
                <c:pt idx="20">
                  <c:v>109501</c:v>
                </c:pt>
                <c:pt idx="21">
                  <c:v>109571</c:v>
                </c:pt>
                <c:pt idx="22">
                  <c:v>109631</c:v>
                </c:pt>
                <c:pt idx="23">
                  <c:v>109690</c:v>
                </c:pt>
                <c:pt idx="24">
                  <c:v>138482.73000000001</c:v>
                </c:pt>
                <c:pt idx="25">
                  <c:v>133157.32</c:v>
                </c:pt>
                <c:pt idx="26">
                  <c:v>131900.20000000001</c:v>
                </c:pt>
                <c:pt idx="27">
                  <c:v>131946.99000000002</c:v>
                </c:pt>
                <c:pt idx="28">
                  <c:v>138653.45000000001</c:v>
                </c:pt>
                <c:pt idx="29">
                  <c:v>138678.65</c:v>
                </c:pt>
                <c:pt idx="30">
                  <c:v>138702.88</c:v>
                </c:pt>
                <c:pt idx="31">
                  <c:v>138713.74000000002</c:v>
                </c:pt>
                <c:pt idx="32">
                  <c:v>138748.83000000002</c:v>
                </c:pt>
                <c:pt idx="33">
                  <c:v>138767.56</c:v>
                </c:pt>
                <c:pt idx="34">
                  <c:v>138785.93000000002</c:v>
                </c:pt>
                <c:pt idx="35">
                  <c:v>147349.42000000001</c:v>
                </c:pt>
                <c:pt idx="36">
                  <c:v>142022.78000000003</c:v>
                </c:pt>
                <c:pt idx="37">
                  <c:v>142057.92000000001</c:v>
                </c:pt>
                <c:pt idx="38">
                  <c:v>142268.1</c:v>
                </c:pt>
                <c:pt idx="39">
                  <c:v>142508.98000000001</c:v>
                </c:pt>
                <c:pt idx="40">
                  <c:v>142513.65000000002</c:v>
                </c:pt>
                <c:pt idx="41">
                  <c:v>142518.32</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5.9526947394949264E-2"/>
                  <c:y val="-1.70617066147479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06-4205-A750-8BF518DDDB24}"/>
                </c:ext>
              </c:extLst>
            </c:dLbl>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INPUT!$AD$3:$AD$71</c:f>
              <c:numCache>
                <c:formatCode>mm/dd/yyyy;@</c:formatCode>
                <c:ptCount val="69"/>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INPUT!$AE$3:$AE$71</c:f>
              <c:numCache>
                <c:formatCode>_("$"* #,##0.00_);_("$"* \(#,##0.00\);_("$"* "-"??_);_(@_)</c:formatCode>
                <c:ptCount val="69"/>
                <c:pt idx="0">
                  <c:v>206315.91</c:v>
                </c:pt>
                <c:pt idx="1">
                  <c:v>215322</c:v>
                </c:pt>
                <c:pt idx="2">
                  <c:v>211637.37000000002</c:v>
                </c:pt>
                <c:pt idx="3">
                  <c:v>210691.82</c:v>
                </c:pt>
                <c:pt idx="4">
                  <c:v>210533.09000000003</c:v>
                </c:pt>
                <c:pt idx="5">
                  <c:v>211395.98</c:v>
                </c:pt>
                <c:pt idx="6">
                  <c:v>200749.09</c:v>
                </c:pt>
                <c:pt idx="7">
                  <c:v>201491.08</c:v>
                </c:pt>
                <c:pt idx="8">
                  <c:v>211448.7</c:v>
                </c:pt>
                <c:pt idx="9">
                  <c:v>196723.52</c:v>
                </c:pt>
                <c:pt idx="10">
                  <c:v>208031.21000000002</c:v>
                </c:pt>
                <c:pt idx="11">
                  <c:v>201597.46000000002</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dLbl>
              <c:idx val="10"/>
              <c:layout>
                <c:manualLayout>
                  <c:x val="-5.5761502027262558E-2"/>
                  <c:y val="-1.0975485467988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FA-4B4B-8836-81F20FF171AE}"/>
                </c:ext>
              </c:extLst>
            </c:dLbl>
            <c:dLbl>
              <c:idx val="11"/>
              <c:layout>
                <c:manualLayout>
                  <c:x val="-5.2154976243597634E-2"/>
                  <c:y val="2.15757338369295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06-4205-A750-8BF518DDDB24}"/>
                </c:ext>
              </c:extLst>
            </c:dLbl>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INPUT!$AD$3:$AD$71</c:f>
              <c:numCache>
                <c:formatCode>mm/dd/yyyy;@</c:formatCode>
                <c:ptCount val="69"/>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INPUT!$AF$3:$AF$71</c:f>
              <c:numCache>
                <c:formatCode>_("$"* #,##0.00_);_("$"* \(#,##0.00\);_("$"* "-"??_);_(@_)</c:formatCode>
                <c:ptCount val="69"/>
                <c:pt idx="0">
                  <c:v>192483.61</c:v>
                </c:pt>
                <c:pt idx="1">
                  <c:v>199055</c:v>
                </c:pt>
                <c:pt idx="2">
                  <c:v>192356.12</c:v>
                </c:pt>
                <c:pt idx="3">
                  <c:v>192104.56</c:v>
                </c:pt>
                <c:pt idx="4">
                  <c:v>196894.34000000003</c:v>
                </c:pt>
                <c:pt idx="5">
                  <c:v>198912.42</c:v>
                </c:pt>
                <c:pt idx="6">
                  <c:v>186943.16999999998</c:v>
                </c:pt>
                <c:pt idx="7">
                  <c:v>188542.88999999998</c:v>
                </c:pt>
                <c:pt idx="8">
                  <c:v>200245.44</c:v>
                </c:pt>
                <c:pt idx="9">
                  <c:v>183692.52</c:v>
                </c:pt>
                <c:pt idx="10">
                  <c:v>195715.51</c:v>
                </c:pt>
                <c:pt idx="11">
                  <c:v>155864.87000000002</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240000"/>
          <c:min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INPUT!$AD$3:$AD$71</c:f>
              <c:numCache>
                <c:formatCode>mm/dd/yyyy;@</c:formatCode>
                <c:ptCount val="69"/>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INPUT!$AG$3:$AG$64</c:f>
              <c:numCache>
                <c:formatCode>0.0%</c:formatCode>
                <c:ptCount val="62"/>
                <c:pt idx="0">
                  <c:v>0.93295572794167925</c:v>
                </c:pt>
                <c:pt idx="1">
                  <c:v>0.92445268017202142</c:v>
                </c:pt>
                <c:pt idx="2">
                  <c:v>0.90889487050420237</c:v>
                </c:pt>
                <c:pt idx="3">
                  <c:v>0.91177986881503037</c:v>
                </c:pt>
                <c:pt idx="4">
                  <c:v>0.93521802202209636</c:v>
                </c:pt>
                <c:pt idx="5">
                  <c:v>0.94094703219995013</c:v>
                </c:pt>
                <c:pt idx="6">
                  <c:v>0.9312279821542403</c:v>
                </c:pt>
                <c:pt idx="7">
                  <c:v>0.93573814781279652</c:v>
                </c:pt>
                <c:pt idx="8">
                  <c:v>0.94701665226601062</c:v>
                </c:pt>
                <c:pt idx="9">
                  <c:v>0.93375982698967563</c:v>
                </c:pt>
                <c:pt idx="10">
                  <c:v>0.94079878687433482</c:v>
                </c:pt>
                <c:pt idx="11">
                  <c:v>0.77314897717461328</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2"/>
          <c:min val="0.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INPUT!$AE$3:$AE$14</c:f>
              <c:numCache>
                <c:formatCode>_("$"* #,##0.00_);_("$"* \(#,##0.00\);_("$"* "-"??_);_(@_)</c:formatCode>
                <c:ptCount val="12"/>
                <c:pt idx="0">
                  <c:v>206315.91</c:v>
                </c:pt>
                <c:pt idx="1">
                  <c:v>215322</c:v>
                </c:pt>
                <c:pt idx="2">
                  <c:v>211637.37000000002</c:v>
                </c:pt>
                <c:pt idx="3">
                  <c:v>210691.82</c:v>
                </c:pt>
                <c:pt idx="4">
                  <c:v>210533.09000000003</c:v>
                </c:pt>
                <c:pt idx="5">
                  <c:v>211395.98</c:v>
                </c:pt>
                <c:pt idx="6">
                  <c:v>200749.09</c:v>
                </c:pt>
                <c:pt idx="7">
                  <c:v>201491.08</c:v>
                </c:pt>
                <c:pt idx="8">
                  <c:v>211448.7</c:v>
                </c:pt>
                <c:pt idx="9">
                  <c:v>196723.52</c:v>
                </c:pt>
                <c:pt idx="10">
                  <c:v>208031.21000000002</c:v>
                </c:pt>
                <c:pt idx="11">
                  <c:v>201597.46000000002</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225000"/>
          <c:min val="1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2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29</xdr:col>
      <xdr:colOff>66675</xdr:colOff>
      <xdr:row>15</xdr:row>
      <xdr:rowOff>38100</xdr:rowOff>
    </xdr:from>
    <xdr:to>
      <xdr:col>31</xdr:col>
      <xdr:colOff>838200</xdr:colOff>
      <xdr:row>17</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10</xdr:col>
      <xdr:colOff>728131</xdr:colOff>
      <xdr:row>48</xdr:row>
      <xdr:rowOff>95250</xdr:rowOff>
    </xdr:from>
    <xdr:to>
      <xdr:col>25</xdr:col>
      <xdr:colOff>197906</xdr:colOff>
      <xdr:row>51</xdr:row>
      <xdr:rowOff>19050</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2081931" y="9086850"/>
          <a:ext cx="874712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grpahs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342899</xdr:colOff>
      <xdr:row>19</xdr:row>
      <xdr:rowOff>171450</xdr:rowOff>
    </xdr:from>
    <xdr:to>
      <xdr:col>34</xdr:col>
      <xdr:colOff>9525</xdr:colOff>
      <xdr:row>26</xdr:row>
      <xdr:rowOff>123825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15259049" y="383857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297656</xdr:rowOff>
    </xdr:from>
    <xdr:to>
      <xdr:col>12</xdr:col>
      <xdr:colOff>0</xdr:colOff>
      <xdr:row>20</xdr:row>
      <xdr:rowOff>158749</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13</xdr:col>
      <xdr:colOff>214312</xdr:colOff>
      <xdr:row>21</xdr:row>
      <xdr:rowOff>0</xdr:rowOff>
    </xdr:from>
    <xdr:to>
      <xdr:col>28</xdr:col>
      <xdr:colOff>571500</xdr:colOff>
      <xdr:row>32</xdr:row>
      <xdr:rowOff>238126</xdr:rowOff>
    </xdr:to>
    <xdr:graphicFrame macro="">
      <xdr:nvGraphicFramePr>
        <xdr:cNvPr id="10" name="Chart 9">
          <a:extLst>
            <a:ext uri="{FF2B5EF4-FFF2-40B4-BE49-F238E27FC236}">
              <a16:creationId xmlns:a16="http://schemas.microsoft.com/office/drawing/2014/main" id="{EED3B28D-FBD9-4FC2-B378-1B7D1CBCB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166686</xdr:colOff>
      <xdr:row>20</xdr:row>
      <xdr:rowOff>178594</xdr:rowOff>
    </xdr:from>
    <xdr:to>
      <xdr:col>29</xdr:col>
      <xdr:colOff>565545</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 uri="{147F2762-F138-4A5C-976F-8EAC2B608ADB}">
              <a16:predDERef xmlns:a16="http://schemas.microsoft.com/office/drawing/2014/main" pred="{11934747-DC16-47FA-9FA7-7ED37943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 uri="{147F2762-F138-4A5C-976F-8EAC2B608ADB}">
              <a16:predDERef xmlns:a16="http://schemas.microsoft.com/office/drawing/2014/main" pre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 uri="{147F2762-F138-4A5C-976F-8EAC2B608ADB}">
              <a16:predDERef xmlns:a16="http://schemas.microsoft.com/office/drawing/2014/main" pred="{337BBBF0-9C88-4CC6-8F89-2B5899EBF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 uri="{147F2762-F138-4A5C-976F-8EAC2B608ADB}">
              <a16:predDERef xmlns:a16="http://schemas.microsoft.com/office/drawing/2014/main" pred="{B7E00E45-A33E-4F30-B5B2-8BAD62F3C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 uri="{147F2762-F138-4A5C-976F-8EAC2B608ADB}">
              <a16:predDERef xmlns:a16="http://schemas.microsoft.com/office/drawing/2014/main" pre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7</xdr:row>
      <xdr:rowOff>83342</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F266"/>
  <sheetViews>
    <sheetView tabSelected="1" topLeftCell="A4" zoomScaleNormal="100" workbookViewId="0">
      <selection activeCell="AK22" sqref="AK22"/>
    </sheetView>
  </sheetViews>
  <sheetFormatPr defaultRowHeight="15" x14ac:dyDescent="0.25"/>
  <cols>
    <col min="1" max="1" width="11" customWidth="1"/>
    <col min="2" max="3" width="24.42578125" customWidth="1"/>
    <col min="4" max="4" width="17" customWidth="1"/>
    <col min="5" max="5" width="27" bestFit="1" customWidth="1"/>
    <col min="6" max="11" width="13.28515625" customWidth="1"/>
    <col min="12" max="12" width="4.7109375" customWidth="1"/>
    <col min="13" max="13" width="12" customWidth="1"/>
    <col min="14" max="14" width="10.85546875" style="8" customWidth="1"/>
    <col min="15" max="15" width="3.7109375" customWidth="1"/>
    <col min="16" max="16" width="12" customWidth="1"/>
    <col min="17" max="17" width="10.85546875" style="8" customWidth="1"/>
    <col min="18" max="18" width="2.28515625" customWidth="1"/>
    <col min="19" max="19" width="11.85546875" customWidth="1"/>
    <col min="20" max="21" width="13.42578125" customWidth="1"/>
    <col min="22" max="22" width="2" customWidth="1"/>
    <col min="23" max="24" width="13.42578125" customWidth="1"/>
    <col min="25" max="25" width="1.85546875" customWidth="1"/>
    <col min="26" max="26" width="12.140625" customWidth="1"/>
    <col min="27" max="28" width="15.28515625" bestFit="1" customWidth="1"/>
    <col min="29" max="29" width="1.85546875" customWidth="1"/>
    <col min="30" max="30" width="12.140625" customWidth="1"/>
    <col min="31" max="32" width="13.85546875" customWidth="1"/>
    <col min="33" max="33" width="11.140625" bestFit="1" customWidth="1"/>
    <col min="34" max="34" width="2.28515625" customWidth="1"/>
    <col min="35" max="35" width="10.7109375" bestFit="1" customWidth="1"/>
    <col min="36" max="36" width="12.5703125" bestFit="1" customWidth="1"/>
    <col min="37" max="37" width="7" bestFit="1" customWidth="1"/>
    <col min="38" max="38" width="6.5703125" customWidth="1"/>
    <col min="39" max="39" width="10.7109375" bestFit="1" customWidth="1"/>
    <col min="40" max="41" width="13" customWidth="1"/>
    <col min="42" max="42" width="12.42578125" customWidth="1"/>
    <col min="43" max="44" width="13.140625" customWidth="1"/>
    <col min="46" max="48" width="16.42578125" customWidth="1"/>
  </cols>
  <sheetData>
    <row r="1" spans="1:58" ht="18" customHeight="1" x14ac:dyDescent="0.3">
      <c r="A1" s="103" t="s">
        <v>0</v>
      </c>
      <c r="B1" s="103"/>
      <c r="C1" s="103"/>
      <c r="D1" s="92"/>
      <c r="E1" s="48" t="s">
        <v>1</v>
      </c>
      <c r="F1" s="104" t="s">
        <v>121</v>
      </c>
      <c r="G1" s="105"/>
      <c r="H1" s="104" t="s">
        <v>2</v>
      </c>
      <c r="I1" s="105"/>
      <c r="J1" s="104" t="s">
        <v>3</v>
      </c>
      <c r="K1" s="105"/>
      <c r="L1" s="49"/>
      <c r="M1" s="102" t="s">
        <v>4</v>
      </c>
      <c r="N1" s="102"/>
      <c r="O1" s="50"/>
      <c r="P1" s="102" t="s">
        <v>5</v>
      </c>
      <c r="Q1" s="102"/>
      <c r="R1" s="50"/>
      <c r="S1" s="102" t="s">
        <v>6</v>
      </c>
      <c r="T1" s="102"/>
      <c r="U1" s="102"/>
      <c r="V1" s="50"/>
      <c r="W1" s="102" t="s">
        <v>7</v>
      </c>
      <c r="X1" s="102"/>
      <c r="Y1" s="50"/>
      <c r="Z1" s="102" t="s">
        <v>8</v>
      </c>
      <c r="AA1" s="102"/>
      <c r="AB1" s="102"/>
      <c r="AC1" s="50"/>
      <c r="AD1" s="99" t="s">
        <v>9</v>
      </c>
      <c r="AE1" s="100"/>
      <c r="AF1" s="100"/>
      <c r="AG1" s="101"/>
      <c r="AH1" s="50"/>
      <c r="AI1" s="102" t="s">
        <v>10</v>
      </c>
      <c r="AJ1" s="102"/>
      <c r="AK1" s="102"/>
      <c r="AL1" s="102"/>
      <c r="AM1" s="102"/>
      <c r="AN1" s="102"/>
      <c r="AO1" s="102"/>
      <c r="AP1" s="99" t="s">
        <v>10</v>
      </c>
      <c r="AQ1" s="100"/>
      <c r="AR1" s="101"/>
      <c r="AT1" s="99" t="s">
        <v>11</v>
      </c>
      <c r="AU1" s="100"/>
      <c r="AV1" s="101"/>
    </row>
    <row r="2" spans="1:58" ht="14.25" customHeight="1" x14ac:dyDescent="0.25">
      <c r="A2" s="107" t="s">
        <v>12</v>
      </c>
      <c r="B2" s="107"/>
      <c r="C2" s="2">
        <v>45880</v>
      </c>
      <c r="E2" t="s">
        <v>6</v>
      </c>
      <c r="F2" s="36" t="s">
        <v>13</v>
      </c>
      <c r="G2" s="36" t="s">
        <v>14</v>
      </c>
      <c r="H2" s="36" t="s">
        <v>13</v>
      </c>
      <c r="I2" s="36" t="s">
        <v>14</v>
      </c>
      <c r="J2" s="36" t="s">
        <v>13</v>
      </c>
      <c r="K2" s="36" t="s">
        <v>14</v>
      </c>
      <c r="M2" s="6">
        <v>44501</v>
      </c>
      <c r="N2" s="7">
        <v>0.91100000000000003</v>
      </c>
      <c r="P2" s="6">
        <v>44562</v>
      </c>
      <c r="Q2" s="7">
        <v>0.5</v>
      </c>
      <c r="S2" s="91" t="s">
        <v>12</v>
      </c>
      <c r="T2" s="91" t="s">
        <v>13</v>
      </c>
      <c r="U2" s="91" t="s">
        <v>14</v>
      </c>
      <c r="V2" s="37"/>
      <c r="W2" s="91" t="s">
        <v>13</v>
      </c>
      <c r="X2" s="91" t="s">
        <v>14</v>
      </c>
      <c r="Y2" s="37"/>
      <c r="Z2" s="106" t="s">
        <v>15</v>
      </c>
      <c r="AA2" s="106"/>
      <c r="AB2" s="106"/>
      <c r="AC2" s="37"/>
      <c r="AD2" s="91" t="s">
        <v>16</v>
      </c>
      <c r="AE2" s="91" t="s">
        <v>17</v>
      </c>
      <c r="AF2" s="91" t="s">
        <v>18</v>
      </c>
      <c r="AG2" s="91" t="s">
        <v>19</v>
      </c>
      <c r="AH2" s="37"/>
      <c r="AI2" s="91" t="s">
        <v>20</v>
      </c>
      <c r="AJ2" s="91" t="s">
        <v>21</v>
      </c>
      <c r="AK2" s="91" t="s">
        <v>22</v>
      </c>
      <c r="AL2" s="79" t="s">
        <v>23</v>
      </c>
      <c r="AM2" s="91" t="s">
        <v>24</v>
      </c>
      <c r="AN2" s="79" t="s">
        <v>25</v>
      </c>
      <c r="AO2" s="79" t="s">
        <v>26</v>
      </c>
      <c r="AP2" s="91" t="s">
        <v>16</v>
      </c>
      <c r="AQ2" s="91" t="s">
        <v>25</v>
      </c>
      <c r="AR2" s="91" t="s">
        <v>26</v>
      </c>
      <c r="AT2" s="91" t="s">
        <v>16</v>
      </c>
      <c r="AU2" s="91" t="s">
        <v>27</v>
      </c>
      <c r="AV2" s="91" t="s">
        <v>28</v>
      </c>
    </row>
    <row r="3" spans="1:58" ht="14.25" customHeight="1" x14ac:dyDescent="0.25">
      <c r="A3" s="107" t="s">
        <v>29</v>
      </c>
      <c r="B3" s="107"/>
      <c r="C3" s="88" t="s">
        <v>30</v>
      </c>
      <c r="E3" t="s">
        <v>31</v>
      </c>
      <c r="F3" s="28">
        <v>136823.41</v>
      </c>
      <c r="G3" s="28">
        <v>175949.21</v>
      </c>
      <c r="H3" s="28">
        <v>187631.29</v>
      </c>
      <c r="I3" s="28">
        <v>175793.38</v>
      </c>
      <c r="J3" s="28">
        <f>171749.33+12767.8</f>
        <v>184517.12999999998</v>
      </c>
      <c r="K3" s="28">
        <f>186830.76-11193.06</f>
        <v>175637.7</v>
      </c>
      <c r="M3" s="6">
        <v>44531</v>
      </c>
      <c r="N3" s="7">
        <v>0.92700000000000005</v>
      </c>
      <c r="P3" s="6">
        <v>44593</v>
      </c>
      <c r="Q3" s="7">
        <v>0</v>
      </c>
      <c r="S3" s="6">
        <v>44501</v>
      </c>
      <c r="T3" s="28">
        <v>168404</v>
      </c>
      <c r="U3" s="28">
        <v>157806</v>
      </c>
      <c r="W3" s="28">
        <v>103537</v>
      </c>
      <c r="X3" s="28">
        <v>95887</v>
      </c>
      <c r="Z3" s="6">
        <v>45854</v>
      </c>
      <c r="AA3" s="28">
        <v>440625.75</v>
      </c>
      <c r="AB3" s="28">
        <v>427212.89</v>
      </c>
      <c r="AD3" s="6">
        <v>45536</v>
      </c>
      <c r="AE3" s="28">
        <v>206315.91</v>
      </c>
      <c r="AF3" s="28">
        <v>192483.61</v>
      </c>
      <c r="AG3" s="8">
        <f>IFERROR(AF3/AE3,"")</f>
        <v>0.93295572794167925</v>
      </c>
      <c r="AI3" s="6" t="s">
        <v>32</v>
      </c>
      <c r="AJ3" s="28" t="s">
        <v>33</v>
      </c>
      <c r="AK3" s="38">
        <v>26</v>
      </c>
      <c r="AL3" s="72">
        <v>20</v>
      </c>
      <c r="AM3" s="38">
        <v>680</v>
      </c>
      <c r="AN3" s="28">
        <v>1419.19</v>
      </c>
      <c r="AO3" s="28">
        <v>1429.9</v>
      </c>
      <c r="AP3" s="6">
        <f t="shared" ref="AP3:AP13" si="0">DATE(YEAR(AP4),MONTH(AP4)-1,DAY(1))</f>
        <v>45505</v>
      </c>
      <c r="AQ3" s="28">
        <v>1598.59</v>
      </c>
      <c r="AR3" s="28">
        <v>1585.99</v>
      </c>
      <c r="AT3" s="6">
        <v>45044</v>
      </c>
      <c r="AU3" s="76">
        <v>9</v>
      </c>
      <c r="AV3" s="76">
        <v>18</v>
      </c>
    </row>
    <row r="4" spans="1:58" ht="14.25" customHeight="1" x14ac:dyDescent="0.25">
      <c r="A4" s="107" t="s">
        <v>34</v>
      </c>
      <c r="B4" s="107"/>
      <c r="C4" s="88" t="s">
        <v>35</v>
      </c>
      <c r="E4" t="s">
        <v>36</v>
      </c>
      <c r="F4" s="28">
        <v>22754.15</v>
      </c>
      <c r="G4" s="28">
        <v>32422.5</v>
      </c>
      <c r="H4" s="28">
        <v>35507.129999999997</v>
      </c>
      <c r="I4" s="28">
        <v>32422.5</v>
      </c>
      <c r="J4" s="28">
        <v>29773.78</v>
      </c>
      <c r="K4" s="28">
        <v>32422.5</v>
      </c>
      <c r="M4" s="6">
        <v>44562</v>
      </c>
      <c r="N4" s="7">
        <v>0.94099999999999995</v>
      </c>
      <c r="P4" s="6">
        <v>44621</v>
      </c>
      <c r="Q4" s="7">
        <v>0.3</v>
      </c>
      <c r="S4" s="6">
        <v>44531</v>
      </c>
      <c r="T4" s="28">
        <v>162343.22999999998</v>
      </c>
      <c r="U4" s="28">
        <v>158690.63</v>
      </c>
      <c r="W4" s="28">
        <v>111436.84000000001</v>
      </c>
      <c r="X4" s="28">
        <v>95913.709999999992</v>
      </c>
      <c r="Z4" s="36" t="s">
        <v>16</v>
      </c>
      <c r="AA4" s="36" t="s">
        <v>37</v>
      </c>
      <c r="AB4" s="36" t="s">
        <v>38</v>
      </c>
      <c r="AC4" s="29"/>
      <c r="AD4" s="6">
        <v>45566</v>
      </c>
      <c r="AE4" s="28">
        <v>215322</v>
      </c>
      <c r="AF4" s="28">
        <v>199055</v>
      </c>
      <c r="AG4" s="8">
        <f t="shared" ref="AG4:AG13" si="1">IFERROR(AF4/AE4,"")</f>
        <v>0.92445268017202142</v>
      </c>
      <c r="AH4" s="29"/>
      <c r="AI4" s="6" t="s">
        <v>39</v>
      </c>
      <c r="AJ4" s="28" t="s">
        <v>40</v>
      </c>
      <c r="AK4" s="38">
        <v>8</v>
      </c>
      <c r="AL4" s="72">
        <v>7</v>
      </c>
      <c r="AM4" s="38">
        <v>680</v>
      </c>
      <c r="AN4" s="28">
        <v>1611.5</v>
      </c>
      <c r="AO4" s="28">
        <v>1602.28</v>
      </c>
      <c r="AP4" s="6">
        <f t="shared" si="0"/>
        <v>45536</v>
      </c>
      <c r="AQ4" s="28">
        <v>1623.59</v>
      </c>
      <c r="AR4" s="28">
        <v>1596.83</v>
      </c>
      <c r="AT4" s="6">
        <f>AT3+7</f>
        <v>45051</v>
      </c>
      <c r="AU4" s="76">
        <v>2</v>
      </c>
      <c r="AV4" s="76">
        <v>16</v>
      </c>
      <c r="AW4" s="29"/>
      <c r="AX4" s="29"/>
      <c r="AY4" s="29"/>
      <c r="AZ4" s="29"/>
      <c r="BA4" s="29"/>
      <c r="BB4" s="29"/>
      <c r="BC4" s="29"/>
      <c r="BD4" s="29"/>
      <c r="BE4" s="29"/>
      <c r="BF4" s="29"/>
    </row>
    <row r="5" spans="1:58" ht="14.25" customHeight="1" x14ac:dyDescent="0.25">
      <c r="A5" s="107" t="s">
        <v>41</v>
      </c>
      <c r="B5" s="107"/>
      <c r="C5" s="88">
        <v>121</v>
      </c>
      <c r="E5" s="49" t="s">
        <v>42</v>
      </c>
      <c r="F5" s="51">
        <f>SUM(F3:F4)</f>
        <v>159577.56</v>
      </c>
      <c r="G5" s="51">
        <f t="shared" ref="G5" si="2">SUM(G3:G4)</f>
        <v>208371.71</v>
      </c>
      <c r="H5" s="51">
        <f>SUM(H3:H4)</f>
        <v>223138.42</v>
      </c>
      <c r="I5" s="51">
        <f t="shared" ref="I5" si="3">SUM(I3:I4)</f>
        <v>208215.88</v>
      </c>
      <c r="J5" s="51">
        <f>SUM(J3:J4)</f>
        <v>214290.90999999997</v>
      </c>
      <c r="K5" s="51">
        <f t="shared" ref="K5" si="4">SUM(K3:K4)</f>
        <v>208060.2</v>
      </c>
      <c r="M5" s="6">
        <v>44593</v>
      </c>
      <c r="N5" s="7">
        <v>0.94599999999999995</v>
      </c>
      <c r="P5" s="6">
        <v>44652</v>
      </c>
      <c r="Q5" s="7">
        <v>0.1</v>
      </c>
      <c r="S5" s="6">
        <v>44562</v>
      </c>
      <c r="T5" s="28">
        <v>166489.99</v>
      </c>
      <c r="U5" s="28">
        <v>158014.99</v>
      </c>
      <c r="W5" s="28">
        <v>98241.78</v>
      </c>
      <c r="X5" s="28">
        <v>99540.11</v>
      </c>
      <c r="Z5" s="6">
        <v>44753</v>
      </c>
      <c r="AA5" s="28">
        <v>399423.12</v>
      </c>
      <c r="AB5" s="28">
        <v>365743.58999999997</v>
      </c>
      <c r="AC5" s="29"/>
      <c r="AD5" s="6">
        <v>45597</v>
      </c>
      <c r="AE5" s="28">
        <v>211637.37000000002</v>
      </c>
      <c r="AF5" s="28">
        <v>192356.12</v>
      </c>
      <c r="AG5" s="8">
        <f t="shared" si="1"/>
        <v>0.90889487050420237</v>
      </c>
      <c r="AH5" s="29"/>
      <c r="AI5" s="6" t="s">
        <v>43</v>
      </c>
      <c r="AJ5" s="28" t="s">
        <v>44</v>
      </c>
      <c r="AK5" s="38">
        <v>2</v>
      </c>
      <c r="AL5" s="72">
        <v>2</v>
      </c>
      <c r="AM5" s="38">
        <v>680</v>
      </c>
      <c r="AN5" s="28">
        <v>1574</v>
      </c>
      <c r="AO5" s="28">
        <v>1586.5</v>
      </c>
      <c r="AP5" s="6">
        <f t="shared" si="0"/>
        <v>45566</v>
      </c>
      <c r="AQ5" s="28">
        <v>1623.59</v>
      </c>
      <c r="AR5" s="28">
        <v>1603.33</v>
      </c>
      <c r="AT5" s="6">
        <f>AT4+7</f>
        <v>45058</v>
      </c>
      <c r="AU5" s="76">
        <v>7</v>
      </c>
      <c r="AV5" s="76">
        <v>19</v>
      </c>
      <c r="AW5" s="29"/>
      <c r="AX5" s="29"/>
      <c r="AY5" s="29"/>
      <c r="AZ5" s="29"/>
      <c r="BA5" s="29"/>
      <c r="BB5" s="29"/>
      <c r="BC5" s="29"/>
      <c r="BD5" s="29"/>
      <c r="BE5" s="29"/>
      <c r="BF5" s="29"/>
    </row>
    <row r="6" spans="1:58" ht="14.25" customHeight="1" x14ac:dyDescent="0.25">
      <c r="A6" s="107" t="s">
        <v>45</v>
      </c>
      <c r="B6" s="107"/>
      <c r="C6" s="2">
        <f>DATE-1</f>
        <v>45879</v>
      </c>
      <c r="M6" s="6">
        <v>44621</v>
      </c>
      <c r="N6" s="7">
        <v>0.93789999999999996</v>
      </c>
      <c r="P6" s="6">
        <v>44682</v>
      </c>
      <c r="Q6" s="7">
        <v>0.55600000000000005</v>
      </c>
      <c r="S6" s="6">
        <v>44593</v>
      </c>
      <c r="T6" s="28">
        <v>161795.76999999999</v>
      </c>
      <c r="U6" s="28">
        <v>161532.39000000001</v>
      </c>
      <c r="W6" s="28">
        <v>98175.43</v>
      </c>
      <c r="X6" s="28">
        <v>99645.63</v>
      </c>
      <c r="Z6" s="6">
        <v>44788</v>
      </c>
      <c r="AA6" s="28">
        <v>369955.8</v>
      </c>
      <c r="AB6" s="28">
        <v>328609.59999999998</v>
      </c>
      <c r="AD6" s="6">
        <v>45627</v>
      </c>
      <c r="AE6" s="28">
        <v>210691.82</v>
      </c>
      <c r="AF6" s="28">
        <v>192104.56</v>
      </c>
      <c r="AG6" s="8">
        <f t="shared" si="1"/>
        <v>0.91177986881503037</v>
      </c>
      <c r="AI6" s="6" t="s">
        <v>46</v>
      </c>
      <c r="AJ6" s="28" t="s">
        <v>47</v>
      </c>
      <c r="AK6" s="38">
        <v>25</v>
      </c>
      <c r="AL6" s="72">
        <v>18</v>
      </c>
      <c r="AM6" s="38">
        <v>680</v>
      </c>
      <c r="AN6" s="28">
        <v>1572</v>
      </c>
      <c r="AO6" s="28">
        <v>1561.5</v>
      </c>
      <c r="AP6" s="6">
        <f t="shared" si="0"/>
        <v>45597</v>
      </c>
      <c r="AQ6" s="28">
        <v>1623.59</v>
      </c>
      <c r="AR6" s="28">
        <v>1625.7</v>
      </c>
      <c r="AT6" s="6">
        <f t="shared" ref="AT6:AT68" si="5">AT5+7</f>
        <v>45065</v>
      </c>
      <c r="AU6" s="76">
        <v>22.3</v>
      </c>
      <c r="AV6" s="76">
        <v>3</v>
      </c>
    </row>
    <row r="7" spans="1:58" ht="14.25" customHeight="1" x14ac:dyDescent="0.25">
      <c r="A7" s="90"/>
      <c r="B7" s="90"/>
      <c r="E7" t="s">
        <v>48</v>
      </c>
      <c r="F7" t="s">
        <v>13</v>
      </c>
      <c r="G7" t="s">
        <v>14</v>
      </c>
      <c r="H7" t="s">
        <v>13</v>
      </c>
      <c r="I7" t="s">
        <v>14</v>
      </c>
      <c r="J7" t="s">
        <v>13</v>
      </c>
      <c r="K7" t="s">
        <v>14</v>
      </c>
      <c r="M7" s="6">
        <v>44652</v>
      </c>
      <c r="N7" s="7">
        <v>0.91220000000000001</v>
      </c>
      <c r="P7" s="6">
        <v>44713</v>
      </c>
      <c r="Q7" s="7">
        <v>7.6999999999999999E-2</v>
      </c>
      <c r="S7" s="6">
        <v>44621</v>
      </c>
      <c r="T7" s="28">
        <v>166808.13</v>
      </c>
      <c r="U7" s="28">
        <v>164875.66</v>
      </c>
      <c r="W7" s="28">
        <v>105983.63</v>
      </c>
      <c r="X7" s="28">
        <v>99745.93</v>
      </c>
      <c r="Z7" s="6">
        <v>44819</v>
      </c>
      <c r="AA7" s="28">
        <v>425991.85</v>
      </c>
      <c r="AB7" s="28">
        <v>406054.77999999997</v>
      </c>
      <c r="AD7" s="6">
        <v>45658</v>
      </c>
      <c r="AE7" s="28">
        <v>210533.09000000003</v>
      </c>
      <c r="AF7" s="28">
        <v>196894.34000000003</v>
      </c>
      <c r="AG7" s="8">
        <f t="shared" si="1"/>
        <v>0.93521802202209636</v>
      </c>
      <c r="AI7" s="6" t="s">
        <v>49</v>
      </c>
      <c r="AJ7" s="28" t="s">
        <v>50</v>
      </c>
      <c r="AK7" s="38">
        <v>16</v>
      </c>
      <c r="AL7" s="72">
        <v>15</v>
      </c>
      <c r="AM7" s="38">
        <v>864</v>
      </c>
      <c r="AN7" s="28">
        <v>1636.5</v>
      </c>
      <c r="AO7" s="28">
        <v>1581.97</v>
      </c>
      <c r="AP7" s="6">
        <f t="shared" si="0"/>
        <v>45627</v>
      </c>
      <c r="AQ7" s="28">
        <v>1623.59</v>
      </c>
      <c r="AR7" s="28">
        <v>1617.9</v>
      </c>
      <c r="AT7" s="6">
        <f t="shared" si="5"/>
        <v>45072</v>
      </c>
      <c r="AU7" s="76">
        <v>20</v>
      </c>
      <c r="AV7" s="76">
        <v>2</v>
      </c>
    </row>
    <row r="8" spans="1:58" ht="14.25" customHeight="1" x14ac:dyDescent="0.25">
      <c r="A8" s="107" t="s">
        <v>51</v>
      </c>
      <c r="B8" s="107"/>
      <c r="C8" s="88">
        <f>95+0+10</f>
        <v>105</v>
      </c>
      <c r="E8" t="s">
        <v>52</v>
      </c>
      <c r="F8" s="28">
        <v>12961.89</v>
      </c>
      <c r="G8" s="28">
        <v>15112.62</v>
      </c>
      <c r="H8" s="28">
        <v>13956.31</v>
      </c>
      <c r="I8" s="28">
        <v>15112.62</v>
      </c>
      <c r="J8" s="28">
        <v>10524.39</v>
      </c>
      <c r="K8" s="28">
        <v>15112.62</v>
      </c>
      <c r="M8" s="6">
        <v>44682</v>
      </c>
      <c r="N8" s="7">
        <v>0.89139999999999997</v>
      </c>
      <c r="P8" s="6">
        <v>44743</v>
      </c>
      <c r="Q8" s="7">
        <v>0.23499999999999999</v>
      </c>
      <c r="S8" s="6">
        <v>44652</v>
      </c>
      <c r="T8" s="28">
        <v>155713.48000000001</v>
      </c>
      <c r="U8" s="28">
        <v>168057.84</v>
      </c>
      <c r="W8" s="28">
        <v>97138.25</v>
      </c>
      <c r="X8" s="28">
        <v>100556.41</v>
      </c>
      <c r="Z8" s="6">
        <v>44840</v>
      </c>
      <c r="AA8" s="28">
        <v>394120.31</v>
      </c>
      <c r="AB8" s="28">
        <v>188246.77000000002</v>
      </c>
      <c r="AD8" s="6">
        <v>45689</v>
      </c>
      <c r="AE8" s="28">
        <v>211395.98</v>
      </c>
      <c r="AF8" s="28">
        <v>198912.42</v>
      </c>
      <c r="AG8" s="8">
        <f t="shared" si="1"/>
        <v>0.94094703219995013</v>
      </c>
      <c r="AI8" s="6" t="s">
        <v>53</v>
      </c>
      <c r="AJ8" s="28" t="s">
        <v>54</v>
      </c>
      <c r="AK8" s="38">
        <v>11</v>
      </c>
      <c r="AL8" s="72">
        <v>11</v>
      </c>
      <c r="AM8" s="38">
        <v>864</v>
      </c>
      <c r="AN8" s="28">
        <v>1812.63</v>
      </c>
      <c r="AO8" s="28">
        <v>1806.09</v>
      </c>
      <c r="AP8" s="6">
        <f t="shared" si="0"/>
        <v>45658</v>
      </c>
      <c r="AQ8" s="28">
        <v>1623.59</v>
      </c>
      <c r="AR8" s="28">
        <v>1617.19</v>
      </c>
      <c r="AT8" s="6">
        <f t="shared" si="5"/>
        <v>45079</v>
      </c>
      <c r="AU8" s="76">
        <v>9</v>
      </c>
      <c r="AV8" s="76">
        <v>17</v>
      </c>
    </row>
    <row r="9" spans="1:58" ht="14.25" customHeight="1" x14ac:dyDescent="0.25">
      <c r="A9" s="107" t="s">
        <v>55</v>
      </c>
      <c r="B9" s="107"/>
      <c r="C9" s="88">
        <v>2</v>
      </c>
      <c r="E9" t="s">
        <v>56</v>
      </c>
      <c r="F9" s="28">
        <v>5466.45</v>
      </c>
      <c r="G9" s="28">
        <v>6204.68</v>
      </c>
      <c r="H9" s="28">
        <v>7229.61</v>
      </c>
      <c r="I9" s="28">
        <v>6200.01</v>
      </c>
      <c r="J9" s="28">
        <v>8252.25</v>
      </c>
      <c r="K9" s="28">
        <v>6195.34</v>
      </c>
      <c r="M9" s="6">
        <v>44713</v>
      </c>
      <c r="N9" s="7">
        <v>0.88080000000000003</v>
      </c>
      <c r="P9" s="6">
        <v>44774</v>
      </c>
      <c r="Q9" s="7">
        <v>0.4</v>
      </c>
      <c r="S9" s="6">
        <v>44682</v>
      </c>
      <c r="T9" s="28">
        <v>167320.37</v>
      </c>
      <c r="U9" s="28">
        <v>171090.99</v>
      </c>
      <c r="W9" s="28">
        <v>100073.67</v>
      </c>
      <c r="X9" s="28">
        <v>100647.4</v>
      </c>
      <c r="Z9" s="6">
        <v>44879</v>
      </c>
      <c r="AA9" s="28">
        <v>366580.64</v>
      </c>
      <c r="AB9" s="28">
        <v>345779.23</v>
      </c>
      <c r="AD9" s="6">
        <v>45717</v>
      </c>
      <c r="AE9" s="28">
        <v>200749.09</v>
      </c>
      <c r="AF9" s="28">
        <v>186943.16999999998</v>
      </c>
      <c r="AG9" s="8">
        <f t="shared" si="1"/>
        <v>0.9312279821542403</v>
      </c>
      <c r="AI9" s="6" t="s">
        <v>57</v>
      </c>
      <c r="AJ9" s="28" t="s">
        <v>58</v>
      </c>
      <c r="AK9" s="38">
        <v>5</v>
      </c>
      <c r="AL9" s="72">
        <v>5</v>
      </c>
      <c r="AM9" s="38">
        <v>864</v>
      </c>
      <c r="AN9" s="28">
        <v>1794</v>
      </c>
      <c r="AO9" s="28">
        <v>1804</v>
      </c>
      <c r="AP9" s="6">
        <f t="shared" si="0"/>
        <v>45689</v>
      </c>
      <c r="AQ9" s="28">
        <v>1623.59</v>
      </c>
      <c r="AR9" s="28">
        <v>1618.32</v>
      </c>
      <c r="AT9" s="6">
        <f t="shared" si="5"/>
        <v>45086</v>
      </c>
      <c r="AU9" s="76">
        <v>2</v>
      </c>
      <c r="AV9" s="76">
        <v>17</v>
      </c>
    </row>
    <row r="10" spans="1:58" ht="14.25" customHeight="1" x14ac:dyDescent="0.25">
      <c r="A10" s="107" t="s">
        <v>59</v>
      </c>
      <c r="B10" s="107"/>
      <c r="C10" s="88">
        <f>8+8</f>
        <v>16</v>
      </c>
      <c r="E10" t="s">
        <v>60</v>
      </c>
      <c r="F10" s="28">
        <v>62789</v>
      </c>
      <c r="G10" s="28">
        <v>65978.320000000007</v>
      </c>
      <c r="H10" s="28">
        <v>64494.34</v>
      </c>
      <c r="I10" s="28">
        <v>65978.320000000007</v>
      </c>
      <c r="J10" s="28">
        <v>63410.65</v>
      </c>
      <c r="K10" s="28">
        <v>65978.320000000007</v>
      </c>
      <c r="M10" s="6">
        <v>44743</v>
      </c>
      <c r="N10" s="7">
        <v>0.91900000000000004</v>
      </c>
      <c r="P10" s="6">
        <v>44805</v>
      </c>
      <c r="Q10" s="7">
        <v>0.2</v>
      </c>
      <c r="S10" s="6">
        <v>44713</v>
      </c>
      <c r="T10" s="28">
        <v>162426.35999999999</v>
      </c>
      <c r="U10" s="28">
        <v>173986.35</v>
      </c>
      <c r="W10" s="28">
        <v>101659.26999999999</v>
      </c>
      <c r="X10" s="28">
        <v>100734.26000000001</v>
      </c>
      <c r="Z10" s="6">
        <v>44914</v>
      </c>
      <c r="AA10" s="28">
        <v>226400.21</v>
      </c>
      <c r="AB10" s="28">
        <v>215690.96999999997</v>
      </c>
      <c r="AD10" s="6">
        <v>45748</v>
      </c>
      <c r="AE10" s="28">
        <v>201491.08</v>
      </c>
      <c r="AF10" s="28">
        <v>188542.88999999998</v>
      </c>
      <c r="AG10" s="8">
        <f t="shared" si="1"/>
        <v>0.93573814781279652</v>
      </c>
      <c r="AI10" s="6" t="s">
        <v>61</v>
      </c>
      <c r="AJ10" s="28" t="s">
        <v>62</v>
      </c>
      <c r="AK10" s="38">
        <v>30</v>
      </c>
      <c r="AL10" s="72">
        <v>27</v>
      </c>
      <c r="AM10" s="38">
        <v>864</v>
      </c>
      <c r="AN10" s="28">
        <v>1775.66</v>
      </c>
      <c r="AO10" s="28">
        <v>1789.26</v>
      </c>
      <c r="AP10" s="6">
        <f t="shared" si="0"/>
        <v>45717</v>
      </c>
      <c r="AQ10" s="28">
        <v>1655.91</v>
      </c>
      <c r="AR10" s="28">
        <v>1624.38</v>
      </c>
      <c r="AT10" s="6">
        <f t="shared" si="5"/>
        <v>45093</v>
      </c>
      <c r="AU10" s="76">
        <v>0</v>
      </c>
      <c r="AV10" s="76">
        <v>24</v>
      </c>
    </row>
    <row r="11" spans="1:58" ht="14.25" customHeight="1" x14ac:dyDescent="0.25">
      <c r="A11" s="107" t="s">
        <v>63</v>
      </c>
      <c r="B11" s="107"/>
      <c r="C11" s="88">
        <v>8</v>
      </c>
      <c r="E11" t="s">
        <v>64</v>
      </c>
      <c r="F11" s="28">
        <v>0</v>
      </c>
      <c r="G11" s="28">
        <v>0</v>
      </c>
      <c r="H11" s="28">
        <v>0</v>
      </c>
      <c r="I11" s="28">
        <v>0</v>
      </c>
      <c r="J11" s="28">
        <v>0</v>
      </c>
      <c r="K11" s="28">
        <v>0</v>
      </c>
      <c r="M11" s="6">
        <v>44774</v>
      </c>
      <c r="N11" s="7">
        <v>0.90939999999999999</v>
      </c>
      <c r="P11" s="6">
        <v>44835</v>
      </c>
      <c r="Q11" s="7">
        <v>0.66700000000000004</v>
      </c>
      <c r="S11" s="6">
        <v>44743</v>
      </c>
      <c r="T11" s="28">
        <v>176941.41</v>
      </c>
      <c r="U11" s="28">
        <v>176754.21</v>
      </c>
      <c r="W11" s="28">
        <v>101747.23000000001</v>
      </c>
      <c r="X11" s="28">
        <v>100817.3</v>
      </c>
      <c r="Z11" s="6">
        <v>44943</v>
      </c>
      <c r="AA11" s="28">
        <v>404228.84</v>
      </c>
      <c r="AB11" s="28">
        <v>334369.33</v>
      </c>
      <c r="AD11" s="6">
        <v>45778</v>
      </c>
      <c r="AE11" s="28">
        <v>211448.7</v>
      </c>
      <c r="AF11" s="28">
        <v>200245.44</v>
      </c>
      <c r="AG11" s="8">
        <f t="shared" si="1"/>
        <v>0.94701665226601062</v>
      </c>
      <c r="AI11" s="84"/>
      <c r="AJ11" s="85"/>
      <c r="AK11" s="86"/>
      <c r="AL11" s="87"/>
      <c r="AM11" s="86"/>
      <c r="AN11" s="85"/>
      <c r="AO11" s="85"/>
      <c r="AP11" s="6">
        <f t="shared" si="0"/>
        <v>45748</v>
      </c>
      <c r="AQ11" s="28">
        <v>1623.59</v>
      </c>
      <c r="AR11" s="28">
        <v>1621.04</v>
      </c>
      <c r="AT11" s="6">
        <f t="shared" si="5"/>
        <v>45100</v>
      </c>
      <c r="AU11" s="76">
        <v>1</v>
      </c>
      <c r="AV11" s="76">
        <v>23</v>
      </c>
    </row>
    <row r="12" spans="1:58" ht="14.25" customHeight="1" x14ac:dyDescent="0.25">
      <c r="A12" s="107" t="s">
        <v>65</v>
      </c>
      <c r="B12" s="107"/>
      <c r="C12" s="88">
        <f>0+10-C13</f>
        <v>4</v>
      </c>
      <c r="E12" t="s">
        <v>66</v>
      </c>
      <c r="F12" s="28">
        <v>5920.26</v>
      </c>
      <c r="G12" s="28">
        <v>4255.42</v>
      </c>
      <c r="H12" s="28">
        <v>2133.4699999999998</v>
      </c>
      <c r="I12" s="28">
        <v>4255.42</v>
      </c>
      <c r="J12" s="28">
        <v>4231.88</v>
      </c>
      <c r="K12" s="28">
        <v>4255.42</v>
      </c>
      <c r="M12" s="6">
        <v>44805</v>
      </c>
      <c r="N12" s="7">
        <v>0.92700000000000005</v>
      </c>
      <c r="P12" s="6">
        <v>44866</v>
      </c>
      <c r="Q12" s="7">
        <v>0.5</v>
      </c>
      <c r="S12" s="6">
        <v>44774</v>
      </c>
      <c r="T12" s="28">
        <v>178445.17</v>
      </c>
      <c r="U12" s="28">
        <v>179404.25</v>
      </c>
      <c r="W12" s="28">
        <v>112900.42000000001</v>
      </c>
      <c r="X12" s="28">
        <v>100896.8</v>
      </c>
      <c r="Z12" s="6">
        <v>44973</v>
      </c>
      <c r="AA12" s="28">
        <v>437594.57</v>
      </c>
      <c r="AB12" s="28">
        <v>417782.23</v>
      </c>
      <c r="AD12" s="6">
        <v>45809</v>
      </c>
      <c r="AE12" s="28">
        <v>196723.52</v>
      </c>
      <c r="AF12" s="28">
        <f>AE12-13031</f>
        <v>183692.52</v>
      </c>
      <c r="AG12" s="8">
        <f t="shared" si="1"/>
        <v>0.93375982698967563</v>
      </c>
      <c r="AI12" s="84"/>
      <c r="AJ12" s="85"/>
      <c r="AK12" s="86"/>
      <c r="AL12" s="87"/>
      <c r="AM12" s="86"/>
      <c r="AN12" s="85"/>
      <c r="AO12" s="85"/>
      <c r="AP12" s="6">
        <f t="shared" si="0"/>
        <v>45778</v>
      </c>
      <c r="AQ12" s="28">
        <v>1623.59</v>
      </c>
      <c r="AR12" s="28">
        <v>1625.05</v>
      </c>
      <c r="AT12" s="6">
        <f t="shared" si="5"/>
        <v>45107</v>
      </c>
      <c r="AU12" s="76">
        <v>10</v>
      </c>
      <c r="AV12" s="76">
        <v>21</v>
      </c>
    </row>
    <row r="13" spans="1:58" ht="14.25" customHeight="1" x14ac:dyDescent="0.25">
      <c r="A13" s="107" t="s">
        <v>67</v>
      </c>
      <c r="B13" s="107"/>
      <c r="C13" s="88">
        <v>6</v>
      </c>
      <c r="E13" t="s">
        <v>68</v>
      </c>
      <c r="F13" s="28">
        <v>375</v>
      </c>
      <c r="G13" s="28">
        <v>500</v>
      </c>
      <c r="H13" s="28">
        <v>300</v>
      </c>
      <c r="I13" s="28">
        <v>500</v>
      </c>
      <c r="J13" s="28">
        <v>300</v>
      </c>
      <c r="K13" s="28">
        <v>500</v>
      </c>
      <c r="M13" s="6">
        <v>44835</v>
      </c>
      <c r="N13" s="7">
        <v>0.84389999999999998</v>
      </c>
      <c r="P13" s="6">
        <v>44896</v>
      </c>
      <c r="Q13" s="7">
        <v>0.5</v>
      </c>
      <c r="S13" s="6">
        <v>44805</v>
      </c>
      <c r="T13" s="28">
        <v>164233.4</v>
      </c>
      <c r="U13" s="28">
        <v>181945.35</v>
      </c>
      <c r="W13" s="28">
        <v>103064.88999999998</v>
      </c>
      <c r="X13" s="28">
        <v>100973.03</v>
      </c>
      <c r="Z13" s="6">
        <v>45001</v>
      </c>
      <c r="AA13" s="28">
        <v>437092.75</v>
      </c>
      <c r="AB13" s="28">
        <v>346773.66000000003</v>
      </c>
      <c r="AD13" s="6">
        <v>45839</v>
      </c>
      <c r="AE13" s="28">
        <f>232023.66+12771-36763.45</f>
        <v>208031.21000000002</v>
      </c>
      <c r="AF13" s="28">
        <f>AE13-12315.7</f>
        <v>195715.51</v>
      </c>
      <c r="AG13" s="8">
        <f t="shared" si="1"/>
        <v>0.94079878687433482</v>
      </c>
      <c r="AI13" s="84"/>
      <c r="AJ13" s="85"/>
      <c r="AK13" s="86"/>
      <c r="AL13" s="87"/>
      <c r="AM13" s="86"/>
      <c r="AN13" s="85"/>
      <c r="AO13" s="85"/>
      <c r="AP13" s="6">
        <f t="shared" si="0"/>
        <v>45809</v>
      </c>
      <c r="AQ13" s="28">
        <v>1598.59</v>
      </c>
      <c r="AR13" s="28">
        <v>1628.64</v>
      </c>
      <c r="AT13" s="6">
        <f t="shared" si="5"/>
        <v>45114</v>
      </c>
      <c r="AU13" s="76">
        <v>14</v>
      </c>
      <c r="AV13" s="76">
        <v>24</v>
      </c>
    </row>
    <row r="14" spans="1:58" ht="14.25" customHeight="1" x14ac:dyDescent="0.25">
      <c r="A14" s="107" t="s">
        <v>69</v>
      </c>
      <c r="B14" s="107"/>
      <c r="C14" s="88">
        <v>0</v>
      </c>
      <c r="E14" t="s">
        <v>70</v>
      </c>
      <c r="F14" s="28">
        <v>5585.35</v>
      </c>
      <c r="G14" s="28">
        <v>7873.13</v>
      </c>
      <c r="H14" s="28">
        <v>5764.62</v>
      </c>
      <c r="I14" s="28">
        <v>7873.13</v>
      </c>
      <c r="J14" s="28">
        <v>6265</v>
      </c>
      <c r="K14" s="28">
        <v>7873.13</v>
      </c>
      <c r="M14" s="6">
        <v>44866</v>
      </c>
      <c r="N14" s="7">
        <v>0.84109999999999996</v>
      </c>
      <c r="P14" s="6">
        <v>44927</v>
      </c>
      <c r="Q14" s="7">
        <v>0.111</v>
      </c>
      <c r="S14" s="6">
        <v>44835</v>
      </c>
      <c r="T14" s="28">
        <v>163741.24</v>
      </c>
      <c r="U14" s="28">
        <v>184387</v>
      </c>
      <c r="W14" s="28">
        <v>120764.96</v>
      </c>
      <c r="X14" s="28">
        <v>101049</v>
      </c>
      <c r="Z14" s="6">
        <v>45034</v>
      </c>
      <c r="AA14" s="28">
        <v>353704.41</v>
      </c>
      <c r="AB14" s="28">
        <v>327212.08</v>
      </c>
      <c r="AD14" s="31">
        <f>DATE(YEAR(AD13),MONTH(AD13)+1,DAY(1))</f>
        <v>45870</v>
      </c>
      <c r="AE14" s="28">
        <f>248474.85-31877.39-15000</f>
        <v>201597.46000000002</v>
      </c>
      <c r="AF14" s="28">
        <f>AE14-45732.59</f>
        <v>155864.87000000002</v>
      </c>
      <c r="AG14" s="83">
        <f>IFERROR(AF14/AE14,"")</f>
        <v>0.77314897717461328</v>
      </c>
      <c r="AI14" s="84"/>
      <c r="AJ14" s="85"/>
      <c r="AK14" s="86"/>
      <c r="AL14" s="86"/>
      <c r="AM14" s="86"/>
      <c r="AN14" s="85"/>
      <c r="AO14" s="85"/>
      <c r="AP14" s="6">
        <f>DATE(YEAR(AP15),MONTH(AP15)-1,DAY(1))</f>
        <v>45839</v>
      </c>
      <c r="AQ14" s="28">
        <v>1630.91</v>
      </c>
      <c r="AR14" s="28">
        <v>1635.83</v>
      </c>
      <c r="AT14" s="6">
        <f t="shared" si="5"/>
        <v>45121</v>
      </c>
      <c r="AU14" s="76">
        <v>17</v>
      </c>
      <c r="AV14" s="76">
        <v>24</v>
      </c>
    </row>
    <row r="15" spans="1:58" ht="14.25" customHeight="1" x14ac:dyDescent="0.25">
      <c r="A15" s="90"/>
      <c r="B15" s="90"/>
      <c r="E15" t="s">
        <v>71</v>
      </c>
      <c r="F15" s="28">
        <v>0</v>
      </c>
      <c r="G15" s="28">
        <v>0</v>
      </c>
      <c r="H15" s="28">
        <v>0</v>
      </c>
      <c r="I15" s="28">
        <v>0</v>
      </c>
      <c r="J15" s="28">
        <v>0</v>
      </c>
      <c r="K15" s="28">
        <v>0</v>
      </c>
      <c r="M15" s="6">
        <v>44896</v>
      </c>
      <c r="N15" s="7">
        <v>0.872</v>
      </c>
      <c r="P15" s="6">
        <v>44958</v>
      </c>
      <c r="Q15" s="7">
        <v>0.25</v>
      </c>
      <c r="S15" s="6">
        <v>44866</v>
      </c>
      <c r="T15" s="28">
        <v>156126</v>
      </c>
      <c r="U15" s="28">
        <v>186735</v>
      </c>
      <c r="W15" s="28">
        <v>136400.09</v>
      </c>
      <c r="X15" s="28">
        <v>101119</v>
      </c>
      <c r="Z15" s="6">
        <v>45061</v>
      </c>
      <c r="AA15" s="28">
        <v>340473.49</v>
      </c>
      <c r="AB15" s="28">
        <v>372081.11</v>
      </c>
      <c r="AF15" s="45"/>
      <c r="AG15" s="74" t="str">
        <f t="shared" ref="AG15:AG41" si="6">IFERROR(AF15/AE15,"")</f>
        <v/>
      </c>
      <c r="AI15" s="84"/>
      <c r="AJ15" s="85"/>
      <c r="AK15" s="86"/>
      <c r="AL15" s="86"/>
      <c r="AM15" s="86"/>
      <c r="AN15" s="85"/>
      <c r="AO15" s="85"/>
      <c r="AP15" s="31">
        <v>45870</v>
      </c>
      <c r="AQ15" s="28">
        <v>1630.91</v>
      </c>
      <c r="AR15" s="28">
        <v>1639.09</v>
      </c>
      <c r="AS15" s="78"/>
      <c r="AT15" s="6">
        <f t="shared" si="5"/>
        <v>45128</v>
      </c>
      <c r="AU15" s="76">
        <v>14</v>
      </c>
      <c r="AV15" s="76">
        <v>25</v>
      </c>
    </row>
    <row r="16" spans="1:58" ht="14.25" customHeight="1" x14ac:dyDescent="0.25">
      <c r="A16" s="107" t="s">
        <v>72</v>
      </c>
      <c r="B16" s="107"/>
      <c r="C16" s="88">
        <f>7+3+7</f>
        <v>17</v>
      </c>
      <c r="E16" t="s">
        <v>73</v>
      </c>
      <c r="F16" s="28">
        <v>1676.45</v>
      </c>
      <c r="G16" s="28">
        <v>3300</v>
      </c>
      <c r="H16" s="28">
        <v>3114.54</v>
      </c>
      <c r="I16" s="28">
        <v>3300</v>
      </c>
      <c r="J16" s="28">
        <v>3187.32</v>
      </c>
      <c r="K16" s="28">
        <v>3300</v>
      </c>
      <c r="M16" s="6">
        <v>44927</v>
      </c>
      <c r="N16" s="7">
        <v>0.88949999999999996</v>
      </c>
      <c r="P16" s="6">
        <v>44986</v>
      </c>
      <c r="Q16" s="7">
        <v>0.222</v>
      </c>
      <c r="S16" s="6">
        <v>44896</v>
      </c>
      <c r="T16" s="28">
        <v>150903.37</v>
      </c>
      <c r="U16" s="28">
        <v>188996</v>
      </c>
      <c r="W16" s="28">
        <v>232636.97</v>
      </c>
      <c r="X16" s="28">
        <v>101187</v>
      </c>
      <c r="Z16" s="6">
        <v>45092</v>
      </c>
      <c r="AA16" s="28">
        <v>328286.53999999998</v>
      </c>
      <c r="AB16" s="28">
        <v>346533.4</v>
      </c>
      <c r="AG16" s="74" t="str">
        <f t="shared" si="6"/>
        <v/>
      </c>
      <c r="AI16" s="84"/>
      <c r="AJ16" s="85"/>
      <c r="AK16" s="86"/>
      <c r="AL16" s="86"/>
      <c r="AM16" s="86"/>
      <c r="AN16" s="85"/>
      <c r="AO16" s="85"/>
      <c r="AT16" s="6">
        <f t="shared" si="5"/>
        <v>45135</v>
      </c>
      <c r="AU16" s="76">
        <v>9</v>
      </c>
      <c r="AV16" s="76">
        <v>14</v>
      </c>
    </row>
    <row r="17" spans="1:48" ht="14.25" customHeight="1" x14ac:dyDescent="0.25">
      <c r="A17" s="107" t="s">
        <v>74</v>
      </c>
      <c r="B17" s="107"/>
      <c r="C17" s="88">
        <v>2</v>
      </c>
      <c r="E17" t="s">
        <v>75</v>
      </c>
      <c r="F17" s="28">
        <v>44098.65</v>
      </c>
      <c r="G17" s="28">
        <v>39294.15</v>
      </c>
      <c r="H17" s="28">
        <v>38124.67</v>
      </c>
      <c r="I17" s="28">
        <v>39294.15</v>
      </c>
      <c r="J17" s="28">
        <v>38124.660000000003</v>
      </c>
      <c r="K17" s="28">
        <v>39294.15</v>
      </c>
      <c r="M17" s="6">
        <v>44958</v>
      </c>
      <c r="N17" s="7">
        <v>0.8972</v>
      </c>
      <c r="P17" s="6">
        <v>45017</v>
      </c>
      <c r="Q17" s="7">
        <v>0.4</v>
      </c>
      <c r="S17" s="6">
        <v>44927</v>
      </c>
      <c r="T17" s="28">
        <v>159536.18</v>
      </c>
      <c r="U17" s="28">
        <v>161974</v>
      </c>
      <c r="W17" s="28">
        <v>117234.86000000002</v>
      </c>
      <c r="X17" s="28">
        <v>107878</v>
      </c>
      <c r="Z17" s="6">
        <v>45122</v>
      </c>
      <c r="AA17" s="28">
        <v>314547.14</v>
      </c>
      <c r="AB17" s="28">
        <v>276974.07</v>
      </c>
      <c r="AG17" s="8" t="str">
        <f t="shared" si="6"/>
        <v/>
      </c>
      <c r="AI17" s="84"/>
      <c r="AJ17" s="85"/>
      <c r="AK17" s="86"/>
      <c r="AL17" s="86"/>
      <c r="AM17" s="86"/>
      <c r="AN17" s="85"/>
      <c r="AO17" s="85"/>
      <c r="AT17" s="6">
        <f t="shared" si="5"/>
        <v>45142</v>
      </c>
      <c r="AU17" s="76">
        <v>4</v>
      </c>
      <c r="AV17" s="76">
        <v>15</v>
      </c>
    </row>
    <row r="18" spans="1:48" ht="14.25" customHeight="1" x14ac:dyDescent="0.25">
      <c r="A18" s="107" t="s">
        <v>76</v>
      </c>
      <c r="B18" s="107"/>
      <c r="C18" s="88">
        <v>0</v>
      </c>
      <c r="E18" s="49" t="s">
        <v>77</v>
      </c>
      <c r="F18" s="51">
        <f t="shared" ref="F18:G18" si="7">SUM(F8:F17)</f>
        <v>138873.04999999999</v>
      </c>
      <c r="G18" s="51">
        <f t="shared" si="7"/>
        <v>142518.32</v>
      </c>
      <c r="H18" s="51">
        <f t="shared" ref="H18:I18" si="8">SUM(H8:H17)</f>
        <v>135117.56</v>
      </c>
      <c r="I18" s="51">
        <f t="shared" si="8"/>
        <v>142513.65000000002</v>
      </c>
      <c r="J18" s="51">
        <f t="shared" ref="J18:K18" si="9">SUM(J8:J17)</f>
        <v>134296.15000000002</v>
      </c>
      <c r="K18" s="51">
        <f t="shared" si="9"/>
        <v>142508.98000000001</v>
      </c>
      <c r="M18" s="6">
        <v>44986</v>
      </c>
      <c r="N18" s="7">
        <v>0.87170000000000003</v>
      </c>
      <c r="P18" s="6">
        <v>45047</v>
      </c>
      <c r="Q18" s="7">
        <v>0.16700000000000001</v>
      </c>
      <c r="S18" s="6">
        <v>44958</v>
      </c>
      <c r="T18" s="28">
        <v>164945.68</v>
      </c>
      <c r="U18" s="28">
        <v>168672</v>
      </c>
      <c r="W18" s="28">
        <v>112318.66000000002</v>
      </c>
      <c r="X18" s="28">
        <v>108079</v>
      </c>
      <c r="Z18" s="6">
        <v>45155</v>
      </c>
      <c r="AA18" s="28">
        <v>334428.58</v>
      </c>
      <c r="AB18" s="28">
        <v>220469.49</v>
      </c>
      <c r="AG18" s="8" t="str">
        <f t="shared" si="6"/>
        <v/>
      </c>
      <c r="AI18" s="84"/>
      <c r="AJ18" s="85"/>
      <c r="AK18" s="86"/>
      <c r="AL18" s="86"/>
      <c r="AM18" s="86"/>
      <c r="AN18" s="85"/>
      <c r="AO18" s="85"/>
      <c r="AP18" s="29"/>
      <c r="AQ18" s="29"/>
      <c r="AR18" s="29"/>
      <c r="AT18" s="6">
        <f t="shared" si="5"/>
        <v>45149</v>
      </c>
      <c r="AU18" s="76">
        <v>8</v>
      </c>
      <c r="AV18" s="76">
        <v>12</v>
      </c>
    </row>
    <row r="19" spans="1:48" ht="14.25" customHeight="1" x14ac:dyDescent="0.25">
      <c r="A19" s="107" t="s">
        <v>78</v>
      </c>
      <c r="B19" s="107"/>
      <c r="C19" s="88">
        <v>0</v>
      </c>
      <c r="M19" s="6">
        <v>45017</v>
      </c>
      <c r="N19" s="7">
        <v>0.83730000000000004</v>
      </c>
      <c r="P19" s="6">
        <v>45078</v>
      </c>
      <c r="Q19" s="7">
        <v>0.57099999999999995</v>
      </c>
      <c r="S19" s="6">
        <v>44986</v>
      </c>
      <c r="T19" s="28">
        <v>178295.2</v>
      </c>
      <c r="U19" s="28">
        <v>173317</v>
      </c>
      <c r="W19" s="28">
        <v>106527.26999999999</v>
      </c>
      <c r="X19" s="28">
        <v>108228</v>
      </c>
      <c r="Z19" s="6">
        <v>45189</v>
      </c>
      <c r="AA19" s="28">
        <v>303435.59000000003</v>
      </c>
      <c r="AB19" s="28">
        <v>291495.42</v>
      </c>
      <c r="AG19" s="8" t="str">
        <f t="shared" si="6"/>
        <v/>
      </c>
      <c r="AI19" s="84"/>
      <c r="AJ19" s="85"/>
      <c r="AK19" s="86"/>
      <c r="AL19" s="86"/>
      <c r="AM19" s="86"/>
      <c r="AN19" s="85"/>
      <c r="AO19" s="85"/>
      <c r="AP19" s="29"/>
      <c r="AQ19" s="29"/>
      <c r="AR19" s="29"/>
      <c r="AT19" s="6">
        <f t="shared" si="5"/>
        <v>45156</v>
      </c>
      <c r="AU19" s="76">
        <v>12</v>
      </c>
      <c r="AV19" s="76">
        <v>16</v>
      </c>
    </row>
    <row r="20" spans="1:48" ht="14.25" customHeight="1" x14ac:dyDescent="0.25">
      <c r="A20" s="107" t="s">
        <v>79</v>
      </c>
      <c r="B20" s="107"/>
      <c r="C20" s="88">
        <v>1</v>
      </c>
      <c r="E20" s="49" t="s">
        <v>80</v>
      </c>
      <c r="F20" s="51">
        <f>F5-F18</f>
        <v>20704.510000000009</v>
      </c>
      <c r="G20" s="51">
        <f t="shared" ref="G20" si="10">G5-G18</f>
        <v>65853.389999999985</v>
      </c>
      <c r="H20" s="51">
        <f>H5-H18</f>
        <v>88020.860000000015</v>
      </c>
      <c r="I20" s="51">
        <f t="shared" ref="I20" si="11">I5-I18</f>
        <v>65702.229999999981</v>
      </c>
      <c r="J20" s="51">
        <f>J5-J18</f>
        <v>79994.759999999951</v>
      </c>
      <c r="K20" s="51">
        <f t="shared" ref="K20" si="12">K5-K18</f>
        <v>65551.22</v>
      </c>
      <c r="M20" s="6">
        <v>45047</v>
      </c>
      <c r="N20" s="7">
        <v>0.82899999999999996</v>
      </c>
      <c r="P20" s="6">
        <v>45108</v>
      </c>
      <c r="Q20" s="7">
        <v>0.375</v>
      </c>
      <c r="S20" s="6">
        <v>45017</v>
      </c>
      <c r="T20" s="28">
        <v>152460.14000000001</v>
      </c>
      <c r="U20" s="28">
        <v>179848</v>
      </c>
      <c r="W20" s="28">
        <v>112702.08</v>
      </c>
      <c r="X20" s="28">
        <v>108951</v>
      </c>
      <c r="Z20" s="6">
        <v>45215</v>
      </c>
      <c r="AA20" s="28">
        <v>308183.15999999997</v>
      </c>
      <c r="AB20" s="28">
        <v>289282.49</v>
      </c>
      <c r="AD20" s="45"/>
      <c r="AG20" s="8" t="str">
        <f t="shared" si="6"/>
        <v/>
      </c>
      <c r="AI20" s="84"/>
      <c r="AJ20" s="85"/>
      <c r="AK20" s="86"/>
      <c r="AL20" s="86"/>
      <c r="AM20" s="86"/>
      <c r="AN20" s="85"/>
      <c r="AO20" s="85"/>
      <c r="AP20" s="29"/>
      <c r="AQ20" s="29"/>
      <c r="AR20" s="29"/>
      <c r="AT20" s="6">
        <f t="shared" si="5"/>
        <v>45163</v>
      </c>
      <c r="AU20" s="76">
        <v>19</v>
      </c>
      <c r="AV20" s="76">
        <v>15</v>
      </c>
    </row>
    <row r="21" spans="1:48" ht="14.25" customHeight="1" x14ac:dyDescent="0.25">
      <c r="A21" s="107"/>
      <c r="B21" s="107"/>
      <c r="C21" s="75"/>
      <c r="M21" s="6">
        <v>45078</v>
      </c>
      <c r="N21" s="7">
        <v>0.81300813008130079</v>
      </c>
      <c r="O21" s="80"/>
      <c r="P21" s="6">
        <v>45139</v>
      </c>
      <c r="Q21" s="7">
        <v>0</v>
      </c>
      <c r="S21" s="6">
        <v>45047</v>
      </c>
      <c r="T21" s="28">
        <v>156058.68</v>
      </c>
      <c r="U21" s="28">
        <v>186314</v>
      </c>
      <c r="W21" s="28">
        <v>115763.16999999998</v>
      </c>
      <c r="X21" s="28">
        <v>109145</v>
      </c>
      <c r="Z21" s="6">
        <v>45245</v>
      </c>
      <c r="AA21" s="28">
        <v>380496.55</v>
      </c>
      <c r="AB21" s="28">
        <v>374261.36</v>
      </c>
      <c r="AG21" s="8" t="str">
        <f t="shared" si="6"/>
        <v/>
      </c>
      <c r="AI21" s="84"/>
      <c r="AJ21" s="85"/>
      <c r="AK21" s="86"/>
      <c r="AL21" s="86"/>
      <c r="AM21" s="86"/>
      <c r="AN21" s="85"/>
      <c r="AO21" s="85"/>
      <c r="AT21" s="6">
        <f t="shared" si="5"/>
        <v>45170</v>
      </c>
      <c r="AU21" s="76">
        <v>24</v>
      </c>
      <c r="AV21" s="76">
        <v>16</v>
      </c>
    </row>
    <row r="22" spans="1:48" ht="15" customHeight="1" x14ac:dyDescent="0.25">
      <c r="E22" t="s">
        <v>81</v>
      </c>
      <c r="F22" s="28">
        <v>59513.33</v>
      </c>
      <c r="G22" s="28">
        <v>59513.33</v>
      </c>
      <c r="H22" s="81">
        <v>61497.11</v>
      </c>
      <c r="I22" s="82">
        <v>61497.11</v>
      </c>
      <c r="J22" s="81">
        <v>59513.33</v>
      </c>
      <c r="K22" s="82">
        <v>59513.33</v>
      </c>
      <c r="M22" s="6">
        <v>45108</v>
      </c>
      <c r="N22" s="7">
        <v>0.82110000000000005</v>
      </c>
      <c r="P22" s="6">
        <v>45170</v>
      </c>
      <c r="Q22" s="7">
        <v>0.125</v>
      </c>
      <c r="S22" s="6">
        <v>45078</v>
      </c>
      <c r="T22" s="28">
        <v>148724.85</v>
      </c>
      <c r="U22" s="28">
        <v>186314</v>
      </c>
      <c r="W22" s="28">
        <v>110023.82</v>
      </c>
      <c r="X22" s="28">
        <v>109145</v>
      </c>
      <c r="Z22" s="6">
        <v>45278</v>
      </c>
      <c r="AA22" s="28">
        <v>376494.08000000002</v>
      </c>
      <c r="AB22" s="28">
        <v>352435.69</v>
      </c>
      <c r="AG22" s="8" t="str">
        <f t="shared" si="6"/>
        <v/>
      </c>
      <c r="AI22" s="84"/>
      <c r="AJ22" s="85"/>
      <c r="AK22" s="86"/>
      <c r="AL22" s="86"/>
      <c r="AM22" s="86"/>
      <c r="AN22" s="85"/>
      <c r="AO22" s="85"/>
      <c r="AT22" s="6">
        <f t="shared" si="5"/>
        <v>45177</v>
      </c>
      <c r="AU22" s="76">
        <v>4</v>
      </c>
      <c r="AV22" s="76">
        <v>17</v>
      </c>
    </row>
    <row r="23" spans="1:48" x14ac:dyDescent="0.25">
      <c r="A23" t="s">
        <v>12</v>
      </c>
      <c r="B23" s="46" t="s">
        <v>82</v>
      </c>
      <c r="C23" s="46" t="s">
        <v>83</v>
      </c>
      <c r="E23" t="s">
        <v>84</v>
      </c>
      <c r="F23" s="81">
        <v>12382.02</v>
      </c>
      <c r="G23" s="82">
        <v>6075</v>
      </c>
      <c r="H23" s="81">
        <v>0</v>
      </c>
      <c r="I23" s="82">
        <v>6075</v>
      </c>
      <c r="J23" s="81">
        <v>6488.44</v>
      </c>
      <c r="K23" s="82">
        <v>6075</v>
      </c>
      <c r="M23" s="6">
        <v>45139</v>
      </c>
      <c r="N23" s="7">
        <v>0.86178861788617889</v>
      </c>
      <c r="P23" s="6">
        <v>45200</v>
      </c>
      <c r="Q23" s="7">
        <v>0.33333333333333331</v>
      </c>
      <c r="S23" s="6">
        <v>45108</v>
      </c>
      <c r="T23" s="28">
        <v>153109.18</v>
      </c>
      <c r="U23" s="28">
        <v>193538</v>
      </c>
      <c r="W23" s="28">
        <v>117838.1</v>
      </c>
      <c r="X23" s="28">
        <v>109362</v>
      </c>
      <c r="Z23" s="6">
        <v>45309</v>
      </c>
      <c r="AA23" s="28">
        <v>340579.94</v>
      </c>
      <c r="AB23" s="28">
        <v>329654.05</v>
      </c>
      <c r="AG23" s="8" t="str">
        <f t="shared" si="6"/>
        <v/>
      </c>
      <c r="AI23" s="84"/>
      <c r="AJ23" s="85"/>
      <c r="AK23" s="86"/>
      <c r="AT23" s="6">
        <f t="shared" si="5"/>
        <v>45184</v>
      </c>
      <c r="AU23" s="76">
        <v>15</v>
      </c>
      <c r="AV23" s="76">
        <v>22</v>
      </c>
    </row>
    <row r="24" spans="1:48" x14ac:dyDescent="0.25">
      <c r="A24" s="2">
        <v>45886</v>
      </c>
      <c r="B24" s="88">
        <v>3</v>
      </c>
      <c r="C24" s="88">
        <v>1</v>
      </c>
      <c r="E24" t="s">
        <v>85</v>
      </c>
      <c r="F24" s="81">
        <v>4109.7</v>
      </c>
      <c r="G24" s="82">
        <v>0</v>
      </c>
      <c r="H24" s="81">
        <v>0</v>
      </c>
      <c r="I24" s="82">
        <v>0</v>
      </c>
      <c r="J24" s="81">
        <v>200</v>
      </c>
      <c r="K24" s="82"/>
      <c r="M24" s="6">
        <v>45170</v>
      </c>
      <c r="N24" s="7">
        <v>0.95934959349593496</v>
      </c>
      <c r="P24" s="6">
        <v>45231</v>
      </c>
      <c r="Q24" s="7">
        <v>0.25</v>
      </c>
      <c r="S24" s="6">
        <v>45139</v>
      </c>
      <c r="T24" s="28">
        <v>176189.7</v>
      </c>
      <c r="U24" s="28">
        <v>195772</v>
      </c>
      <c r="W24" s="28">
        <v>130796.93</v>
      </c>
      <c r="X24" s="28">
        <v>109429</v>
      </c>
      <c r="Z24" s="6">
        <v>45337</v>
      </c>
      <c r="AA24" s="28">
        <v>329316.99</v>
      </c>
      <c r="AB24" s="28">
        <v>307963.78000000003</v>
      </c>
      <c r="AG24" s="8" t="str">
        <f t="shared" si="6"/>
        <v/>
      </c>
      <c r="AI24" s="84"/>
      <c r="AJ24" s="85"/>
      <c r="AK24" s="86"/>
      <c r="AL24" s="86"/>
      <c r="AM24" s="86"/>
      <c r="AN24" s="85"/>
      <c r="AO24" s="85"/>
      <c r="AT24" s="6">
        <f t="shared" si="5"/>
        <v>45191</v>
      </c>
      <c r="AU24" s="76">
        <v>7</v>
      </c>
      <c r="AV24" s="76">
        <v>21</v>
      </c>
    </row>
    <row r="25" spans="1:48" x14ac:dyDescent="0.25">
      <c r="A25" s="77">
        <v>45893</v>
      </c>
      <c r="B25" s="88">
        <v>3</v>
      </c>
      <c r="C25" s="88">
        <v>0</v>
      </c>
      <c r="M25" s="6">
        <v>45200</v>
      </c>
      <c r="N25" s="7">
        <f>119/123</f>
        <v>0.96747967479674801</v>
      </c>
      <c r="P25" s="6">
        <v>45261</v>
      </c>
      <c r="Q25" s="7">
        <v>0.2857142857142857</v>
      </c>
      <c r="S25" s="6">
        <v>45170</v>
      </c>
      <c r="T25" s="28">
        <v>176629.64</v>
      </c>
      <c r="U25" s="28">
        <v>198174</v>
      </c>
      <c r="W25" s="28">
        <v>110397.27</v>
      </c>
      <c r="X25" s="28">
        <v>109501</v>
      </c>
      <c r="Z25" s="6">
        <v>45366</v>
      </c>
      <c r="AA25" s="28">
        <v>392757.26</v>
      </c>
      <c r="AB25" s="28">
        <v>367129.23</v>
      </c>
      <c r="AG25" s="8" t="str">
        <f t="shared" si="6"/>
        <v/>
      </c>
      <c r="AI25" s="84"/>
      <c r="AJ25" s="85"/>
      <c r="AK25" s="86"/>
      <c r="AL25" s="86"/>
      <c r="AM25" s="86"/>
      <c r="AN25" s="85"/>
      <c r="AO25" s="85"/>
      <c r="AT25" s="6">
        <f t="shared" si="5"/>
        <v>45198</v>
      </c>
      <c r="AU25" s="76">
        <v>11</v>
      </c>
      <c r="AV25" s="76">
        <v>19</v>
      </c>
    </row>
    <row r="26" spans="1:48" x14ac:dyDescent="0.25">
      <c r="A26" s="77">
        <v>45900</v>
      </c>
      <c r="B26" s="88">
        <v>0</v>
      </c>
      <c r="C26" s="88">
        <v>1</v>
      </c>
      <c r="E26" s="49" t="s">
        <v>86</v>
      </c>
      <c r="F26" s="51">
        <f>F20-SUM(F22:F24)</f>
        <v>-55300.539999999994</v>
      </c>
      <c r="G26" s="51">
        <f t="shared" ref="G26" si="13">G20-SUM(G22:G24)</f>
        <v>265.05999999998312</v>
      </c>
      <c r="H26" s="51">
        <f>H20-SUM(H22:H24)</f>
        <v>26523.750000000015</v>
      </c>
      <c r="I26" s="51">
        <f t="shared" ref="I26" si="14">I20-SUM(I22:I24)</f>
        <v>-1869.8800000000192</v>
      </c>
      <c r="J26" s="51">
        <f>J20-SUM(J22:J24)</f>
        <v>13792.989999999947</v>
      </c>
      <c r="K26" s="51">
        <f t="shared" ref="K26" si="15">K20-SUM(K22:K24)</f>
        <v>-37.110000000000582</v>
      </c>
      <c r="M26" s="6">
        <v>45231</v>
      </c>
      <c r="N26" s="7">
        <f>112/121</f>
        <v>0.92561983471074383</v>
      </c>
      <c r="P26" s="6">
        <v>45292</v>
      </c>
      <c r="Q26" s="7">
        <v>0.33333333333333331</v>
      </c>
      <c r="S26" s="6">
        <v>45200</v>
      </c>
      <c r="T26" s="28">
        <v>188685.39</v>
      </c>
      <c r="U26" s="28">
        <v>200502</v>
      </c>
      <c r="W26" s="28">
        <v>123607.27000000002</v>
      </c>
      <c r="X26" s="28">
        <v>109571</v>
      </c>
      <c r="Z26" s="6">
        <v>45398</v>
      </c>
      <c r="AA26" s="28">
        <v>416836.11</v>
      </c>
      <c r="AB26" s="28">
        <v>391657.08</v>
      </c>
      <c r="AG26" s="8" t="str">
        <f t="shared" si="6"/>
        <v/>
      </c>
      <c r="AI26" s="84"/>
      <c r="AJ26" s="85"/>
      <c r="AK26" s="86"/>
      <c r="AL26" s="86"/>
      <c r="AM26" s="86"/>
      <c r="AN26" s="85"/>
      <c r="AO26" s="85"/>
      <c r="AT26" s="6">
        <f t="shared" si="5"/>
        <v>45205</v>
      </c>
      <c r="AU26" s="76">
        <v>15</v>
      </c>
      <c r="AV26" s="76">
        <v>18</v>
      </c>
    </row>
    <row r="27" spans="1:48" x14ac:dyDescent="0.25">
      <c r="A27" s="77">
        <v>45907</v>
      </c>
      <c r="B27" s="88">
        <v>1</v>
      </c>
      <c r="C27" s="88">
        <v>0</v>
      </c>
      <c r="M27" s="6">
        <v>45261</v>
      </c>
      <c r="N27" s="7">
        <f>114/121</f>
        <v>0.94214876033057848</v>
      </c>
      <c r="P27" s="6">
        <v>45323</v>
      </c>
      <c r="Q27" s="7">
        <v>0.4</v>
      </c>
      <c r="S27" s="6">
        <v>45231</v>
      </c>
      <c r="T27" s="28">
        <v>184877.41</v>
      </c>
      <c r="U27" s="28">
        <v>202511</v>
      </c>
      <c r="W27" s="28">
        <v>125682.57999999999</v>
      </c>
      <c r="X27" s="28">
        <v>109631</v>
      </c>
      <c r="Z27" s="6">
        <v>45428</v>
      </c>
      <c r="AA27" s="28">
        <v>389960</v>
      </c>
      <c r="AB27" s="28">
        <v>383863.45</v>
      </c>
      <c r="AG27" s="8" t="str">
        <f t="shared" si="6"/>
        <v/>
      </c>
      <c r="AI27" s="84"/>
      <c r="AJ27" s="85"/>
      <c r="AK27" s="86"/>
      <c r="AL27" s="86"/>
      <c r="AM27" s="86"/>
      <c r="AN27" s="85"/>
      <c r="AO27" s="85"/>
      <c r="AT27" s="6">
        <f>AT26+7</f>
        <v>45212</v>
      </c>
      <c r="AU27" s="76">
        <v>20</v>
      </c>
      <c r="AV27" s="76">
        <v>18</v>
      </c>
    </row>
    <row r="28" spans="1:48" x14ac:dyDescent="0.25">
      <c r="A28" s="77">
        <v>45914</v>
      </c>
      <c r="B28" s="88">
        <v>0</v>
      </c>
      <c r="C28" s="88">
        <v>0</v>
      </c>
      <c r="M28" s="6">
        <v>45292</v>
      </c>
      <c r="N28" s="7">
        <f>113/121</f>
        <v>0.93388429752066116</v>
      </c>
      <c r="P28" s="6">
        <v>45352</v>
      </c>
      <c r="Q28" s="7">
        <v>0</v>
      </c>
      <c r="S28" s="6">
        <v>45261</v>
      </c>
      <c r="T28" s="28">
        <v>189560.06</v>
      </c>
      <c r="U28" s="28">
        <v>204456</v>
      </c>
      <c r="W28" s="28">
        <v>122025.29</v>
      </c>
      <c r="X28" s="28">
        <v>109690</v>
      </c>
      <c r="Z28" s="6">
        <v>45460</v>
      </c>
      <c r="AA28" s="28">
        <v>758993.78</v>
      </c>
      <c r="AB28" s="28">
        <v>752413.73</v>
      </c>
      <c r="AG28" s="8" t="str">
        <f t="shared" si="6"/>
        <v/>
      </c>
      <c r="AI28" s="84"/>
      <c r="AJ28" s="85"/>
      <c r="AK28" s="86"/>
      <c r="AL28" s="86"/>
      <c r="AM28" s="86"/>
      <c r="AN28" s="85"/>
      <c r="AO28" s="85"/>
      <c r="AT28" s="6">
        <f t="shared" si="5"/>
        <v>45219</v>
      </c>
      <c r="AU28" s="76">
        <v>4</v>
      </c>
      <c r="AV28" s="76">
        <v>18</v>
      </c>
    </row>
    <row r="29" spans="1:48" x14ac:dyDescent="0.25">
      <c r="A29" s="77">
        <f t="shared" ref="A29" si="16">A28+7</f>
        <v>45921</v>
      </c>
      <c r="B29" s="88">
        <v>0</v>
      </c>
      <c r="C29" s="88">
        <v>0</v>
      </c>
      <c r="M29" s="6">
        <v>45323</v>
      </c>
      <c r="N29" s="7">
        <f>113/121</f>
        <v>0.93388429752066116</v>
      </c>
      <c r="P29" s="6">
        <v>45383</v>
      </c>
      <c r="Q29" s="7">
        <v>0.2857142857142857</v>
      </c>
      <c r="S29" s="6">
        <v>45292</v>
      </c>
      <c r="T29" s="28">
        <v>181072.22</v>
      </c>
      <c r="U29" s="28">
        <v>192432.91999999998</v>
      </c>
      <c r="W29" s="28">
        <v>121745.62</v>
      </c>
      <c r="X29" s="28">
        <v>138482.73000000001</v>
      </c>
      <c r="Z29" s="6">
        <v>45489</v>
      </c>
      <c r="AA29" s="28">
        <v>882658.45</v>
      </c>
      <c r="AB29" s="28">
        <v>875321.36</v>
      </c>
      <c r="AG29" s="8" t="str">
        <f t="shared" si="6"/>
        <v/>
      </c>
      <c r="AI29" s="84"/>
      <c r="AJ29" s="85"/>
      <c r="AK29" s="86"/>
      <c r="AL29" s="86"/>
      <c r="AM29" s="86"/>
      <c r="AN29" s="85"/>
      <c r="AO29" s="85"/>
      <c r="AT29" s="6">
        <f t="shared" si="5"/>
        <v>45226</v>
      </c>
      <c r="AU29" s="76">
        <v>12</v>
      </c>
      <c r="AV29" s="76">
        <v>15</v>
      </c>
    </row>
    <row r="30" spans="1:48" x14ac:dyDescent="0.25">
      <c r="M30" s="6">
        <v>45352</v>
      </c>
      <c r="N30" s="7">
        <f>112/121</f>
        <v>0.92561983471074383</v>
      </c>
      <c r="P30" s="6">
        <v>45413</v>
      </c>
      <c r="Q30" s="7">
        <v>0.45454545454545453</v>
      </c>
      <c r="S30" s="6">
        <v>45323</v>
      </c>
      <c r="T30" s="28">
        <v>184947.20000000001</v>
      </c>
      <c r="U30" s="28">
        <v>194192.7</v>
      </c>
      <c r="W30" s="28">
        <v>147805.49</v>
      </c>
      <c r="X30" s="28">
        <v>133157.32</v>
      </c>
      <c r="Z30" s="6">
        <v>45520</v>
      </c>
      <c r="AA30" s="28">
        <v>883793.78</v>
      </c>
      <c r="AB30" s="28">
        <v>810123.35</v>
      </c>
      <c r="AG30" s="8" t="str">
        <f t="shared" si="6"/>
        <v/>
      </c>
      <c r="AI30" s="84"/>
      <c r="AJ30" s="85"/>
      <c r="AK30" s="86"/>
      <c r="AL30" s="86"/>
      <c r="AM30" s="86"/>
      <c r="AN30" s="85"/>
      <c r="AO30" s="85"/>
      <c r="AT30" s="6">
        <f t="shared" si="5"/>
        <v>45233</v>
      </c>
      <c r="AU30" s="76">
        <v>21</v>
      </c>
      <c r="AV30" s="76">
        <v>17</v>
      </c>
    </row>
    <row r="31" spans="1:48" x14ac:dyDescent="0.25">
      <c r="A31" t="s">
        <v>87</v>
      </c>
      <c r="B31" s="46" t="s">
        <v>88</v>
      </c>
      <c r="C31" s="46" t="s">
        <v>89</v>
      </c>
      <c r="D31" s="46" t="s">
        <v>90</v>
      </c>
      <c r="E31" s="46" t="s">
        <v>91</v>
      </c>
      <c r="M31" s="6">
        <v>45383</v>
      </c>
      <c r="N31" s="7">
        <f>116/121</f>
        <v>0.95867768595041325</v>
      </c>
      <c r="P31" s="6">
        <v>45444</v>
      </c>
      <c r="Q31" s="7">
        <v>0.45454545454545453</v>
      </c>
      <c r="S31" s="6">
        <v>45352</v>
      </c>
      <c r="T31" s="28">
        <v>209177.37</v>
      </c>
      <c r="U31" s="28">
        <v>195645.5</v>
      </c>
      <c r="W31" s="28">
        <v>125256.32000000001</v>
      </c>
      <c r="X31" s="28">
        <v>131900.20000000001</v>
      </c>
      <c r="Z31" s="6">
        <v>45551</v>
      </c>
      <c r="AA31" s="28">
        <v>401219.12</v>
      </c>
      <c r="AB31" s="28">
        <v>377016.43</v>
      </c>
      <c r="AG31" s="8" t="str">
        <f t="shared" si="6"/>
        <v/>
      </c>
      <c r="AI31" s="84"/>
      <c r="AJ31" s="85"/>
      <c r="AK31" s="86"/>
      <c r="AL31" s="86"/>
      <c r="AM31" s="86"/>
      <c r="AN31" s="85"/>
      <c r="AO31" s="85"/>
      <c r="AT31" s="6">
        <f t="shared" si="5"/>
        <v>45240</v>
      </c>
      <c r="AU31" s="76">
        <v>10</v>
      </c>
      <c r="AV31" s="76">
        <v>17</v>
      </c>
    </row>
    <row r="32" spans="1:48" x14ac:dyDescent="0.25">
      <c r="A32" s="2">
        <v>45778</v>
      </c>
      <c r="B32" s="88">
        <v>7</v>
      </c>
      <c r="C32" s="88">
        <v>5</v>
      </c>
      <c r="D32" s="88">
        <v>0</v>
      </c>
      <c r="E32" s="88">
        <v>2</v>
      </c>
      <c r="M32" s="6">
        <v>45413</v>
      </c>
      <c r="N32" s="7">
        <f>115/121</f>
        <v>0.95041322314049592</v>
      </c>
      <c r="P32" s="6">
        <v>45474</v>
      </c>
      <c r="Q32" s="7">
        <v>0.44444444444444442</v>
      </c>
      <c r="S32" s="6">
        <v>45383</v>
      </c>
      <c r="T32" s="28">
        <v>219919.02</v>
      </c>
      <c r="U32" s="28">
        <v>197205.36</v>
      </c>
      <c r="W32" s="28">
        <v>119704.06999999999</v>
      </c>
      <c r="X32" s="28">
        <v>131946.99000000002</v>
      </c>
      <c r="Z32" s="6">
        <v>45581</v>
      </c>
      <c r="AA32" s="28">
        <v>437278.06</v>
      </c>
      <c r="AB32" s="28">
        <v>430939.61</v>
      </c>
      <c r="AG32" s="8" t="str">
        <f t="shared" si="6"/>
        <v/>
      </c>
      <c r="AI32" s="84"/>
      <c r="AJ32" s="85"/>
      <c r="AK32" s="86"/>
      <c r="AL32" s="86"/>
      <c r="AM32" s="86"/>
      <c r="AN32" s="85"/>
      <c r="AO32" s="85"/>
      <c r="AT32" s="6">
        <f t="shared" si="5"/>
        <v>45247</v>
      </c>
      <c r="AU32" s="76">
        <v>6</v>
      </c>
      <c r="AV32" s="76">
        <v>21</v>
      </c>
    </row>
    <row r="33" spans="1:48" x14ac:dyDescent="0.25">
      <c r="A33" s="77">
        <f t="shared" ref="A33:A43" si="17">DATE(YEAR(A32),MONTH(A32)+1,DAY(1))</f>
        <v>45809</v>
      </c>
      <c r="B33" s="88">
        <v>7</v>
      </c>
      <c r="C33" s="88">
        <v>3</v>
      </c>
      <c r="D33" s="88">
        <v>0</v>
      </c>
      <c r="E33" s="88">
        <v>4</v>
      </c>
      <c r="M33" s="6">
        <v>45444</v>
      </c>
      <c r="N33" s="7">
        <f>115/121</f>
        <v>0.95041322314049592</v>
      </c>
      <c r="P33" s="6">
        <v>45505</v>
      </c>
      <c r="Q33" s="7">
        <v>0.47058823529411764</v>
      </c>
      <c r="S33" s="6">
        <v>45413</v>
      </c>
      <c r="T33" s="28">
        <v>197884.18</v>
      </c>
      <c r="U33" s="28">
        <v>198573.69999999998</v>
      </c>
      <c r="W33" s="28">
        <v>155552.60999999999</v>
      </c>
      <c r="X33" s="28">
        <v>138653.45000000001</v>
      </c>
      <c r="Z33" s="6">
        <v>45614</v>
      </c>
      <c r="AA33" s="28">
        <v>454728.37</v>
      </c>
      <c r="AB33" s="28">
        <v>438795.86</v>
      </c>
      <c r="AG33" s="8" t="str">
        <f t="shared" si="6"/>
        <v/>
      </c>
      <c r="AI33" s="84"/>
      <c r="AJ33" s="85"/>
      <c r="AK33" s="86"/>
      <c r="AL33" s="86"/>
      <c r="AM33" s="86"/>
      <c r="AN33" s="85"/>
      <c r="AO33" s="85"/>
      <c r="AT33" s="6">
        <f t="shared" si="5"/>
        <v>45254</v>
      </c>
      <c r="AU33" s="76">
        <v>10</v>
      </c>
      <c r="AV33" s="76">
        <v>20</v>
      </c>
    </row>
    <row r="34" spans="1:48" x14ac:dyDescent="0.25">
      <c r="A34" s="77">
        <f t="shared" si="17"/>
        <v>45839</v>
      </c>
      <c r="B34" s="88">
        <v>8</v>
      </c>
      <c r="C34" s="88">
        <v>6</v>
      </c>
      <c r="D34" s="88">
        <v>0</v>
      </c>
      <c r="E34" s="88">
        <v>2</v>
      </c>
      <c r="M34" s="6">
        <v>45474</v>
      </c>
      <c r="N34" s="7">
        <f>114/121</f>
        <v>0.94214876033057848</v>
      </c>
      <c r="P34" s="6">
        <v>45536</v>
      </c>
      <c r="Q34" s="7">
        <v>0.5</v>
      </c>
      <c r="S34" s="6">
        <v>45444</v>
      </c>
      <c r="T34" s="28">
        <v>199797.34</v>
      </c>
      <c r="U34" s="28">
        <v>199413.81</v>
      </c>
      <c r="W34" s="28">
        <v>123180.03</v>
      </c>
      <c r="X34" s="28">
        <v>138678.65</v>
      </c>
      <c r="Z34" s="6">
        <v>45643</v>
      </c>
      <c r="AA34" s="28">
        <v>466886.83</v>
      </c>
      <c r="AB34" s="28">
        <v>461881.32</v>
      </c>
      <c r="AG34" s="8" t="str">
        <f t="shared" si="6"/>
        <v/>
      </c>
      <c r="AI34" s="84"/>
      <c r="AJ34" s="85"/>
      <c r="AK34" s="86"/>
      <c r="AL34" s="86"/>
      <c r="AM34" s="86"/>
      <c r="AN34" s="85"/>
      <c r="AO34" s="85"/>
      <c r="AT34" s="6">
        <f t="shared" si="5"/>
        <v>45261</v>
      </c>
      <c r="AU34" s="76">
        <v>11</v>
      </c>
      <c r="AV34" s="76">
        <v>16</v>
      </c>
    </row>
    <row r="35" spans="1:48" x14ac:dyDescent="0.25">
      <c r="A35" s="77">
        <f t="shared" si="17"/>
        <v>45870</v>
      </c>
      <c r="B35" s="89">
        <v>13</v>
      </c>
      <c r="C35" s="89">
        <v>6</v>
      </c>
      <c r="D35" s="89">
        <v>0</v>
      </c>
      <c r="E35" s="89">
        <v>1</v>
      </c>
      <c r="F35" s="49"/>
      <c r="M35" s="6">
        <v>45505</v>
      </c>
      <c r="N35" s="7">
        <f>115/121</f>
        <v>0.95041322314049592</v>
      </c>
      <c r="P35" s="6">
        <v>45566</v>
      </c>
      <c r="Q35" s="7">
        <v>0.4</v>
      </c>
      <c r="S35" s="6">
        <v>45474</v>
      </c>
      <c r="T35" s="28">
        <v>204845.74</v>
      </c>
      <c r="U35" s="28">
        <v>200221.41999999998</v>
      </c>
      <c r="W35" s="28">
        <v>120551.5</v>
      </c>
      <c r="X35" s="28">
        <v>138702.88</v>
      </c>
      <c r="Z35" s="6">
        <v>45673</v>
      </c>
      <c r="AA35" s="28">
        <v>490646.38</v>
      </c>
      <c r="AB35" s="28">
        <v>488097.51</v>
      </c>
      <c r="AG35" s="8" t="str">
        <f t="shared" si="6"/>
        <v/>
      </c>
      <c r="AI35" s="84"/>
      <c r="AJ35" s="85"/>
      <c r="AK35" s="86"/>
      <c r="AL35" s="86"/>
      <c r="AM35" s="86"/>
      <c r="AN35" s="85"/>
      <c r="AO35" s="85"/>
      <c r="AT35" s="6">
        <f t="shared" si="5"/>
        <v>45268</v>
      </c>
      <c r="AU35" s="76">
        <v>13</v>
      </c>
      <c r="AV35" s="76">
        <v>16</v>
      </c>
    </row>
    <row r="36" spans="1:48" x14ac:dyDescent="0.25">
      <c r="A36" s="77">
        <f t="shared" si="17"/>
        <v>45901</v>
      </c>
      <c r="B36" s="88">
        <v>14</v>
      </c>
      <c r="C36" s="88">
        <v>0</v>
      </c>
      <c r="D36" s="88">
        <v>1</v>
      </c>
      <c r="E36" s="88">
        <v>0</v>
      </c>
      <c r="M36" s="6">
        <v>45536</v>
      </c>
      <c r="N36" s="7">
        <f>112/121</f>
        <v>0.92561983471074383</v>
      </c>
      <c r="P36" s="6">
        <v>45597</v>
      </c>
      <c r="Q36" s="7">
        <v>0.33333333333333331</v>
      </c>
      <c r="S36" s="6">
        <v>45505</v>
      </c>
      <c r="T36" s="28">
        <v>181905.37</v>
      </c>
      <c r="U36" s="28">
        <v>201000.06</v>
      </c>
      <c r="W36" s="28">
        <v>202553.01</v>
      </c>
      <c r="X36" s="28">
        <v>138713.74000000002</v>
      </c>
      <c r="Z36" s="6">
        <v>45705</v>
      </c>
      <c r="AA36" s="28">
        <v>473139.69</v>
      </c>
      <c r="AB36" s="28">
        <v>470665.51</v>
      </c>
      <c r="AG36" s="8" t="str">
        <f t="shared" si="6"/>
        <v/>
      </c>
      <c r="AI36" s="84"/>
      <c r="AJ36" s="85"/>
      <c r="AK36" s="86"/>
      <c r="AL36" s="86"/>
      <c r="AM36" s="86"/>
      <c r="AN36" s="85"/>
      <c r="AO36" s="85"/>
      <c r="AT36" s="6">
        <f t="shared" si="5"/>
        <v>45275</v>
      </c>
      <c r="AU36" s="76">
        <v>7</v>
      </c>
      <c r="AV36" s="76">
        <v>20</v>
      </c>
    </row>
    <row r="37" spans="1:48" x14ac:dyDescent="0.25">
      <c r="A37" s="77">
        <f t="shared" si="17"/>
        <v>45931</v>
      </c>
      <c r="B37" s="88">
        <v>5</v>
      </c>
      <c r="C37" s="88">
        <v>0</v>
      </c>
      <c r="D37" s="88">
        <v>0</v>
      </c>
      <c r="E37" s="88">
        <v>0</v>
      </c>
      <c r="M37" s="6">
        <v>45566</v>
      </c>
      <c r="N37" s="7">
        <f>115/121</f>
        <v>0.95041322314049592</v>
      </c>
      <c r="P37" s="6">
        <v>45627</v>
      </c>
      <c r="Q37" s="7">
        <v>0.33333333333333331</v>
      </c>
      <c r="S37" s="6">
        <v>45536</v>
      </c>
      <c r="T37" s="28">
        <v>192483.61</v>
      </c>
      <c r="U37" s="28">
        <v>201753.09</v>
      </c>
      <c r="W37" s="28">
        <v>123092.68</v>
      </c>
      <c r="X37" s="28">
        <v>138748.83000000002</v>
      </c>
      <c r="Z37" s="6">
        <v>45733</v>
      </c>
      <c r="AA37" s="28">
        <v>534466.55000000005</v>
      </c>
      <c r="AB37" s="28">
        <v>445547.43</v>
      </c>
      <c r="AG37" s="8" t="str">
        <f t="shared" si="6"/>
        <v/>
      </c>
      <c r="AI37" s="84"/>
      <c r="AJ37" s="85"/>
      <c r="AK37" s="86"/>
      <c r="AL37" s="86"/>
      <c r="AM37" s="86"/>
      <c r="AN37" s="85"/>
      <c r="AO37" s="85"/>
      <c r="AT37" s="6">
        <f t="shared" si="5"/>
        <v>45282</v>
      </c>
      <c r="AU37" s="76">
        <v>6</v>
      </c>
      <c r="AV37" s="76">
        <v>19</v>
      </c>
    </row>
    <row r="38" spans="1:48" x14ac:dyDescent="0.25">
      <c r="A38" s="77">
        <f t="shared" si="17"/>
        <v>45962</v>
      </c>
      <c r="B38" s="88">
        <v>5</v>
      </c>
      <c r="C38" s="88">
        <v>0</v>
      </c>
      <c r="D38" s="88">
        <v>0</v>
      </c>
      <c r="E38" s="88">
        <v>0</v>
      </c>
      <c r="M38" s="6">
        <v>45597</v>
      </c>
      <c r="N38" s="7">
        <f>113/121</f>
        <v>0.93388429752066116</v>
      </c>
      <c r="P38" s="6">
        <v>45658</v>
      </c>
      <c r="Q38" s="7">
        <v>0.5</v>
      </c>
      <c r="S38" s="6">
        <v>45566</v>
      </c>
      <c r="T38" s="28">
        <v>219558.52</v>
      </c>
      <c r="U38" s="28">
        <v>202377.4</v>
      </c>
      <c r="W38" s="28">
        <v>122619.32</v>
      </c>
      <c r="X38" s="28">
        <v>138767.56</v>
      </c>
      <c r="Z38" s="6">
        <v>45763</v>
      </c>
      <c r="AA38" s="28">
        <v>446114.61</v>
      </c>
      <c r="AB38" s="28">
        <v>438545.94</v>
      </c>
      <c r="AG38" s="8" t="str">
        <f t="shared" si="6"/>
        <v/>
      </c>
      <c r="AI38" s="84"/>
      <c r="AJ38" s="85"/>
      <c r="AK38" s="86"/>
      <c r="AL38" s="86"/>
      <c r="AM38" s="86"/>
      <c r="AN38" s="85"/>
      <c r="AO38" s="85"/>
      <c r="AT38" s="6">
        <f t="shared" si="5"/>
        <v>45289</v>
      </c>
      <c r="AU38" s="76">
        <v>6</v>
      </c>
      <c r="AV38" s="76">
        <v>19</v>
      </c>
    </row>
    <row r="39" spans="1:48" x14ac:dyDescent="0.25">
      <c r="A39" s="77">
        <f t="shared" si="17"/>
        <v>45992</v>
      </c>
      <c r="B39" s="88">
        <v>8</v>
      </c>
      <c r="C39" s="88">
        <v>0</v>
      </c>
      <c r="D39" s="88">
        <v>0</v>
      </c>
      <c r="E39" s="88">
        <v>0</v>
      </c>
      <c r="M39" s="6">
        <v>45627</v>
      </c>
      <c r="N39" s="7">
        <f>111/121</f>
        <v>0.9173553719008265</v>
      </c>
      <c r="P39" s="6">
        <v>45689</v>
      </c>
      <c r="Q39" s="7">
        <v>0.42857142857142855</v>
      </c>
      <c r="S39" s="6">
        <v>45597</v>
      </c>
      <c r="T39" s="28">
        <v>209059.48</v>
      </c>
      <c r="U39" s="28">
        <v>202989.55</v>
      </c>
      <c r="W39" s="28">
        <v>132768.00999999998</v>
      </c>
      <c r="X39" s="28">
        <v>138785.93000000002</v>
      </c>
      <c r="Z39" s="6">
        <v>45792</v>
      </c>
      <c r="AA39" s="28">
        <v>452618.77</v>
      </c>
      <c r="AB39" s="28">
        <v>444899.69</v>
      </c>
      <c r="AG39" s="8" t="str">
        <f t="shared" si="6"/>
        <v/>
      </c>
      <c r="AI39" s="84"/>
      <c r="AJ39" s="85"/>
      <c r="AK39" s="86"/>
      <c r="AL39" s="86"/>
      <c r="AM39" s="86"/>
      <c r="AN39" s="85"/>
      <c r="AO39" s="85"/>
      <c r="AT39" s="6">
        <f t="shared" si="5"/>
        <v>45296</v>
      </c>
      <c r="AU39" s="76">
        <v>5</v>
      </c>
      <c r="AV39" s="76">
        <v>18</v>
      </c>
    </row>
    <row r="40" spans="1:48" x14ac:dyDescent="0.25">
      <c r="A40" s="77">
        <f t="shared" si="17"/>
        <v>46023</v>
      </c>
      <c r="B40" s="88">
        <v>2</v>
      </c>
      <c r="C40" s="88">
        <v>0</v>
      </c>
      <c r="D40" s="88">
        <v>0</v>
      </c>
      <c r="E40" s="88">
        <v>0</v>
      </c>
      <c r="M40" s="6">
        <v>45658</v>
      </c>
      <c r="N40" s="7">
        <f>111/121</f>
        <v>0.9173553719008265</v>
      </c>
      <c r="P40" s="6">
        <v>45717</v>
      </c>
      <c r="Q40" s="7">
        <v>0.4</v>
      </c>
      <c r="S40" s="6">
        <v>45627</v>
      </c>
      <c r="T40" s="28">
        <v>215467.91</v>
      </c>
      <c r="U40" s="28">
        <v>203591.88</v>
      </c>
      <c r="W40" s="28">
        <v>99778.610000000015</v>
      </c>
      <c r="X40" s="28">
        <v>147349.42000000001</v>
      </c>
      <c r="Z40" s="6">
        <v>45825</v>
      </c>
      <c r="AA40" s="28">
        <v>449757.43</v>
      </c>
      <c r="AB40" s="28">
        <v>438826.53</v>
      </c>
      <c r="AG40" s="8" t="str">
        <f t="shared" si="6"/>
        <v/>
      </c>
      <c r="AI40" s="84"/>
      <c r="AJ40" s="85"/>
      <c r="AK40" s="86"/>
      <c r="AL40" s="86"/>
      <c r="AM40" s="86"/>
      <c r="AN40" s="85"/>
      <c r="AO40" s="85"/>
      <c r="AT40" s="6">
        <f t="shared" si="5"/>
        <v>45303</v>
      </c>
      <c r="AU40" s="76">
        <v>5</v>
      </c>
      <c r="AV40" s="76">
        <v>18</v>
      </c>
    </row>
    <row r="41" spans="1:48" x14ac:dyDescent="0.25">
      <c r="A41" s="77">
        <f t="shared" si="17"/>
        <v>46054</v>
      </c>
      <c r="B41" s="88">
        <v>9</v>
      </c>
      <c r="C41" s="88">
        <v>0</v>
      </c>
      <c r="D41" s="88">
        <v>0</v>
      </c>
      <c r="E41" s="88">
        <v>0</v>
      </c>
      <c r="M41" s="6">
        <v>45689</v>
      </c>
      <c r="N41" s="7">
        <f>111/121</f>
        <v>0.9173553719008265</v>
      </c>
      <c r="P41" s="6">
        <v>45748</v>
      </c>
      <c r="Q41" s="7">
        <v>0.4</v>
      </c>
      <c r="S41" s="6">
        <v>45658</v>
      </c>
      <c r="T41" s="28">
        <v>198352.83000000002</v>
      </c>
      <c r="U41" s="28">
        <v>203520.35</v>
      </c>
      <c r="W41" s="28">
        <v>128525.3</v>
      </c>
      <c r="X41" s="28">
        <v>142022.78000000003</v>
      </c>
      <c r="Z41" s="6">
        <v>45854</v>
      </c>
      <c r="AA41" s="28">
        <v>440625.75</v>
      </c>
      <c r="AB41" s="28">
        <v>427212.89</v>
      </c>
      <c r="AG41" s="8" t="str">
        <f t="shared" si="6"/>
        <v/>
      </c>
      <c r="AI41" s="84"/>
      <c r="AJ41" s="85"/>
      <c r="AK41" s="86"/>
      <c r="AL41" s="86"/>
      <c r="AM41" s="86"/>
      <c r="AN41" s="85"/>
      <c r="AO41" s="85"/>
      <c r="AT41" s="6">
        <f t="shared" si="5"/>
        <v>45310</v>
      </c>
      <c r="AU41" s="76">
        <v>16</v>
      </c>
      <c r="AV41" s="76">
        <v>26</v>
      </c>
    </row>
    <row r="42" spans="1:48" x14ac:dyDescent="0.25">
      <c r="A42" s="77">
        <f t="shared" si="17"/>
        <v>46082</v>
      </c>
      <c r="B42" s="88">
        <v>10</v>
      </c>
      <c r="C42" s="88">
        <v>0</v>
      </c>
      <c r="D42" s="88">
        <v>0</v>
      </c>
      <c r="E42" s="88">
        <v>0</v>
      </c>
      <c r="M42" s="6">
        <v>45717</v>
      </c>
      <c r="N42" s="7">
        <f>107/121</f>
        <v>0.88429752066115708</v>
      </c>
      <c r="P42" s="6">
        <v>45778</v>
      </c>
      <c r="Q42" s="7">
        <v>0.2857142857142857</v>
      </c>
      <c r="R42" s="78"/>
      <c r="S42" s="6">
        <v>45689</v>
      </c>
      <c r="T42" s="28">
        <v>176071.38</v>
      </c>
      <c r="U42" s="28">
        <v>204691.49</v>
      </c>
      <c r="W42" s="28">
        <v>141708.39000000001</v>
      </c>
      <c r="X42" s="28">
        <v>142057.92000000001</v>
      </c>
      <c r="Z42" s="6"/>
      <c r="AA42" s="28"/>
      <c r="AB42" s="28"/>
      <c r="AG42" s="8" t="str">
        <f t="shared" ref="AG42:AG59" si="18">IFERROR(AF49/AE49,"")</f>
        <v/>
      </c>
      <c r="AI42" s="84"/>
      <c r="AJ42" s="85"/>
      <c r="AK42" s="86"/>
      <c r="AL42" s="86"/>
      <c r="AM42" s="86"/>
      <c r="AN42" s="85"/>
      <c r="AO42" s="85"/>
      <c r="AT42" s="6">
        <f t="shared" si="5"/>
        <v>45317</v>
      </c>
      <c r="AU42" s="76">
        <v>11</v>
      </c>
      <c r="AV42" s="76">
        <v>18</v>
      </c>
    </row>
    <row r="43" spans="1:48" x14ac:dyDescent="0.25">
      <c r="A43" s="77">
        <f t="shared" si="17"/>
        <v>46113</v>
      </c>
      <c r="B43" s="88">
        <v>8</v>
      </c>
      <c r="C43" s="88">
        <v>0</v>
      </c>
      <c r="D43" s="88">
        <v>0</v>
      </c>
      <c r="E43" s="88">
        <v>0</v>
      </c>
      <c r="M43" s="6">
        <v>45748</v>
      </c>
      <c r="N43" s="7">
        <f>106/121</f>
        <v>0.87603305785123964</v>
      </c>
      <c r="P43" s="6">
        <v>45809</v>
      </c>
      <c r="Q43" s="7">
        <v>0.5714285714285714</v>
      </c>
      <c r="S43" s="6">
        <v>45717</v>
      </c>
      <c r="T43" s="28">
        <v>186051.8</v>
      </c>
      <c r="U43" s="28">
        <v>205864.46</v>
      </c>
      <c r="W43" s="28">
        <v>133397.77000000002</v>
      </c>
      <c r="X43" s="28">
        <v>142268.1</v>
      </c>
      <c r="Z43" s="6"/>
      <c r="AA43" s="28"/>
      <c r="AB43" s="28"/>
      <c r="AG43" s="8" t="str">
        <f t="shared" si="18"/>
        <v/>
      </c>
      <c r="AT43" s="6">
        <f t="shared" si="5"/>
        <v>45324</v>
      </c>
      <c r="AU43" s="76">
        <v>9</v>
      </c>
      <c r="AV43" s="76">
        <v>17</v>
      </c>
    </row>
    <row r="44" spans="1:48" x14ac:dyDescent="0.25">
      <c r="A44" s="77">
        <f>DATE(YEAR(A43),MONTH(A43)+1,DAY(1))</f>
        <v>46143</v>
      </c>
      <c r="B44" s="88">
        <v>10</v>
      </c>
      <c r="C44" s="88">
        <v>0</v>
      </c>
      <c r="D44" s="88">
        <v>2</v>
      </c>
      <c r="E44" s="88">
        <v>0</v>
      </c>
      <c r="M44" s="6">
        <v>45778</v>
      </c>
      <c r="N44" s="7">
        <f>112/121</f>
        <v>0.92561983471074383</v>
      </c>
      <c r="P44" s="6">
        <v>45839</v>
      </c>
      <c r="Q44" s="7">
        <v>0.25</v>
      </c>
      <c r="S44" s="6">
        <v>45748</v>
      </c>
      <c r="T44" s="28">
        <v>214290.90999999997</v>
      </c>
      <c r="U44" s="28">
        <v>208060.2</v>
      </c>
      <c r="W44" s="28">
        <v>134296.15000000002</v>
      </c>
      <c r="X44" s="28">
        <v>142508.98000000001</v>
      </c>
      <c r="AG44" s="8" t="str">
        <f t="shared" si="18"/>
        <v/>
      </c>
      <c r="AT44" s="6">
        <f t="shared" si="5"/>
        <v>45331</v>
      </c>
      <c r="AU44" s="76">
        <v>7</v>
      </c>
      <c r="AV44" s="76">
        <v>18</v>
      </c>
    </row>
    <row r="45" spans="1:48" x14ac:dyDescent="0.25">
      <c r="A45" s="77"/>
      <c r="M45" s="6">
        <v>45809</v>
      </c>
      <c r="N45" s="7">
        <f>107/121</f>
        <v>0.88429752066115708</v>
      </c>
      <c r="P45" s="6">
        <v>45870</v>
      </c>
      <c r="Q45" s="7">
        <v>7.6923076923076927E-2</v>
      </c>
      <c r="S45" s="6">
        <v>45778</v>
      </c>
      <c r="T45" s="28">
        <v>223138.42</v>
      </c>
      <c r="U45" s="28">
        <v>208215.88</v>
      </c>
      <c r="W45" s="28">
        <v>135117.56</v>
      </c>
      <c r="X45" s="28">
        <v>142513.65000000002</v>
      </c>
      <c r="AG45" s="8" t="str">
        <f t="shared" si="18"/>
        <v/>
      </c>
      <c r="AT45" s="6">
        <f t="shared" si="5"/>
        <v>45338</v>
      </c>
      <c r="AU45" s="76">
        <v>2</v>
      </c>
      <c r="AV45" s="76">
        <v>19</v>
      </c>
    </row>
    <row r="46" spans="1:48" x14ac:dyDescent="0.25">
      <c r="M46" s="6">
        <v>45839</v>
      </c>
      <c r="N46" s="7">
        <f>107/121</f>
        <v>0.88429752066115708</v>
      </c>
      <c r="P46" s="6"/>
      <c r="Q46" s="7"/>
      <c r="S46" s="6">
        <v>45809</v>
      </c>
      <c r="T46" s="28">
        <v>159577.56</v>
      </c>
      <c r="U46" s="28">
        <v>208371.71</v>
      </c>
      <c r="W46" s="28">
        <v>138873.04999999999</v>
      </c>
      <c r="X46" s="28">
        <v>142518.32</v>
      </c>
      <c r="AG46" s="8" t="str">
        <f t="shared" si="18"/>
        <v/>
      </c>
      <c r="AT46" s="6">
        <f t="shared" si="5"/>
        <v>45345</v>
      </c>
      <c r="AU46" s="76">
        <v>4</v>
      </c>
      <c r="AV46" s="76">
        <v>21</v>
      </c>
    </row>
    <row r="47" spans="1:48" x14ac:dyDescent="0.25">
      <c r="M47" s="6">
        <v>45870</v>
      </c>
      <c r="N47" s="7">
        <f>105/121</f>
        <v>0.86776859504132231</v>
      </c>
      <c r="P47" s="6"/>
      <c r="Q47" s="7"/>
      <c r="S47" s="6"/>
      <c r="T47" s="28"/>
      <c r="U47" s="28"/>
      <c r="W47" s="28"/>
      <c r="X47" s="28"/>
      <c r="AG47" s="8" t="str">
        <f t="shared" si="18"/>
        <v/>
      </c>
      <c r="AT47" s="6">
        <f t="shared" si="5"/>
        <v>45352</v>
      </c>
      <c r="AU47" s="76">
        <v>6</v>
      </c>
      <c r="AV47" s="76">
        <v>17</v>
      </c>
    </row>
    <row r="48" spans="1:48" x14ac:dyDescent="0.25">
      <c r="M48" s="6"/>
      <c r="N48" s="7"/>
      <c r="P48" s="6"/>
      <c r="Q48" s="7"/>
      <c r="S48" s="6"/>
      <c r="T48" s="28"/>
      <c r="U48" s="28"/>
      <c r="W48" s="28"/>
      <c r="X48" s="28"/>
      <c r="AG48" s="8" t="str">
        <f t="shared" si="18"/>
        <v/>
      </c>
      <c r="AT48" s="6">
        <f t="shared" si="5"/>
        <v>45359</v>
      </c>
      <c r="AU48" s="76">
        <v>7</v>
      </c>
      <c r="AV48" s="76">
        <v>17</v>
      </c>
    </row>
    <row r="49" spans="13:48" x14ac:dyDescent="0.25">
      <c r="M49" s="6"/>
      <c r="N49" s="7"/>
      <c r="P49" s="6"/>
      <c r="Q49" s="7"/>
      <c r="AG49" s="8" t="str">
        <f t="shared" si="18"/>
        <v/>
      </c>
      <c r="AT49" s="6">
        <f t="shared" si="5"/>
        <v>45366</v>
      </c>
      <c r="AU49" s="76">
        <v>4</v>
      </c>
      <c r="AV49" s="76">
        <v>17</v>
      </c>
    </row>
    <row r="50" spans="13:48" x14ac:dyDescent="0.25">
      <c r="M50" s="6"/>
      <c r="N50" s="7"/>
      <c r="AG50" s="8" t="str">
        <f t="shared" si="18"/>
        <v/>
      </c>
      <c r="AT50" s="6">
        <f t="shared" si="5"/>
        <v>45373</v>
      </c>
      <c r="AU50" s="76">
        <v>2</v>
      </c>
      <c r="AV50" s="76">
        <v>17</v>
      </c>
    </row>
    <row r="51" spans="13:48" x14ac:dyDescent="0.25">
      <c r="M51" s="6"/>
      <c r="N51" s="7"/>
      <c r="AG51" s="8" t="str">
        <f t="shared" si="18"/>
        <v/>
      </c>
      <c r="AT51" s="6">
        <f t="shared" si="5"/>
        <v>45380</v>
      </c>
      <c r="AU51" s="76">
        <v>4</v>
      </c>
      <c r="AV51" s="76">
        <v>17</v>
      </c>
    </row>
    <row r="52" spans="13:48" x14ac:dyDescent="0.25">
      <c r="M52" s="6"/>
      <c r="N52" s="7"/>
      <c r="AG52" s="8" t="str">
        <f t="shared" si="18"/>
        <v/>
      </c>
      <c r="AT52" s="6">
        <f t="shared" si="5"/>
        <v>45387</v>
      </c>
      <c r="AU52" s="76">
        <v>3</v>
      </c>
      <c r="AV52" s="76">
        <v>16</v>
      </c>
    </row>
    <row r="53" spans="13:48" x14ac:dyDescent="0.25">
      <c r="M53" s="6"/>
      <c r="N53" s="7"/>
      <c r="AG53" s="8" t="str">
        <f t="shared" si="18"/>
        <v/>
      </c>
      <c r="AT53" s="6">
        <f t="shared" si="5"/>
        <v>45394</v>
      </c>
      <c r="AU53" s="76">
        <v>3</v>
      </c>
      <c r="AV53" s="76">
        <v>17</v>
      </c>
    </row>
    <row r="54" spans="13:48" x14ac:dyDescent="0.25">
      <c r="M54" s="6"/>
      <c r="N54" s="7"/>
      <c r="AG54" s="8" t="str">
        <f t="shared" si="18"/>
        <v/>
      </c>
      <c r="AT54" s="6">
        <f t="shared" si="5"/>
        <v>45401</v>
      </c>
      <c r="AU54" s="76">
        <v>2</v>
      </c>
      <c r="AV54" s="76">
        <v>15</v>
      </c>
    </row>
    <row r="55" spans="13:48" x14ac:dyDescent="0.25">
      <c r="M55" s="6"/>
      <c r="N55" s="7"/>
      <c r="AG55" s="8" t="str">
        <f t="shared" si="18"/>
        <v/>
      </c>
      <c r="AT55" s="6">
        <v>45411</v>
      </c>
      <c r="AU55" s="76">
        <v>3</v>
      </c>
      <c r="AV55" s="76">
        <v>17</v>
      </c>
    </row>
    <row r="56" spans="13:48" x14ac:dyDescent="0.25">
      <c r="M56" s="6"/>
      <c r="N56" s="7"/>
      <c r="AG56" s="8" t="str">
        <f t="shared" si="18"/>
        <v/>
      </c>
      <c r="AT56" s="6">
        <f t="shared" si="5"/>
        <v>45418</v>
      </c>
      <c r="AU56" s="76">
        <v>2</v>
      </c>
      <c r="AV56" s="76">
        <v>18</v>
      </c>
    </row>
    <row r="57" spans="13:48" x14ac:dyDescent="0.25">
      <c r="M57" s="6"/>
      <c r="N57" s="7"/>
      <c r="AG57" s="8" t="str">
        <f t="shared" si="18"/>
        <v/>
      </c>
      <c r="AT57" s="6">
        <f t="shared" si="5"/>
        <v>45425</v>
      </c>
      <c r="AU57" s="76">
        <v>5</v>
      </c>
      <c r="AV57" s="76">
        <v>21</v>
      </c>
    </row>
    <row r="58" spans="13:48" x14ac:dyDescent="0.25">
      <c r="M58" s="6"/>
      <c r="N58" s="7"/>
      <c r="AG58" s="8" t="str">
        <f t="shared" si="18"/>
        <v/>
      </c>
      <c r="AT58" s="6">
        <f t="shared" si="5"/>
        <v>45432</v>
      </c>
      <c r="AU58" s="76">
        <v>9</v>
      </c>
      <c r="AV58" s="76">
        <v>19</v>
      </c>
    </row>
    <row r="59" spans="13:48" x14ac:dyDescent="0.25">
      <c r="M59" s="6"/>
      <c r="N59" s="7"/>
      <c r="AG59" s="8" t="str">
        <f t="shared" si="18"/>
        <v/>
      </c>
      <c r="AT59" s="6">
        <f t="shared" si="5"/>
        <v>45439</v>
      </c>
      <c r="AU59" s="76">
        <v>9</v>
      </c>
      <c r="AV59" s="76">
        <v>18</v>
      </c>
    </row>
    <row r="60" spans="13:48" x14ac:dyDescent="0.25">
      <c r="M60" s="6"/>
      <c r="N60" s="7"/>
      <c r="AG60" s="8" t="str">
        <f t="shared" ref="AG60:AG64" si="19">IFERROR(AF67/AE67,"")</f>
        <v/>
      </c>
      <c r="AT60" s="6">
        <f t="shared" si="5"/>
        <v>45446</v>
      </c>
      <c r="AU60" s="76">
        <v>10</v>
      </c>
      <c r="AV60" s="76">
        <v>18</v>
      </c>
    </row>
    <row r="61" spans="13:48" x14ac:dyDescent="0.25">
      <c r="M61" s="6"/>
      <c r="N61" s="7"/>
      <c r="AG61" s="8" t="str">
        <f t="shared" si="19"/>
        <v/>
      </c>
      <c r="AT61" s="6">
        <f t="shared" si="5"/>
        <v>45453</v>
      </c>
      <c r="AU61" s="76">
        <v>14</v>
      </c>
      <c r="AV61" s="76">
        <v>16</v>
      </c>
    </row>
    <row r="62" spans="13:48" x14ac:dyDescent="0.25">
      <c r="M62" s="6"/>
      <c r="N62" s="7"/>
      <c r="AG62" s="8" t="str">
        <f t="shared" si="19"/>
        <v/>
      </c>
      <c r="AT62" s="6">
        <f t="shared" si="5"/>
        <v>45460</v>
      </c>
      <c r="AU62" s="76">
        <v>5</v>
      </c>
      <c r="AV62" s="76">
        <v>17</v>
      </c>
    </row>
    <row r="63" spans="13:48" x14ac:dyDescent="0.25">
      <c r="M63" s="6"/>
      <c r="N63" s="7"/>
      <c r="AG63" s="8" t="str">
        <f t="shared" si="19"/>
        <v/>
      </c>
      <c r="AT63" s="6">
        <f t="shared" si="5"/>
        <v>45467</v>
      </c>
      <c r="AU63" s="76">
        <v>14</v>
      </c>
      <c r="AV63" s="76">
        <v>16</v>
      </c>
    </row>
    <row r="64" spans="13:48" x14ac:dyDescent="0.25">
      <c r="M64" s="6"/>
      <c r="N64" s="7"/>
      <c r="AG64" s="8" t="str">
        <f t="shared" si="19"/>
        <v/>
      </c>
      <c r="AT64" s="6">
        <f t="shared" si="5"/>
        <v>45474</v>
      </c>
      <c r="AU64" s="76">
        <v>11</v>
      </c>
      <c r="AV64" s="76">
        <v>16</v>
      </c>
    </row>
    <row r="65" spans="13:48" x14ac:dyDescent="0.25">
      <c r="M65" s="6"/>
      <c r="N65" s="7"/>
      <c r="AT65" s="6">
        <f t="shared" si="5"/>
        <v>45481</v>
      </c>
      <c r="AU65" s="76">
        <v>19</v>
      </c>
      <c r="AV65" s="76">
        <v>14</v>
      </c>
    </row>
    <row r="66" spans="13:48" x14ac:dyDescent="0.25">
      <c r="M66" s="6"/>
      <c r="N66" s="7"/>
      <c r="AT66" s="6">
        <f t="shared" si="5"/>
        <v>45488</v>
      </c>
      <c r="AU66" s="76">
        <v>12</v>
      </c>
      <c r="AV66" s="76">
        <v>13</v>
      </c>
    </row>
    <row r="67" spans="13:48" x14ac:dyDescent="0.25">
      <c r="M67" s="6"/>
      <c r="N67" s="7"/>
      <c r="AT67" s="6">
        <f t="shared" si="5"/>
        <v>45495</v>
      </c>
      <c r="AU67" s="76">
        <v>7</v>
      </c>
      <c r="AV67" s="76">
        <v>10</v>
      </c>
    </row>
    <row r="68" spans="13:48" x14ac:dyDescent="0.25">
      <c r="M68" s="6"/>
      <c r="N68" s="7"/>
      <c r="AT68" s="6">
        <f t="shared" si="5"/>
        <v>45502</v>
      </c>
      <c r="AU68" s="76">
        <v>6</v>
      </c>
      <c r="AV68" s="76">
        <v>9</v>
      </c>
    </row>
    <row r="69" spans="13:48" x14ac:dyDescent="0.25">
      <c r="M69" s="6"/>
      <c r="N69" s="7"/>
      <c r="AT69" s="6">
        <f t="shared" ref="AT69:AT132" si="20">AT68+7</f>
        <v>45509</v>
      </c>
      <c r="AU69" s="76">
        <v>15</v>
      </c>
      <c r="AV69" s="76">
        <v>8</v>
      </c>
    </row>
    <row r="70" spans="13:48" x14ac:dyDescent="0.25">
      <c r="M70" s="6"/>
      <c r="N70" s="7"/>
      <c r="AT70" s="6">
        <f t="shared" si="20"/>
        <v>45516</v>
      </c>
      <c r="AU70" s="76">
        <v>12</v>
      </c>
      <c r="AV70" s="76">
        <v>7</v>
      </c>
    </row>
    <row r="71" spans="13:48" x14ac:dyDescent="0.25">
      <c r="M71" s="6"/>
      <c r="N71" s="7"/>
      <c r="AT71" s="6">
        <f t="shared" si="20"/>
        <v>45523</v>
      </c>
      <c r="AU71" s="76">
        <v>9</v>
      </c>
      <c r="AV71" s="76">
        <v>8</v>
      </c>
    </row>
    <row r="72" spans="13:48" x14ac:dyDescent="0.25">
      <c r="M72" s="6"/>
      <c r="N72" s="7"/>
      <c r="AT72" s="6">
        <f t="shared" si="20"/>
        <v>45530</v>
      </c>
      <c r="AU72" s="76">
        <v>2</v>
      </c>
      <c r="AV72" s="76">
        <v>7</v>
      </c>
    </row>
    <row r="73" spans="13:48" x14ac:dyDescent="0.25">
      <c r="M73" s="6"/>
      <c r="N73" s="7"/>
      <c r="AT73" s="6">
        <f t="shared" si="20"/>
        <v>45537</v>
      </c>
      <c r="AU73" s="76">
        <v>5</v>
      </c>
      <c r="AV73" s="76">
        <v>12</v>
      </c>
    </row>
    <row r="74" spans="13:48" x14ac:dyDescent="0.25">
      <c r="M74" s="6"/>
      <c r="N74" s="7"/>
      <c r="AT74" s="6">
        <f t="shared" si="20"/>
        <v>45544</v>
      </c>
      <c r="AU74" s="76">
        <v>3</v>
      </c>
      <c r="AV74" s="76">
        <v>14</v>
      </c>
    </row>
    <row r="75" spans="13:48" x14ac:dyDescent="0.25">
      <c r="M75" s="6"/>
      <c r="N75" s="7"/>
      <c r="AT75" s="6">
        <f t="shared" si="20"/>
        <v>45551</v>
      </c>
      <c r="AU75" s="76">
        <v>4</v>
      </c>
      <c r="AV75" s="76">
        <v>13</v>
      </c>
    </row>
    <row r="76" spans="13:48" x14ac:dyDescent="0.25">
      <c r="M76" s="6"/>
      <c r="N76" s="7"/>
      <c r="AT76" s="6">
        <f t="shared" si="20"/>
        <v>45558</v>
      </c>
      <c r="AU76" s="76">
        <v>5</v>
      </c>
      <c r="AV76" s="76">
        <v>13</v>
      </c>
    </row>
    <row r="77" spans="13:48" x14ac:dyDescent="0.25">
      <c r="M77" s="6"/>
      <c r="N77" s="7"/>
      <c r="AT77" s="6">
        <f t="shared" si="20"/>
        <v>45565</v>
      </c>
      <c r="AU77" s="76">
        <v>4</v>
      </c>
      <c r="AV77" s="76">
        <v>11</v>
      </c>
    </row>
    <row r="78" spans="13:48" x14ac:dyDescent="0.25">
      <c r="M78" s="6"/>
      <c r="N78" s="7"/>
      <c r="AT78" s="6">
        <f t="shared" si="20"/>
        <v>45572</v>
      </c>
      <c r="AU78" s="76">
        <v>1</v>
      </c>
      <c r="AV78" s="76">
        <v>10</v>
      </c>
    </row>
    <row r="79" spans="13:48" x14ac:dyDescent="0.25">
      <c r="M79" s="6"/>
      <c r="N79" s="7"/>
      <c r="AT79" s="6">
        <f t="shared" si="20"/>
        <v>45579</v>
      </c>
      <c r="AU79" s="76">
        <v>2</v>
      </c>
      <c r="AV79" s="76">
        <v>11</v>
      </c>
    </row>
    <row r="80" spans="13:48" x14ac:dyDescent="0.25">
      <c r="M80" s="6"/>
      <c r="N80" s="7"/>
      <c r="AT80" s="6">
        <f t="shared" si="20"/>
        <v>45586</v>
      </c>
      <c r="AU80" s="76">
        <v>4</v>
      </c>
      <c r="AV80" s="76">
        <v>10</v>
      </c>
    </row>
    <row r="81" spans="13:48" x14ac:dyDescent="0.25">
      <c r="M81" s="6"/>
      <c r="N81" s="7"/>
      <c r="AT81" s="6">
        <f t="shared" si="20"/>
        <v>45593</v>
      </c>
      <c r="AU81" s="76">
        <v>1</v>
      </c>
      <c r="AV81" s="76">
        <v>9</v>
      </c>
    </row>
    <row r="82" spans="13:48" x14ac:dyDescent="0.25">
      <c r="M82" s="6"/>
      <c r="N82" s="7"/>
      <c r="AT82" s="6">
        <f t="shared" si="20"/>
        <v>45600</v>
      </c>
      <c r="AU82" s="76">
        <v>5</v>
      </c>
      <c r="AV82" s="76">
        <v>9</v>
      </c>
    </row>
    <row r="83" spans="13:48" x14ac:dyDescent="0.25">
      <c r="M83" s="6"/>
      <c r="N83" s="7"/>
      <c r="AT83" s="6">
        <f t="shared" si="20"/>
        <v>45607</v>
      </c>
      <c r="AU83" s="76">
        <v>6</v>
      </c>
      <c r="AV83" s="76">
        <v>9</v>
      </c>
    </row>
    <row r="84" spans="13:48" x14ac:dyDescent="0.25">
      <c r="M84" s="6"/>
      <c r="N84" s="7"/>
      <c r="AT84" s="6">
        <f t="shared" si="20"/>
        <v>45614</v>
      </c>
      <c r="AU84" s="76">
        <v>9</v>
      </c>
      <c r="AV84" s="76">
        <v>8</v>
      </c>
    </row>
    <row r="85" spans="13:48" x14ac:dyDescent="0.25">
      <c r="M85" s="6"/>
      <c r="N85" s="7"/>
      <c r="AT85" s="6">
        <f t="shared" si="20"/>
        <v>45621</v>
      </c>
      <c r="AU85" s="76">
        <v>12</v>
      </c>
      <c r="AV85" s="76">
        <v>8</v>
      </c>
    </row>
    <row r="86" spans="13:48" x14ac:dyDescent="0.25">
      <c r="M86" s="6"/>
      <c r="N86" s="7"/>
      <c r="AT86" s="6">
        <f t="shared" si="20"/>
        <v>45628</v>
      </c>
      <c r="AU86" s="76">
        <v>14</v>
      </c>
      <c r="AV86" s="76">
        <v>8</v>
      </c>
    </row>
    <row r="87" spans="13:48" x14ac:dyDescent="0.25">
      <c r="M87" s="6"/>
      <c r="N87" s="7"/>
      <c r="AT87" s="6">
        <f t="shared" si="20"/>
        <v>45635</v>
      </c>
      <c r="AU87" s="76">
        <v>11</v>
      </c>
      <c r="AV87" s="76">
        <v>12</v>
      </c>
    </row>
    <row r="88" spans="13:48" x14ac:dyDescent="0.25">
      <c r="M88" s="6"/>
      <c r="N88" s="7"/>
      <c r="AT88" s="6">
        <f t="shared" si="20"/>
        <v>45642</v>
      </c>
      <c r="AU88" s="76">
        <v>7</v>
      </c>
      <c r="AV88" s="76">
        <v>13</v>
      </c>
    </row>
    <row r="89" spans="13:48" x14ac:dyDescent="0.25">
      <c r="M89" s="6"/>
      <c r="N89" s="7"/>
      <c r="AT89" s="6">
        <f t="shared" si="20"/>
        <v>45649</v>
      </c>
      <c r="AU89" s="76">
        <v>9</v>
      </c>
      <c r="AV89" s="76">
        <v>10</v>
      </c>
    </row>
    <row r="90" spans="13:48" x14ac:dyDescent="0.25">
      <c r="M90" s="6"/>
      <c r="N90" s="7"/>
      <c r="AT90" s="6">
        <f t="shared" si="20"/>
        <v>45656</v>
      </c>
      <c r="AU90" s="76">
        <v>10</v>
      </c>
      <c r="AV90" s="76">
        <v>8</v>
      </c>
    </row>
    <row r="91" spans="13:48" x14ac:dyDescent="0.25">
      <c r="M91" s="6"/>
      <c r="N91" s="7"/>
      <c r="AT91" s="6">
        <f t="shared" si="20"/>
        <v>45663</v>
      </c>
      <c r="AU91" s="76">
        <v>6</v>
      </c>
      <c r="AV91" s="76">
        <v>10</v>
      </c>
    </row>
    <row r="92" spans="13:48" x14ac:dyDescent="0.25">
      <c r="M92" s="6"/>
      <c r="N92" s="7"/>
      <c r="AT92" s="6">
        <f t="shared" si="20"/>
        <v>45670</v>
      </c>
      <c r="AU92" s="76">
        <v>5</v>
      </c>
      <c r="AV92" s="76">
        <v>11</v>
      </c>
    </row>
    <row r="93" spans="13:48" x14ac:dyDescent="0.25">
      <c r="M93" s="6"/>
      <c r="N93" s="7"/>
      <c r="AT93" s="6">
        <f t="shared" si="20"/>
        <v>45677</v>
      </c>
      <c r="AU93" s="76">
        <v>15</v>
      </c>
      <c r="AV93" s="76">
        <v>12</v>
      </c>
    </row>
    <row r="94" spans="13:48" x14ac:dyDescent="0.25">
      <c r="M94" s="6"/>
      <c r="N94" s="7"/>
      <c r="AT94" s="6">
        <f t="shared" si="20"/>
        <v>45684</v>
      </c>
      <c r="AU94" s="76">
        <v>10</v>
      </c>
      <c r="AV94" s="76">
        <v>12</v>
      </c>
    </row>
    <row r="95" spans="13:48" x14ac:dyDescent="0.25">
      <c r="M95" s="6"/>
      <c r="N95" s="7"/>
      <c r="AT95" s="6">
        <f t="shared" si="20"/>
        <v>45691</v>
      </c>
      <c r="AU95" s="76">
        <v>8</v>
      </c>
      <c r="AV95" s="76">
        <v>10</v>
      </c>
    </row>
    <row r="96" spans="13:48" x14ac:dyDescent="0.25">
      <c r="M96" s="6"/>
      <c r="N96" s="7"/>
      <c r="AT96" s="6">
        <f t="shared" si="20"/>
        <v>45698</v>
      </c>
      <c r="AU96" s="76">
        <v>9</v>
      </c>
      <c r="AV96" s="76">
        <v>9</v>
      </c>
    </row>
    <row r="97" spans="13:49" x14ac:dyDescent="0.25">
      <c r="M97" s="6"/>
      <c r="N97" s="7"/>
      <c r="AT97" s="6">
        <f t="shared" si="20"/>
        <v>45705</v>
      </c>
      <c r="AU97" s="76">
        <v>10</v>
      </c>
      <c r="AV97" s="76">
        <v>10</v>
      </c>
    </row>
    <row r="98" spans="13:49" x14ac:dyDescent="0.25">
      <c r="M98" s="6"/>
      <c r="N98" s="7"/>
      <c r="AT98" s="6">
        <f t="shared" si="20"/>
        <v>45712</v>
      </c>
      <c r="AU98" s="76">
        <v>13</v>
      </c>
      <c r="AV98" s="76">
        <v>9</v>
      </c>
    </row>
    <row r="99" spans="13:49" x14ac:dyDescent="0.25">
      <c r="M99" s="6"/>
      <c r="N99" s="7"/>
      <c r="AT99" s="6">
        <f t="shared" si="20"/>
        <v>45719</v>
      </c>
      <c r="AU99" s="76">
        <v>9</v>
      </c>
      <c r="AV99" s="76">
        <v>10</v>
      </c>
    </row>
    <row r="100" spans="13:49" x14ac:dyDescent="0.25">
      <c r="M100" s="6"/>
      <c r="N100" s="7"/>
      <c r="AT100" s="6">
        <f t="shared" si="20"/>
        <v>45726</v>
      </c>
      <c r="AU100" s="76">
        <v>5</v>
      </c>
      <c r="AV100" s="76">
        <v>10</v>
      </c>
    </row>
    <row r="101" spans="13:49" x14ac:dyDescent="0.25">
      <c r="M101" s="6"/>
      <c r="N101" s="7"/>
      <c r="AT101" s="6">
        <f t="shared" si="20"/>
        <v>45733</v>
      </c>
      <c r="AU101" s="76">
        <v>7</v>
      </c>
      <c r="AV101" s="76">
        <v>12</v>
      </c>
    </row>
    <row r="102" spans="13:49" x14ac:dyDescent="0.25">
      <c r="M102" s="6"/>
      <c r="N102" s="7"/>
      <c r="AT102" s="6">
        <f t="shared" si="20"/>
        <v>45740</v>
      </c>
      <c r="AU102" s="76">
        <v>11</v>
      </c>
      <c r="AV102" s="76">
        <v>12</v>
      </c>
    </row>
    <row r="103" spans="13:49" x14ac:dyDescent="0.25">
      <c r="M103" s="6"/>
      <c r="N103" s="7"/>
      <c r="AT103" s="6">
        <f t="shared" si="20"/>
        <v>45747</v>
      </c>
      <c r="AU103" s="76">
        <v>9</v>
      </c>
      <c r="AV103" s="76">
        <v>14</v>
      </c>
    </row>
    <row r="104" spans="13:49" x14ac:dyDescent="0.25">
      <c r="M104" s="6"/>
      <c r="N104" s="7"/>
      <c r="AT104" s="6">
        <f t="shared" si="20"/>
        <v>45754</v>
      </c>
      <c r="AU104" s="76">
        <v>14</v>
      </c>
      <c r="AV104" s="76">
        <v>22</v>
      </c>
    </row>
    <row r="105" spans="13:49" x14ac:dyDescent="0.25">
      <c r="M105" s="6"/>
      <c r="N105" s="7"/>
      <c r="AT105" s="6">
        <f t="shared" si="20"/>
        <v>45761</v>
      </c>
      <c r="AU105" s="76">
        <v>12</v>
      </c>
      <c r="AV105" s="76">
        <v>14</v>
      </c>
    </row>
    <row r="106" spans="13:49" x14ac:dyDescent="0.25">
      <c r="M106" s="6"/>
      <c r="N106" s="7"/>
      <c r="AT106" s="6">
        <f t="shared" si="20"/>
        <v>45768</v>
      </c>
      <c r="AU106" s="76">
        <v>11</v>
      </c>
      <c r="AV106" s="76">
        <v>8</v>
      </c>
    </row>
    <row r="107" spans="13:49" x14ac:dyDescent="0.25">
      <c r="M107" s="6"/>
      <c r="N107" s="7"/>
      <c r="AT107" s="6">
        <f t="shared" si="20"/>
        <v>45775</v>
      </c>
      <c r="AU107" s="76">
        <v>9</v>
      </c>
      <c r="AV107" s="76">
        <v>8</v>
      </c>
    </row>
    <row r="108" spans="13:49" x14ac:dyDescent="0.25">
      <c r="M108" s="6"/>
      <c r="N108" s="7"/>
      <c r="AT108" s="6">
        <f t="shared" si="20"/>
        <v>45782</v>
      </c>
      <c r="AU108" s="76">
        <v>7</v>
      </c>
      <c r="AV108" s="76">
        <v>7</v>
      </c>
    </row>
    <row r="109" spans="13:49" x14ac:dyDescent="0.25">
      <c r="M109" s="6"/>
      <c r="N109" s="7"/>
      <c r="AT109" s="6">
        <f t="shared" si="20"/>
        <v>45789</v>
      </c>
      <c r="AU109" s="76">
        <v>4</v>
      </c>
      <c r="AV109" s="76">
        <v>7</v>
      </c>
      <c r="AW109" s="78"/>
    </row>
    <row r="110" spans="13:49" x14ac:dyDescent="0.25">
      <c r="M110" s="6"/>
      <c r="N110" s="7"/>
      <c r="AT110" s="6">
        <f t="shared" si="20"/>
        <v>45796</v>
      </c>
      <c r="AU110" s="76">
        <v>5</v>
      </c>
      <c r="AV110" s="76">
        <v>11</v>
      </c>
    </row>
    <row r="111" spans="13:49" x14ac:dyDescent="0.25">
      <c r="M111" s="6"/>
      <c r="N111" s="7"/>
      <c r="AT111" s="6">
        <f t="shared" si="20"/>
        <v>45803</v>
      </c>
      <c r="AU111" s="76">
        <v>4</v>
      </c>
      <c r="AV111" s="76">
        <v>10</v>
      </c>
    </row>
    <row r="112" spans="13:49" x14ac:dyDescent="0.25">
      <c r="M112" s="6"/>
      <c r="N112" s="7"/>
      <c r="AT112" s="6">
        <f t="shared" si="20"/>
        <v>45810</v>
      </c>
      <c r="AU112" s="76">
        <v>9</v>
      </c>
      <c r="AV112" s="76">
        <v>12</v>
      </c>
    </row>
    <row r="113" spans="13:48" x14ac:dyDescent="0.25">
      <c r="M113" s="6"/>
      <c r="N113" s="7"/>
      <c r="AT113" s="6">
        <f t="shared" si="20"/>
        <v>45817</v>
      </c>
      <c r="AU113" s="76">
        <v>4</v>
      </c>
      <c r="AV113" s="76">
        <v>13</v>
      </c>
    </row>
    <row r="114" spans="13:48" x14ac:dyDescent="0.25">
      <c r="M114" s="6"/>
      <c r="N114" s="7"/>
      <c r="AT114" s="6">
        <f t="shared" si="20"/>
        <v>45824</v>
      </c>
      <c r="AU114" s="76">
        <v>0</v>
      </c>
      <c r="AV114" s="76">
        <v>19</v>
      </c>
    </row>
    <row r="115" spans="13:48" x14ac:dyDescent="0.25">
      <c r="M115" s="6"/>
      <c r="N115" s="7"/>
      <c r="AT115" s="6">
        <f t="shared" si="20"/>
        <v>45831</v>
      </c>
      <c r="AU115" s="76">
        <v>8</v>
      </c>
      <c r="AV115" s="76">
        <v>19</v>
      </c>
    </row>
    <row r="116" spans="13:48" x14ac:dyDescent="0.25">
      <c r="M116" s="6"/>
      <c r="N116" s="7"/>
      <c r="AT116" s="6">
        <f t="shared" si="20"/>
        <v>45838</v>
      </c>
      <c r="AU116" s="76">
        <v>3</v>
      </c>
      <c r="AV116" s="76">
        <v>17</v>
      </c>
    </row>
    <row r="117" spans="13:48" x14ac:dyDescent="0.25">
      <c r="M117" s="6"/>
      <c r="N117" s="7"/>
      <c r="AT117" s="6">
        <f t="shared" si="20"/>
        <v>45845</v>
      </c>
      <c r="AU117" s="76">
        <v>9</v>
      </c>
      <c r="AV117" s="76">
        <v>17</v>
      </c>
    </row>
    <row r="118" spans="13:48" x14ac:dyDescent="0.25">
      <c r="M118" s="6"/>
      <c r="N118" s="7"/>
      <c r="AT118" s="6">
        <f t="shared" si="20"/>
        <v>45852</v>
      </c>
      <c r="AU118" s="76">
        <v>11</v>
      </c>
      <c r="AV118" s="76">
        <v>16</v>
      </c>
    </row>
    <row r="119" spans="13:48" x14ac:dyDescent="0.25">
      <c r="M119" s="6"/>
      <c r="N119" s="7"/>
      <c r="AT119" s="6">
        <f t="shared" si="20"/>
        <v>45859</v>
      </c>
      <c r="AU119" s="76">
        <v>19</v>
      </c>
      <c r="AV119" s="76">
        <v>16</v>
      </c>
    </row>
    <row r="120" spans="13:48" x14ac:dyDescent="0.25">
      <c r="M120" s="6"/>
      <c r="N120" s="7"/>
      <c r="AT120" s="6">
        <f t="shared" si="20"/>
        <v>45866</v>
      </c>
      <c r="AU120" s="76">
        <v>13</v>
      </c>
      <c r="AV120" s="76">
        <v>15</v>
      </c>
    </row>
    <row r="121" spans="13:48" x14ac:dyDescent="0.25">
      <c r="M121" s="6"/>
      <c r="N121" s="7"/>
      <c r="AT121" s="6">
        <f t="shared" si="20"/>
        <v>45873</v>
      </c>
      <c r="AU121" s="76">
        <v>11</v>
      </c>
      <c r="AV121" s="76">
        <v>15</v>
      </c>
    </row>
    <row r="122" spans="13:48" x14ac:dyDescent="0.25">
      <c r="M122" s="6"/>
      <c r="N122" s="7"/>
      <c r="AT122" s="6">
        <f t="shared" si="20"/>
        <v>45880</v>
      </c>
      <c r="AU122" s="76">
        <v>9</v>
      </c>
      <c r="AV122" s="76">
        <v>16</v>
      </c>
    </row>
    <row r="123" spans="13:48" x14ac:dyDescent="0.25">
      <c r="M123" s="6"/>
      <c r="N123" s="7"/>
      <c r="AT123" s="6">
        <f t="shared" si="20"/>
        <v>45887</v>
      </c>
      <c r="AU123" s="76"/>
      <c r="AV123" s="76"/>
    </row>
    <row r="124" spans="13:48" x14ac:dyDescent="0.25">
      <c r="M124" s="6"/>
      <c r="N124" s="7"/>
      <c r="AT124" s="6">
        <f t="shared" si="20"/>
        <v>45894</v>
      </c>
      <c r="AU124" s="76"/>
      <c r="AV124" s="76"/>
    </row>
    <row r="125" spans="13:48" x14ac:dyDescent="0.25">
      <c r="M125" s="6"/>
      <c r="N125" s="7"/>
      <c r="AT125" s="6">
        <f t="shared" si="20"/>
        <v>45901</v>
      </c>
      <c r="AU125" s="76"/>
      <c r="AV125" s="76"/>
    </row>
    <row r="126" spans="13:48" x14ac:dyDescent="0.25">
      <c r="M126" s="6"/>
      <c r="N126" s="7"/>
      <c r="AT126" s="6">
        <f t="shared" si="20"/>
        <v>45908</v>
      </c>
      <c r="AU126" s="76"/>
      <c r="AV126" s="76"/>
    </row>
    <row r="127" spans="13:48" x14ac:dyDescent="0.25">
      <c r="M127" s="6"/>
      <c r="N127" s="7"/>
      <c r="AT127" s="6">
        <f t="shared" si="20"/>
        <v>45915</v>
      </c>
      <c r="AU127" s="76"/>
      <c r="AV127" s="76"/>
    </row>
    <row r="128" spans="13:48" x14ac:dyDescent="0.25">
      <c r="M128" s="6"/>
      <c r="N128" s="7"/>
      <c r="AT128" s="6">
        <f t="shared" si="20"/>
        <v>45922</v>
      </c>
      <c r="AU128" s="76"/>
      <c r="AV128" s="76"/>
    </row>
    <row r="129" spans="13:48" x14ac:dyDescent="0.25">
      <c r="M129" s="6"/>
      <c r="N129" s="7"/>
      <c r="AT129" s="6">
        <f t="shared" si="20"/>
        <v>45929</v>
      </c>
      <c r="AU129" s="76"/>
      <c r="AV129" s="76"/>
    </row>
    <row r="130" spans="13:48" x14ac:dyDescent="0.25">
      <c r="M130" s="6"/>
      <c r="N130" s="7"/>
      <c r="AT130" s="6">
        <f t="shared" si="20"/>
        <v>45936</v>
      </c>
      <c r="AU130" s="76"/>
      <c r="AV130" s="76"/>
    </row>
    <row r="131" spans="13:48" x14ac:dyDescent="0.25">
      <c r="M131" s="6"/>
      <c r="N131" s="7"/>
      <c r="AT131" s="6">
        <f t="shared" si="20"/>
        <v>45943</v>
      </c>
      <c r="AU131" s="76"/>
      <c r="AV131" s="76"/>
    </row>
    <row r="132" spans="13:48" x14ac:dyDescent="0.25">
      <c r="M132" s="6"/>
      <c r="N132" s="7"/>
      <c r="AT132" s="6">
        <f t="shared" si="20"/>
        <v>45950</v>
      </c>
      <c r="AU132" s="76"/>
      <c r="AV132" s="76"/>
    </row>
    <row r="133" spans="13:48" x14ac:dyDescent="0.25">
      <c r="M133" s="6"/>
      <c r="N133" s="7"/>
      <c r="AT133" s="6">
        <f t="shared" ref="AT133:AT196" si="21">AT132+7</f>
        <v>45957</v>
      </c>
      <c r="AU133" s="76"/>
      <c r="AV133" s="76"/>
    </row>
    <row r="134" spans="13:48" x14ac:dyDescent="0.25">
      <c r="M134" s="6"/>
      <c r="N134" s="7"/>
      <c r="AT134" s="6">
        <f t="shared" si="21"/>
        <v>45964</v>
      </c>
      <c r="AU134" s="76"/>
      <c r="AV134" s="76"/>
    </row>
    <row r="135" spans="13:48" x14ac:dyDescent="0.25">
      <c r="M135" s="6"/>
      <c r="N135" s="7"/>
      <c r="AT135" s="6">
        <f t="shared" si="21"/>
        <v>45971</v>
      </c>
      <c r="AU135" s="76"/>
      <c r="AV135" s="76"/>
    </row>
    <row r="136" spans="13:48" x14ac:dyDescent="0.25">
      <c r="M136" s="6"/>
      <c r="N136" s="7"/>
      <c r="AT136" s="6">
        <f t="shared" si="21"/>
        <v>45978</v>
      </c>
      <c r="AU136" s="76"/>
      <c r="AV136" s="76"/>
    </row>
    <row r="137" spans="13:48" x14ac:dyDescent="0.25">
      <c r="M137" s="6"/>
      <c r="N137" s="7"/>
      <c r="AT137" s="6">
        <f t="shared" si="21"/>
        <v>45985</v>
      </c>
      <c r="AU137" s="76"/>
      <c r="AV137" s="76"/>
    </row>
    <row r="138" spans="13:48" x14ac:dyDescent="0.25">
      <c r="M138" s="6"/>
      <c r="N138" s="7"/>
      <c r="AT138" s="6">
        <f t="shared" si="21"/>
        <v>45992</v>
      </c>
      <c r="AU138" s="76"/>
      <c r="AV138" s="76"/>
    </row>
    <row r="139" spans="13:48" x14ac:dyDescent="0.25">
      <c r="M139" s="6"/>
      <c r="N139" s="7"/>
      <c r="AT139" s="6">
        <f t="shared" si="21"/>
        <v>45999</v>
      </c>
      <c r="AU139" s="76"/>
      <c r="AV139" s="76"/>
    </row>
    <row r="140" spans="13:48" x14ac:dyDescent="0.25">
      <c r="M140" s="6"/>
      <c r="N140" s="7"/>
      <c r="AT140" s="6">
        <f t="shared" si="21"/>
        <v>46006</v>
      </c>
      <c r="AU140" s="76"/>
      <c r="AV140" s="76"/>
    </row>
    <row r="141" spans="13:48" x14ac:dyDescent="0.25">
      <c r="M141" s="6"/>
      <c r="N141" s="7"/>
      <c r="AT141" s="6">
        <f t="shared" si="21"/>
        <v>46013</v>
      </c>
      <c r="AU141" s="76"/>
      <c r="AV141" s="76"/>
    </row>
    <row r="142" spans="13:48" x14ac:dyDescent="0.25">
      <c r="M142" s="6"/>
      <c r="N142" s="7"/>
      <c r="AT142" s="6">
        <f t="shared" si="21"/>
        <v>46020</v>
      </c>
      <c r="AU142" s="76"/>
      <c r="AV142" s="76"/>
    </row>
    <row r="143" spans="13:48" x14ac:dyDescent="0.25">
      <c r="M143" s="6"/>
      <c r="N143" s="7"/>
      <c r="AT143" s="6">
        <f t="shared" si="21"/>
        <v>46027</v>
      </c>
      <c r="AU143" s="76"/>
      <c r="AV143" s="76"/>
    </row>
    <row r="144" spans="13:48" x14ac:dyDescent="0.25">
      <c r="M144" s="6"/>
      <c r="N144" s="7"/>
      <c r="AT144" s="6">
        <f t="shared" si="21"/>
        <v>46034</v>
      </c>
      <c r="AU144" s="76"/>
      <c r="AV144" s="76"/>
    </row>
    <row r="145" spans="13:48" x14ac:dyDescent="0.25">
      <c r="M145" s="6"/>
      <c r="N145" s="7"/>
      <c r="AT145" s="6">
        <f t="shared" si="21"/>
        <v>46041</v>
      </c>
      <c r="AU145" s="76"/>
      <c r="AV145" s="76"/>
    </row>
    <row r="146" spans="13:48" x14ac:dyDescent="0.25">
      <c r="M146" s="6"/>
      <c r="N146" s="7"/>
      <c r="AT146" s="6">
        <f t="shared" si="21"/>
        <v>46048</v>
      </c>
      <c r="AU146" s="76"/>
      <c r="AV146" s="76"/>
    </row>
    <row r="147" spans="13:48" x14ac:dyDescent="0.25">
      <c r="M147" s="6"/>
      <c r="N147" s="7"/>
      <c r="AT147" s="6">
        <f t="shared" si="21"/>
        <v>46055</v>
      </c>
      <c r="AU147" s="76"/>
      <c r="AV147" s="76"/>
    </row>
    <row r="148" spans="13:48" x14ac:dyDescent="0.25">
      <c r="M148" s="6"/>
      <c r="N148" s="7"/>
      <c r="AT148" s="6">
        <f t="shared" si="21"/>
        <v>46062</v>
      </c>
      <c r="AU148" s="76"/>
      <c r="AV148" s="76"/>
    </row>
    <row r="149" spans="13:48" x14ac:dyDescent="0.25">
      <c r="M149" s="6"/>
      <c r="N149" s="7"/>
      <c r="AT149" s="6">
        <f t="shared" si="21"/>
        <v>46069</v>
      </c>
      <c r="AU149" s="76"/>
      <c r="AV149" s="76"/>
    </row>
    <row r="150" spans="13:48" x14ac:dyDescent="0.25">
      <c r="M150" s="6"/>
      <c r="N150" s="7"/>
      <c r="AT150" s="6">
        <f t="shared" si="21"/>
        <v>46076</v>
      </c>
      <c r="AU150" s="76"/>
      <c r="AV150" s="76"/>
    </row>
    <row r="151" spans="13:48" x14ac:dyDescent="0.25">
      <c r="M151" s="6"/>
      <c r="N151" s="7"/>
      <c r="AT151" s="6">
        <f t="shared" si="21"/>
        <v>46083</v>
      </c>
      <c r="AU151" s="76"/>
      <c r="AV151" s="76"/>
    </row>
    <row r="152" spans="13:48" x14ac:dyDescent="0.25">
      <c r="M152" s="6"/>
      <c r="N152" s="7"/>
      <c r="AT152" s="6">
        <f t="shared" si="21"/>
        <v>46090</v>
      </c>
      <c r="AU152" s="76"/>
      <c r="AV152" s="76"/>
    </row>
    <row r="153" spans="13:48" x14ac:dyDescent="0.25">
      <c r="M153" s="6"/>
      <c r="N153" s="7"/>
      <c r="AT153" s="6">
        <f t="shared" si="21"/>
        <v>46097</v>
      </c>
      <c r="AU153" s="76"/>
      <c r="AV153" s="76"/>
    </row>
    <row r="154" spans="13:48" x14ac:dyDescent="0.25">
      <c r="M154" s="6"/>
      <c r="N154" s="7"/>
      <c r="AT154" s="6">
        <f t="shared" si="21"/>
        <v>46104</v>
      </c>
      <c r="AU154" s="76"/>
      <c r="AV154" s="76"/>
    </row>
    <row r="155" spans="13:48" x14ac:dyDescent="0.25">
      <c r="M155" s="6"/>
      <c r="N155" s="7"/>
      <c r="AT155" s="6">
        <f t="shared" si="21"/>
        <v>46111</v>
      </c>
      <c r="AU155" s="76"/>
      <c r="AV155" s="76"/>
    </row>
    <row r="156" spans="13:48" x14ac:dyDescent="0.25">
      <c r="M156" s="6"/>
      <c r="N156" s="7"/>
      <c r="AT156" s="6">
        <f t="shared" si="21"/>
        <v>46118</v>
      </c>
      <c r="AU156" s="76"/>
      <c r="AV156" s="76"/>
    </row>
    <row r="157" spans="13:48" x14ac:dyDescent="0.25">
      <c r="M157" s="6"/>
      <c r="N157" s="7"/>
      <c r="AT157" s="6">
        <f t="shared" si="21"/>
        <v>46125</v>
      </c>
      <c r="AU157" s="76"/>
      <c r="AV157" s="76"/>
    </row>
    <row r="158" spans="13:48" x14ac:dyDescent="0.25">
      <c r="M158" s="6"/>
      <c r="N158" s="7"/>
      <c r="AT158" s="6">
        <f t="shared" si="21"/>
        <v>46132</v>
      </c>
      <c r="AU158" s="76"/>
      <c r="AV158" s="76"/>
    </row>
    <row r="159" spans="13:48" x14ac:dyDescent="0.25">
      <c r="M159" s="6"/>
      <c r="N159" s="7"/>
      <c r="AT159" s="6">
        <f t="shared" si="21"/>
        <v>46139</v>
      </c>
      <c r="AU159" s="76"/>
      <c r="AV159" s="76"/>
    </row>
    <row r="160" spans="13:48" x14ac:dyDescent="0.25">
      <c r="M160" s="6"/>
      <c r="N160" s="7"/>
      <c r="AT160" s="6">
        <f t="shared" si="21"/>
        <v>46146</v>
      </c>
      <c r="AU160" s="76"/>
      <c r="AV160" s="76"/>
    </row>
    <row r="161" spans="13:48" x14ac:dyDescent="0.25">
      <c r="M161" s="6"/>
      <c r="N161" s="7"/>
      <c r="AT161" s="6">
        <f t="shared" si="21"/>
        <v>46153</v>
      </c>
      <c r="AU161" s="76"/>
      <c r="AV161" s="76"/>
    </row>
    <row r="162" spans="13:48" x14ac:dyDescent="0.25">
      <c r="M162" s="6"/>
      <c r="N162" s="7"/>
      <c r="AT162" s="6">
        <f t="shared" si="21"/>
        <v>46160</v>
      </c>
      <c r="AU162" s="76"/>
      <c r="AV162" s="76"/>
    </row>
    <row r="163" spans="13:48" x14ac:dyDescent="0.25">
      <c r="M163" s="6"/>
      <c r="N163" s="7"/>
      <c r="AT163" s="6">
        <f t="shared" si="21"/>
        <v>46167</v>
      </c>
      <c r="AU163" s="76"/>
      <c r="AV163" s="76"/>
    </row>
    <row r="164" spans="13:48" x14ac:dyDescent="0.25">
      <c r="M164" s="6"/>
      <c r="N164" s="7"/>
      <c r="AT164" s="6">
        <f t="shared" si="21"/>
        <v>46174</v>
      </c>
      <c r="AU164" s="76"/>
      <c r="AV164" s="76"/>
    </row>
    <row r="165" spans="13:48" x14ac:dyDescent="0.25">
      <c r="M165" s="6"/>
      <c r="N165" s="7"/>
      <c r="AT165" s="6">
        <f t="shared" si="21"/>
        <v>46181</v>
      </c>
      <c r="AU165" s="76"/>
      <c r="AV165" s="76"/>
    </row>
    <row r="166" spans="13:48" x14ac:dyDescent="0.25">
      <c r="M166" s="6"/>
      <c r="N166" s="7"/>
      <c r="AT166" s="6">
        <f t="shared" si="21"/>
        <v>46188</v>
      </c>
      <c r="AU166" s="76"/>
      <c r="AV166" s="76"/>
    </row>
    <row r="167" spans="13:48" x14ac:dyDescent="0.25">
      <c r="M167" s="6"/>
      <c r="N167" s="7"/>
      <c r="AT167" s="6">
        <f t="shared" si="21"/>
        <v>46195</v>
      </c>
      <c r="AU167" s="76"/>
      <c r="AV167" s="76"/>
    </row>
    <row r="168" spans="13:48" x14ac:dyDescent="0.25">
      <c r="M168" s="6"/>
      <c r="N168" s="7"/>
      <c r="AT168" s="6">
        <f t="shared" si="21"/>
        <v>46202</v>
      </c>
      <c r="AU168" s="76"/>
      <c r="AV168" s="76"/>
    </row>
    <row r="169" spans="13:48" x14ac:dyDescent="0.25">
      <c r="M169" s="6"/>
      <c r="N169" s="7"/>
      <c r="AT169" s="6">
        <f t="shared" si="21"/>
        <v>46209</v>
      </c>
      <c r="AU169" s="76"/>
      <c r="AV169" s="76"/>
    </row>
    <row r="170" spans="13:48" x14ac:dyDescent="0.25">
      <c r="M170" s="6"/>
      <c r="N170" s="7"/>
      <c r="AT170" s="6">
        <f t="shared" si="21"/>
        <v>46216</v>
      </c>
      <c r="AU170" s="76"/>
      <c r="AV170" s="76"/>
    </row>
    <row r="171" spans="13:48" x14ac:dyDescent="0.25">
      <c r="M171" s="6"/>
      <c r="N171" s="7"/>
      <c r="AT171" s="6">
        <f t="shared" si="21"/>
        <v>46223</v>
      </c>
      <c r="AU171" s="76"/>
      <c r="AV171" s="76"/>
    </row>
    <row r="172" spans="13:48" x14ac:dyDescent="0.25">
      <c r="M172" s="6"/>
      <c r="N172" s="7"/>
      <c r="AT172" s="6">
        <f t="shared" si="21"/>
        <v>46230</v>
      </c>
      <c r="AU172" s="76"/>
      <c r="AV172" s="76"/>
    </row>
    <row r="173" spans="13:48" x14ac:dyDescent="0.25">
      <c r="M173" s="6"/>
      <c r="N173" s="7"/>
      <c r="AT173" s="6">
        <f t="shared" si="21"/>
        <v>46237</v>
      </c>
      <c r="AU173" s="76"/>
      <c r="AV173" s="76"/>
    </row>
    <row r="174" spans="13:48" x14ac:dyDescent="0.25">
      <c r="M174" s="6"/>
      <c r="N174" s="7"/>
      <c r="AT174" s="6">
        <f t="shared" si="21"/>
        <v>46244</v>
      </c>
      <c r="AU174" s="76"/>
      <c r="AV174" s="76"/>
    </row>
    <row r="175" spans="13:48" x14ac:dyDescent="0.25">
      <c r="M175" s="6"/>
      <c r="N175" s="7"/>
      <c r="AT175" s="6">
        <f t="shared" si="21"/>
        <v>46251</v>
      </c>
      <c r="AU175" s="76"/>
      <c r="AV175" s="76"/>
    </row>
    <row r="176" spans="13:48" x14ac:dyDescent="0.25">
      <c r="M176" s="6"/>
      <c r="N176" s="7"/>
      <c r="AT176" s="6">
        <f t="shared" si="21"/>
        <v>46258</v>
      </c>
      <c r="AU176" s="76"/>
      <c r="AV176" s="76"/>
    </row>
    <row r="177" spans="13:48" x14ac:dyDescent="0.25">
      <c r="M177" s="6"/>
      <c r="N177" s="7"/>
      <c r="AT177" s="6">
        <f t="shared" si="21"/>
        <v>46265</v>
      </c>
      <c r="AU177" s="76"/>
      <c r="AV177" s="76"/>
    </row>
    <row r="178" spans="13:48" x14ac:dyDescent="0.25">
      <c r="M178" s="6"/>
      <c r="N178" s="7"/>
      <c r="AT178" s="6">
        <f t="shared" si="21"/>
        <v>46272</v>
      </c>
      <c r="AU178" s="76"/>
      <c r="AV178" s="76"/>
    </row>
    <row r="179" spans="13:48" x14ac:dyDescent="0.25">
      <c r="M179" s="6"/>
      <c r="N179" s="7"/>
      <c r="AT179" s="6">
        <f t="shared" si="21"/>
        <v>46279</v>
      </c>
      <c r="AU179" s="76"/>
      <c r="AV179" s="76"/>
    </row>
    <row r="180" spans="13:48" x14ac:dyDescent="0.25">
      <c r="M180" s="6"/>
      <c r="N180" s="7"/>
      <c r="AT180" s="6">
        <f t="shared" si="21"/>
        <v>46286</v>
      </c>
      <c r="AU180" s="76"/>
      <c r="AV180" s="76"/>
    </row>
    <row r="181" spans="13:48" x14ac:dyDescent="0.25">
      <c r="M181" s="6"/>
      <c r="N181" s="7"/>
      <c r="AT181" s="6">
        <f t="shared" si="21"/>
        <v>46293</v>
      </c>
      <c r="AU181" s="76"/>
      <c r="AV181" s="76"/>
    </row>
    <row r="182" spans="13:48" x14ac:dyDescent="0.25">
      <c r="M182" s="6"/>
      <c r="N182" s="7"/>
      <c r="AT182" s="6">
        <f t="shared" si="21"/>
        <v>46300</v>
      </c>
      <c r="AU182" s="76"/>
      <c r="AV182" s="76"/>
    </row>
    <row r="183" spans="13:48" x14ac:dyDescent="0.25">
      <c r="M183" s="6"/>
      <c r="N183" s="7"/>
      <c r="AT183" s="6">
        <f t="shared" si="21"/>
        <v>46307</v>
      </c>
      <c r="AU183" s="76"/>
      <c r="AV183" s="76"/>
    </row>
    <row r="184" spans="13:48" x14ac:dyDescent="0.25">
      <c r="M184" s="6"/>
      <c r="N184" s="7"/>
      <c r="AT184" s="6">
        <f t="shared" si="21"/>
        <v>46314</v>
      </c>
      <c r="AU184" s="76"/>
      <c r="AV184" s="76"/>
    </row>
    <row r="185" spans="13:48" x14ac:dyDescent="0.25">
      <c r="M185" s="6"/>
      <c r="N185" s="7"/>
      <c r="AT185" s="6">
        <f t="shared" si="21"/>
        <v>46321</v>
      </c>
      <c r="AU185" s="76"/>
      <c r="AV185" s="76"/>
    </row>
    <row r="186" spans="13:48" x14ac:dyDescent="0.25">
      <c r="M186" s="6"/>
      <c r="N186" s="7"/>
      <c r="AT186" s="6">
        <f t="shared" si="21"/>
        <v>46328</v>
      </c>
      <c r="AU186" s="76"/>
      <c r="AV186" s="76"/>
    </row>
    <row r="187" spans="13:48" x14ac:dyDescent="0.25">
      <c r="M187" s="6"/>
      <c r="N187" s="7"/>
      <c r="AT187" s="6">
        <f t="shared" si="21"/>
        <v>46335</v>
      </c>
      <c r="AU187" s="76"/>
      <c r="AV187" s="76"/>
    </row>
    <row r="188" spans="13:48" x14ac:dyDescent="0.25">
      <c r="M188" s="6"/>
      <c r="N188" s="7"/>
      <c r="AT188" s="6">
        <f t="shared" si="21"/>
        <v>46342</v>
      </c>
      <c r="AU188" s="76"/>
      <c r="AV188" s="76"/>
    </row>
    <row r="189" spans="13:48" x14ac:dyDescent="0.25">
      <c r="M189" s="6"/>
      <c r="N189" s="7"/>
      <c r="AT189" s="6">
        <f t="shared" si="21"/>
        <v>46349</v>
      </c>
      <c r="AU189" s="76"/>
      <c r="AV189" s="76"/>
    </row>
    <row r="190" spans="13:48" x14ac:dyDescent="0.25">
      <c r="M190" s="6"/>
      <c r="N190" s="7"/>
      <c r="AT190" s="6">
        <f t="shared" si="21"/>
        <v>46356</v>
      </c>
      <c r="AU190" s="76"/>
      <c r="AV190" s="76"/>
    </row>
    <row r="191" spans="13:48" x14ac:dyDescent="0.25">
      <c r="M191" s="6"/>
      <c r="N191" s="7"/>
      <c r="AT191" s="6">
        <f t="shared" si="21"/>
        <v>46363</v>
      </c>
      <c r="AU191" s="76"/>
      <c r="AV191" s="76"/>
    </row>
    <row r="192" spans="13:48" x14ac:dyDescent="0.25">
      <c r="M192" s="6"/>
      <c r="N192" s="7"/>
      <c r="AT192" s="6">
        <f t="shared" si="21"/>
        <v>46370</v>
      </c>
      <c r="AU192" s="76"/>
      <c r="AV192" s="76"/>
    </row>
    <row r="193" spans="13:48" x14ac:dyDescent="0.25">
      <c r="M193" s="6"/>
      <c r="N193" s="7"/>
      <c r="AT193" s="6">
        <f t="shared" si="21"/>
        <v>46377</v>
      </c>
      <c r="AU193" s="76"/>
      <c r="AV193" s="76"/>
    </row>
    <row r="194" spans="13:48" x14ac:dyDescent="0.25">
      <c r="M194" s="6"/>
      <c r="N194" s="7"/>
      <c r="AT194" s="6">
        <f t="shared" si="21"/>
        <v>46384</v>
      </c>
      <c r="AU194" s="76"/>
      <c r="AV194" s="76"/>
    </row>
    <row r="195" spans="13:48" x14ac:dyDescent="0.25">
      <c r="M195" s="6"/>
      <c r="N195" s="7"/>
      <c r="AT195" s="6">
        <f t="shared" si="21"/>
        <v>46391</v>
      </c>
      <c r="AU195" s="76"/>
      <c r="AV195" s="76"/>
    </row>
    <row r="196" spans="13:48" x14ac:dyDescent="0.25">
      <c r="M196" s="6"/>
      <c r="N196" s="7"/>
      <c r="AT196" s="6">
        <f t="shared" si="21"/>
        <v>46398</v>
      </c>
      <c r="AU196" s="76"/>
      <c r="AV196" s="76"/>
    </row>
    <row r="197" spans="13:48" x14ac:dyDescent="0.25">
      <c r="M197" s="6"/>
      <c r="N197" s="7"/>
      <c r="AT197" s="6">
        <f t="shared" ref="AT197:AT211" si="22">AT196+7</f>
        <v>46405</v>
      </c>
      <c r="AU197" s="76"/>
      <c r="AV197" s="76"/>
    </row>
    <row r="198" spans="13:48" x14ac:dyDescent="0.25">
      <c r="M198" s="6"/>
      <c r="N198" s="7"/>
      <c r="AT198" s="6">
        <f t="shared" si="22"/>
        <v>46412</v>
      </c>
      <c r="AU198" s="76"/>
      <c r="AV198" s="76"/>
    </row>
    <row r="199" spans="13:48" x14ac:dyDescent="0.25">
      <c r="M199" s="6"/>
      <c r="N199" s="7"/>
      <c r="AT199" s="6">
        <f t="shared" si="22"/>
        <v>46419</v>
      </c>
      <c r="AU199" s="76"/>
      <c r="AV199" s="76"/>
    </row>
    <row r="200" spans="13:48" x14ac:dyDescent="0.25">
      <c r="M200" s="6"/>
      <c r="N200" s="7"/>
      <c r="AT200" s="6">
        <f t="shared" si="22"/>
        <v>46426</v>
      </c>
      <c r="AU200" s="76"/>
      <c r="AV200" s="76"/>
    </row>
    <row r="201" spans="13:48" x14ac:dyDescent="0.25">
      <c r="M201" s="6"/>
      <c r="N201" s="7"/>
      <c r="AT201" s="6">
        <f t="shared" si="22"/>
        <v>46433</v>
      </c>
      <c r="AU201" s="76"/>
      <c r="AV201" s="76"/>
    </row>
    <row r="202" spans="13:48" x14ac:dyDescent="0.25">
      <c r="M202" s="6"/>
      <c r="N202" s="7"/>
      <c r="AT202" s="6">
        <f t="shared" si="22"/>
        <v>46440</v>
      </c>
      <c r="AU202" s="76"/>
      <c r="AV202" s="76"/>
    </row>
    <row r="203" spans="13:48" x14ac:dyDescent="0.25">
      <c r="M203" s="6"/>
      <c r="N203" s="7"/>
      <c r="AT203" s="6">
        <f t="shared" si="22"/>
        <v>46447</v>
      </c>
      <c r="AU203" s="76"/>
      <c r="AV203" s="76"/>
    </row>
    <row r="204" spans="13:48" x14ac:dyDescent="0.25">
      <c r="M204" s="6"/>
      <c r="N204" s="7"/>
      <c r="AT204" s="6">
        <f t="shared" si="22"/>
        <v>46454</v>
      </c>
      <c r="AU204" s="76"/>
      <c r="AV204" s="76"/>
    </row>
    <row r="205" spans="13:48" x14ac:dyDescent="0.25">
      <c r="M205" s="6"/>
      <c r="N205" s="7"/>
      <c r="AT205" s="6">
        <f t="shared" si="22"/>
        <v>46461</v>
      </c>
      <c r="AU205" s="76"/>
      <c r="AV205" s="76"/>
    </row>
    <row r="206" spans="13:48" x14ac:dyDescent="0.25">
      <c r="M206" s="6"/>
      <c r="N206" s="7"/>
      <c r="AT206" s="6">
        <f t="shared" si="22"/>
        <v>46468</v>
      </c>
      <c r="AU206" s="76"/>
      <c r="AV206" s="76"/>
    </row>
    <row r="207" spans="13:48" x14ac:dyDescent="0.25">
      <c r="M207" s="6"/>
      <c r="N207" s="7"/>
      <c r="AT207" s="6">
        <f t="shared" si="22"/>
        <v>46475</v>
      </c>
      <c r="AU207" s="76"/>
      <c r="AV207" s="76"/>
    </row>
    <row r="208" spans="13:48" x14ac:dyDescent="0.25">
      <c r="M208" s="6"/>
      <c r="N208" s="7"/>
      <c r="AT208" s="6">
        <f t="shared" si="22"/>
        <v>46482</v>
      </c>
      <c r="AU208" s="76"/>
      <c r="AV208" s="76"/>
    </row>
    <row r="209" spans="13:48" x14ac:dyDescent="0.25">
      <c r="M209" s="6"/>
      <c r="N209" s="7"/>
      <c r="AT209" s="6">
        <f t="shared" si="22"/>
        <v>46489</v>
      </c>
      <c r="AU209" s="76"/>
      <c r="AV209" s="76"/>
    </row>
    <row r="210" spans="13:48" x14ac:dyDescent="0.25">
      <c r="M210" s="6"/>
      <c r="N210" s="7"/>
      <c r="AT210" s="6">
        <f t="shared" si="22"/>
        <v>46496</v>
      </c>
      <c r="AU210" s="76"/>
      <c r="AV210" s="76"/>
    </row>
    <row r="211" spans="13:48" x14ac:dyDescent="0.25">
      <c r="M211" s="6"/>
      <c r="N211" s="7"/>
      <c r="AT211" s="6">
        <f t="shared" si="22"/>
        <v>46503</v>
      </c>
      <c r="AU211" s="76"/>
      <c r="AV211" s="76"/>
    </row>
    <row r="212" spans="13:48" x14ac:dyDescent="0.25">
      <c r="M212" s="6"/>
      <c r="N212" s="7"/>
    </row>
    <row r="213" spans="13:48" x14ac:dyDescent="0.25">
      <c r="M213" s="6"/>
      <c r="N213" s="7"/>
    </row>
    <row r="214" spans="13:48" x14ac:dyDescent="0.25">
      <c r="M214" s="6"/>
      <c r="N214" s="7"/>
    </row>
    <row r="215" spans="13:48" x14ac:dyDescent="0.25">
      <c r="M215" s="6"/>
      <c r="N215" s="7"/>
    </row>
    <row r="216" spans="13:48" x14ac:dyDescent="0.25">
      <c r="M216" s="6"/>
      <c r="N216" s="7"/>
    </row>
    <row r="217" spans="13:48" x14ac:dyDescent="0.25">
      <c r="M217" s="6"/>
      <c r="N217" s="7"/>
    </row>
    <row r="218" spans="13:48" x14ac:dyDescent="0.25">
      <c r="M218" s="6"/>
      <c r="N218" s="7"/>
    </row>
    <row r="219" spans="13:48" x14ac:dyDescent="0.25">
      <c r="M219" s="6"/>
      <c r="N219" s="7"/>
    </row>
    <row r="220" spans="13:48" x14ac:dyDescent="0.25">
      <c r="M220" s="6"/>
      <c r="N220" s="7"/>
    </row>
    <row r="221" spans="13:48" x14ac:dyDescent="0.25">
      <c r="M221" s="6"/>
      <c r="N221" s="7"/>
    </row>
    <row r="222" spans="13:48" x14ac:dyDescent="0.25">
      <c r="M222" s="6"/>
      <c r="N222" s="7"/>
    </row>
    <row r="223" spans="13:48" x14ac:dyDescent="0.25">
      <c r="M223" s="6"/>
      <c r="N223" s="7"/>
    </row>
    <row r="224" spans="13:48" x14ac:dyDescent="0.25">
      <c r="M224" s="6"/>
      <c r="N224" s="7"/>
    </row>
    <row r="225" spans="13:14" x14ac:dyDescent="0.25">
      <c r="M225" s="6"/>
      <c r="N225" s="7"/>
    </row>
    <row r="226" spans="13:14" x14ac:dyDescent="0.25">
      <c r="M226" s="6"/>
      <c r="N226" s="7"/>
    </row>
    <row r="227" spans="13:14" x14ac:dyDescent="0.25">
      <c r="M227" s="6"/>
      <c r="N227" s="7"/>
    </row>
    <row r="228" spans="13:14" x14ac:dyDescent="0.25">
      <c r="M228" s="6"/>
      <c r="N228" s="7"/>
    </row>
    <row r="229" spans="13:14" x14ac:dyDescent="0.25">
      <c r="M229" s="6"/>
      <c r="N229" s="7"/>
    </row>
    <row r="230" spans="13:14" x14ac:dyDescent="0.25">
      <c r="M230" s="6"/>
      <c r="N230" s="7"/>
    </row>
    <row r="231" spans="13:14" x14ac:dyDescent="0.25">
      <c r="M231" s="6"/>
      <c r="N231" s="7"/>
    </row>
    <row r="232" spans="13:14" x14ac:dyDescent="0.25">
      <c r="M232" s="6"/>
      <c r="N232" s="7"/>
    </row>
    <row r="233" spans="13:14" x14ac:dyDescent="0.25">
      <c r="M233" s="6"/>
      <c r="N233" s="7"/>
    </row>
    <row r="234" spans="13:14" x14ac:dyDescent="0.25">
      <c r="M234" s="6"/>
      <c r="N234" s="7"/>
    </row>
    <row r="235" spans="13:14" x14ac:dyDescent="0.25">
      <c r="M235" s="6"/>
      <c r="N235" s="7"/>
    </row>
    <row r="236" spans="13:14" x14ac:dyDescent="0.25">
      <c r="M236" s="6"/>
      <c r="N236" s="7"/>
    </row>
    <row r="237" spans="13:14" x14ac:dyDescent="0.25">
      <c r="M237" s="6"/>
      <c r="N237" s="7"/>
    </row>
    <row r="238" spans="13:14" x14ac:dyDescent="0.25">
      <c r="M238" s="6"/>
      <c r="N238" s="7"/>
    </row>
    <row r="239" spans="13:14" x14ac:dyDescent="0.25">
      <c r="M239" s="6"/>
      <c r="N239" s="7"/>
    </row>
    <row r="240" spans="13:14" x14ac:dyDescent="0.25">
      <c r="M240" s="6"/>
      <c r="N240" s="7"/>
    </row>
    <row r="241" spans="13:14" x14ac:dyDescent="0.25">
      <c r="M241" s="6"/>
      <c r="N241" s="7"/>
    </row>
    <row r="242" spans="13:14" x14ac:dyDescent="0.25">
      <c r="M242" s="6"/>
      <c r="N242" s="7"/>
    </row>
    <row r="243" spans="13:14" x14ac:dyDescent="0.25">
      <c r="M243" s="6"/>
      <c r="N243" s="7"/>
    </row>
    <row r="244" spans="13:14" x14ac:dyDescent="0.25">
      <c r="M244" s="6"/>
      <c r="N244" s="7"/>
    </row>
    <row r="245" spans="13:14" x14ac:dyDescent="0.25">
      <c r="M245" s="6"/>
      <c r="N245" s="7"/>
    </row>
    <row r="246" spans="13:14" x14ac:dyDescent="0.25">
      <c r="M246" s="6"/>
      <c r="N246" s="7"/>
    </row>
    <row r="247" spans="13:14" x14ac:dyDescent="0.25">
      <c r="M247" s="6"/>
      <c r="N247" s="7"/>
    </row>
    <row r="248" spans="13:14" x14ac:dyDescent="0.25">
      <c r="M248" s="6"/>
      <c r="N248" s="7"/>
    </row>
    <row r="249" spans="13:14" x14ac:dyDescent="0.25">
      <c r="M249" s="6"/>
      <c r="N249" s="7"/>
    </row>
    <row r="250" spans="13:14" x14ac:dyDescent="0.25">
      <c r="M250" s="6"/>
      <c r="N250" s="7"/>
    </row>
    <row r="251" spans="13:14" x14ac:dyDescent="0.25">
      <c r="M251" s="6"/>
      <c r="N251" s="7"/>
    </row>
    <row r="252" spans="13:14" x14ac:dyDescent="0.25">
      <c r="M252" s="6"/>
      <c r="N252" s="7"/>
    </row>
    <row r="253" spans="13:14" x14ac:dyDescent="0.25">
      <c r="M253" s="6"/>
      <c r="N253" s="7"/>
    </row>
    <row r="254" spans="13:14" x14ac:dyDescent="0.25">
      <c r="M254" s="6"/>
      <c r="N254" s="7"/>
    </row>
    <row r="255" spans="13:14" x14ac:dyDescent="0.25">
      <c r="M255" s="6"/>
      <c r="N255" s="7"/>
    </row>
    <row r="256" spans="13:14" x14ac:dyDescent="0.25">
      <c r="M256" s="6"/>
      <c r="N256" s="7"/>
    </row>
    <row r="257" spans="13:14" x14ac:dyDescent="0.25">
      <c r="M257" s="6"/>
      <c r="N257" s="7"/>
    </row>
    <row r="258" spans="13:14" x14ac:dyDescent="0.25">
      <c r="M258" s="6"/>
      <c r="N258" s="7"/>
    </row>
    <row r="259" spans="13:14" x14ac:dyDescent="0.25">
      <c r="M259" s="6"/>
      <c r="N259" s="7"/>
    </row>
    <row r="260" spans="13:14" x14ac:dyDescent="0.25">
      <c r="M260" s="6"/>
      <c r="N260" s="7"/>
    </row>
    <row r="261" spans="13:14" x14ac:dyDescent="0.25">
      <c r="M261" s="6"/>
      <c r="N261" s="7"/>
    </row>
    <row r="262" spans="13:14" x14ac:dyDescent="0.25">
      <c r="M262" s="6"/>
      <c r="N262" s="7"/>
    </row>
    <row r="263" spans="13:14" x14ac:dyDescent="0.25">
      <c r="M263" s="6"/>
      <c r="N263" s="7"/>
    </row>
    <row r="264" spans="13:14" x14ac:dyDescent="0.25">
      <c r="M264" s="6"/>
      <c r="N264" s="7"/>
    </row>
    <row r="265" spans="13:14" x14ac:dyDescent="0.25">
      <c r="M265" s="6"/>
      <c r="N265" s="7"/>
    </row>
    <row r="266" spans="13:14" x14ac:dyDescent="0.25">
      <c r="M266" s="6"/>
      <c r="N266" s="7"/>
    </row>
  </sheetData>
  <mergeCells count="32">
    <mergeCell ref="A2:B2"/>
    <mergeCell ref="A3:B3"/>
    <mergeCell ref="A4:B4"/>
    <mergeCell ref="A5:B5"/>
    <mergeCell ref="A6:B6"/>
    <mergeCell ref="A8:B8"/>
    <mergeCell ref="A9:B9"/>
    <mergeCell ref="A10:B10"/>
    <mergeCell ref="A11:B11"/>
    <mergeCell ref="A12:B12"/>
    <mergeCell ref="A21:B21"/>
    <mergeCell ref="A13:B13"/>
    <mergeCell ref="A14:B14"/>
    <mergeCell ref="A16:B16"/>
    <mergeCell ref="A17:B17"/>
    <mergeCell ref="A18:B18"/>
    <mergeCell ref="A19:B19"/>
    <mergeCell ref="A20:B20"/>
    <mergeCell ref="Z2:AB2"/>
    <mergeCell ref="M1:N1"/>
    <mergeCell ref="P1:Q1"/>
    <mergeCell ref="S1:U1"/>
    <mergeCell ref="W1:X1"/>
    <mergeCell ref="AT1:AV1"/>
    <mergeCell ref="AP1:AR1"/>
    <mergeCell ref="AI1:AO1"/>
    <mergeCell ref="A1:C1"/>
    <mergeCell ref="AD1:AG1"/>
    <mergeCell ref="Z1:AB1"/>
    <mergeCell ref="F1:G1"/>
    <mergeCell ref="H1:I1"/>
    <mergeCell ref="J1:K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zoomScale="80" zoomScaleNormal="150" zoomScaleSheetLayoutView="80" workbookViewId="0">
      <selection activeCell="F41" sqref="F41"/>
    </sheetView>
  </sheetViews>
  <sheetFormatPr defaultColWidth="9.140625" defaultRowHeight="14.25" x14ac:dyDescent="0.2"/>
  <cols>
    <col min="1" max="16384" width="9.140625" style="1"/>
  </cols>
  <sheetData>
    <row r="27" spans="2:2" ht="41.25" customHeight="1" x14ac:dyDescent="0.2">
      <c r="B27" s="4" t="str">
        <f>INPUT!C3</f>
        <v>55 PHARR</v>
      </c>
    </row>
    <row r="28" spans="2:2" x14ac:dyDescent="0.2">
      <c r="B28" s="94" t="str">
        <f>INPUT!C4&amp;" | "&amp;INPUT!C5&amp;" "&amp;"Units"</f>
        <v>ATLANTA, GA | 121 Units</v>
      </c>
    </row>
    <row r="32" spans="2:2" ht="24.75" x14ac:dyDescent="0.3">
      <c r="B32" s="3" t="s">
        <v>92</v>
      </c>
    </row>
    <row r="33" spans="2:4" x14ac:dyDescent="0.2">
      <c r="B33" s="108">
        <f>INPUT!C2</f>
        <v>45880</v>
      </c>
      <c r="C33" s="108"/>
      <c r="D33" s="108"/>
    </row>
    <row r="34" spans="2:4" x14ac:dyDescent="0.2">
      <c r="B34" s="1" t="str">
        <f>"*For the week ending "&amp;TEXT(INPUT!C6,"mm/dd/yyyy")</f>
        <v>*For the week ending 08/10/2025</v>
      </c>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I1" zoomScale="102" zoomScaleNormal="100" zoomScaleSheetLayoutView="80" workbookViewId="0">
      <selection activeCell="F41" sqref="F41"/>
    </sheetView>
  </sheetViews>
  <sheetFormatPr defaultColWidth="9.140625" defaultRowHeight="14.25" x14ac:dyDescent="0.2"/>
  <cols>
    <col min="1" max="1" width="2.42578125" style="1" customWidth="1"/>
    <col min="2" max="2" width="37.85546875" style="1" customWidth="1"/>
    <col min="3" max="3" width="9.140625" style="1"/>
    <col min="4" max="4" width="4.85546875" style="1" customWidth="1"/>
    <col min="5" max="5" width="37.85546875" style="1" customWidth="1"/>
    <col min="6" max="6" width="10.140625" style="1" bestFit="1" customWidth="1"/>
    <col min="7" max="7" width="4.85546875" style="1" customWidth="1"/>
    <col min="8" max="8" width="12.85546875" style="1" customWidth="1"/>
    <col min="9" max="12" width="14.85546875" style="1" customWidth="1"/>
    <col min="13" max="14" width="2.42578125" style="1" customWidth="1"/>
    <col min="15" max="15" width="12.5703125" style="1" customWidth="1"/>
    <col min="16" max="16" width="23.140625" style="1" bestFit="1" customWidth="1"/>
    <col min="17" max="17" width="12.28515625" style="1" bestFit="1" customWidth="1"/>
    <col min="18" max="18" width="19.5703125" style="1" bestFit="1" customWidth="1"/>
    <col min="19" max="19" width="12.7109375" style="1" bestFit="1" customWidth="1"/>
    <col min="20" max="20" width="13.140625" style="1" bestFit="1" customWidth="1"/>
    <col min="21" max="16384" width="9.140625" style="1"/>
  </cols>
  <sheetData>
    <row r="4" spans="15:20" ht="18" customHeight="1" x14ac:dyDescent="0.2"/>
    <row r="5" spans="15:20" ht="21.75" customHeight="1" x14ac:dyDescent="0.2">
      <c r="O5" s="16" t="s">
        <v>87</v>
      </c>
      <c r="P5" s="16" t="s">
        <v>88</v>
      </c>
      <c r="Q5" s="16" t="s">
        <v>89</v>
      </c>
      <c r="R5" s="16" t="s">
        <v>90</v>
      </c>
      <c r="S5" s="16" t="s">
        <v>91</v>
      </c>
      <c r="T5" s="16" t="s">
        <v>93</v>
      </c>
    </row>
    <row r="6" spans="15:20" ht="21.75" customHeight="1" x14ac:dyDescent="0.2">
      <c r="O6" s="22">
        <f>INPUT!A32</f>
        <v>45778</v>
      </c>
      <c r="P6" s="17">
        <f>INPUT!B32</f>
        <v>7</v>
      </c>
      <c r="Q6" s="17">
        <f>INPUT!C32</f>
        <v>5</v>
      </c>
      <c r="R6" s="17">
        <f>INPUT!D32</f>
        <v>0</v>
      </c>
      <c r="S6" s="17">
        <f>INPUT!E32</f>
        <v>2</v>
      </c>
      <c r="T6" s="18">
        <f>S6/P6</f>
        <v>0.2857142857142857</v>
      </c>
    </row>
    <row r="7" spans="15:20" ht="21.75" customHeight="1" x14ac:dyDescent="0.2">
      <c r="O7" s="22">
        <f>INPUT!A33</f>
        <v>45809</v>
      </c>
      <c r="P7" s="17">
        <f>INPUT!B33</f>
        <v>7</v>
      </c>
      <c r="Q7" s="17">
        <f>INPUT!C33</f>
        <v>3</v>
      </c>
      <c r="R7" s="17">
        <f>INPUT!D33</f>
        <v>0</v>
      </c>
      <c r="S7" s="17">
        <f>INPUT!E33</f>
        <v>4</v>
      </c>
      <c r="T7" s="18">
        <f t="shared" ref="T7:T18" si="0">S7/P7</f>
        <v>0.5714285714285714</v>
      </c>
    </row>
    <row r="8" spans="15:20" ht="21.75" customHeight="1" x14ac:dyDescent="0.2">
      <c r="O8" s="22">
        <f>INPUT!A34</f>
        <v>45839</v>
      </c>
      <c r="P8" s="17">
        <f>INPUT!B34</f>
        <v>8</v>
      </c>
      <c r="Q8" s="17">
        <f>INPUT!C34</f>
        <v>6</v>
      </c>
      <c r="R8" s="17">
        <f>INPUT!D34</f>
        <v>0</v>
      </c>
      <c r="S8" s="17">
        <f>INPUT!E34</f>
        <v>2</v>
      </c>
      <c r="T8" s="18">
        <f t="shared" si="0"/>
        <v>0.25</v>
      </c>
    </row>
    <row r="9" spans="15:20" ht="21.75" customHeight="1" x14ac:dyDescent="0.2">
      <c r="O9" s="22">
        <f>INPUT!A35</f>
        <v>45870</v>
      </c>
      <c r="P9" s="17">
        <f>INPUT!B35</f>
        <v>13</v>
      </c>
      <c r="Q9" s="17">
        <f>INPUT!C35</f>
        <v>6</v>
      </c>
      <c r="R9" s="17">
        <f>INPUT!D35</f>
        <v>0</v>
      </c>
      <c r="S9" s="17">
        <f>INPUT!E35</f>
        <v>1</v>
      </c>
      <c r="T9" s="18">
        <f t="shared" si="0"/>
        <v>7.6923076923076927E-2</v>
      </c>
    </row>
    <row r="10" spans="15:20" ht="21.75" customHeight="1" x14ac:dyDescent="0.2">
      <c r="O10" s="22">
        <f>INPUT!A36</f>
        <v>45901</v>
      </c>
      <c r="P10" s="17">
        <f>INPUT!B36</f>
        <v>14</v>
      </c>
      <c r="Q10" s="17">
        <f>INPUT!C36</f>
        <v>0</v>
      </c>
      <c r="R10" s="17">
        <f>INPUT!D36</f>
        <v>1</v>
      </c>
      <c r="S10" s="17">
        <f>INPUT!E36</f>
        <v>0</v>
      </c>
      <c r="T10" s="18">
        <f t="shared" si="0"/>
        <v>0</v>
      </c>
    </row>
    <row r="11" spans="15:20" ht="21.75" customHeight="1" x14ac:dyDescent="0.2">
      <c r="O11" s="22">
        <f>INPUT!A37</f>
        <v>45931</v>
      </c>
      <c r="P11" s="17">
        <f>INPUT!B37</f>
        <v>5</v>
      </c>
      <c r="Q11" s="17">
        <f>INPUT!C37</f>
        <v>0</v>
      </c>
      <c r="R11" s="17">
        <f>INPUT!D37</f>
        <v>0</v>
      </c>
      <c r="S11" s="17">
        <f>INPUT!E37</f>
        <v>0</v>
      </c>
      <c r="T11" s="18">
        <f t="shared" si="0"/>
        <v>0</v>
      </c>
    </row>
    <row r="12" spans="15:20" ht="21.75" customHeight="1" x14ac:dyDescent="0.2">
      <c r="O12" s="22">
        <f>INPUT!A38</f>
        <v>45962</v>
      </c>
      <c r="P12" s="17">
        <f>INPUT!B38</f>
        <v>5</v>
      </c>
      <c r="Q12" s="17">
        <f>INPUT!C38</f>
        <v>0</v>
      </c>
      <c r="R12" s="17">
        <f>INPUT!D38</f>
        <v>0</v>
      </c>
      <c r="S12" s="17">
        <f>INPUT!E38</f>
        <v>0</v>
      </c>
      <c r="T12" s="18">
        <f t="shared" si="0"/>
        <v>0</v>
      </c>
    </row>
    <row r="13" spans="15:20" ht="21.75" customHeight="1" x14ac:dyDescent="0.2">
      <c r="O13" s="22">
        <f>INPUT!A39</f>
        <v>45992</v>
      </c>
      <c r="P13" s="17">
        <f>INPUT!B39</f>
        <v>8</v>
      </c>
      <c r="Q13" s="17">
        <f>INPUT!C39</f>
        <v>0</v>
      </c>
      <c r="R13" s="17">
        <f>INPUT!D39</f>
        <v>0</v>
      </c>
      <c r="S13" s="17">
        <f>INPUT!E39</f>
        <v>0</v>
      </c>
      <c r="T13" s="18">
        <f t="shared" si="0"/>
        <v>0</v>
      </c>
    </row>
    <row r="14" spans="15:20" ht="21.75" customHeight="1" x14ac:dyDescent="0.2">
      <c r="O14" s="22">
        <f>INPUT!A40</f>
        <v>46023</v>
      </c>
      <c r="P14" s="17">
        <f>INPUT!B40</f>
        <v>2</v>
      </c>
      <c r="Q14" s="17">
        <f>INPUT!C40</f>
        <v>0</v>
      </c>
      <c r="R14" s="17">
        <f>INPUT!D40</f>
        <v>0</v>
      </c>
      <c r="S14" s="17">
        <f>INPUT!E40</f>
        <v>0</v>
      </c>
      <c r="T14" s="18">
        <f t="shared" si="0"/>
        <v>0</v>
      </c>
    </row>
    <row r="15" spans="15:20" ht="21.75" customHeight="1" x14ac:dyDescent="0.2">
      <c r="O15" s="22">
        <f>INPUT!A41</f>
        <v>46054</v>
      </c>
      <c r="P15" s="17">
        <f>INPUT!B41</f>
        <v>9</v>
      </c>
      <c r="Q15" s="17">
        <f>INPUT!C41</f>
        <v>0</v>
      </c>
      <c r="R15" s="17">
        <f>INPUT!D41</f>
        <v>0</v>
      </c>
      <c r="S15" s="17">
        <f>INPUT!E41</f>
        <v>0</v>
      </c>
      <c r="T15" s="18">
        <f t="shared" si="0"/>
        <v>0</v>
      </c>
    </row>
    <row r="16" spans="15:20" ht="21.75" customHeight="1" x14ac:dyDescent="0.2">
      <c r="O16" s="22">
        <f>INPUT!A42</f>
        <v>46082</v>
      </c>
      <c r="P16" s="17">
        <f>INPUT!B42</f>
        <v>10</v>
      </c>
      <c r="Q16" s="17">
        <f>INPUT!C42</f>
        <v>0</v>
      </c>
      <c r="R16" s="17">
        <f>INPUT!D42</f>
        <v>0</v>
      </c>
      <c r="S16" s="17">
        <f>INPUT!E42</f>
        <v>0</v>
      </c>
      <c r="T16" s="18">
        <f t="shared" si="0"/>
        <v>0</v>
      </c>
    </row>
    <row r="17" spans="2:20" ht="21.75" customHeight="1" x14ac:dyDescent="0.2">
      <c r="O17" s="22">
        <f>INPUT!A43</f>
        <v>46113</v>
      </c>
      <c r="P17" s="17">
        <f>INPUT!B43</f>
        <v>8</v>
      </c>
      <c r="Q17" s="17">
        <f>INPUT!C43</f>
        <v>0</v>
      </c>
      <c r="R17" s="17">
        <f>INPUT!D43</f>
        <v>0</v>
      </c>
      <c r="S17" s="17">
        <f>INPUT!E43</f>
        <v>0</v>
      </c>
      <c r="T17" s="18">
        <f t="shared" si="0"/>
        <v>0</v>
      </c>
    </row>
    <row r="18" spans="2:20" ht="21.75" customHeight="1" x14ac:dyDescent="0.2">
      <c r="O18" s="22">
        <f>INPUT!A44</f>
        <v>46143</v>
      </c>
      <c r="P18" s="17">
        <f>INPUT!B44</f>
        <v>10</v>
      </c>
      <c r="Q18" s="17">
        <f>INPUT!C44</f>
        <v>0</v>
      </c>
      <c r="R18" s="17">
        <f>INPUT!D44</f>
        <v>2</v>
      </c>
      <c r="S18" s="17">
        <f>INPUT!E44</f>
        <v>0</v>
      </c>
      <c r="T18" s="18">
        <f t="shared" si="0"/>
        <v>0</v>
      </c>
    </row>
    <row r="19" spans="2:20" ht="21.75" customHeight="1" x14ac:dyDescent="0.2">
      <c r="O19" s="19" t="s">
        <v>94</v>
      </c>
      <c r="P19" s="20">
        <f>SUM(P6:P18)</f>
        <v>106</v>
      </c>
      <c r="Q19" s="20">
        <f>SUM(Q6:Q18)</f>
        <v>20</v>
      </c>
      <c r="R19" s="20">
        <f>SUM(R6:R18)</f>
        <v>3</v>
      </c>
      <c r="S19" s="20">
        <f>SUM(S6:S18)</f>
        <v>9</v>
      </c>
      <c r="T19" s="21">
        <f>S19/P19</f>
        <v>8.4905660377358486E-2</v>
      </c>
    </row>
    <row r="20" spans="2:20" x14ac:dyDescent="0.2">
      <c r="O20" s="14"/>
    </row>
    <row r="21" spans="2:20" x14ac:dyDescent="0.2">
      <c r="O21" s="14"/>
    </row>
    <row r="22" spans="2:20" x14ac:dyDescent="0.2">
      <c r="O22" s="14"/>
    </row>
    <row r="24" spans="2:20" s="5" customFormat="1" ht="22.5" customHeight="1" x14ac:dyDescent="0.25">
      <c r="H24" s="109" t="s">
        <v>12</v>
      </c>
      <c r="I24" s="109" t="s">
        <v>82</v>
      </c>
      <c r="J24" s="109" t="s">
        <v>83</v>
      </c>
      <c r="K24" s="109" t="s">
        <v>95</v>
      </c>
      <c r="L24" s="109" t="s">
        <v>96</v>
      </c>
    </row>
    <row r="25" spans="2:20" s="5" customFormat="1" ht="22.5" customHeight="1" x14ac:dyDescent="0.25">
      <c r="B25" s="23" t="s">
        <v>97</v>
      </c>
      <c r="C25" s="24">
        <f>C26/UNITS</f>
        <v>0.86776859504132231</v>
      </c>
      <c r="D25" s="25"/>
      <c r="E25" s="23" t="s">
        <v>98</v>
      </c>
      <c r="F25" s="26">
        <f>(UNITS-C33)/UNITS</f>
        <v>0.90082644628099173</v>
      </c>
      <c r="H25" s="109"/>
      <c r="I25" s="109"/>
      <c r="J25" s="109"/>
      <c r="K25" s="109"/>
      <c r="L25" s="109"/>
    </row>
    <row r="26" spans="2:20" s="5" customFormat="1" ht="22.5" customHeight="1" x14ac:dyDescent="0.25">
      <c r="B26" s="10" t="s">
        <v>51</v>
      </c>
      <c r="C26" s="11">
        <f>INPUT!C8</f>
        <v>105</v>
      </c>
      <c r="D26" s="9"/>
      <c r="E26" s="10" t="s">
        <v>72</v>
      </c>
      <c r="F26" s="11">
        <f>INPUT!C16</f>
        <v>17</v>
      </c>
      <c r="H26" s="12">
        <f>INPUT!A24</f>
        <v>45886</v>
      </c>
      <c r="I26" s="11">
        <f>INPUT!B24</f>
        <v>3</v>
      </c>
      <c r="J26" s="11">
        <f>INPUT!C24</f>
        <v>1</v>
      </c>
      <c r="K26" s="11">
        <f>C26+I26-J26</f>
        <v>107</v>
      </c>
      <c r="L26" s="13">
        <f>K26/UNITS</f>
        <v>0.88429752066115708</v>
      </c>
    </row>
    <row r="27" spans="2:20" s="5" customFormat="1" ht="22.5" customHeight="1" x14ac:dyDescent="0.25">
      <c r="B27" s="10" t="s">
        <v>55</v>
      </c>
      <c r="C27" s="11">
        <f>INPUT!C9</f>
        <v>2</v>
      </c>
      <c r="D27" s="9"/>
      <c r="E27" s="10" t="s">
        <v>74</v>
      </c>
      <c r="F27" s="11">
        <f>INPUT!C17</f>
        <v>2</v>
      </c>
      <c r="H27" s="12">
        <f>INPUT!A25</f>
        <v>45893</v>
      </c>
      <c r="I27" s="11">
        <f>INPUT!B25</f>
        <v>3</v>
      </c>
      <c r="J27" s="11">
        <f>INPUT!C25</f>
        <v>0</v>
      </c>
      <c r="K27" s="11">
        <f>K26+I27-J27</f>
        <v>110</v>
      </c>
      <c r="L27" s="13">
        <f t="shared" ref="L27:L31" si="1">K27/UNITS</f>
        <v>0.90909090909090906</v>
      </c>
    </row>
    <row r="28" spans="2:20" s="5" customFormat="1" ht="22.5" customHeight="1" x14ac:dyDescent="0.25">
      <c r="B28" s="10" t="s">
        <v>59</v>
      </c>
      <c r="C28" s="11">
        <f>INPUT!C10</f>
        <v>16</v>
      </c>
      <c r="D28" s="9"/>
      <c r="E28" s="10" t="s">
        <v>76</v>
      </c>
      <c r="F28" s="11">
        <f>INPUT!C18</f>
        <v>0</v>
      </c>
      <c r="H28" s="12">
        <f>INPUT!A26</f>
        <v>45900</v>
      </c>
      <c r="I28" s="11">
        <f>INPUT!B26</f>
        <v>0</v>
      </c>
      <c r="J28" s="11">
        <f>INPUT!C26</f>
        <v>1</v>
      </c>
      <c r="K28" s="11">
        <f t="shared" ref="K28:K31" si="2">K27+I28-J28</f>
        <v>109</v>
      </c>
      <c r="L28" s="13">
        <f t="shared" si="1"/>
        <v>0.90082644628099173</v>
      </c>
    </row>
    <row r="29" spans="2:20" s="5" customFormat="1" ht="22.5" customHeight="1" x14ac:dyDescent="0.25">
      <c r="B29" s="10" t="s">
        <v>63</v>
      </c>
      <c r="C29" s="11">
        <f>INPUT!C11</f>
        <v>8</v>
      </c>
      <c r="D29" s="9"/>
      <c r="E29" s="10" t="s">
        <v>78</v>
      </c>
      <c r="F29" s="11">
        <f>INPUT!C19</f>
        <v>0</v>
      </c>
      <c r="H29" s="12">
        <f>INPUT!A27</f>
        <v>45907</v>
      </c>
      <c r="I29" s="11">
        <f>INPUT!B27</f>
        <v>1</v>
      </c>
      <c r="J29" s="11">
        <f>INPUT!C27</f>
        <v>0</v>
      </c>
      <c r="K29" s="11">
        <f t="shared" si="2"/>
        <v>110</v>
      </c>
      <c r="L29" s="13">
        <f t="shared" si="1"/>
        <v>0.90909090909090906</v>
      </c>
    </row>
    <row r="30" spans="2:20" s="5" customFormat="1" ht="22.5" customHeight="1" x14ac:dyDescent="0.25">
      <c r="B30" s="10" t="s">
        <v>65</v>
      </c>
      <c r="C30" s="11">
        <f>INPUT!C12</f>
        <v>4</v>
      </c>
      <c r="D30" s="9"/>
      <c r="E30" s="10" t="s">
        <v>79</v>
      </c>
      <c r="F30" s="11">
        <f>INPUT!C20</f>
        <v>1</v>
      </c>
      <c r="H30" s="12">
        <f>INPUT!A28</f>
        <v>45914</v>
      </c>
      <c r="I30" s="11">
        <f>INPUT!B28</f>
        <v>0</v>
      </c>
      <c r="J30" s="11">
        <f>INPUT!C28</f>
        <v>0</v>
      </c>
      <c r="K30" s="11">
        <f t="shared" si="2"/>
        <v>110</v>
      </c>
      <c r="L30" s="13">
        <f t="shared" si="1"/>
        <v>0.90909090909090906</v>
      </c>
    </row>
    <row r="31" spans="2:20" s="5" customFormat="1" ht="22.5" customHeight="1" x14ac:dyDescent="0.25">
      <c r="B31" s="10" t="s">
        <v>67</v>
      </c>
      <c r="C31" s="11">
        <f>INPUT!C13</f>
        <v>6</v>
      </c>
      <c r="D31" s="9"/>
      <c r="E31" s="9"/>
      <c r="F31" s="73"/>
      <c r="H31" s="12">
        <f>INPUT!A29</f>
        <v>45921</v>
      </c>
      <c r="I31" s="11">
        <f>INPUT!B29</f>
        <v>0</v>
      </c>
      <c r="J31" s="11">
        <f>INPUT!C29</f>
        <v>0</v>
      </c>
      <c r="K31" s="11">
        <f t="shared" si="2"/>
        <v>110</v>
      </c>
      <c r="L31" s="13">
        <f t="shared" si="1"/>
        <v>0.90909090909090906</v>
      </c>
    </row>
    <row r="32" spans="2:20" s="5" customFormat="1" ht="22.5" customHeight="1" x14ac:dyDescent="0.25">
      <c r="B32" s="10" t="s">
        <v>69</v>
      </c>
      <c r="C32" s="11">
        <f>INPUT!C14</f>
        <v>0</v>
      </c>
      <c r="D32" s="9"/>
      <c r="E32" s="9"/>
      <c r="F32" s="9"/>
      <c r="H32" s="9"/>
      <c r="I32" s="9"/>
      <c r="J32" s="9"/>
      <c r="K32" s="9"/>
      <c r="L32" s="9"/>
    </row>
    <row r="33" spans="2:12" s="5" customFormat="1" ht="22.5" customHeight="1" x14ac:dyDescent="0.25">
      <c r="B33" s="10" t="s">
        <v>99</v>
      </c>
      <c r="C33" s="11">
        <f>C28-C29+C30-C32</f>
        <v>12</v>
      </c>
      <c r="D33" s="9"/>
      <c r="E33" s="110" t="str">
        <f>"*For the week ending "&amp;TEXT(INPUT!C6,"mm/dd/yyyy")</f>
        <v>*For the week ending 08/10/2025</v>
      </c>
      <c r="F33" s="110"/>
      <c r="H33" s="9"/>
      <c r="I33" s="9"/>
      <c r="J33" s="9"/>
      <c r="K33" s="9"/>
      <c r="L33" s="9"/>
    </row>
  </sheetData>
  <mergeCells count="6">
    <mergeCell ref="L24:L25"/>
    <mergeCell ref="E33:F33"/>
    <mergeCell ref="H24:H25"/>
    <mergeCell ref="I24:I25"/>
    <mergeCell ref="J24:J25"/>
    <mergeCell ref="K24:K25"/>
  </mergeCells>
  <printOptions horizontalCentered="1"/>
  <pageMargins left="0.45" right="0.45" top="0.5" bottom="0.5" header="0.3" footer="0.3"/>
  <pageSetup scale="67" orientation="landscape" r:id="rId1"/>
  <headerFooter>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topLeftCell="B1" zoomScale="70" zoomScaleNormal="100" zoomScaleSheetLayoutView="70" workbookViewId="0">
      <selection activeCell="F41" sqref="F41"/>
    </sheetView>
  </sheetViews>
  <sheetFormatPr defaultColWidth="9.140625" defaultRowHeight="14.25" x14ac:dyDescent="0.2"/>
  <cols>
    <col min="1" max="1" width="2.42578125" style="1" customWidth="1"/>
    <col min="2" max="2" width="37.85546875" style="1" customWidth="1"/>
    <col min="3" max="4" width="16.28515625" style="27" customWidth="1"/>
    <col min="5" max="5" width="16.28515625" style="47" customWidth="1"/>
    <col min="6" max="6" width="2.7109375" style="1" customWidth="1"/>
    <col min="7" max="8" width="16.28515625" style="27" customWidth="1"/>
    <col min="9" max="9" width="16.28515625" style="15" customWidth="1"/>
    <col min="10" max="10" width="2.7109375" style="1" customWidth="1"/>
    <col min="11" max="12" width="16.28515625" style="27" customWidth="1"/>
    <col min="13" max="13" width="16.28515625" style="1" customWidth="1"/>
    <col min="14" max="15" width="2.42578125" style="1" customWidth="1"/>
    <col min="16" max="16" width="12.5703125" style="1" customWidth="1"/>
    <col min="17" max="17" width="23.140625" style="1" bestFit="1" customWidth="1"/>
    <col min="18" max="18" width="12.28515625" style="1" bestFit="1" customWidth="1"/>
    <col min="19" max="19" width="19.5703125" style="1" bestFit="1" customWidth="1"/>
    <col min="20" max="20" width="12.7109375" style="1" bestFit="1" customWidth="1"/>
    <col min="21" max="21" width="13.140625" style="1" bestFit="1" customWidth="1"/>
    <col min="22" max="16384" width="9.140625" style="1"/>
  </cols>
  <sheetData>
    <row r="3" spans="2:13" ht="20.25" customHeight="1" x14ac:dyDescent="0.2"/>
    <row r="4" spans="2:13" ht="27.75" customHeight="1" x14ac:dyDescent="0.2">
      <c r="C4" s="1"/>
      <c r="D4" s="1"/>
      <c r="E4" s="1"/>
      <c r="G4" s="1"/>
      <c r="H4" s="1"/>
      <c r="I4" s="1"/>
      <c r="K4" s="1"/>
      <c r="L4" s="1"/>
    </row>
    <row r="5" spans="2:13" ht="27.75" customHeight="1" x14ac:dyDescent="0.2">
      <c r="C5" s="111" t="str">
        <f>INPUT!$F$1</f>
        <v>JUNE</v>
      </c>
      <c r="D5" s="111"/>
      <c r="E5" s="111"/>
      <c r="F5" s="15"/>
      <c r="G5" s="111" t="str">
        <f>INPUT!$H$1</f>
        <v>MAY</v>
      </c>
      <c r="H5" s="111"/>
      <c r="I5" s="111"/>
      <c r="K5" s="111" t="str">
        <f>INPUT!$J$1</f>
        <v>APRIL</v>
      </c>
      <c r="L5" s="111"/>
      <c r="M5" s="111"/>
    </row>
    <row r="6" spans="2:13" ht="19.5" customHeight="1" x14ac:dyDescent="0.2">
      <c r="C6" s="1"/>
      <c r="D6" s="1"/>
      <c r="G6" s="1"/>
      <c r="H6" s="1"/>
      <c r="K6" s="1"/>
      <c r="L6" s="1"/>
    </row>
    <row r="7" spans="2:13" ht="22.5" customHeight="1" x14ac:dyDescent="0.2">
      <c r="B7" s="52" t="s">
        <v>6</v>
      </c>
      <c r="C7" s="55" t="s">
        <v>13</v>
      </c>
      <c r="D7" s="55" t="s">
        <v>14</v>
      </c>
      <c r="E7" s="56" t="s">
        <v>100</v>
      </c>
      <c r="F7" s="96"/>
      <c r="G7" s="57" t="s">
        <v>13</v>
      </c>
      <c r="H7" s="57" t="s">
        <v>14</v>
      </c>
      <c r="I7" s="58" t="s">
        <v>100</v>
      </c>
      <c r="J7" s="96"/>
      <c r="K7" s="57" t="s">
        <v>13</v>
      </c>
      <c r="L7" s="57" t="s">
        <v>14</v>
      </c>
      <c r="M7" s="58" t="s">
        <v>100</v>
      </c>
    </row>
    <row r="8" spans="2:13" ht="22.5" customHeight="1" x14ac:dyDescent="0.25">
      <c r="B8" s="53" t="s">
        <v>31</v>
      </c>
      <c r="C8" s="59">
        <f>INPUT!F3</f>
        <v>136823.41</v>
      </c>
      <c r="D8" s="59">
        <f>INPUT!G3</f>
        <v>175949.21</v>
      </c>
      <c r="E8" s="60">
        <f>IFERROR(C8/D8-1,"NA")</f>
        <v>-0.22236985320934366</v>
      </c>
      <c r="F8" s="61"/>
      <c r="G8" s="62">
        <f>INPUT!H3</f>
        <v>187631.29</v>
      </c>
      <c r="H8" s="62">
        <f>INPUT!I3</f>
        <v>175793.38</v>
      </c>
      <c r="I8" s="63">
        <f>IFERROR(G8/H8-1,"NA")</f>
        <v>6.73399077940251E-2</v>
      </c>
      <c r="J8" s="61"/>
      <c r="K8" s="62">
        <f>INPUT!J3</f>
        <v>184517.12999999998</v>
      </c>
      <c r="L8" s="62">
        <f>INPUT!K3</f>
        <v>175637.7</v>
      </c>
      <c r="M8" s="63">
        <f>IFERROR(K8/L8-1,"NA")</f>
        <v>5.0555376209093783E-2</v>
      </c>
    </row>
    <row r="9" spans="2:13" ht="22.5" customHeight="1" x14ac:dyDescent="0.25">
      <c r="B9" s="53" t="s">
        <v>36</v>
      </c>
      <c r="C9" s="59">
        <f>INPUT!F4</f>
        <v>22754.15</v>
      </c>
      <c r="D9" s="59">
        <f>INPUT!G4</f>
        <v>32422.5</v>
      </c>
      <c r="E9" s="60">
        <f t="shared" ref="E9:E10" si="0">IFERROR(C9/D9-1,"NA")</f>
        <v>-0.29819878171023206</v>
      </c>
      <c r="F9" s="61"/>
      <c r="G9" s="62">
        <f>INPUT!H4</f>
        <v>35507.129999999997</v>
      </c>
      <c r="H9" s="62">
        <f>INPUT!I4</f>
        <v>32422.5</v>
      </c>
      <c r="I9" s="63">
        <f t="shared" ref="I9:I10" si="1">IFERROR(G9/H9-1,"NA")</f>
        <v>9.5138561184362702E-2</v>
      </c>
      <c r="J9" s="61"/>
      <c r="K9" s="62">
        <f>INPUT!J4</f>
        <v>29773.78</v>
      </c>
      <c r="L9" s="62">
        <f>INPUT!K4</f>
        <v>32422.5</v>
      </c>
      <c r="M9" s="63">
        <f t="shared" ref="M9:M10" si="2">IFERROR(K9/L9-1,"NA")</f>
        <v>-8.1693885419076295E-2</v>
      </c>
    </row>
    <row r="10" spans="2:13" ht="22.5" customHeight="1" x14ac:dyDescent="0.25">
      <c r="B10" s="54" t="s">
        <v>42</v>
      </c>
      <c r="C10" s="64">
        <f>SUM(C8:C9)</f>
        <v>159577.56</v>
      </c>
      <c r="D10" s="64">
        <f>SUM(D8:D9)</f>
        <v>208371.71</v>
      </c>
      <c r="E10" s="65">
        <f t="shared" si="0"/>
        <v>-0.23416878423659337</v>
      </c>
      <c r="F10" s="66"/>
      <c r="G10" s="67">
        <f>SUM(G8:G9)</f>
        <v>223138.42</v>
      </c>
      <c r="H10" s="67">
        <f>SUM(H8:H9)</f>
        <v>208215.88</v>
      </c>
      <c r="I10" s="68">
        <f t="shared" si="1"/>
        <v>7.1668597034961978E-2</v>
      </c>
      <c r="J10" s="66"/>
      <c r="K10" s="67">
        <f>SUM(K8:K9)</f>
        <v>214290.90999999997</v>
      </c>
      <c r="L10" s="67">
        <f>SUM(L8:L9)</f>
        <v>208060.2</v>
      </c>
      <c r="M10" s="68">
        <f t="shared" si="2"/>
        <v>2.9946669281294414E-2</v>
      </c>
    </row>
    <row r="11" spans="2:13" ht="22.5" customHeight="1" x14ac:dyDescent="0.25">
      <c r="B11" s="53"/>
      <c r="C11" s="59"/>
      <c r="D11" s="59"/>
      <c r="E11" s="60"/>
      <c r="F11" s="61"/>
      <c r="G11" s="62"/>
      <c r="H11" s="62"/>
      <c r="I11" s="69"/>
      <c r="J11" s="61"/>
      <c r="K11" s="62"/>
      <c r="L11" s="62"/>
      <c r="M11" s="69"/>
    </row>
    <row r="12" spans="2:13" ht="22.5" customHeight="1" x14ac:dyDescent="0.25">
      <c r="B12" s="52" t="s">
        <v>48</v>
      </c>
      <c r="C12" s="55" t="s">
        <v>13</v>
      </c>
      <c r="D12" s="55" t="s">
        <v>14</v>
      </c>
      <c r="E12" s="56" t="s">
        <v>100</v>
      </c>
      <c r="F12" s="66"/>
      <c r="G12" s="57" t="s">
        <v>13</v>
      </c>
      <c r="H12" s="57" t="s">
        <v>14</v>
      </c>
      <c r="I12" s="58" t="s">
        <v>100</v>
      </c>
      <c r="J12" s="66"/>
      <c r="K12" s="57" t="s">
        <v>13</v>
      </c>
      <c r="L12" s="57" t="s">
        <v>14</v>
      </c>
      <c r="M12" s="58" t="s">
        <v>100</v>
      </c>
    </row>
    <row r="13" spans="2:13" ht="22.5" customHeight="1" x14ac:dyDescent="0.25">
      <c r="B13" s="53" t="s">
        <v>52</v>
      </c>
      <c r="C13" s="59">
        <f>INPUT!F8</f>
        <v>12961.89</v>
      </c>
      <c r="D13" s="59">
        <f>INPUT!G8</f>
        <v>15112.62</v>
      </c>
      <c r="E13" s="60">
        <f>IFERROR(C13/D13-1,"NA")</f>
        <v>-0.14231351016567617</v>
      </c>
      <c r="F13" s="61"/>
      <c r="G13" s="62">
        <f>INPUT!H8</f>
        <v>13956.31</v>
      </c>
      <c r="H13" s="62">
        <f>INPUT!I8</f>
        <v>15112.62</v>
      </c>
      <c r="I13" s="63">
        <f>IFERROR(G13/H13-1,"NA")</f>
        <v>-7.6512874670308761E-2</v>
      </c>
      <c r="J13" s="61"/>
      <c r="K13" s="62">
        <f>INPUT!J8</f>
        <v>10524.39</v>
      </c>
      <c r="L13" s="62">
        <f>INPUT!K8</f>
        <v>15112.62</v>
      </c>
      <c r="M13" s="63">
        <f>IFERROR(K13/L13-1,"NA")</f>
        <v>-0.3036025520392891</v>
      </c>
    </row>
    <row r="14" spans="2:13" ht="22.5" customHeight="1" x14ac:dyDescent="0.25">
      <c r="B14" s="53" t="s">
        <v>56</v>
      </c>
      <c r="C14" s="59">
        <f>INPUT!F9</f>
        <v>5466.45</v>
      </c>
      <c r="D14" s="59">
        <f>INPUT!G9</f>
        <v>6204.68</v>
      </c>
      <c r="E14" s="60">
        <f t="shared" ref="E14:E20" si="3">IFERROR(C14/D14-1,"NA")</f>
        <v>-0.11897954447288184</v>
      </c>
      <c r="F14" s="61"/>
      <c r="G14" s="62">
        <f>INPUT!H9</f>
        <v>7229.61</v>
      </c>
      <c r="H14" s="62">
        <f>INPUT!I9</f>
        <v>6200.01</v>
      </c>
      <c r="I14" s="63">
        <f t="shared" ref="I14:I22" si="4">IFERROR(G14/H14-1,"NA")</f>
        <v>0.16606424828347044</v>
      </c>
      <c r="J14" s="61"/>
      <c r="K14" s="62">
        <f>INPUT!J9</f>
        <v>8252.25</v>
      </c>
      <c r="L14" s="62">
        <f>INPUT!K9</f>
        <v>6195.34</v>
      </c>
      <c r="M14" s="63">
        <f t="shared" ref="M14:M22" si="5">IFERROR(K14/L14-1,"NA")</f>
        <v>0.33200921983297116</v>
      </c>
    </row>
    <row r="15" spans="2:13" ht="22.5" customHeight="1" x14ac:dyDescent="0.25">
      <c r="B15" s="53" t="s">
        <v>60</v>
      </c>
      <c r="C15" s="59">
        <f>INPUT!F10</f>
        <v>62789</v>
      </c>
      <c r="D15" s="59">
        <f>INPUT!G10</f>
        <v>65978.320000000007</v>
      </c>
      <c r="E15" s="60">
        <f t="shared" si="3"/>
        <v>-4.8338908902197053E-2</v>
      </c>
      <c r="F15" s="61"/>
      <c r="G15" s="62">
        <f>INPUT!H10</f>
        <v>64494.34</v>
      </c>
      <c r="H15" s="62">
        <f>INPUT!I10</f>
        <v>65978.320000000007</v>
      </c>
      <c r="I15" s="63">
        <f t="shared" si="4"/>
        <v>-2.2491933713983725E-2</v>
      </c>
      <c r="J15" s="61"/>
      <c r="K15" s="62">
        <f>INPUT!J10</f>
        <v>63410.65</v>
      </c>
      <c r="L15" s="62">
        <f>INPUT!K10</f>
        <v>65978.320000000007</v>
      </c>
      <c r="M15" s="63">
        <f t="shared" si="5"/>
        <v>-3.8916874512718858E-2</v>
      </c>
    </row>
    <row r="16" spans="2:13" ht="22.5" customHeight="1" x14ac:dyDescent="0.25">
      <c r="B16" s="53" t="s">
        <v>64</v>
      </c>
      <c r="C16" s="59">
        <f>INPUT!F11</f>
        <v>0</v>
      </c>
      <c r="D16" s="59">
        <f>INPUT!G11</f>
        <v>0</v>
      </c>
      <c r="E16" s="60" t="str">
        <f t="shared" si="3"/>
        <v>NA</v>
      </c>
      <c r="F16" s="61"/>
      <c r="G16" s="62">
        <f>INPUT!H11</f>
        <v>0</v>
      </c>
      <c r="H16" s="62">
        <f>INPUT!I11</f>
        <v>0</v>
      </c>
      <c r="I16" s="63" t="str">
        <f t="shared" si="4"/>
        <v>NA</v>
      </c>
      <c r="J16" s="61"/>
      <c r="K16" s="62">
        <f>INPUT!J11</f>
        <v>0</v>
      </c>
      <c r="L16" s="62">
        <f>INPUT!K11</f>
        <v>0</v>
      </c>
      <c r="M16" s="63" t="str">
        <f t="shared" si="5"/>
        <v>NA</v>
      </c>
    </row>
    <row r="17" spans="2:13" ht="22.5" customHeight="1" x14ac:dyDescent="0.25">
      <c r="B17" s="53" t="s">
        <v>66</v>
      </c>
      <c r="C17" s="59">
        <f>INPUT!F12</f>
        <v>5920.26</v>
      </c>
      <c r="D17" s="59">
        <f>INPUT!G12</f>
        <v>4255.42</v>
      </c>
      <c r="E17" s="60">
        <f t="shared" si="3"/>
        <v>0.39122812789336892</v>
      </c>
      <c r="F17" s="61"/>
      <c r="G17" s="62">
        <f>INPUT!H12</f>
        <v>2133.4699999999998</v>
      </c>
      <c r="H17" s="62">
        <f>INPUT!I12</f>
        <v>4255.42</v>
      </c>
      <c r="I17" s="63">
        <f t="shared" si="4"/>
        <v>-0.49864643207955972</v>
      </c>
      <c r="J17" s="61"/>
      <c r="K17" s="62">
        <f>INPUT!J12</f>
        <v>4231.88</v>
      </c>
      <c r="L17" s="62">
        <f>INPUT!K12</f>
        <v>4255.42</v>
      </c>
      <c r="M17" s="63">
        <f t="shared" si="5"/>
        <v>-5.5317688970771828E-3</v>
      </c>
    </row>
    <row r="18" spans="2:13" ht="22.5" customHeight="1" x14ac:dyDescent="0.25">
      <c r="B18" s="53" t="s">
        <v>68</v>
      </c>
      <c r="C18" s="59">
        <f>INPUT!F13</f>
        <v>375</v>
      </c>
      <c r="D18" s="59">
        <f>INPUT!G13</f>
        <v>500</v>
      </c>
      <c r="E18" s="60">
        <f t="shared" si="3"/>
        <v>-0.25</v>
      </c>
      <c r="F18" s="61"/>
      <c r="G18" s="62">
        <f>INPUT!H13</f>
        <v>300</v>
      </c>
      <c r="H18" s="62">
        <f>INPUT!I13</f>
        <v>500</v>
      </c>
      <c r="I18" s="63">
        <f t="shared" si="4"/>
        <v>-0.4</v>
      </c>
      <c r="J18" s="61"/>
      <c r="K18" s="62">
        <f>INPUT!J13</f>
        <v>300</v>
      </c>
      <c r="L18" s="62">
        <f>INPUT!K13</f>
        <v>500</v>
      </c>
      <c r="M18" s="63">
        <f t="shared" si="5"/>
        <v>-0.4</v>
      </c>
    </row>
    <row r="19" spans="2:13" ht="22.5" customHeight="1" x14ac:dyDescent="0.25">
      <c r="B19" s="53" t="s">
        <v>70</v>
      </c>
      <c r="C19" s="59">
        <f>INPUT!F14</f>
        <v>5585.35</v>
      </c>
      <c r="D19" s="59">
        <f>INPUT!G14</f>
        <v>7873.13</v>
      </c>
      <c r="E19" s="60">
        <f t="shared" si="3"/>
        <v>-0.29058074742827822</v>
      </c>
      <c r="F19" s="61"/>
      <c r="G19" s="62">
        <f>INPUT!H14</f>
        <v>5764.62</v>
      </c>
      <c r="H19" s="62">
        <f>INPUT!I14</f>
        <v>7873.13</v>
      </c>
      <c r="I19" s="63">
        <f t="shared" si="4"/>
        <v>-0.26781089604769648</v>
      </c>
      <c r="J19" s="61"/>
      <c r="K19" s="62">
        <f>INPUT!J14</f>
        <v>6265</v>
      </c>
      <c r="L19" s="62">
        <f>INPUT!K14</f>
        <v>7873.13</v>
      </c>
      <c r="M19" s="63">
        <f t="shared" si="5"/>
        <v>-0.20425548669969884</v>
      </c>
    </row>
    <row r="20" spans="2:13" ht="22.5" customHeight="1" x14ac:dyDescent="0.25">
      <c r="B20" s="53" t="s">
        <v>71</v>
      </c>
      <c r="C20" s="59">
        <f>INPUT!F15</f>
        <v>0</v>
      </c>
      <c r="D20" s="59">
        <f>INPUT!G15</f>
        <v>0</v>
      </c>
      <c r="E20" s="60" t="str">
        <f t="shared" si="3"/>
        <v>NA</v>
      </c>
      <c r="F20" s="61"/>
      <c r="G20" s="62">
        <f>INPUT!H15</f>
        <v>0</v>
      </c>
      <c r="H20" s="62">
        <f>INPUT!I15</f>
        <v>0</v>
      </c>
      <c r="I20" s="63" t="str">
        <f t="shared" si="4"/>
        <v>NA</v>
      </c>
      <c r="J20" s="61"/>
      <c r="K20" s="62">
        <f>INPUT!J15</f>
        <v>0</v>
      </c>
      <c r="L20" s="62">
        <f>INPUT!K15</f>
        <v>0</v>
      </c>
      <c r="M20" s="63" t="str">
        <f t="shared" si="5"/>
        <v>NA</v>
      </c>
    </row>
    <row r="21" spans="2:13" ht="22.5" customHeight="1" x14ac:dyDescent="0.25">
      <c r="B21" s="53" t="s">
        <v>73</v>
      </c>
      <c r="C21" s="59">
        <f>INPUT!F16</f>
        <v>1676.45</v>
      </c>
      <c r="D21" s="59">
        <f>INPUT!G16</f>
        <v>3300</v>
      </c>
      <c r="E21" s="60">
        <f t="shared" ref="E21:E23" si="6">IFERROR(C21/D21-1,"NA")</f>
        <v>-0.49198484848484847</v>
      </c>
      <c r="F21" s="61"/>
      <c r="G21" s="62">
        <f>INPUT!H16</f>
        <v>3114.54</v>
      </c>
      <c r="H21" s="62">
        <f>INPUT!I16</f>
        <v>3300</v>
      </c>
      <c r="I21" s="63">
        <f t="shared" si="4"/>
        <v>-5.6200000000000028E-2</v>
      </c>
      <c r="J21" s="61"/>
      <c r="K21" s="62">
        <f>INPUT!J16</f>
        <v>3187.32</v>
      </c>
      <c r="L21" s="62">
        <f>INPUT!K16</f>
        <v>3300</v>
      </c>
      <c r="M21" s="63">
        <f t="shared" si="5"/>
        <v>-3.4145454545454479E-2</v>
      </c>
    </row>
    <row r="22" spans="2:13" s="5" customFormat="1" ht="22.5" customHeight="1" x14ac:dyDescent="0.25">
      <c r="B22" s="53" t="s">
        <v>75</v>
      </c>
      <c r="C22" s="59">
        <f>INPUT!F17</f>
        <v>44098.65</v>
      </c>
      <c r="D22" s="59">
        <f>INPUT!G17</f>
        <v>39294.15</v>
      </c>
      <c r="E22" s="60">
        <f t="shared" si="6"/>
        <v>0.12227010890934142</v>
      </c>
      <c r="F22" s="61"/>
      <c r="G22" s="62">
        <f>INPUT!H17</f>
        <v>38124.67</v>
      </c>
      <c r="H22" s="62">
        <f>INPUT!I17</f>
        <v>39294.15</v>
      </c>
      <c r="I22" s="63">
        <f t="shared" si="4"/>
        <v>-2.9762191064064303E-2</v>
      </c>
      <c r="J22" s="61"/>
      <c r="K22" s="62">
        <f>INPUT!J17</f>
        <v>38124.660000000003</v>
      </c>
      <c r="L22" s="62">
        <f>INPUT!K17</f>
        <v>39294.15</v>
      </c>
      <c r="M22" s="63">
        <f t="shared" si="5"/>
        <v>-2.9762445554872619E-2</v>
      </c>
    </row>
    <row r="23" spans="2:13" s="5" customFormat="1" ht="22.5" customHeight="1" x14ac:dyDescent="0.25">
      <c r="B23" s="54" t="s">
        <v>77</v>
      </c>
      <c r="C23" s="64">
        <f>SUM(C13:C22)</f>
        <v>138873.04999999999</v>
      </c>
      <c r="D23" s="64">
        <f>SUM(D13:D22)</f>
        <v>142518.32</v>
      </c>
      <c r="E23" s="65">
        <f t="shared" si="6"/>
        <v>-2.5577553819046028E-2</v>
      </c>
      <c r="F23" s="66"/>
      <c r="G23" s="67">
        <f>SUM(G13:G22)</f>
        <v>135117.56</v>
      </c>
      <c r="H23" s="67">
        <f>SUM(H13:H22)</f>
        <v>142513.65000000002</v>
      </c>
      <c r="I23" s="68">
        <f t="shared" ref="I23" si="7">IFERROR(G23/H23-1,"NA")</f>
        <v>-5.1897414738868997E-2</v>
      </c>
      <c r="J23" s="66"/>
      <c r="K23" s="67">
        <f>SUM(K13:K22)</f>
        <v>134296.15000000002</v>
      </c>
      <c r="L23" s="67">
        <f>SUM(L13:L22)</f>
        <v>142508.98000000001</v>
      </c>
      <c r="M23" s="68">
        <f t="shared" ref="M23" si="8">IFERROR(K23/L23-1,"NA")</f>
        <v>-5.7630263019214589E-2</v>
      </c>
    </row>
    <row r="24" spans="2:13" s="5" customFormat="1" ht="22.5" customHeight="1" x14ac:dyDescent="0.25">
      <c r="B24" s="53"/>
      <c r="C24" s="59"/>
      <c r="D24" s="59"/>
      <c r="E24" s="60"/>
      <c r="F24" s="61"/>
      <c r="G24" s="62"/>
      <c r="H24" s="62"/>
      <c r="I24" s="69"/>
      <c r="J24" s="61"/>
      <c r="K24" s="62"/>
      <c r="L24" s="62"/>
      <c r="M24" s="69"/>
    </row>
    <row r="25" spans="2:13" s="5" customFormat="1" ht="22.5" customHeight="1" x14ac:dyDescent="0.25">
      <c r="B25" s="52" t="s">
        <v>101</v>
      </c>
      <c r="C25" s="55" t="s">
        <v>13</v>
      </c>
      <c r="D25" s="55" t="s">
        <v>14</v>
      </c>
      <c r="E25" s="56" t="s">
        <v>100</v>
      </c>
      <c r="F25" s="66"/>
      <c r="G25" s="57" t="s">
        <v>13</v>
      </c>
      <c r="H25" s="57" t="s">
        <v>14</v>
      </c>
      <c r="I25" s="58" t="s">
        <v>100</v>
      </c>
      <c r="J25" s="66"/>
      <c r="K25" s="57" t="s">
        <v>13</v>
      </c>
      <c r="L25" s="57" t="s">
        <v>14</v>
      </c>
      <c r="M25" s="58" t="s">
        <v>100</v>
      </c>
    </row>
    <row r="26" spans="2:13" s="5" customFormat="1" ht="22.5" customHeight="1" x14ac:dyDescent="0.25">
      <c r="B26" s="54" t="s">
        <v>80</v>
      </c>
      <c r="C26" s="64">
        <f>C10-C23</f>
        <v>20704.510000000009</v>
      </c>
      <c r="D26" s="64">
        <f>D10-D23</f>
        <v>65853.389999999985</v>
      </c>
      <c r="E26" s="65">
        <f t="shared" ref="E26" si="9">IFERROR(C26/D26-1,"NA")</f>
        <v>-0.68559689941550439</v>
      </c>
      <c r="F26" s="66"/>
      <c r="G26" s="67">
        <f>G10-G23</f>
        <v>88020.860000000015</v>
      </c>
      <c r="H26" s="67">
        <f>H10-H23</f>
        <v>65702.229999999981</v>
      </c>
      <c r="I26" s="68">
        <f t="shared" ref="I26" si="10">IFERROR(G26/H26-1,"NA")</f>
        <v>0.33969364510154443</v>
      </c>
      <c r="J26" s="66"/>
      <c r="K26" s="67">
        <f>K10-K23</f>
        <v>79994.759999999951</v>
      </c>
      <c r="L26" s="67">
        <f>L10-L23</f>
        <v>65551.22</v>
      </c>
      <c r="M26" s="68">
        <f t="shared" ref="M26" si="11">IFERROR(K26/L26-1,"NA")</f>
        <v>0.2203397587413316</v>
      </c>
    </row>
    <row r="27" spans="2:13" s="5" customFormat="1" ht="22.5" customHeight="1" x14ac:dyDescent="0.25">
      <c r="B27" s="53"/>
      <c r="C27" s="59"/>
      <c r="D27" s="59"/>
      <c r="E27" s="60"/>
      <c r="F27" s="61"/>
      <c r="G27" s="62"/>
      <c r="H27" s="62"/>
      <c r="I27" s="69"/>
      <c r="J27" s="61"/>
      <c r="K27" s="62"/>
      <c r="L27" s="62"/>
      <c r="M27" s="69"/>
    </row>
    <row r="28" spans="2:13" s="5" customFormat="1" ht="22.5" customHeight="1" x14ac:dyDescent="0.25">
      <c r="B28" s="52" t="s">
        <v>102</v>
      </c>
      <c r="C28" s="55" t="s">
        <v>13</v>
      </c>
      <c r="D28" s="55" t="s">
        <v>14</v>
      </c>
      <c r="E28" s="56" t="s">
        <v>100</v>
      </c>
      <c r="F28" s="66"/>
      <c r="G28" s="57" t="s">
        <v>13</v>
      </c>
      <c r="H28" s="57" t="s">
        <v>14</v>
      </c>
      <c r="I28" s="58" t="s">
        <v>100</v>
      </c>
      <c r="J28" s="66"/>
      <c r="K28" s="57" t="s">
        <v>13</v>
      </c>
      <c r="L28" s="57" t="s">
        <v>14</v>
      </c>
      <c r="M28" s="58" t="s">
        <v>100</v>
      </c>
    </row>
    <row r="29" spans="2:13" s="5" customFormat="1" ht="22.5" customHeight="1" x14ac:dyDescent="0.25">
      <c r="B29" s="53" t="s">
        <v>81</v>
      </c>
      <c r="C29" s="59">
        <f>INPUT!F22</f>
        <v>59513.33</v>
      </c>
      <c r="D29" s="59">
        <f>INPUT!G22</f>
        <v>59513.33</v>
      </c>
      <c r="E29" s="60">
        <f t="shared" ref="E29:E32" si="12">IFERROR(C29/D29-1,"NA")</f>
        <v>0</v>
      </c>
      <c r="F29" s="61"/>
      <c r="G29" s="62">
        <f>INPUT!H22</f>
        <v>61497.11</v>
      </c>
      <c r="H29" s="62">
        <f>INPUT!I22</f>
        <v>61497.11</v>
      </c>
      <c r="I29" s="63">
        <f t="shared" ref="I29:I32" si="13">IFERROR(G29/H29-1,"NA")</f>
        <v>0</v>
      </c>
      <c r="J29" s="61"/>
      <c r="K29" s="62">
        <f>INPUT!J22</f>
        <v>59513.33</v>
      </c>
      <c r="L29" s="62">
        <f>INPUT!K22</f>
        <v>59513.33</v>
      </c>
      <c r="M29" s="63">
        <f t="shared" ref="M29:M32" si="14">IFERROR(K29/L29-1,"NA")</f>
        <v>0</v>
      </c>
    </row>
    <row r="30" spans="2:13" s="5" customFormat="1" ht="22.5" customHeight="1" x14ac:dyDescent="0.25">
      <c r="B30" s="53" t="s">
        <v>84</v>
      </c>
      <c r="C30" s="59">
        <f>INPUT!F23</f>
        <v>12382.02</v>
      </c>
      <c r="D30" s="59">
        <f>INPUT!G23</f>
        <v>6075</v>
      </c>
      <c r="E30" s="60">
        <f t="shared" si="12"/>
        <v>1.0381925925925928</v>
      </c>
      <c r="F30" s="61"/>
      <c r="G30" s="62">
        <f>INPUT!H23</f>
        <v>0</v>
      </c>
      <c r="H30" s="62">
        <f>INPUT!I23</f>
        <v>6075</v>
      </c>
      <c r="I30" s="63">
        <f t="shared" si="13"/>
        <v>-1</v>
      </c>
      <c r="J30" s="61"/>
      <c r="K30" s="62">
        <f>INPUT!J23</f>
        <v>6488.44</v>
      </c>
      <c r="L30" s="62">
        <f>INPUT!K23</f>
        <v>6075</v>
      </c>
      <c r="M30" s="63">
        <f t="shared" si="14"/>
        <v>6.8055967078189283E-2</v>
      </c>
    </row>
    <row r="31" spans="2:13" s="5" customFormat="1" ht="22.5" customHeight="1" x14ac:dyDescent="0.25">
      <c r="B31" s="53" t="s">
        <v>85</v>
      </c>
      <c r="C31" s="59">
        <f>INPUT!F24</f>
        <v>4109.7</v>
      </c>
      <c r="D31" s="59">
        <f>INPUT!G24</f>
        <v>0</v>
      </c>
      <c r="E31" s="60" t="str">
        <f t="shared" si="12"/>
        <v>NA</v>
      </c>
      <c r="F31" s="61"/>
      <c r="G31" s="62">
        <f>INPUT!H24</f>
        <v>0</v>
      </c>
      <c r="H31" s="62">
        <f>INPUT!I24</f>
        <v>0</v>
      </c>
      <c r="I31" s="63" t="str">
        <f t="shared" si="13"/>
        <v>NA</v>
      </c>
      <c r="J31" s="61"/>
      <c r="K31" s="62">
        <f>INPUT!J24</f>
        <v>200</v>
      </c>
      <c r="L31" s="62">
        <f>INPUT!K24</f>
        <v>0</v>
      </c>
      <c r="M31" s="63" t="str">
        <f t="shared" si="14"/>
        <v>NA</v>
      </c>
    </row>
    <row r="32" spans="2:13" ht="22.5" customHeight="1" x14ac:dyDescent="0.25">
      <c r="B32" s="54" t="s">
        <v>86</v>
      </c>
      <c r="C32" s="64">
        <f>INPUT!F26</f>
        <v>-55300.539999999994</v>
      </c>
      <c r="D32" s="64">
        <f>INPUT!G26</f>
        <v>265.05999999998312</v>
      </c>
      <c r="E32" s="65">
        <f t="shared" si="12"/>
        <v>-209.63404512187248</v>
      </c>
      <c r="F32" s="66"/>
      <c r="G32" s="67">
        <f>INPUT!H26</f>
        <v>26523.750000000015</v>
      </c>
      <c r="H32" s="67">
        <f>INPUT!I26</f>
        <v>-1869.8800000000192</v>
      </c>
      <c r="I32" s="68">
        <f t="shared" si="13"/>
        <v>-15.184733779707651</v>
      </c>
      <c r="J32" s="66"/>
      <c r="K32" s="67">
        <f>INPUT!J26</f>
        <v>13792.989999999947</v>
      </c>
      <c r="L32" s="67">
        <f>INPUT!K26</f>
        <v>-37.110000000000582</v>
      </c>
      <c r="M32" s="68">
        <f t="shared" si="14"/>
        <v>-372.67852330907385</v>
      </c>
    </row>
    <row r="33" ht="22.5" customHeight="1" x14ac:dyDescent="0.2"/>
    <row r="34" ht="22.5" customHeight="1" x14ac:dyDescent="0.2"/>
    <row r="35" ht="22.5" customHeight="1" x14ac:dyDescent="0.2"/>
    <row r="36" ht="22.5" customHeight="1" x14ac:dyDescent="0.2"/>
    <row r="37" ht="22.5" customHeight="1" x14ac:dyDescent="0.2"/>
    <row r="38" ht="22.5" customHeight="1" x14ac:dyDescent="0.2"/>
    <row r="39" ht="22.5" customHeight="1" x14ac:dyDescent="0.2"/>
    <row r="40" ht="22.5" customHeight="1" x14ac:dyDescent="0.2"/>
    <row r="41" ht="22.5" customHeight="1" x14ac:dyDescent="0.2"/>
    <row r="42" ht="22.5" customHeight="1" x14ac:dyDescent="0.2"/>
    <row r="43" ht="22.5" customHeight="1" x14ac:dyDescent="0.2"/>
  </sheetData>
  <mergeCells count="3">
    <mergeCell ref="C5:E5"/>
    <mergeCell ref="G5:I5"/>
    <mergeCell ref="K5:M5"/>
  </mergeCells>
  <printOptions horizontalCentered="1"/>
  <pageMargins left="0.45" right="0.45" top="0.5" bottom="0.5" header="0.3" footer="0.3"/>
  <pageSetup scale="59" orientation="landscape" r:id="rId1"/>
  <headerFooter>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C1" zoomScale="55" zoomScaleNormal="100" zoomScaleSheetLayoutView="70" workbookViewId="0">
      <selection activeCell="F41" sqref="F41"/>
    </sheetView>
  </sheetViews>
  <sheetFormatPr defaultColWidth="9.140625" defaultRowHeight="14.25" x14ac:dyDescent="0.2"/>
  <cols>
    <col min="1" max="1" width="2.42578125" style="1" customWidth="1"/>
    <col min="2" max="3" width="23.28515625" style="27" customWidth="1"/>
    <col min="4" max="4" width="18.28515625" style="1" customWidth="1"/>
    <col min="5" max="5" width="3.85546875" style="1" customWidth="1"/>
    <col min="6" max="7" width="23.28515625" style="27" customWidth="1"/>
    <col min="8" max="8" width="18.28515625" style="15" customWidth="1"/>
    <col min="9" max="9" width="3.85546875" style="1" customWidth="1"/>
    <col min="10" max="11" width="23.28515625" style="27" customWidth="1"/>
    <col min="12" max="12" width="18.28515625" style="27" customWidth="1"/>
    <col min="13" max="14" width="2.42578125" style="1" customWidth="1"/>
    <col min="15" max="16" width="23.28515625" style="1" customWidth="1"/>
    <col min="17" max="17" width="18.28515625" style="1" customWidth="1"/>
    <col min="18" max="18" width="3.85546875" style="1" customWidth="1"/>
    <col min="19" max="20" width="23.28515625" style="1" customWidth="1"/>
    <col min="21" max="21" width="18.28515625" style="1" customWidth="1"/>
    <col min="22" max="22" width="3.85546875" style="1" customWidth="1"/>
    <col min="23" max="24" width="23.28515625" style="1" customWidth="1"/>
    <col min="25" max="25" width="18.28515625" style="1" customWidth="1"/>
    <col min="26" max="26" width="3.5703125" style="1" customWidth="1"/>
    <col min="27" max="16384" width="9.140625" style="1"/>
  </cols>
  <sheetData>
    <row r="3" spans="2:12" ht="20.25" customHeight="1" x14ac:dyDescent="0.2"/>
    <row r="4" spans="2:12" ht="20.25" customHeight="1" x14ac:dyDescent="0.2"/>
    <row r="5" spans="2:12" ht="27.75" customHeight="1" x14ac:dyDescent="0.2">
      <c r="B5" s="112" t="s">
        <v>103</v>
      </c>
      <c r="C5" s="112"/>
      <c r="D5" s="112"/>
      <c r="E5" s="112"/>
      <c r="F5" s="112"/>
      <c r="G5" s="112"/>
      <c r="H5" s="112"/>
      <c r="I5" s="112"/>
      <c r="J5" s="112"/>
      <c r="K5" s="112"/>
      <c r="L5" s="112"/>
    </row>
    <row r="6" spans="2:12" ht="27.75" customHeight="1" x14ac:dyDescent="0.2">
      <c r="B6" s="95"/>
      <c r="C6" s="95"/>
      <c r="D6" s="95"/>
      <c r="E6" s="95"/>
      <c r="F6" s="95"/>
      <c r="G6" s="95"/>
      <c r="H6" s="95"/>
      <c r="I6" s="95"/>
      <c r="J6" s="95"/>
      <c r="K6" s="95"/>
      <c r="L6" s="95"/>
    </row>
    <row r="7" spans="2:12" ht="19.5" customHeight="1" x14ac:dyDescent="0.2">
      <c r="B7" s="1"/>
      <c r="C7" s="1"/>
      <c r="F7" s="1"/>
      <c r="G7" s="1"/>
      <c r="H7" s="1"/>
      <c r="J7" s="1"/>
      <c r="K7" s="1"/>
      <c r="L7" s="1"/>
    </row>
    <row r="8" spans="2:12" ht="22.5" customHeight="1" x14ac:dyDescent="0.2">
      <c r="B8" s="1"/>
      <c r="C8" s="1"/>
      <c r="F8" s="1"/>
      <c r="G8" s="1"/>
      <c r="H8" s="1"/>
      <c r="J8" s="1"/>
      <c r="K8" s="1"/>
      <c r="L8" s="1"/>
    </row>
    <row r="9" spans="2:12" ht="22.5" customHeight="1" x14ac:dyDescent="0.2">
      <c r="B9" s="1"/>
      <c r="C9" s="1"/>
      <c r="F9" s="1"/>
      <c r="G9" s="1"/>
      <c r="H9" s="1"/>
      <c r="J9" s="1"/>
      <c r="K9" s="1"/>
      <c r="L9" s="1"/>
    </row>
    <row r="10" spans="2:12" ht="22.5" customHeight="1" x14ac:dyDescent="0.2">
      <c r="B10" s="1"/>
      <c r="C10" s="1"/>
      <c r="F10" s="1"/>
      <c r="G10" s="1"/>
      <c r="H10" s="1"/>
      <c r="J10" s="1"/>
      <c r="K10" s="1"/>
      <c r="L10" s="1"/>
    </row>
    <row r="11" spans="2:12" ht="22.5" customHeight="1" x14ac:dyDescent="0.2">
      <c r="B11" s="1"/>
      <c r="C11" s="1"/>
      <c r="F11" s="1"/>
      <c r="G11" s="1"/>
      <c r="H11" s="1"/>
      <c r="J11" s="1"/>
      <c r="K11" s="1"/>
      <c r="L11" s="1"/>
    </row>
    <row r="12" spans="2:12" ht="22.5" customHeight="1" x14ac:dyDescent="0.2">
      <c r="B12" s="1"/>
      <c r="C12" s="1"/>
      <c r="F12" s="1"/>
      <c r="G12" s="1"/>
      <c r="H12" s="1"/>
      <c r="J12" s="1"/>
      <c r="K12" s="1"/>
      <c r="L12" s="1"/>
    </row>
    <row r="13" spans="2:12" ht="22.5" customHeight="1" x14ac:dyDescent="0.2">
      <c r="B13" s="1"/>
      <c r="C13" s="1"/>
      <c r="F13" s="1"/>
      <c r="G13" s="1"/>
      <c r="H13" s="1"/>
      <c r="J13" s="1"/>
      <c r="K13" s="1"/>
      <c r="L13" s="1"/>
    </row>
    <row r="14" spans="2:12" ht="22.5" customHeight="1" x14ac:dyDescent="0.2">
      <c r="B14" s="1"/>
      <c r="C14" s="1"/>
      <c r="F14" s="1"/>
      <c r="G14" s="1"/>
      <c r="H14" s="1"/>
      <c r="J14" s="1"/>
      <c r="K14" s="1"/>
      <c r="L14" s="1"/>
    </row>
    <row r="15" spans="2:12" ht="22.5" customHeight="1" x14ac:dyDescent="0.2">
      <c r="B15" s="1"/>
      <c r="C15" s="1"/>
      <c r="F15" s="1"/>
      <c r="G15" s="1"/>
      <c r="H15" s="1"/>
      <c r="J15" s="1"/>
      <c r="K15" s="1"/>
      <c r="L15" s="1"/>
    </row>
    <row r="16" spans="2:12" ht="22.5" customHeight="1" x14ac:dyDescent="0.2">
      <c r="B16" s="1"/>
      <c r="C16" s="1"/>
      <c r="F16" s="1"/>
      <c r="G16" s="1"/>
      <c r="H16" s="1"/>
      <c r="J16" s="1"/>
      <c r="K16" s="1"/>
      <c r="L16" s="1"/>
    </row>
    <row r="17" spans="2:25" ht="22.5" customHeight="1" x14ac:dyDescent="0.2">
      <c r="B17" s="1"/>
      <c r="C17" s="1"/>
      <c r="F17" s="1"/>
      <c r="G17" s="1"/>
      <c r="H17" s="1"/>
      <c r="J17" s="1"/>
      <c r="K17" s="1"/>
      <c r="L17" s="1"/>
    </row>
    <row r="18" spans="2:25" ht="22.5" customHeight="1" x14ac:dyDescent="0.2">
      <c r="B18" s="1"/>
      <c r="C18" s="1"/>
      <c r="F18" s="1"/>
      <c r="G18" s="1"/>
      <c r="H18" s="1"/>
      <c r="J18" s="1"/>
      <c r="K18" s="1"/>
      <c r="L18" s="1"/>
    </row>
    <row r="19" spans="2:25" ht="22.5" customHeight="1" x14ac:dyDescent="0.2">
      <c r="B19" s="1"/>
      <c r="C19" s="1"/>
      <c r="F19" s="1"/>
      <c r="G19" s="1"/>
      <c r="H19" s="1"/>
      <c r="J19" s="1"/>
      <c r="K19" s="1"/>
      <c r="L19" s="1"/>
    </row>
    <row r="20" spans="2:25" ht="22.5" customHeight="1" x14ac:dyDescent="0.2">
      <c r="B20" s="1"/>
      <c r="C20" s="1"/>
      <c r="F20" s="1"/>
      <c r="G20" s="1"/>
      <c r="H20" s="1"/>
      <c r="J20" s="1"/>
      <c r="K20" s="1"/>
      <c r="L20" s="1"/>
    </row>
    <row r="21" spans="2:25" ht="22.5" customHeight="1" x14ac:dyDescent="0.2">
      <c r="B21" s="1"/>
      <c r="C21" s="1"/>
      <c r="F21" s="1"/>
      <c r="G21" s="1"/>
      <c r="H21" s="1"/>
      <c r="J21" s="1"/>
      <c r="K21" s="1"/>
      <c r="L21" s="1"/>
    </row>
    <row r="22" spans="2:25" ht="22.5" customHeight="1" x14ac:dyDescent="0.2">
      <c r="B22" s="1"/>
      <c r="C22" s="1"/>
      <c r="F22" s="1"/>
      <c r="G22" s="1"/>
      <c r="H22" s="1"/>
      <c r="J22" s="1"/>
      <c r="K22" s="1"/>
      <c r="L22" s="1"/>
    </row>
    <row r="23" spans="2:25" s="5" customFormat="1" ht="22.5" customHeight="1" x14ac:dyDescent="0.2">
      <c r="B23" s="1"/>
      <c r="C23" s="1"/>
      <c r="D23" s="1"/>
      <c r="E23" s="1"/>
      <c r="F23" s="1"/>
      <c r="G23" s="1"/>
      <c r="H23" s="1"/>
      <c r="I23" s="1"/>
      <c r="J23" s="1"/>
      <c r="K23" s="1"/>
      <c r="L23" s="1"/>
      <c r="M23" s="1"/>
      <c r="N23" s="1"/>
      <c r="O23" s="1"/>
    </row>
    <row r="24" spans="2:25" s="5" customFormat="1" ht="22.5" customHeight="1" x14ac:dyDescent="0.2">
      <c r="B24" s="1"/>
      <c r="C24" s="1"/>
      <c r="D24" s="1"/>
      <c r="E24" s="1"/>
      <c r="F24" s="1"/>
      <c r="G24" s="1"/>
      <c r="H24" s="1"/>
      <c r="I24" s="1"/>
      <c r="J24" s="1"/>
      <c r="K24" s="1"/>
      <c r="L24" s="1"/>
      <c r="M24" s="1"/>
      <c r="N24" s="1"/>
      <c r="O24" s="1"/>
    </row>
    <row r="25" spans="2:25" s="5" customFormat="1" ht="22.5" customHeight="1" x14ac:dyDescent="0.2">
      <c r="B25" s="1"/>
      <c r="C25" s="1"/>
      <c r="D25" s="1"/>
      <c r="E25" s="1"/>
      <c r="F25" s="1"/>
      <c r="G25" s="1"/>
      <c r="H25" s="1"/>
      <c r="I25" s="1"/>
      <c r="J25" s="1"/>
      <c r="K25" s="1"/>
      <c r="L25" s="1"/>
      <c r="M25" s="1"/>
      <c r="N25" s="1"/>
      <c r="O25" s="1"/>
    </row>
    <row r="26" spans="2:25" s="5" customFormat="1" ht="22.5" customHeight="1" x14ac:dyDescent="0.2">
      <c r="B26" s="1"/>
      <c r="C26" s="1"/>
      <c r="D26" s="1"/>
      <c r="E26" s="1"/>
      <c r="F26" s="1"/>
      <c r="G26" s="1"/>
      <c r="H26" s="1"/>
      <c r="I26" s="1"/>
      <c r="J26" s="1"/>
      <c r="K26" s="1"/>
      <c r="L26" s="1"/>
      <c r="M26" s="1"/>
      <c r="N26" s="1"/>
      <c r="O26" s="1"/>
    </row>
    <row r="27" spans="2:25" s="5" customFormat="1" ht="22.5" customHeight="1" x14ac:dyDescent="0.2">
      <c r="B27" s="1"/>
      <c r="C27" s="1"/>
      <c r="D27" s="1"/>
      <c r="E27" s="1"/>
      <c r="F27" s="1"/>
      <c r="G27" s="1"/>
      <c r="H27" s="1"/>
      <c r="I27" s="1"/>
      <c r="J27" s="1"/>
      <c r="K27" s="1"/>
      <c r="L27" s="1"/>
      <c r="M27" s="1"/>
      <c r="N27" s="1"/>
      <c r="O27" s="1"/>
    </row>
    <row r="28" spans="2:25" s="5" customFormat="1" ht="22.5" customHeight="1" x14ac:dyDescent="0.2">
      <c r="B28" s="1"/>
      <c r="C28" s="1"/>
      <c r="D28" s="1"/>
      <c r="E28" s="1"/>
      <c r="F28" s="1"/>
      <c r="G28" s="1"/>
      <c r="H28" s="1"/>
      <c r="I28" s="1"/>
      <c r="J28" s="1"/>
      <c r="K28" s="1"/>
      <c r="L28" s="1"/>
      <c r="M28" s="1"/>
      <c r="N28" s="1"/>
      <c r="O28" s="1"/>
    </row>
    <row r="29" spans="2:25" s="5" customFormat="1" ht="22.5" customHeight="1" x14ac:dyDescent="0.2">
      <c r="B29" s="1"/>
      <c r="C29" s="1"/>
      <c r="D29" s="1"/>
      <c r="E29" s="1"/>
      <c r="F29" s="1"/>
      <c r="G29" s="1"/>
      <c r="H29" s="1"/>
      <c r="I29" s="1"/>
      <c r="J29" s="1"/>
      <c r="K29" s="1"/>
      <c r="L29" s="1"/>
      <c r="M29" s="1"/>
      <c r="N29" s="1"/>
      <c r="O29" s="1"/>
    </row>
    <row r="30" spans="2:25" s="5" customFormat="1" ht="22.5" customHeight="1" x14ac:dyDescent="0.2">
      <c r="B30" s="1"/>
      <c r="C30" s="1"/>
      <c r="D30" s="1"/>
      <c r="E30" s="1"/>
      <c r="F30" s="1"/>
      <c r="G30" s="1"/>
      <c r="H30" s="1"/>
      <c r="I30" s="1"/>
      <c r="J30" s="1"/>
      <c r="K30" s="1"/>
      <c r="L30" s="1"/>
      <c r="M30" s="1"/>
      <c r="N30" s="1"/>
      <c r="O30" s="1"/>
    </row>
    <row r="31" spans="2:25" s="5" customFormat="1" ht="22.5" customHeight="1" x14ac:dyDescent="0.2">
      <c r="B31" s="1"/>
      <c r="C31" s="1"/>
      <c r="D31" s="1"/>
      <c r="E31" s="1"/>
      <c r="F31" s="1"/>
      <c r="G31" s="1"/>
      <c r="H31" s="1"/>
      <c r="I31" s="1"/>
      <c r="J31" s="1"/>
      <c r="K31" s="1"/>
      <c r="L31" s="1"/>
      <c r="M31" s="1"/>
      <c r="N31" s="1"/>
      <c r="O31" s="1"/>
    </row>
    <row r="32" spans="2:25" s="5" customFormat="1" ht="35.25" customHeight="1" x14ac:dyDescent="0.2">
      <c r="B32" s="97" t="s">
        <v>104</v>
      </c>
      <c r="C32" s="97" t="s">
        <v>105</v>
      </c>
      <c r="D32" s="97" t="s">
        <v>100</v>
      </c>
      <c r="E32" s="1"/>
      <c r="F32" s="32" t="s">
        <v>106</v>
      </c>
      <c r="G32" s="32" t="s">
        <v>105</v>
      </c>
      <c r="H32" s="32" t="s">
        <v>100</v>
      </c>
      <c r="I32" s="1"/>
      <c r="J32" s="97" t="s">
        <v>106</v>
      </c>
      <c r="K32" s="97" t="s">
        <v>105</v>
      </c>
      <c r="L32" s="97" t="s">
        <v>100</v>
      </c>
      <c r="M32" s="1"/>
      <c r="N32" s="1"/>
      <c r="O32" s="97" t="s">
        <v>104</v>
      </c>
      <c r="P32" s="97" t="s">
        <v>105</v>
      </c>
      <c r="Q32" s="97" t="s">
        <v>100</v>
      </c>
      <c r="R32" s="1"/>
      <c r="S32" s="32" t="s">
        <v>106</v>
      </c>
      <c r="T32" s="32" t="s">
        <v>105</v>
      </c>
      <c r="U32" s="32" t="s">
        <v>100</v>
      </c>
      <c r="V32" s="1"/>
      <c r="W32" s="97" t="s">
        <v>106</v>
      </c>
      <c r="X32" s="97" t="s">
        <v>105</v>
      </c>
      <c r="Y32" s="97" t="s">
        <v>100</v>
      </c>
    </row>
    <row r="33" spans="2:25" s="5" customFormat="1" ht="41.25" customHeight="1" x14ac:dyDescent="0.2">
      <c r="B33" s="30">
        <f>INPUT!$AE$14</f>
        <v>201597.46000000002</v>
      </c>
      <c r="C33" s="30">
        <f>AVERAGE(INPUT!$AE$3:$AE$13)</f>
        <v>207667.25181818186</v>
      </c>
      <c r="D33" s="98">
        <f>B33/C33-1</f>
        <v>-2.9228449671477863E-2</v>
      </c>
      <c r="E33" s="1"/>
      <c r="F33" s="30">
        <f>INPUT!$AF$14</f>
        <v>155864.87000000002</v>
      </c>
      <c r="G33" s="30">
        <f>AVERAGE(INPUT!$AF$3:$AF$13)</f>
        <v>193358.68909090909</v>
      </c>
      <c r="H33" s="98">
        <f>F33/G33-1</f>
        <v>-0.19390811588136625</v>
      </c>
      <c r="I33" s="1"/>
      <c r="J33" s="98">
        <f>INPUT!$AF$14/INPUT!$AE$14</f>
        <v>0.77314897717461328</v>
      </c>
      <c r="K33" s="98">
        <f>SUM(INPUT!$AF$3:$AF$13)/SUM(INPUT!$AE$3:$AE$13)</f>
        <v>0.93109860797984512</v>
      </c>
      <c r="L33" s="98">
        <f>J33/K33-1</f>
        <v>-0.16963791960545049</v>
      </c>
      <c r="M33" s="1"/>
      <c r="N33" s="1"/>
      <c r="O33" s="30">
        <f>INPUT!$AE$14</f>
        <v>201597.46000000002</v>
      </c>
      <c r="P33" s="30">
        <f>AVERAGE(INPUT!$AE$3:$AE$13)</f>
        <v>207667.25181818186</v>
      </c>
      <c r="Q33" s="98">
        <f>O33/P33-1</f>
        <v>-2.9228449671477863E-2</v>
      </c>
      <c r="R33" s="1"/>
      <c r="S33" s="30">
        <f>INPUT!$AF$14</f>
        <v>155864.87000000002</v>
      </c>
      <c r="T33" s="30">
        <f>AVERAGE(INPUT!$AF$3:$AF$13)</f>
        <v>193358.68909090909</v>
      </c>
      <c r="U33" s="98">
        <f>S33/T33-1</f>
        <v>-0.19390811588136625</v>
      </c>
      <c r="V33" s="1"/>
      <c r="W33" s="98">
        <f>INPUT!$AF$14/INPUT!$AE$14</f>
        <v>0.77314897717461328</v>
      </c>
      <c r="X33" s="98">
        <f>SUM(INPUT!$AF$3:$AF$13)/SUM(INPUT!$AE$3:$AE$13)</f>
        <v>0.93109860797984512</v>
      </c>
      <c r="Y33" s="98">
        <f>W33/X33-1</f>
        <v>-0.16963791960545049</v>
      </c>
    </row>
    <row r="34" spans="2:25" s="5" customFormat="1" ht="22.5" customHeight="1" x14ac:dyDescent="0.2">
      <c r="B34" s="1"/>
      <c r="C34" s="1"/>
      <c r="D34" s="1"/>
      <c r="E34" s="1"/>
      <c r="F34" s="1"/>
      <c r="G34" s="1"/>
      <c r="H34" s="1"/>
      <c r="I34" s="1"/>
      <c r="J34" s="1"/>
      <c r="K34" s="1"/>
      <c r="L34" s="1"/>
      <c r="M34" s="1"/>
      <c r="N34" s="1"/>
      <c r="O34" s="1"/>
    </row>
    <row r="35" spans="2:25" s="5" customFormat="1" ht="22.5" customHeight="1" x14ac:dyDescent="0.2">
      <c r="B35" s="1"/>
      <c r="C35" s="1"/>
      <c r="D35" s="1"/>
      <c r="E35" s="1"/>
      <c r="F35" s="1"/>
      <c r="G35" s="1"/>
      <c r="H35" s="1"/>
      <c r="I35" s="1"/>
      <c r="J35" s="1"/>
      <c r="K35" s="1"/>
      <c r="L35" s="1"/>
      <c r="M35" s="1"/>
      <c r="N35" s="1"/>
      <c r="O35" s="1"/>
    </row>
    <row r="36" spans="2:25" s="5" customFormat="1" ht="22.5" customHeight="1" x14ac:dyDescent="0.2">
      <c r="B36" s="1"/>
      <c r="C36" s="1"/>
      <c r="D36" s="1"/>
      <c r="E36" s="1"/>
      <c r="F36" s="1"/>
      <c r="G36" s="1"/>
      <c r="H36" s="1"/>
      <c r="I36" s="1"/>
      <c r="J36" s="1"/>
      <c r="K36" s="1"/>
      <c r="L36" s="1"/>
      <c r="M36" s="1"/>
      <c r="N36" s="1"/>
      <c r="O36" s="1"/>
    </row>
    <row r="37" spans="2:25" s="5" customFormat="1" ht="22.5" customHeight="1" x14ac:dyDescent="0.2">
      <c r="B37" s="1"/>
      <c r="C37" s="1"/>
      <c r="D37" s="1"/>
      <c r="E37" s="1"/>
      <c r="F37" s="1"/>
      <c r="G37" s="1"/>
      <c r="H37" s="1"/>
      <c r="I37" s="1"/>
      <c r="J37" s="1"/>
      <c r="K37" s="1"/>
      <c r="L37" s="1"/>
      <c r="M37" s="1"/>
      <c r="N37" s="1"/>
      <c r="O37" s="1"/>
    </row>
    <row r="38" spans="2:25" s="5" customFormat="1" ht="22.5" customHeight="1" x14ac:dyDescent="0.2">
      <c r="B38" s="1"/>
      <c r="C38" s="1"/>
      <c r="D38" s="1"/>
      <c r="E38" s="1"/>
      <c r="F38" s="1"/>
      <c r="G38" s="1"/>
      <c r="H38" s="1"/>
      <c r="I38" s="1"/>
      <c r="J38" s="1"/>
      <c r="K38" s="1"/>
      <c r="L38" s="1"/>
      <c r="M38" s="1"/>
      <c r="N38" s="1"/>
      <c r="O38" s="1"/>
    </row>
    <row r="39" spans="2:25" s="5" customFormat="1" ht="22.5" customHeight="1" x14ac:dyDescent="0.2">
      <c r="B39" s="1"/>
      <c r="C39" s="1"/>
      <c r="D39" s="1"/>
      <c r="E39" s="1"/>
      <c r="F39" s="1"/>
      <c r="G39" s="1"/>
      <c r="H39" s="1"/>
      <c r="I39" s="1"/>
      <c r="J39" s="1"/>
      <c r="K39" s="1"/>
      <c r="L39" s="1"/>
      <c r="M39" s="1"/>
      <c r="N39" s="1"/>
      <c r="O39" s="1"/>
    </row>
    <row r="40" spans="2:25" ht="22.5" customHeight="1" x14ac:dyDescent="0.2">
      <c r="B40" s="1"/>
      <c r="C40" s="1"/>
      <c r="F40" s="1"/>
      <c r="G40" s="1"/>
      <c r="H40" s="1"/>
      <c r="J40" s="1"/>
      <c r="K40" s="1"/>
      <c r="L40" s="1"/>
    </row>
    <row r="41" spans="2:25" ht="22.5" customHeight="1" x14ac:dyDescent="0.2">
      <c r="B41" s="1"/>
      <c r="C41" s="1"/>
      <c r="F41" s="1"/>
      <c r="G41" s="1"/>
      <c r="H41" s="1"/>
      <c r="J41" s="1"/>
      <c r="K41" s="1"/>
      <c r="L41" s="1"/>
    </row>
    <row r="42" spans="2:25" ht="22.5" customHeight="1" x14ac:dyDescent="0.2">
      <c r="B42" s="1"/>
      <c r="C42" s="1"/>
      <c r="F42" s="1"/>
      <c r="G42" s="1"/>
      <c r="H42" s="1"/>
      <c r="J42" s="1"/>
      <c r="K42" s="1"/>
      <c r="L42" s="1"/>
    </row>
    <row r="43" spans="2:25" ht="22.5" customHeight="1" x14ac:dyDescent="0.2">
      <c r="B43" s="1"/>
      <c r="C43" s="1"/>
      <c r="F43" s="1"/>
      <c r="G43" s="1"/>
      <c r="H43" s="1"/>
      <c r="J43" s="1"/>
      <c r="K43" s="1"/>
      <c r="L43" s="1"/>
    </row>
    <row r="44" spans="2:25" ht="22.5" customHeight="1" x14ac:dyDescent="0.2"/>
    <row r="45" spans="2:25" ht="22.5" customHeight="1" x14ac:dyDescent="0.2"/>
    <row r="46" spans="2:25" ht="22.5" customHeight="1" x14ac:dyDescent="0.2"/>
    <row r="47" spans="2:25" ht="22.5" customHeight="1" x14ac:dyDescent="0.2"/>
    <row r="48" spans="2:25" ht="22.5" customHeight="1" x14ac:dyDescent="0.2"/>
    <row r="49" ht="22.5" customHeight="1" x14ac:dyDescent="0.2"/>
    <row r="50" ht="22.5" customHeight="1" x14ac:dyDescent="0.2"/>
    <row r="51" ht="22.5" customHeight="1" x14ac:dyDescent="0.2"/>
  </sheetData>
  <mergeCells count="1">
    <mergeCell ref="B5:L5"/>
  </mergeCells>
  <printOptions horizontalCentered="1"/>
  <pageMargins left="0.45" right="0.45" top="0.5" bottom="0.5" header="0.3" footer="0.3"/>
  <pageSetup scale="57" orientation="landscape" r:id="rId1"/>
  <headerFooter>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topLeftCell="M5" zoomScale="70" zoomScaleNormal="100" zoomScaleSheetLayoutView="70" workbookViewId="0">
      <selection activeCell="F41" sqref="F41"/>
    </sheetView>
  </sheetViews>
  <sheetFormatPr defaultColWidth="9.140625" defaultRowHeight="14.25" x14ac:dyDescent="0.2"/>
  <cols>
    <col min="1" max="1" width="2.5703125" style="1" customWidth="1"/>
    <col min="2" max="2" width="15.28515625" style="27" customWidth="1"/>
    <col min="3" max="3" width="14" style="27" customWidth="1"/>
    <col min="4" max="4" width="7" style="39" customWidth="1"/>
    <col min="5" max="5" width="10.7109375" style="39" customWidth="1"/>
    <col min="6" max="6" width="7.85546875" style="39" customWidth="1"/>
    <col min="7" max="7" width="14.5703125" style="27" bestFit="1" customWidth="1"/>
    <col min="8" max="8" width="14" style="27" customWidth="1"/>
    <col min="9" max="9" width="11.85546875" style="1" customWidth="1"/>
    <col min="10" max="10" width="2.42578125" style="1" customWidth="1"/>
    <col min="11" max="11" width="20.85546875" style="27" customWidth="1"/>
    <col min="12" max="12" width="17" style="15" customWidth="1"/>
    <col min="13" max="13" width="17" style="1" customWidth="1"/>
    <col min="14" max="16" width="17" style="27" customWidth="1"/>
    <col min="17" max="18" width="2.5703125" style="1" customWidth="1"/>
    <col min="19" max="20" width="12.140625" style="1" customWidth="1"/>
    <col min="21" max="21" width="10.85546875" style="1" customWidth="1"/>
    <col min="22" max="24" width="41.28515625" style="1" customWidth="1"/>
    <col min="25" max="27" width="12.140625" style="1" customWidth="1"/>
    <col min="28" max="28" width="2.5703125" style="1" customWidth="1"/>
    <col min="29" max="30" width="24.140625" style="1" customWidth="1"/>
    <col min="31" max="31" width="3.5703125" style="1" customWidth="1"/>
    <col min="32" max="16384" width="9.140625" style="1"/>
  </cols>
  <sheetData>
    <row r="3" spans="2:29" ht="20.25" customHeight="1" x14ac:dyDescent="0.2"/>
    <row r="4" spans="2:29" ht="20.25" customHeight="1" x14ac:dyDescent="0.2"/>
    <row r="5" spans="2:29" ht="27.75" customHeight="1" x14ac:dyDescent="0.2">
      <c r="B5" s="93" t="s">
        <v>20</v>
      </c>
      <c r="C5" s="93" t="s">
        <v>21</v>
      </c>
      <c r="D5" s="93" t="s">
        <v>107</v>
      </c>
      <c r="E5" s="93" t="s">
        <v>108</v>
      </c>
      <c r="F5" s="93" t="s">
        <v>24</v>
      </c>
      <c r="G5" s="93" t="s">
        <v>25</v>
      </c>
      <c r="H5" s="93" t="s">
        <v>26</v>
      </c>
      <c r="I5" s="93" t="s">
        <v>109</v>
      </c>
      <c r="J5" s="33"/>
      <c r="K5" s="118" t="s">
        <v>110</v>
      </c>
      <c r="L5" s="118"/>
      <c r="M5" s="118"/>
      <c r="N5" s="118"/>
      <c r="O5" s="118"/>
      <c r="P5" s="118"/>
      <c r="S5" s="118" t="s">
        <v>111</v>
      </c>
      <c r="T5" s="118"/>
      <c r="U5" s="118"/>
      <c r="V5" s="118"/>
      <c r="W5" s="118"/>
      <c r="X5" s="118"/>
      <c r="Y5" s="118"/>
      <c r="Z5" s="118"/>
      <c r="AA5" s="118"/>
      <c r="AB5" s="33"/>
      <c r="AC5" s="33"/>
    </row>
    <row r="6" spans="2:29" ht="8.25" customHeight="1" x14ac:dyDescent="0.2">
      <c r="B6" s="41"/>
      <c r="C6" s="41"/>
      <c r="D6" s="41"/>
      <c r="E6" s="41"/>
      <c r="F6" s="41"/>
      <c r="G6" s="41"/>
      <c r="H6" s="41"/>
      <c r="I6" s="41"/>
      <c r="J6" s="33"/>
      <c r="K6" s="96"/>
      <c r="L6" s="96"/>
      <c r="M6" s="96"/>
      <c r="N6" s="96"/>
      <c r="O6" s="96"/>
      <c r="P6" s="96"/>
      <c r="S6" s="96"/>
      <c r="T6" s="96"/>
      <c r="U6" s="96"/>
      <c r="V6" s="96"/>
      <c r="W6" s="96"/>
      <c r="X6" s="96"/>
      <c r="Y6" s="96"/>
      <c r="Z6" s="96"/>
      <c r="AA6" s="96"/>
      <c r="AB6" s="33"/>
      <c r="AC6" s="33"/>
    </row>
    <row r="7" spans="2:29" ht="27.75" customHeight="1" x14ac:dyDescent="0.2">
      <c r="B7" s="117" t="s">
        <v>112</v>
      </c>
      <c r="C7" s="117"/>
      <c r="D7" s="93">
        <f>SUM(D9:D48)</f>
        <v>123</v>
      </c>
      <c r="E7" s="93">
        <f>SUM(E9:E48)</f>
        <v>18</v>
      </c>
      <c r="F7" s="93">
        <f>SUMPRODUCT($F$9:$F$48,$D$9:$D$48)/$D$7</f>
        <v>772.7479674796748</v>
      </c>
      <c r="G7" s="70">
        <f>SUMPRODUCT($G$9:$G$48,$D$9:$D$48)/$D$7</f>
        <v>1630.9078861788616</v>
      </c>
      <c r="H7" s="70">
        <f>SUMPRODUCT(INPUT!$AO$3:$AO$42,INPUT!$AL$3:$AL$42)/SUM(INPUT!$AL$3:$AL$42)</f>
        <v>1638.2906666666665</v>
      </c>
      <c r="I7" s="71">
        <f>IFERROR((H7-G7)/H7,"")</f>
        <v>4.5063923258662044E-3</v>
      </c>
      <c r="J7" s="33"/>
      <c r="K7" s="96"/>
      <c r="L7" s="96"/>
      <c r="M7" s="96"/>
      <c r="N7" s="96"/>
      <c r="O7" s="96"/>
      <c r="P7" s="96"/>
      <c r="S7" s="96"/>
      <c r="T7" s="96"/>
      <c r="U7" s="96"/>
      <c r="V7" s="96"/>
      <c r="W7" s="96"/>
      <c r="X7" s="96"/>
      <c r="Y7" s="96"/>
      <c r="Z7" s="96"/>
      <c r="AA7" s="96"/>
      <c r="AB7" s="33"/>
      <c r="AC7" s="33"/>
    </row>
    <row r="8" spans="2:29" ht="6.75" customHeight="1" x14ac:dyDescent="0.2">
      <c r="B8" s="95"/>
      <c r="C8" s="95"/>
      <c r="D8" s="95"/>
      <c r="E8" s="95"/>
      <c r="F8" s="95"/>
      <c r="G8" s="95"/>
      <c r="H8" s="95"/>
      <c r="I8" s="95"/>
      <c r="J8" s="95"/>
      <c r="K8" s="95"/>
      <c r="L8" s="95"/>
      <c r="M8" s="95"/>
      <c r="N8" s="95"/>
      <c r="O8" s="95"/>
      <c r="P8" s="95"/>
    </row>
    <row r="9" spans="2:29" ht="18" customHeight="1" x14ac:dyDescent="0.2">
      <c r="B9" s="42" t="str">
        <f>IF(INPUT!AI3="","",INPUT!AI3)</f>
        <v>1x1</v>
      </c>
      <c r="C9" s="42" t="str">
        <f>IF(INPUT!AJ3="","",INPUT!AJ3)</f>
        <v>1101a1</v>
      </c>
      <c r="D9" s="43">
        <f>IF(INPUT!AK3="","",INPUT!AK3)</f>
        <v>26</v>
      </c>
      <c r="E9" s="43">
        <f>IF(INPUT!AL3="","",INPUT!AK3-INPUT!AL3)</f>
        <v>6</v>
      </c>
      <c r="F9" s="43">
        <f>IF(INPUT!AM3="","",INPUT!AM3)</f>
        <v>680</v>
      </c>
      <c r="G9" s="44">
        <f>IF(INPUT!AN3="","",INPUT!AN3)</f>
        <v>1419.19</v>
      </c>
      <c r="H9" s="44">
        <f>IF(INPUT!AO3="","",INPUT!AO3)</f>
        <v>1429.9</v>
      </c>
      <c r="I9" s="98">
        <f>IFERROR((H9-G9)/H9,"")</f>
        <v>7.4900342681306631E-3</v>
      </c>
      <c r="J9" s="95"/>
      <c r="K9" s="95"/>
      <c r="L9" s="95"/>
      <c r="M9" s="95"/>
      <c r="N9" s="95"/>
      <c r="O9" s="95"/>
      <c r="P9" s="95"/>
    </row>
    <row r="10" spans="2:29" ht="18" customHeight="1" x14ac:dyDescent="0.2">
      <c r="B10" s="42" t="str">
        <f>IF(INPUT!AI4="","",INPUT!AI4)</f>
        <v>1x1 C Bldg</v>
      </c>
      <c r="C10" s="42" t="str">
        <f>IF(INPUT!AJ4="","",INPUT!AJ4)</f>
        <v>1101a1c</v>
      </c>
      <c r="D10" s="43">
        <f>IF(INPUT!AK4="","",INPUT!AK4)</f>
        <v>8</v>
      </c>
      <c r="E10" s="43">
        <f>IF(INPUT!AL4="","",INPUT!AK4-INPUT!AL4)</f>
        <v>1</v>
      </c>
      <c r="F10" s="43">
        <f>IF(INPUT!AM4="","",INPUT!AM4)</f>
        <v>680</v>
      </c>
      <c r="G10" s="44">
        <f>IF(INPUT!AN4="","",INPUT!AN4)</f>
        <v>1611.5</v>
      </c>
      <c r="H10" s="44">
        <f>IF(INPUT!AO4="","",INPUT!AO4)</f>
        <v>1602.28</v>
      </c>
      <c r="I10" s="98">
        <f t="shared" ref="I10:I48" si="0">IFERROR((H10-G10)/H10,"")</f>
        <v>-5.7543001223257029E-3</v>
      </c>
      <c r="J10" s="95"/>
      <c r="K10" s="95"/>
      <c r="L10" s="95"/>
      <c r="M10" s="95"/>
      <c r="N10" s="95"/>
      <c r="O10" s="95"/>
      <c r="P10" s="95"/>
    </row>
    <row r="11" spans="2:29" ht="18" customHeight="1" x14ac:dyDescent="0.2">
      <c r="B11" s="42" t="str">
        <f>IF(INPUT!AI5="","",INPUT!AI5)</f>
        <v>1x1 Reno</v>
      </c>
      <c r="C11" s="42" t="str">
        <f>IF(INPUT!AJ5="","",INPUT!AJ5)</f>
        <v>1101a1r</v>
      </c>
      <c r="D11" s="43">
        <f>IF(INPUT!AK5="","",INPUT!AK5)</f>
        <v>2</v>
      </c>
      <c r="E11" s="43">
        <f>IF(INPUT!AL5="","",INPUT!AK5-INPUT!AL5)</f>
        <v>0</v>
      </c>
      <c r="F11" s="43">
        <f>IF(INPUT!AM5="","",INPUT!AM5)</f>
        <v>680</v>
      </c>
      <c r="G11" s="44">
        <f>IF(INPUT!AN5="","",INPUT!AN5)</f>
        <v>1574</v>
      </c>
      <c r="H11" s="44">
        <f>IF(INPUT!AO5="","",INPUT!AO5)</f>
        <v>1586.5</v>
      </c>
      <c r="I11" s="98">
        <f t="shared" si="0"/>
        <v>7.8789788843365901E-3</v>
      </c>
      <c r="J11" s="95"/>
      <c r="K11" s="95"/>
      <c r="L11" s="95"/>
      <c r="M11" s="95"/>
      <c r="N11" s="95"/>
      <c r="O11" s="95"/>
      <c r="P11" s="95"/>
    </row>
    <row r="12" spans="2:29" ht="18" customHeight="1" x14ac:dyDescent="0.2">
      <c r="B12" s="42" t="str">
        <f>IF(INPUT!AI6="","",INPUT!AI6)</f>
        <v>1x1 Upgrade</v>
      </c>
      <c r="C12" s="42" t="str">
        <f>IF(INPUT!AJ6="","",INPUT!AJ6)</f>
        <v>1101a1u</v>
      </c>
      <c r="D12" s="43">
        <f>IF(INPUT!AK6="","",INPUT!AK6)</f>
        <v>25</v>
      </c>
      <c r="E12" s="43">
        <f>IF(INPUT!AL6="","",INPUT!AK6-INPUT!AL6)</f>
        <v>7</v>
      </c>
      <c r="F12" s="43">
        <f>IF(INPUT!AM6="","",INPUT!AM6)</f>
        <v>680</v>
      </c>
      <c r="G12" s="44">
        <f>IF(INPUT!AN6="","",INPUT!AN6)</f>
        <v>1572</v>
      </c>
      <c r="H12" s="44">
        <f>IF(INPUT!AO6="","",INPUT!AO6)</f>
        <v>1561.5</v>
      </c>
      <c r="I12" s="98">
        <f t="shared" si="0"/>
        <v>-6.7243035542747355E-3</v>
      </c>
      <c r="J12" s="95"/>
      <c r="K12" s="95"/>
      <c r="L12" s="95"/>
      <c r="M12" s="95"/>
      <c r="N12" s="95"/>
      <c r="O12" s="95"/>
      <c r="P12" s="95"/>
    </row>
    <row r="13" spans="2:29" ht="18" customHeight="1" x14ac:dyDescent="0.2">
      <c r="B13" s="42" t="str">
        <f>IF(INPUT!AI7="","",INPUT!AI7)</f>
        <v>2x1</v>
      </c>
      <c r="C13" s="42" t="str">
        <f>IF(INPUT!AJ7="","",INPUT!AJ7)</f>
        <v>1101b1</v>
      </c>
      <c r="D13" s="43">
        <f>IF(INPUT!AK7="","",INPUT!AK7)</f>
        <v>16</v>
      </c>
      <c r="E13" s="43">
        <f>IF(INPUT!AL7="","",INPUT!AK7-INPUT!AL7)</f>
        <v>1</v>
      </c>
      <c r="F13" s="43">
        <f>IF(INPUT!AM7="","",INPUT!AM7)</f>
        <v>864</v>
      </c>
      <c r="G13" s="44">
        <f>IF(INPUT!AN7="","",INPUT!AN7)</f>
        <v>1636.5</v>
      </c>
      <c r="H13" s="44">
        <f>IF(INPUT!AO7="","",INPUT!AO7)</f>
        <v>1581.97</v>
      </c>
      <c r="I13" s="98">
        <f t="shared" si="0"/>
        <v>-3.44696802088535E-2</v>
      </c>
      <c r="J13" s="95"/>
      <c r="K13" s="95"/>
      <c r="L13" s="95"/>
      <c r="M13" s="95"/>
      <c r="N13" s="95"/>
      <c r="O13" s="95"/>
      <c r="P13" s="95"/>
    </row>
    <row r="14" spans="2:29" ht="18" customHeight="1" x14ac:dyDescent="0.2">
      <c r="B14" s="42" t="str">
        <f>IF(INPUT!AI8="","",INPUT!AI8)</f>
        <v>2x1 C Bldg</v>
      </c>
      <c r="C14" s="42" t="str">
        <f>IF(INPUT!AJ8="","",INPUT!AJ8)</f>
        <v>1101b1c</v>
      </c>
      <c r="D14" s="43">
        <f>IF(INPUT!AK8="","",INPUT!AK8)</f>
        <v>11</v>
      </c>
      <c r="E14" s="43">
        <f>IF(INPUT!AL8="","",INPUT!AK8-INPUT!AL8)</f>
        <v>0</v>
      </c>
      <c r="F14" s="43">
        <f>IF(INPUT!AM8="","",INPUT!AM8)</f>
        <v>864</v>
      </c>
      <c r="G14" s="44">
        <f>IF(INPUT!AN8="","",INPUT!AN8)</f>
        <v>1812.63</v>
      </c>
      <c r="H14" s="44">
        <f>IF(INPUT!AO8="","",INPUT!AO8)</f>
        <v>1806.09</v>
      </c>
      <c r="I14" s="98">
        <f t="shared" si="0"/>
        <v>-3.6210820058802115E-3</v>
      </c>
      <c r="J14" s="95"/>
      <c r="K14" s="95"/>
      <c r="L14" s="95"/>
      <c r="M14" s="95"/>
      <c r="N14" s="95"/>
      <c r="O14" s="95"/>
      <c r="P14" s="95"/>
    </row>
    <row r="15" spans="2:29" ht="18" customHeight="1" x14ac:dyDescent="0.2">
      <c r="B15" s="42" t="str">
        <f>IF(INPUT!AI9="","",INPUT!AI9)</f>
        <v>2x1 Reno</v>
      </c>
      <c r="C15" s="42" t="str">
        <f>IF(INPUT!AJ9="","",INPUT!AJ9)</f>
        <v>1101b1r</v>
      </c>
      <c r="D15" s="43">
        <f>IF(INPUT!AK9="","",INPUT!AK9)</f>
        <v>5</v>
      </c>
      <c r="E15" s="43">
        <f>IF(INPUT!AL9="","",INPUT!AK9-INPUT!AL9)</f>
        <v>0</v>
      </c>
      <c r="F15" s="43">
        <f>IF(INPUT!AM9="","",INPUT!AM9)</f>
        <v>864</v>
      </c>
      <c r="G15" s="44">
        <f>IF(INPUT!AN9="","",INPUT!AN9)</f>
        <v>1794</v>
      </c>
      <c r="H15" s="44">
        <f>IF(INPUT!AO9="","",INPUT!AO9)</f>
        <v>1804</v>
      </c>
      <c r="I15" s="98">
        <f t="shared" si="0"/>
        <v>5.5432372505543242E-3</v>
      </c>
      <c r="J15" s="95"/>
      <c r="K15" s="95"/>
      <c r="L15" s="95"/>
      <c r="M15" s="95"/>
      <c r="N15" s="95"/>
      <c r="O15" s="95"/>
      <c r="P15" s="95"/>
    </row>
    <row r="16" spans="2:29" ht="18" customHeight="1" x14ac:dyDescent="0.2">
      <c r="B16" s="42" t="str">
        <f>IF(INPUT!AI10="","",INPUT!AI10)</f>
        <v>2x1 Upgrade</v>
      </c>
      <c r="C16" s="42" t="str">
        <f>IF(INPUT!AJ10="","",INPUT!AJ10)</f>
        <v>1101b1u</v>
      </c>
      <c r="D16" s="43">
        <f>IF(INPUT!AK10="","",INPUT!AK10)</f>
        <v>30</v>
      </c>
      <c r="E16" s="43">
        <f>IF(INPUT!AL10="","",INPUT!AK10-INPUT!AL10)</f>
        <v>3</v>
      </c>
      <c r="F16" s="43">
        <f>IF(INPUT!AM10="","",INPUT!AM10)</f>
        <v>864</v>
      </c>
      <c r="G16" s="44">
        <f>IF(INPUT!AN10="","",INPUT!AN10)</f>
        <v>1775.66</v>
      </c>
      <c r="H16" s="44">
        <f>IF(INPUT!AO10="","",INPUT!AO10)</f>
        <v>1789.26</v>
      </c>
      <c r="I16" s="98">
        <f t="shared" si="0"/>
        <v>7.6009076377943447E-3</v>
      </c>
      <c r="J16" s="95"/>
      <c r="K16" s="95"/>
      <c r="L16" s="95"/>
      <c r="M16" s="95"/>
      <c r="N16" s="95"/>
      <c r="O16" s="95"/>
      <c r="P16" s="95"/>
    </row>
    <row r="17" spans="2:16" ht="18" customHeight="1" x14ac:dyDescent="0.2">
      <c r="B17" s="42" t="str">
        <f>IF(INPUT!AI11="","",INPUT!AI11)</f>
        <v/>
      </c>
      <c r="C17" s="42" t="str">
        <f>IF(INPUT!AJ11="","",INPUT!AJ11)</f>
        <v/>
      </c>
      <c r="D17" s="43" t="str">
        <f>IF(INPUT!AK11="","",INPUT!AK11)</f>
        <v/>
      </c>
      <c r="E17" s="43" t="str">
        <f>IF(INPUT!AL11="","",INPUT!AK11-INPUT!AL11)</f>
        <v/>
      </c>
      <c r="F17" s="43" t="str">
        <f>IF(INPUT!AM11="","",INPUT!AM11)</f>
        <v/>
      </c>
      <c r="G17" s="44" t="str">
        <f>IF(INPUT!AN11="","",INPUT!AN11)</f>
        <v/>
      </c>
      <c r="H17" s="44" t="str">
        <f>IF(INPUT!AO11="","",INPUT!AO11)</f>
        <v/>
      </c>
      <c r="I17" s="98" t="str">
        <f t="shared" si="0"/>
        <v/>
      </c>
      <c r="J17" s="95"/>
      <c r="K17" s="95"/>
      <c r="L17" s="95"/>
      <c r="M17" s="95"/>
      <c r="N17" s="95"/>
      <c r="O17" s="95"/>
      <c r="P17" s="95"/>
    </row>
    <row r="18" spans="2:16" ht="18" customHeight="1" x14ac:dyDescent="0.2">
      <c r="B18" s="42" t="str">
        <f>IF(INPUT!AI12="","",INPUT!AI12)</f>
        <v/>
      </c>
      <c r="C18" s="42" t="str">
        <f>IF(INPUT!AJ12="","",INPUT!AJ12)</f>
        <v/>
      </c>
      <c r="D18" s="43" t="str">
        <f>IF(INPUT!AK12="","",INPUT!AK12)</f>
        <v/>
      </c>
      <c r="E18" s="43" t="str">
        <f>IF(INPUT!AL12="","",INPUT!AK12-INPUT!AL12)</f>
        <v/>
      </c>
      <c r="F18" s="43" t="str">
        <f>IF(INPUT!AM12="","",INPUT!AM12)</f>
        <v/>
      </c>
      <c r="G18" s="44" t="str">
        <f>IF(INPUT!AN12="","",INPUT!AN12)</f>
        <v/>
      </c>
      <c r="H18" s="44" t="str">
        <f>IF(INPUT!AO12="","",INPUT!AO12)</f>
        <v/>
      </c>
      <c r="I18" s="98" t="str">
        <f t="shared" si="0"/>
        <v/>
      </c>
      <c r="J18" s="95"/>
      <c r="K18" s="95"/>
      <c r="L18" s="95"/>
      <c r="M18" s="95"/>
      <c r="N18" s="95"/>
      <c r="O18" s="95"/>
      <c r="P18" s="95"/>
    </row>
    <row r="19" spans="2:16" ht="18" customHeight="1" x14ac:dyDescent="0.2">
      <c r="B19" s="42" t="str">
        <f>IF(INPUT!AI13="","",INPUT!AI13)</f>
        <v/>
      </c>
      <c r="C19" s="42" t="str">
        <f>IF(INPUT!AJ13="","",INPUT!AJ13)</f>
        <v/>
      </c>
      <c r="D19" s="43" t="str">
        <f>IF(INPUT!AK13="","",INPUT!AK13)</f>
        <v/>
      </c>
      <c r="E19" s="43" t="str">
        <f>IF(INPUT!AL13="","",INPUT!AK13-INPUT!AL13)</f>
        <v/>
      </c>
      <c r="F19" s="43" t="str">
        <f>IF(INPUT!AM13="","",INPUT!AM13)</f>
        <v/>
      </c>
      <c r="G19" s="44" t="str">
        <f>IF(INPUT!AN13="","",INPUT!AN13)</f>
        <v/>
      </c>
      <c r="H19" s="44" t="str">
        <f>IF(INPUT!AO13="","",INPUT!AO13)</f>
        <v/>
      </c>
      <c r="I19" s="98" t="str">
        <f t="shared" si="0"/>
        <v/>
      </c>
      <c r="J19" s="95"/>
      <c r="K19" s="95"/>
      <c r="L19" s="95"/>
      <c r="M19" s="95"/>
      <c r="N19" s="95"/>
      <c r="O19" s="95"/>
      <c r="P19" s="95"/>
    </row>
    <row r="20" spans="2:16" ht="18" customHeight="1" x14ac:dyDescent="0.2">
      <c r="B20" s="42" t="str">
        <f>IF(INPUT!AI14="","",INPUT!AI14)</f>
        <v/>
      </c>
      <c r="C20" s="42" t="str">
        <f>IF(INPUT!AJ14="","",INPUT!AJ14)</f>
        <v/>
      </c>
      <c r="D20" s="43" t="str">
        <f>IF(INPUT!AK14="","",INPUT!AK14)</f>
        <v/>
      </c>
      <c r="E20" s="43" t="str">
        <f>IF(INPUT!AL14="","",INPUT!AK14-INPUT!AL14)</f>
        <v/>
      </c>
      <c r="F20" s="43" t="str">
        <f>IF(INPUT!AM14="","",INPUT!AM14)</f>
        <v/>
      </c>
      <c r="G20" s="44" t="str">
        <f>IF(INPUT!AN14="","",INPUT!AN14)</f>
        <v/>
      </c>
      <c r="H20" s="44" t="str">
        <f>IF(INPUT!AO14="","",INPUT!AO14)</f>
        <v/>
      </c>
      <c r="I20" s="98" t="str">
        <f t="shared" si="0"/>
        <v/>
      </c>
      <c r="J20" s="95"/>
      <c r="K20" s="95"/>
      <c r="L20" s="95"/>
      <c r="M20" s="95"/>
      <c r="N20" s="95"/>
      <c r="O20" s="95"/>
      <c r="P20" s="95"/>
    </row>
    <row r="21" spans="2:16" ht="18" customHeight="1" x14ac:dyDescent="0.2">
      <c r="B21" s="42" t="str">
        <f>IF(INPUT!AI15="","",INPUT!AI15)</f>
        <v/>
      </c>
      <c r="C21" s="42" t="str">
        <f>IF(INPUT!AJ15="","",INPUT!AJ15)</f>
        <v/>
      </c>
      <c r="D21" s="43" t="str">
        <f>IF(INPUT!AK15="","",INPUT!AK15)</f>
        <v/>
      </c>
      <c r="E21" s="43" t="str">
        <f>IF(INPUT!AL15="","",INPUT!AK15-INPUT!AL15)</f>
        <v/>
      </c>
      <c r="F21" s="43" t="str">
        <f>IF(INPUT!AM15="","",INPUT!AM15)</f>
        <v/>
      </c>
      <c r="G21" s="44" t="str">
        <f>IF(INPUT!AN15="","",INPUT!AN15)</f>
        <v/>
      </c>
      <c r="H21" s="44" t="str">
        <f>IF(INPUT!AO15="","",INPUT!AO15)</f>
        <v/>
      </c>
      <c r="I21" s="98" t="str">
        <f t="shared" si="0"/>
        <v/>
      </c>
      <c r="J21" s="95"/>
      <c r="K21" s="95"/>
      <c r="L21" s="95"/>
      <c r="M21" s="95"/>
      <c r="N21" s="95"/>
      <c r="O21" s="95"/>
      <c r="P21" s="95"/>
    </row>
    <row r="22" spans="2:16" ht="18" customHeight="1" x14ac:dyDescent="0.2">
      <c r="B22" s="42" t="str">
        <f>IF(INPUT!AI16="","",INPUT!AI16)</f>
        <v/>
      </c>
      <c r="C22" s="42" t="str">
        <f>IF(INPUT!AJ16="","",INPUT!AJ16)</f>
        <v/>
      </c>
      <c r="D22" s="43" t="str">
        <f>IF(INPUT!AK16="","",INPUT!AK16)</f>
        <v/>
      </c>
      <c r="E22" s="43" t="str">
        <f>IF(INPUT!AL16="","",INPUT!AK16-INPUT!AL16)</f>
        <v/>
      </c>
      <c r="F22" s="43" t="str">
        <f>IF(INPUT!AM16="","",INPUT!AM16)</f>
        <v/>
      </c>
      <c r="G22" s="44" t="str">
        <f>IF(INPUT!AN16="","",INPUT!AN16)</f>
        <v/>
      </c>
      <c r="H22" s="44" t="str">
        <f>IF(INPUT!AO16="","",INPUT!AO16)</f>
        <v/>
      </c>
      <c r="I22" s="98" t="str">
        <f t="shared" si="0"/>
        <v/>
      </c>
      <c r="J22" s="95"/>
      <c r="K22" s="95"/>
      <c r="L22" s="95"/>
      <c r="M22" s="95"/>
      <c r="N22" s="95"/>
      <c r="O22" s="95"/>
      <c r="P22" s="95"/>
    </row>
    <row r="23" spans="2:16" ht="18" customHeight="1" x14ac:dyDescent="0.2">
      <c r="B23" s="42" t="str">
        <f>IF(INPUT!AI17="","",INPUT!AI17)</f>
        <v/>
      </c>
      <c r="C23" s="42" t="str">
        <f>IF(INPUT!AJ17="","",INPUT!AJ17)</f>
        <v/>
      </c>
      <c r="D23" s="43" t="str">
        <f>IF(INPUT!AK17="","",INPUT!AK17)</f>
        <v/>
      </c>
      <c r="E23" s="43" t="str">
        <f>IF(INPUT!AL17="","",INPUT!AK17-INPUT!AL17)</f>
        <v/>
      </c>
      <c r="F23" s="43" t="str">
        <f>IF(INPUT!AM17="","",INPUT!AM17)</f>
        <v/>
      </c>
      <c r="G23" s="44" t="str">
        <f>IF(INPUT!AN17="","",INPUT!AN17)</f>
        <v/>
      </c>
      <c r="H23" s="44" t="str">
        <f>IF(INPUT!AO17="","",INPUT!AO17)</f>
        <v/>
      </c>
      <c r="I23" s="98" t="str">
        <f t="shared" si="0"/>
        <v/>
      </c>
      <c r="K23" s="1"/>
      <c r="L23" s="1"/>
      <c r="N23" s="1"/>
      <c r="O23" s="1"/>
      <c r="P23" s="1"/>
    </row>
    <row r="24" spans="2:16" ht="18" customHeight="1" x14ac:dyDescent="0.2">
      <c r="B24" s="42" t="str">
        <f>IF(INPUT!AI18="","",INPUT!AI18)</f>
        <v/>
      </c>
      <c r="C24" s="42" t="str">
        <f>IF(INPUT!AJ18="","",INPUT!AJ18)</f>
        <v/>
      </c>
      <c r="D24" s="43" t="str">
        <f>IF(INPUT!AK18="","",INPUT!AK18)</f>
        <v/>
      </c>
      <c r="E24" s="43" t="str">
        <f>IF(INPUT!AL18="","",INPUT!AK18-INPUT!AL18)</f>
        <v/>
      </c>
      <c r="F24" s="43" t="str">
        <f>IF(INPUT!AM18="","",INPUT!AM18)</f>
        <v/>
      </c>
      <c r="G24" s="44" t="str">
        <f>IF(INPUT!AN18="","",INPUT!AN18)</f>
        <v/>
      </c>
      <c r="H24" s="44" t="str">
        <f>IF(INPUT!AO18="","",INPUT!AO18)</f>
        <v/>
      </c>
      <c r="I24" s="98" t="str">
        <f t="shared" si="0"/>
        <v/>
      </c>
      <c r="K24" s="1"/>
      <c r="L24" s="1"/>
      <c r="N24" s="1"/>
      <c r="O24" s="1"/>
      <c r="P24" s="1"/>
    </row>
    <row r="25" spans="2:16" ht="18" customHeight="1" x14ac:dyDescent="0.2">
      <c r="B25" s="42" t="str">
        <f>IF(INPUT!AI19="","",INPUT!AI19)</f>
        <v/>
      </c>
      <c r="C25" s="42" t="str">
        <f>IF(INPUT!AJ19="","",INPUT!AJ19)</f>
        <v/>
      </c>
      <c r="D25" s="43" t="str">
        <f>IF(INPUT!AK19="","",INPUT!AK19)</f>
        <v/>
      </c>
      <c r="E25" s="43" t="str">
        <f>IF(INPUT!AL19="","",INPUT!AK19-INPUT!AL19)</f>
        <v/>
      </c>
      <c r="F25" s="43" t="str">
        <f>IF(INPUT!AM19="","",INPUT!AM19)</f>
        <v/>
      </c>
      <c r="G25" s="44" t="str">
        <f>IF(INPUT!AN19="","",INPUT!AN19)</f>
        <v/>
      </c>
      <c r="H25" s="44" t="str">
        <f>IF(INPUT!AO19="","",INPUT!AO19)</f>
        <v/>
      </c>
      <c r="I25" s="98" t="str">
        <f t="shared" si="0"/>
        <v/>
      </c>
      <c r="K25" s="1"/>
      <c r="L25" s="1"/>
      <c r="N25" s="1"/>
      <c r="O25" s="1"/>
      <c r="P25" s="1"/>
    </row>
    <row r="26" spans="2:16" ht="18" customHeight="1" x14ac:dyDescent="0.2">
      <c r="B26" s="42" t="str">
        <f>IF(INPUT!AI20="","",INPUT!AI20)</f>
        <v/>
      </c>
      <c r="C26" s="42" t="str">
        <f>IF(INPUT!AJ20="","",INPUT!AJ20)</f>
        <v/>
      </c>
      <c r="D26" s="43" t="str">
        <f>IF(INPUT!AK20="","",INPUT!AK20)</f>
        <v/>
      </c>
      <c r="E26" s="43" t="str">
        <f>IF(INPUT!AL20="","",INPUT!AK20-INPUT!AL20)</f>
        <v/>
      </c>
      <c r="F26" s="43" t="str">
        <f>IF(INPUT!AM20="","",INPUT!AM20)</f>
        <v/>
      </c>
      <c r="G26" s="44" t="str">
        <f>IF(INPUT!AN20="","",INPUT!AN20)</f>
        <v/>
      </c>
      <c r="H26" s="44" t="str">
        <f>IF(INPUT!AO20="","",INPUT!AO20)</f>
        <v/>
      </c>
      <c r="I26" s="98" t="str">
        <f t="shared" si="0"/>
        <v/>
      </c>
      <c r="K26" s="1"/>
      <c r="L26" s="1"/>
      <c r="N26" s="1"/>
      <c r="O26" s="1"/>
      <c r="P26" s="1"/>
    </row>
    <row r="27" spans="2:16" ht="18" customHeight="1" x14ac:dyDescent="0.2">
      <c r="B27" s="42" t="str">
        <f>IF(INPUT!AI21="","",INPUT!AI21)</f>
        <v/>
      </c>
      <c r="C27" s="42" t="str">
        <f>IF(INPUT!AJ21="","",INPUT!AJ21)</f>
        <v/>
      </c>
      <c r="D27" s="43" t="str">
        <f>IF(INPUT!AK21="","",INPUT!AK21)</f>
        <v/>
      </c>
      <c r="E27" s="43" t="str">
        <f>IF(INPUT!AL21="","",INPUT!AK21-INPUT!AL21)</f>
        <v/>
      </c>
      <c r="F27" s="43" t="str">
        <f>IF(INPUT!AM21="","",INPUT!AM21)</f>
        <v/>
      </c>
      <c r="G27" s="44" t="str">
        <f>IF(INPUT!AN21="","",INPUT!AN21)</f>
        <v/>
      </c>
      <c r="H27" s="44" t="str">
        <f>IF(INPUT!AO21="","",INPUT!AO21)</f>
        <v/>
      </c>
      <c r="I27" s="98" t="str">
        <f t="shared" si="0"/>
        <v/>
      </c>
      <c r="K27" s="1"/>
      <c r="L27" s="1"/>
      <c r="N27" s="1"/>
      <c r="O27" s="1"/>
      <c r="P27" s="1"/>
    </row>
    <row r="28" spans="2:16" ht="18" customHeight="1" x14ac:dyDescent="0.2">
      <c r="B28" s="42" t="str">
        <f>IF(INPUT!AI22="","",INPUT!AI22)</f>
        <v/>
      </c>
      <c r="C28" s="42" t="str">
        <f>IF(INPUT!AJ22="","",INPUT!AJ22)</f>
        <v/>
      </c>
      <c r="D28" s="43" t="str">
        <f>IF(INPUT!AK22="","",INPUT!AK22)</f>
        <v/>
      </c>
      <c r="E28" s="43" t="str">
        <f>IF(INPUT!AL22="","",INPUT!AK22-INPUT!AL22)</f>
        <v/>
      </c>
      <c r="F28" s="43" t="str">
        <f>IF(INPUT!AM22="","",INPUT!AM22)</f>
        <v/>
      </c>
      <c r="G28" s="44" t="str">
        <f>IF(INPUT!AN22="","",INPUT!AN22)</f>
        <v/>
      </c>
      <c r="H28" s="44" t="str">
        <f>IF(INPUT!AO22="","",INPUT!AO22)</f>
        <v/>
      </c>
      <c r="I28" s="98" t="str">
        <f t="shared" si="0"/>
        <v/>
      </c>
      <c r="K28" s="1"/>
      <c r="L28" s="1"/>
      <c r="N28" s="1"/>
      <c r="O28" s="1"/>
      <c r="P28" s="1"/>
    </row>
    <row r="29" spans="2:16" ht="18" customHeight="1" x14ac:dyDescent="0.2">
      <c r="B29" s="42" t="str">
        <f>IF(INPUT!AI23="","",INPUT!AI23)</f>
        <v/>
      </c>
      <c r="C29" s="42" t="str">
        <f>IF(INPUT!AJ23="","",INPUT!AJ23)</f>
        <v/>
      </c>
      <c r="D29" s="43" t="str">
        <f>IF(INPUT!AK23="","",INPUT!AK23)</f>
        <v/>
      </c>
      <c r="E29" s="43" t="str">
        <f>IF(INPUT!AL24="","",INPUT!AK23-INPUT!AL24)</f>
        <v/>
      </c>
      <c r="F29" s="43" t="str">
        <f>IF(INPUT!AM24="","",INPUT!AM24)</f>
        <v/>
      </c>
      <c r="G29" s="44" t="str">
        <f>IF(INPUT!AN24="","",INPUT!AN24)</f>
        <v/>
      </c>
      <c r="H29" s="44" t="str">
        <f>IF(INPUT!AO24="","",INPUT!AO24)</f>
        <v/>
      </c>
      <c r="I29" s="98" t="str">
        <f t="shared" si="0"/>
        <v/>
      </c>
      <c r="K29" s="1"/>
      <c r="L29" s="1"/>
      <c r="N29" s="1"/>
      <c r="O29" s="1"/>
      <c r="P29" s="1"/>
    </row>
    <row r="30" spans="2:16" ht="18" customHeight="1" x14ac:dyDescent="0.2">
      <c r="B30" s="42" t="str">
        <f>IF(INPUT!AI24="","",INPUT!AI24)</f>
        <v/>
      </c>
      <c r="C30" s="42" t="str">
        <f>IF(INPUT!AJ24="","",INPUT!AJ24)</f>
        <v/>
      </c>
      <c r="D30" s="43" t="str">
        <f>IF(INPUT!AK24="","",INPUT!AK24)</f>
        <v/>
      </c>
      <c r="E30" s="43" t="str">
        <f>IF(INPUT!AL25="","",INPUT!AK24-INPUT!AL25)</f>
        <v/>
      </c>
      <c r="F30" s="43" t="str">
        <f>IF(INPUT!AM25="","",INPUT!AM25)</f>
        <v/>
      </c>
      <c r="G30" s="44" t="str">
        <f>IF(INPUT!AN25="","",INPUT!AN25)</f>
        <v/>
      </c>
      <c r="H30" s="44" t="str">
        <f>IF(INPUT!AO25="","",INPUT!AO25)</f>
        <v/>
      </c>
      <c r="I30" s="98" t="str">
        <f t="shared" si="0"/>
        <v/>
      </c>
      <c r="K30" s="1"/>
      <c r="L30" s="1"/>
      <c r="N30" s="1"/>
      <c r="O30" s="1"/>
      <c r="P30" s="1"/>
    </row>
    <row r="31" spans="2:16" ht="18" customHeight="1" x14ac:dyDescent="0.2">
      <c r="B31" s="42" t="str">
        <f>IF(INPUT!AI25="","",INPUT!AI25)</f>
        <v/>
      </c>
      <c r="C31" s="42" t="str">
        <f>IF(INPUT!AJ25="","",INPUT!AJ25)</f>
        <v/>
      </c>
      <c r="D31" s="43" t="str">
        <f>IF(INPUT!AK25="","",INPUT!AK25)</f>
        <v/>
      </c>
      <c r="E31" s="43" t="str">
        <f>IF(INPUT!AL26="","",INPUT!AK25-INPUT!AL26)</f>
        <v/>
      </c>
      <c r="F31" s="43" t="str">
        <f>IF(INPUT!AM26="","",INPUT!AM26)</f>
        <v/>
      </c>
      <c r="G31" s="44" t="str">
        <f>IF(INPUT!AN26="","",INPUT!AN26)</f>
        <v/>
      </c>
      <c r="H31" s="44" t="str">
        <f>IF(INPUT!AO26="","",INPUT!AO26)</f>
        <v/>
      </c>
      <c r="I31" s="98" t="str">
        <f t="shared" si="0"/>
        <v/>
      </c>
      <c r="K31" s="1"/>
      <c r="L31" s="1"/>
      <c r="N31" s="1"/>
      <c r="O31" s="1"/>
      <c r="P31" s="1"/>
    </row>
    <row r="32" spans="2:16" ht="18" customHeight="1" x14ac:dyDescent="0.2">
      <c r="B32" s="42" t="str">
        <f>IF(INPUT!AI26="","",INPUT!AI26)</f>
        <v/>
      </c>
      <c r="C32" s="42" t="str">
        <f>IF(INPUT!AJ26="","",INPUT!AJ26)</f>
        <v/>
      </c>
      <c r="D32" s="43" t="str">
        <f>IF(INPUT!AK26="","",INPUT!AK26)</f>
        <v/>
      </c>
      <c r="E32" s="43" t="str">
        <f>IF(INPUT!AL27="","",INPUT!AK26-INPUT!AL27)</f>
        <v/>
      </c>
      <c r="F32" s="43" t="str">
        <f>IF(INPUT!AM27="","",INPUT!AM27)</f>
        <v/>
      </c>
      <c r="G32" s="44" t="str">
        <f>IF(INPUT!AN27="","",INPUT!AN27)</f>
        <v/>
      </c>
      <c r="H32" s="44" t="str">
        <f>IF(INPUT!AO27="","",INPUT!AO27)</f>
        <v/>
      </c>
      <c r="I32" s="98" t="str">
        <f t="shared" si="0"/>
        <v/>
      </c>
      <c r="K32" s="1"/>
      <c r="L32" s="1"/>
      <c r="N32" s="1"/>
      <c r="O32" s="1"/>
      <c r="P32" s="1"/>
    </row>
    <row r="33" spans="2:24" ht="18" customHeight="1" x14ac:dyDescent="0.2">
      <c r="B33" s="42" t="str">
        <f>IF(INPUT!AI27="","",INPUT!AI27)</f>
        <v/>
      </c>
      <c r="C33" s="42" t="str">
        <f>IF(INPUT!AJ27="","",INPUT!AJ27)</f>
        <v/>
      </c>
      <c r="D33" s="43" t="str">
        <f>IF(INPUT!AK27="","",INPUT!AK27)</f>
        <v/>
      </c>
      <c r="E33" s="43" t="str">
        <f>IF(INPUT!AL28="","",INPUT!AK27-INPUT!AL28)</f>
        <v/>
      </c>
      <c r="F33" s="43" t="str">
        <f>IF(INPUT!AM28="","",INPUT!AM28)</f>
        <v/>
      </c>
      <c r="G33" s="44" t="str">
        <f>IF(INPUT!AN28="","",INPUT!AN28)</f>
        <v/>
      </c>
      <c r="H33" s="44" t="str">
        <f>IF(INPUT!AO28="","",INPUT!AO28)</f>
        <v/>
      </c>
      <c r="I33" s="98" t="str">
        <f t="shared" si="0"/>
        <v/>
      </c>
      <c r="K33" s="1"/>
      <c r="L33" s="1"/>
      <c r="N33" s="1"/>
      <c r="O33" s="1"/>
      <c r="P33" s="1"/>
    </row>
    <row r="34" spans="2:24" ht="18" customHeight="1" x14ac:dyDescent="0.2">
      <c r="B34" s="42" t="str">
        <f>IF(INPUT!AI28="","",INPUT!AI28)</f>
        <v/>
      </c>
      <c r="C34" s="42" t="str">
        <f>IF(INPUT!AJ28="","",INPUT!AJ28)</f>
        <v/>
      </c>
      <c r="D34" s="43" t="str">
        <f>IF(INPUT!AK28="","",INPUT!AK28)</f>
        <v/>
      </c>
      <c r="E34" s="43" t="str">
        <f>IF(INPUT!AL29="","",INPUT!AK28-INPUT!AL29)</f>
        <v/>
      </c>
      <c r="F34" s="43" t="str">
        <f>IF(INPUT!AM29="","",INPUT!AM29)</f>
        <v/>
      </c>
      <c r="G34" s="44" t="str">
        <f>IF(INPUT!AN29="","",INPUT!AN29)</f>
        <v/>
      </c>
      <c r="H34" s="44" t="str">
        <f>IF(INPUT!AO29="","",INPUT!AO29)</f>
        <v/>
      </c>
      <c r="I34" s="98" t="str">
        <f t="shared" si="0"/>
        <v/>
      </c>
      <c r="K34" s="1"/>
      <c r="L34" s="1"/>
      <c r="N34" s="1"/>
      <c r="O34" s="1"/>
      <c r="P34" s="1"/>
    </row>
    <row r="35" spans="2:24" ht="18" customHeight="1" x14ac:dyDescent="0.2">
      <c r="B35" s="42" t="str">
        <f>IF(INPUT!AI29="","",INPUT!AI29)</f>
        <v/>
      </c>
      <c r="C35" s="42" t="str">
        <f>IF(INPUT!AJ29="","",INPUT!AJ29)</f>
        <v/>
      </c>
      <c r="D35" s="43" t="str">
        <f>IF(INPUT!AK29="","",INPUT!AK29)</f>
        <v/>
      </c>
      <c r="E35" s="43" t="str">
        <f>IF(INPUT!AL30="","",INPUT!AK29-INPUT!AL30)</f>
        <v/>
      </c>
      <c r="F35" s="43" t="str">
        <f>IF(INPUT!AM30="","",INPUT!AM30)</f>
        <v/>
      </c>
      <c r="G35" s="44" t="str">
        <f>IF(INPUT!AN30="","",INPUT!AN30)</f>
        <v/>
      </c>
      <c r="H35" s="44" t="str">
        <f>IF(INPUT!AO30="","",INPUT!AO30)</f>
        <v/>
      </c>
      <c r="I35" s="98" t="str">
        <f t="shared" si="0"/>
        <v/>
      </c>
      <c r="K35" s="1"/>
      <c r="L35" s="1"/>
      <c r="N35" s="1"/>
      <c r="O35" s="1"/>
      <c r="P35" s="1"/>
    </row>
    <row r="36" spans="2:24" ht="18" customHeight="1" x14ac:dyDescent="0.2">
      <c r="B36" s="42" t="str">
        <f>IF(INPUT!AI30="","",INPUT!AI30)</f>
        <v/>
      </c>
      <c r="C36" s="42" t="str">
        <f>IF(INPUT!AJ30="","",INPUT!AJ30)</f>
        <v/>
      </c>
      <c r="D36" s="43" t="str">
        <f>IF(INPUT!AK30="","",INPUT!AK30)</f>
        <v/>
      </c>
      <c r="E36" s="43" t="str">
        <f>IF(INPUT!AL31="","",INPUT!AK30-INPUT!AL31)</f>
        <v/>
      </c>
      <c r="F36" s="43"/>
      <c r="G36" s="44" t="str">
        <f>IF(INPUT!AN31="","",INPUT!AN31)</f>
        <v/>
      </c>
      <c r="H36" s="44" t="str">
        <f>IF(INPUT!AO31="","",INPUT!AO31)</f>
        <v/>
      </c>
      <c r="I36" s="98" t="str">
        <f t="shared" si="0"/>
        <v/>
      </c>
      <c r="K36" s="1"/>
      <c r="L36" s="1"/>
      <c r="N36" s="1"/>
      <c r="O36" s="1"/>
      <c r="P36" s="1"/>
    </row>
    <row r="37" spans="2:24" ht="18" customHeight="1" x14ac:dyDescent="0.2">
      <c r="B37" s="42" t="str">
        <f>IF(INPUT!AI31="","",INPUT!AI31)</f>
        <v/>
      </c>
      <c r="C37" s="42" t="str">
        <f>IF(INPUT!AJ31="","",INPUT!AJ31)</f>
        <v/>
      </c>
      <c r="D37" s="43" t="str">
        <f>IF(INPUT!AK31="","",INPUT!AK31)</f>
        <v/>
      </c>
      <c r="E37" s="43" t="str">
        <f>IF(INPUT!AL32="","",INPUT!AK31-INPUT!AL32)</f>
        <v/>
      </c>
      <c r="F37" s="43" t="str">
        <f>IF(INPUT!AM32="","",INPUT!AM32)</f>
        <v/>
      </c>
      <c r="G37" s="44" t="str">
        <f>IF(INPUT!AN32="","",INPUT!AN32)</f>
        <v/>
      </c>
      <c r="H37" s="44" t="str">
        <f>IF(INPUT!AO32="","",INPUT!AO32)</f>
        <v/>
      </c>
      <c r="I37" s="98" t="str">
        <f t="shared" si="0"/>
        <v/>
      </c>
      <c r="K37" s="1"/>
      <c r="L37" s="1"/>
      <c r="N37" s="1"/>
      <c r="O37" s="1"/>
      <c r="P37" s="1"/>
    </row>
    <row r="38" spans="2:24" ht="18" customHeight="1" x14ac:dyDescent="0.2">
      <c r="B38" s="42" t="str">
        <f>IF(INPUT!AI32="","",INPUT!AI32)</f>
        <v/>
      </c>
      <c r="C38" s="42" t="str">
        <f>IF(INPUT!AJ32="","",INPUT!AJ32)</f>
        <v/>
      </c>
      <c r="D38" s="43" t="str">
        <f>IF(INPUT!AK32="","",INPUT!AK32)</f>
        <v/>
      </c>
      <c r="E38" s="43" t="str">
        <f>IF(INPUT!AL33="","",INPUT!AK32-INPUT!AL33)</f>
        <v/>
      </c>
      <c r="F38" s="43" t="str">
        <f>IF(INPUT!AM33="","",INPUT!AM33)</f>
        <v/>
      </c>
      <c r="G38" s="44" t="str">
        <f>IF(INPUT!AN33="","",INPUT!AN33)</f>
        <v/>
      </c>
      <c r="H38" s="44" t="str">
        <f>IF(INPUT!AO33="","",INPUT!AO33)</f>
        <v/>
      </c>
      <c r="I38" s="98" t="str">
        <f t="shared" si="0"/>
        <v/>
      </c>
      <c r="K38" s="1"/>
      <c r="L38" s="1"/>
      <c r="N38" s="1"/>
      <c r="O38" s="1"/>
      <c r="P38" s="1"/>
    </row>
    <row r="39" spans="2:24" ht="18" customHeight="1" x14ac:dyDescent="0.2">
      <c r="B39" s="42" t="str">
        <f>IF(INPUT!AI33="","",INPUT!AI33)</f>
        <v/>
      </c>
      <c r="C39" s="42" t="str">
        <f>IF(INPUT!AJ33="","",INPUT!AJ33)</f>
        <v/>
      </c>
      <c r="D39" s="43" t="str">
        <f>IF(INPUT!AK33="","",INPUT!AK33)</f>
        <v/>
      </c>
      <c r="E39" s="43" t="str">
        <f>IF(INPUT!AL34="","",INPUT!AK33-INPUT!AL34)</f>
        <v/>
      </c>
      <c r="F39" s="43" t="str">
        <f>IF(INPUT!AM34="","",INPUT!AM34)</f>
        <v/>
      </c>
      <c r="G39" s="44" t="str">
        <f>IF(INPUT!AN34="","",INPUT!AN34)</f>
        <v/>
      </c>
      <c r="H39" s="44" t="str">
        <f>IF(INPUT!AO34="","",INPUT!AO34)</f>
        <v/>
      </c>
      <c r="I39" s="98" t="str">
        <f t="shared" si="0"/>
        <v/>
      </c>
      <c r="K39" s="1"/>
      <c r="L39" s="1"/>
      <c r="N39" s="1"/>
      <c r="O39" s="1"/>
      <c r="P39" s="1"/>
    </row>
    <row r="40" spans="2:24" ht="18" customHeight="1" x14ac:dyDescent="0.2">
      <c r="B40" s="42" t="str">
        <f>IF(INPUT!AI34="","",INPUT!AI34)</f>
        <v/>
      </c>
      <c r="C40" s="42" t="str">
        <f>IF(INPUT!AJ34="","",INPUT!AJ34)</f>
        <v/>
      </c>
      <c r="D40" s="43" t="str">
        <f>IF(INPUT!AK34="","",INPUT!AK34)</f>
        <v/>
      </c>
      <c r="E40" s="43" t="str">
        <f>IF(INPUT!AL35="","",INPUT!AK34-INPUT!AL35)</f>
        <v/>
      </c>
      <c r="F40" s="43" t="str">
        <f>IF(INPUT!AM35="","",INPUT!AM35)</f>
        <v/>
      </c>
      <c r="G40" s="44" t="str">
        <f>IF(INPUT!AN35="","",INPUT!AN35)</f>
        <v/>
      </c>
      <c r="H40" s="44" t="str">
        <f>IF(INPUT!AO35="","",INPUT!AO35)</f>
        <v/>
      </c>
      <c r="I40" s="98" t="str">
        <f t="shared" si="0"/>
        <v/>
      </c>
      <c r="K40" s="1"/>
      <c r="L40" s="1"/>
      <c r="N40" s="1"/>
      <c r="O40" s="1"/>
      <c r="P40" s="1"/>
    </row>
    <row r="41" spans="2:24" ht="18" customHeight="1" x14ac:dyDescent="0.2">
      <c r="B41" s="42" t="str">
        <f>IF(INPUT!AI35="","",INPUT!AI35)</f>
        <v/>
      </c>
      <c r="C41" s="42" t="str">
        <f>IF(INPUT!AJ35="","",INPUT!AJ35)</f>
        <v/>
      </c>
      <c r="D41" s="43" t="str">
        <f>IF(INPUT!AK35="","",INPUT!AK35)</f>
        <v/>
      </c>
      <c r="E41" s="43" t="str">
        <f>IF(INPUT!AL36="","",INPUT!AK35-INPUT!AL36)</f>
        <v/>
      </c>
      <c r="F41" s="43" t="str">
        <f>IF(INPUT!AM36="","",INPUT!AM36)</f>
        <v/>
      </c>
      <c r="G41" s="44" t="str">
        <f>IF(INPUT!AN36="","",INPUT!AN36)</f>
        <v/>
      </c>
      <c r="H41" s="44" t="str">
        <f>IF(INPUT!AO36="","",INPUT!AO36)</f>
        <v/>
      </c>
      <c r="I41" s="98" t="str">
        <f t="shared" si="0"/>
        <v/>
      </c>
      <c r="K41" s="1"/>
      <c r="L41" s="1"/>
      <c r="N41" s="1"/>
      <c r="O41" s="1"/>
      <c r="P41" s="1"/>
      <c r="V41" s="119" t="s">
        <v>12</v>
      </c>
      <c r="W41" s="119" t="s">
        <v>113</v>
      </c>
      <c r="X41" s="119" t="s">
        <v>114</v>
      </c>
    </row>
    <row r="42" spans="2:24" ht="18" customHeight="1" x14ac:dyDescent="0.2">
      <c r="B42" s="42" t="str">
        <f>IF(INPUT!AI36="","",INPUT!AI36)</f>
        <v/>
      </c>
      <c r="C42" s="42" t="str">
        <f>IF(INPUT!AJ36="","",INPUT!AJ36)</f>
        <v/>
      </c>
      <c r="D42" s="43" t="str">
        <f>IF(INPUT!AK36="","",INPUT!AK36)</f>
        <v/>
      </c>
      <c r="E42" s="43" t="str">
        <f>IF(INPUT!AL36="","",INPUT!AK36-INPUT!AL36)</f>
        <v/>
      </c>
      <c r="F42" s="43" t="str">
        <f>IF(INPUT!AM36="","",INPUT!AM36)</f>
        <v/>
      </c>
      <c r="G42" s="44" t="str">
        <f>IF(INPUT!AN36="","",INPUT!AN36)</f>
        <v/>
      </c>
      <c r="H42" s="44" t="str">
        <f>IF(INPUT!AO36="","",INPUT!AO36)</f>
        <v/>
      </c>
      <c r="I42" s="98" t="str">
        <f t="shared" si="0"/>
        <v/>
      </c>
      <c r="K42" s="119"/>
      <c r="L42" s="109" t="s">
        <v>15</v>
      </c>
      <c r="M42" s="109" t="s">
        <v>115</v>
      </c>
      <c r="N42" s="109" t="s">
        <v>116</v>
      </c>
      <c r="O42" s="109" t="s">
        <v>117</v>
      </c>
      <c r="P42" s="109" t="s">
        <v>118</v>
      </c>
      <c r="V42" s="119"/>
      <c r="W42" s="119"/>
      <c r="X42" s="119"/>
    </row>
    <row r="43" spans="2:24" s="5" customFormat="1" ht="18" customHeight="1" x14ac:dyDescent="0.2">
      <c r="B43" s="42" t="str">
        <f>IF(INPUT!AI37="","",INPUT!AI37)</f>
        <v/>
      </c>
      <c r="C43" s="42" t="str">
        <f>IF(INPUT!AJ37="","",INPUT!AJ37)</f>
        <v/>
      </c>
      <c r="D43" s="43" t="str">
        <f>IF(INPUT!AK37="","",INPUT!AK37)</f>
        <v/>
      </c>
      <c r="E43" s="43" t="str">
        <f>IF(INPUT!AL37="","",INPUT!AK37-INPUT!AL37)</f>
        <v/>
      </c>
      <c r="F43" s="43" t="str">
        <f>IF(INPUT!AM37="","",INPUT!AM37)</f>
        <v/>
      </c>
      <c r="G43" s="44" t="str">
        <f>IF(INPUT!AN37="","",INPUT!AN37)</f>
        <v/>
      </c>
      <c r="H43" s="44" t="str">
        <f>IF(INPUT!AO37="","",INPUT!AO37)</f>
        <v/>
      </c>
      <c r="I43" s="98" t="str">
        <f t="shared" si="0"/>
        <v/>
      </c>
      <c r="J43" s="1"/>
      <c r="K43" s="119"/>
      <c r="L43" s="109"/>
      <c r="M43" s="109"/>
      <c r="N43" s="109"/>
      <c r="O43" s="109"/>
      <c r="P43" s="109"/>
      <c r="Q43" s="1"/>
      <c r="R43" s="1"/>
      <c r="S43" s="1"/>
      <c r="V43" s="119"/>
      <c r="W43" s="119"/>
      <c r="X43" s="119"/>
    </row>
    <row r="44" spans="2:24" s="5" customFormat="1" ht="18" customHeight="1" x14ac:dyDescent="0.2">
      <c r="B44" s="42" t="str">
        <f>IF(INPUT!AI38="","",INPUT!AI38)</f>
        <v/>
      </c>
      <c r="C44" s="42" t="str">
        <f>IF(INPUT!AJ38="","",INPUT!AJ38)</f>
        <v/>
      </c>
      <c r="D44" s="43" t="str">
        <f>IF(INPUT!AK38="","",INPUT!AK38)</f>
        <v/>
      </c>
      <c r="E44" s="43" t="str">
        <f>IF(INPUT!AL38="","",INPUT!AK38-INPUT!AL38)</f>
        <v/>
      </c>
      <c r="F44" s="43" t="str">
        <f>IF(INPUT!AM38="","",INPUT!AM38)</f>
        <v/>
      </c>
      <c r="G44" s="44" t="str">
        <f>IF(INPUT!AN38="","",INPUT!AN38)</f>
        <v/>
      </c>
      <c r="H44" s="44" t="str">
        <f>IF(INPUT!AO38="","",INPUT!AO38)</f>
        <v/>
      </c>
      <c r="I44" s="98" t="str">
        <f t="shared" si="0"/>
        <v/>
      </c>
      <c r="J44" s="1"/>
      <c r="K44" s="115" t="s">
        <v>119</v>
      </c>
      <c r="L44" s="116">
        <f>G7</f>
        <v>1630.9078861788616</v>
      </c>
      <c r="M44" s="115">
        <f>($L$44/INPUT!$AQ$14)-1</f>
        <v>-1.2960991951915801E-6</v>
      </c>
      <c r="N44" s="115">
        <f>($L$44/INPUT!$AQ$12)-1</f>
        <v>4.5072254564648695E-3</v>
      </c>
      <c r="O44" s="115">
        <f>($L$44/INPUT!$AQ$9)-1</f>
        <v>4.5072254564648695E-3</v>
      </c>
      <c r="P44" s="115">
        <f>($L$44/INPUT!$AQ$3)-1</f>
        <v>2.0216494647696814E-2</v>
      </c>
      <c r="Q44" s="1"/>
      <c r="R44" s="1"/>
      <c r="S44" s="1"/>
      <c r="V44" s="113">
        <f>INPUT!Z3</f>
        <v>45854</v>
      </c>
      <c r="W44" s="114">
        <f>INPUT!AA3</f>
        <v>440625.75</v>
      </c>
      <c r="X44" s="114">
        <f>INPUT!AB3</f>
        <v>427212.89</v>
      </c>
    </row>
    <row r="45" spans="2:24" s="5" customFormat="1" ht="18" customHeight="1" x14ac:dyDescent="0.2">
      <c r="B45" s="42" t="str">
        <f>IF(INPUT!AI39="","",INPUT!AI39)</f>
        <v/>
      </c>
      <c r="C45" s="42" t="str">
        <f>IF(INPUT!AJ39="","",INPUT!AJ39)</f>
        <v/>
      </c>
      <c r="D45" s="43" t="str">
        <f>IF(INPUT!AK39="","",INPUT!AK39)</f>
        <v/>
      </c>
      <c r="E45" s="43" t="str">
        <f>IF(INPUT!AL39="","",INPUT!AK39-INPUT!AL39)</f>
        <v/>
      </c>
      <c r="F45" s="43" t="str">
        <f>IF(INPUT!AM39="","",INPUT!AM39)</f>
        <v/>
      </c>
      <c r="G45" s="44" t="str">
        <f>IF(INPUT!AN39="","",INPUT!AN39)</f>
        <v/>
      </c>
      <c r="H45" s="44" t="str">
        <f>IF(INPUT!AO39="","",INPUT!AO39)</f>
        <v/>
      </c>
      <c r="I45" s="98" t="str">
        <f t="shared" si="0"/>
        <v/>
      </c>
      <c r="J45" s="1"/>
      <c r="K45" s="115"/>
      <c r="L45" s="116"/>
      <c r="M45" s="115"/>
      <c r="N45" s="115"/>
      <c r="O45" s="115"/>
      <c r="P45" s="115"/>
      <c r="Q45" s="1"/>
      <c r="R45" s="1"/>
      <c r="S45" s="1"/>
      <c r="V45" s="113"/>
      <c r="W45" s="114"/>
      <c r="X45" s="114"/>
    </row>
    <row r="46" spans="2:24" s="5" customFormat="1" ht="18" customHeight="1" x14ac:dyDescent="0.2">
      <c r="B46" s="42" t="str">
        <f>IF(INPUT!AI40="","",INPUT!AI40)</f>
        <v/>
      </c>
      <c r="C46" s="42" t="str">
        <f>IF(INPUT!AJ40="","",INPUT!AJ40)</f>
        <v/>
      </c>
      <c r="D46" s="43" t="str">
        <f>IF(INPUT!AK40="","",INPUT!AK40)</f>
        <v/>
      </c>
      <c r="E46" s="43" t="str">
        <f>IF(INPUT!AL40="","",INPUT!AK40-INPUT!AL40)</f>
        <v/>
      </c>
      <c r="F46" s="43" t="str">
        <f>IF(INPUT!AM40="","",INPUT!AM40)</f>
        <v/>
      </c>
      <c r="G46" s="44" t="str">
        <f>IF(INPUT!AN40="","",INPUT!AN40)</f>
        <v/>
      </c>
      <c r="H46" s="44" t="str">
        <f>IF(INPUT!AO40="","",INPUT!AO40)</f>
        <v/>
      </c>
      <c r="I46" s="98" t="str">
        <f t="shared" si="0"/>
        <v/>
      </c>
      <c r="J46" s="1"/>
      <c r="K46" s="115" t="s">
        <v>120</v>
      </c>
      <c r="L46" s="116">
        <f>H7</f>
        <v>1638.2906666666665</v>
      </c>
      <c r="M46" s="115">
        <f>($L$46/INPUT!$AR$14)-1</f>
        <v>1.5042312872772801E-3</v>
      </c>
      <c r="N46" s="115">
        <f>($L$46/INPUT!$AR$12)-1</f>
        <v>8.1478518609683359E-3</v>
      </c>
      <c r="O46" s="115">
        <f>($L$46/INPUT!$AR$9)-1</f>
        <v>1.2340369436617316E-2</v>
      </c>
      <c r="P46" s="115">
        <f>($L$46/INPUT!$AR$3)-1</f>
        <v>3.2976668621281569E-2</v>
      </c>
      <c r="Q46" s="1"/>
      <c r="R46" s="1"/>
      <c r="S46" s="1"/>
      <c r="V46" s="113"/>
      <c r="W46" s="114"/>
      <c r="X46" s="114"/>
    </row>
    <row r="47" spans="2:24" s="5" customFormat="1" ht="18" customHeight="1" x14ac:dyDescent="0.2">
      <c r="B47" s="42" t="str">
        <f>IF(INPUT!AI41="","",INPUT!AI41)</f>
        <v/>
      </c>
      <c r="C47" s="42" t="str">
        <f>IF(INPUT!AJ41="","",INPUT!AJ41)</f>
        <v/>
      </c>
      <c r="D47" s="43" t="str">
        <f>IF(INPUT!AK41="","",INPUT!AK41)</f>
        <v/>
      </c>
      <c r="E47" s="43" t="str">
        <f>IF(INPUT!AL41="","",INPUT!AK41-INPUT!AL41)</f>
        <v/>
      </c>
      <c r="F47" s="43" t="str">
        <f>IF(INPUT!AM41="","",INPUT!AM41)</f>
        <v/>
      </c>
      <c r="G47" s="44" t="str">
        <f>IF(INPUT!AN41="","",INPUT!AN41)</f>
        <v/>
      </c>
      <c r="H47" s="44" t="str">
        <f>IF(INPUT!AO41="","",INPUT!AO41)</f>
        <v/>
      </c>
      <c r="I47" s="98" t="str">
        <f t="shared" si="0"/>
        <v/>
      </c>
      <c r="J47" s="1"/>
      <c r="K47" s="115"/>
      <c r="L47" s="116"/>
      <c r="M47" s="115"/>
      <c r="N47" s="115"/>
      <c r="O47" s="115"/>
      <c r="P47" s="115"/>
      <c r="Q47" s="1"/>
      <c r="R47" s="1"/>
      <c r="S47" s="1"/>
    </row>
    <row r="48" spans="2:24" s="5" customFormat="1" ht="18" customHeight="1" x14ac:dyDescent="0.2">
      <c r="B48" s="42" t="str">
        <f>IF(INPUT!AI42="","",INPUT!AI42)</f>
        <v/>
      </c>
      <c r="C48" s="42" t="str">
        <f>IF(INPUT!AJ42="","",INPUT!AJ42)</f>
        <v/>
      </c>
      <c r="D48" s="43" t="str">
        <f>IF(INPUT!AK42="","",INPUT!AK42)</f>
        <v/>
      </c>
      <c r="E48" s="43" t="str">
        <f>IF(INPUT!AL42="","",INPUT!AK42-INPUT!AL42)</f>
        <v/>
      </c>
      <c r="F48" s="43" t="str">
        <f>IF(INPUT!AM42="","",INPUT!AM42)</f>
        <v/>
      </c>
      <c r="G48" s="44" t="str">
        <f>IF(INPUT!AN42="","",INPUT!AN42)</f>
        <v/>
      </c>
      <c r="H48" s="44" t="str">
        <f>IF(INPUT!AO42="","",INPUT!AO42)</f>
        <v/>
      </c>
      <c r="I48" s="98" t="str">
        <f t="shared" si="0"/>
        <v/>
      </c>
      <c r="J48" s="1"/>
      <c r="K48" s="1"/>
      <c r="L48" s="1"/>
      <c r="M48" s="1"/>
      <c r="N48" s="1"/>
      <c r="O48" s="1"/>
      <c r="P48" s="1"/>
      <c r="Q48" s="1"/>
      <c r="R48" s="1"/>
      <c r="S48" s="1"/>
    </row>
    <row r="49" spans="2:19" s="5" customFormat="1" ht="18" customHeight="1" x14ac:dyDescent="0.2">
      <c r="B49" s="34"/>
      <c r="C49" s="1"/>
      <c r="D49" s="15"/>
      <c r="E49" s="40"/>
      <c r="F49" s="15"/>
      <c r="G49" s="27"/>
      <c r="H49" s="27"/>
      <c r="I49" s="35"/>
      <c r="J49" s="1"/>
      <c r="K49" s="1"/>
      <c r="L49" s="1"/>
      <c r="M49" s="1"/>
      <c r="N49" s="1"/>
      <c r="O49" s="1"/>
      <c r="P49" s="1"/>
      <c r="Q49" s="1"/>
      <c r="R49" s="1"/>
      <c r="S49" s="1"/>
    </row>
    <row r="50" spans="2:19" s="5" customFormat="1" ht="22.5" customHeight="1" x14ac:dyDescent="0.2">
      <c r="B50" s="34"/>
      <c r="C50" s="1"/>
      <c r="D50" s="15"/>
      <c r="E50" s="40"/>
      <c r="F50" s="15"/>
      <c r="G50" s="27"/>
      <c r="H50" s="27"/>
      <c r="I50" s="35"/>
      <c r="J50" s="1"/>
      <c r="K50" s="1"/>
      <c r="L50" s="1"/>
      <c r="M50" s="1"/>
      <c r="N50" s="1"/>
      <c r="O50" s="1"/>
      <c r="P50" s="1"/>
      <c r="Q50" s="1"/>
      <c r="R50" s="1"/>
      <c r="S50" s="1"/>
    </row>
    <row r="51" spans="2:19" s="5" customFormat="1" ht="22.5" customHeight="1" x14ac:dyDescent="0.2">
      <c r="B51" s="34"/>
      <c r="C51" s="1"/>
      <c r="D51" s="15"/>
      <c r="E51" s="15"/>
      <c r="F51" s="15"/>
      <c r="G51" s="27"/>
      <c r="H51" s="27"/>
      <c r="I51" s="35"/>
      <c r="J51" s="1"/>
      <c r="K51" s="1"/>
      <c r="L51" s="1"/>
      <c r="M51" s="1"/>
      <c r="N51" s="1"/>
      <c r="O51" s="1"/>
      <c r="P51" s="1"/>
      <c r="Q51" s="1"/>
      <c r="R51" s="1"/>
      <c r="S51" s="1"/>
    </row>
    <row r="52" spans="2:19" s="5" customFormat="1" ht="35.25" customHeight="1" x14ac:dyDescent="0.2">
      <c r="B52" s="34"/>
      <c r="C52" s="1"/>
      <c r="D52" s="15"/>
      <c r="E52" s="15"/>
      <c r="F52" s="15"/>
      <c r="G52" s="1"/>
      <c r="H52" s="1"/>
      <c r="I52" s="35"/>
      <c r="J52" s="1"/>
      <c r="Q52" s="1"/>
      <c r="R52" s="1"/>
    </row>
    <row r="53" spans="2:19" s="5" customFormat="1" ht="41.25" customHeight="1" x14ac:dyDescent="0.2">
      <c r="B53" s="34"/>
      <c r="C53" s="1"/>
      <c r="D53" s="15"/>
      <c r="E53" s="15"/>
      <c r="F53" s="15"/>
      <c r="G53" s="1"/>
      <c r="H53" s="1"/>
      <c r="I53" s="35"/>
      <c r="J53" s="1"/>
      <c r="Q53" s="1"/>
      <c r="R53" s="1"/>
    </row>
    <row r="54" spans="2:19" s="5" customFormat="1" ht="41.25" customHeight="1" x14ac:dyDescent="0.2">
      <c r="B54" s="34"/>
      <c r="C54" s="1"/>
      <c r="D54" s="15"/>
      <c r="E54" s="15"/>
      <c r="F54" s="15"/>
      <c r="G54" s="1"/>
      <c r="H54" s="1"/>
      <c r="I54" s="35"/>
      <c r="J54" s="1"/>
      <c r="Q54" s="1"/>
      <c r="R54" s="1"/>
      <c r="S54" s="1"/>
    </row>
    <row r="55" spans="2:19" s="5" customFormat="1" ht="22.5" customHeight="1" x14ac:dyDescent="0.2">
      <c r="B55" s="34"/>
      <c r="C55" s="1"/>
      <c r="D55" s="15"/>
      <c r="E55" s="15"/>
      <c r="F55" s="15"/>
      <c r="G55" s="1"/>
      <c r="H55" s="1"/>
      <c r="I55" s="35"/>
      <c r="J55" s="1"/>
      <c r="K55" s="1"/>
      <c r="L55" s="1"/>
      <c r="M55" s="1"/>
      <c r="N55" s="1"/>
      <c r="O55" s="1"/>
      <c r="P55" s="1"/>
      <c r="Q55" s="1"/>
      <c r="R55" s="1"/>
      <c r="S55" s="1"/>
    </row>
    <row r="56" spans="2:19" s="5" customFormat="1" ht="22.5" customHeight="1" x14ac:dyDescent="0.2">
      <c r="B56" s="34"/>
      <c r="C56" s="1"/>
      <c r="D56" s="15"/>
      <c r="E56" s="15"/>
      <c r="F56" s="15"/>
      <c r="G56" s="1"/>
      <c r="H56" s="1"/>
      <c r="I56" s="1"/>
      <c r="J56" s="1"/>
      <c r="K56" s="1"/>
      <c r="L56" s="1"/>
      <c r="M56" s="1"/>
      <c r="N56" s="1"/>
      <c r="O56" s="1"/>
      <c r="P56" s="1"/>
      <c r="Q56" s="1"/>
      <c r="R56" s="1"/>
      <c r="S56" s="1"/>
    </row>
    <row r="57" spans="2:19" s="5" customFormat="1" ht="22.5" customHeight="1" x14ac:dyDescent="0.2">
      <c r="B57" s="34"/>
      <c r="C57" s="1"/>
      <c r="D57" s="15"/>
      <c r="E57" s="15"/>
      <c r="F57" s="15"/>
      <c r="G57" s="1"/>
      <c r="H57" s="1"/>
      <c r="I57" s="1"/>
      <c r="J57" s="1"/>
      <c r="K57" s="1"/>
      <c r="L57" s="1"/>
      <c r="M57" s="1"/>
      <c r="N57" s="1"/>
      <c r="O57" s="1"/>
      <c r="P57" s="1"/>
      <c r="Q57" s="1"/>
      <c r="R57" s="1"/>
      <c r="S57" s="1"/>
    </row>
    <row r="58" spans="2:19" s="5" customFormat="1" ht="22.5" customHeight="1" x14ac:dyDescent="0.2">
      <c r="B58" s="34"/>
      <c r="C58" s="1"/>
      <c r="D58" s="15"/>
      <c r="E58" s="15"/>
      <c r="F58" s="15"/>
      <c r="G58" s="1"/>
      <c r="H58" s="1"/>
      <c r="I58" s="1"/>
      <c r="J58" s="1"/>
      <c r="K58" s="1"/>
      <c r="L58" s="1"/>
      <c r="M58" s="1"/>
      <c r="N58" s="1"/>
      <c r="O58" s="1"/>
      <c r="P58" s="1"/>
      <c r="Q58" s="1"/>
      <c r="R58" s="1"/>
      <c r="S58" s="1"/>
    </row>
    <row r="59" spans="2:19" s="5" customFormat="1" ht="22.5" customHeight="1" x14ac:dyDescent="0.2">
      <c r="B59" s="34"/>
      <c r="C59" s="1"/>
      <c r="D59" s="15"/>
      <c r="E59" s="15"/>
      <c r="F59" s="15"/>
      <c r="G59" s="1"/>
      <c r="H59" s="1"/>
      <c r="I59" s="1"/>
      <c r="J59" s="1"/>
      <c r="K59" s="1"/>
      <c r="L59" s="1"/>
      <c r="M59" s="1"/>
      <c r="N59" s="1"/>
      <c r="O59" s="1"/>
      <c r="P59" s="1"/>
      <c r="Q59" s="1"/>
      <c r="R59" s="1"/>
      <c r="S59" s="1"/>
    </row>
    <row r="60" spans="2:19" ht="22.5" customHeight="1" x14ac:dyDescent="0.2">
      <c r="B60" s="34"/>
      <c r="C60" s="1"/>
      <c r="D60" s="15"/>
      <c r="E60" s="15"/>
      <c r="F60" s="15"/>
      <c r="G60" s="1"/>
      <c r="H60" s="1"/>
      <c r="K60" s="1"/>
      <c r="L60" s="1"/>
      <c r="N60" s="1"/>
      <c r="O60" s="1"/>
      <c r="P60" s="1"/>
    </row>
    <row r="61" spans="2:19" ht="22.5" customHeight="1" x14ac:dyDescent="0.2">
      <c r="B61" s="1"/>
      <c r="C61" s="1"/>
      <c r="D61" s="15"/>
      <c r="E61" s="15"/>
      <c r="F61" s="15"/>
      <c r="G61" s="1"/>
      <c r="H61" s="1"/>
      <c r="K61" s="1"/>
      <c r="L61" s="1"/>
      <c r="N61" s="1"/>
      <c r="O61" s="1"/>
      <c r="P61" s="1"/>
    </row>
    <row r="62" spans="2:19" ht="22.5" customHeight="1" x14ac:dyDescent="0.2">
      <c r="B62" s="1"/>
      <c r="C62" s="1"/>
      <c r="D62" s="15"/>
      <c r="E62" s="15"/>
      <c r="F62" s="15"/>
      <c r="G62" s="1"/>
      <c r="H62" s="1"/>
      <c r="K62" s="1"/>
      <c r="L62" s="1"/>
      <c r="N62" s="1"/>
      <c r="O62" s="1"/>
      <c r="P62" s="1"/>
    </row>
    <row r="63" spans="2:19" ht="22.5" customHeight="1" x14ac:dyDescent="0.2">
      <c r="B63" s="1"/>
      <c r="C63" s="1"/>
      <c r="D63" s="15"/>
      <c r="E63" s="15"/>
      <c r="F63" s="15"/>
      <c r="G63" s="1"/>
      <c r="H63" s="1"/>
      <c r="K63" s="1"/>
      <c r="L63" s="1"/>
      <c r="N63" s="1"/>
      <c r="O63" s="1"/>
      <c r="P63" s="1"/>
    </row>
    <row r="64" spans="2:19" ht="22.5" customHeight="1" x14ac:dyDescent="0.2"/>
    <row r="65" ht="22.5" customHeight="1" x14ac:dyDescent="0.2"/>
    <row r="66" ht="22.5" customHeight="1" x14ac:dyDescent="0.2"/>
    <row r="67" ht="22.5" customHeight="1" x14ac:dyDescent="0.2"/>
    <row r="68" ht="22.5" customHeight="1" x14ac:dyDescent="0.2"/>
    <row r="69" ht="22.5" customHeight="1" x14ac:dyDescent="0.2"/>
    <row r="70" ht="22.5" customHeight="1" x14ac:dyDescent="0.2"/>
    <row r="71" ht="22.5" customHeight="1" x14ac:dyDescent="0.2"/>
  </sheetData>
  <mergeCells count="27">
    <mergeCell ref="B7:C7"/>
    <mergeCell ref="S5:AA5"/>
    <mergeCell ref="K5:P5"/>
    <mergeCell ref="K42:K43"/>
    <mergeCell ref="L42:L43"/>
    <mergeCell ref="M42:M43"/>
    <mergeCell ref="N42:N43"/>
    <mergeCell ref="O42:O43"/>
    <mergeCell ref="P42:P43"/>
    <mergeCell ref="V41:V43"/>
    <mergeCell ref="W41:W43"/>
    <mergeCell ref="X41:X43"/>
    <mergeCell ref="K44:K45"/>
    <mergeCell ref="K46:K47"/>
    <mergeCell ref="L44:L45"/>
    <mergeCell ref="L46:L47"/>
    <mergeCell ref="M44:M45"/>
    <mergeCell ref="M46:M47"/>
    <mergeCell ref="V44:V46"/>
    <mergeCell ref="W44:W46"/>
    <mergeCell ref="X44:X46"/>
    <mergeCell ref="N44:N45"/>
    <mergeCell ref="N46:N47"/>
    <mergeCell ref="O44:O45"/>
    <mergeCell ref="P44:P45"/>
    <mergeCell ref="O46:O47"/>
    <mergeCell ref="P46:P47"/>
  </mergeCells>
  <printOptions horizontalCentered="1"/>
  <pageMargins left="0.45" right="0.45" top="0.5" bottom="0.5" header="0.3" footer="0.3"/>
  <pageSetup scale="58" fitToWidth="2" orientation="landscape" r:id="rId1"/>
  <headerFooter>
    <oddFooter>&amp;R&amp;G</oddFooter>
  </headerFooter>
  <colBreaks count="1" manualBreakCount="1">
    <brk id="17" max="49"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Luke Mills</cp:lastModifiedBy>
  <cp:revision/>
  <cp:lastPrinted>2025-08-11T16:46:45Z</cp:lastPrinted>
  <dcterms:created xsi:type="dcterms:W3CDTF">2022-01-05T17:54:52Z</dcterms:created>
  <dcterms:modified xsi:type="dcterms:W3CDTF">2025-08-11T16:48:14Z</dcterms:modified>
  <cp:category/>
  <cp:contentStatus/>
</cp:coreProperties>
</file>