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03"/>
  <workbookPr defaultThemeVersion="166925"/>
  <mc:AlternateContent xmlns:mc="http://schemas.openxmlformats.org/markup-compatibility/2006">
    <mc:Choice Requires="x15">
      <x15ac:absPath xmlns:x15ac="http://schemas.microsoft.com/office/spreadsheetml/2010/11/ac" url="C:\Users\Arcan1\AppData\Local\Box\Box Edit\Documents\LT5LOTH4EEyZ588YkCD9+w==\"/>
    </mc:Choice>
  </mc:AlternateContent>
  <xr:revisionPtr revIDLastSave="3" documentId="13_ncr:1_{CF414581-B387-47A7-B459-9E6A9128C5CF}" xr6:coauthVersionLast="47" xr6:coauthVersionMax="47" xr10:uidLastSave="{CA23C614-72D5-46E3-B07B-807565945473}"/>
  <bookViews>
    <workbookView xWindow="-120" yWindow="-120" windowWidth="29040" windowHeight="15720" firstSheet="2" xr2:uid="{F4BD683B-A39F-4C7E-8D98-BACAD20A6AAB}"/>
  </bookViews>
  <sheets>
    <sheet name="INPUT" sheetId="3" r:id="rId1"/>
    <sheet name="Cover" sheetId="1" r:id="rId2"/>
    <sheet name="Occ" sheetId="2" r:id="rId3"/>
    <sheet name="Fin" sheetId="5" r:id="rId4"/>
    <sheet name="Col" sheetId="6" r:id="rId5"/>
    <sheet name="Rent Cash" sheetId="8" r:id="rId6"/>
  </sheets>
  <definedNames>
    <definedName name="DATE">INPUT!$C$2</definedName>
    <definedName name="LOCATION">INPUT!$C$4</definedName>
    <definedName name="_xlnm.Print_Area" localSheetId="4">Col!$A$1:$Z$39</definedName>
    <definedName name="_xlnm.Print_Area" localSheetId="1">Cover!$A$1:$N$34</definedName>
    <definedName name="_xlnm.Print_Area" localSheetId="3">Fin!$A$1:$AD$39</definedName>
    <definedName name="_xlnm.Print_Area" localSheetId="2">Occ!$A$1:$AC$34</definedName>
    <definedName name="_xlnm.Print_Area" localSheetId="5">'Rent Cash'!$A$1:$AA$51</definedName>
    <definedName name="PROPERTY">INPUT!$C$3</definedName>
    <definedName name="UNITS">INPUT!$C$5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2" l="1"/>
  <c r="C10" i="3"/>
  <c r="AF15" i="3"/>
  <c r="AG15" i="3"/>
  <c r="AE14" i="3"/>
  <c r="AF14" i="3" s="1"/>
  <c r="AG14" i="3" s="1"/>
  <c r="AE13" i="3"/>
  <c r="AF13" i="3" s="1"/>
  <c r="AG13" i="3" s="1"/>
  <c r="AE12" i="3"/>
  <c r="AF12" i="3" s="1"/>
  <c r="AG12" i="3" s="1"/>
  <c r="AE11" i="3"/>
  <c r="AF11" i="3" s="1"/>
  <c r="AG11" i="3" s="1"/>
  <c r="AE10" i="3"/>
  <c r="AF10" i="3" s="1"/>
  <c r="AG10" i="3" s="1"/>
  <c r="AG9" i="3"/>
  <c r="AG8" i="3"/>
  <c r="AG7" i="3"/>
  <c r="AG6" i="3"/>
  <c r="AG5" i="3"/>
  <c r="AG4" i="3"/>
  <c r="AG3" i="3"/>
  <c r="C8" i="3"/>
  <c r="P7" i="2"/>
  <c r="Q7" i="2"/>
  <c r="R7" i="2"/>
  <c r="S7" i="2"/>
  <c r="P8" i="2"/>
  <c r="Q8" i="2"/>
  <c r="R8" i="2"/>
  <c r="S8" i="2"/>
  <c r="P9" i="2"/>
  <c r="Q9" i="2"/>
  <c r="R9" i="2"/>
  <c r="S9" i="2"/>
  <c r="P10" i="2"/>
  <c r="Q10" i="2"/>
  <c r="R10" i="2"/>
  <c r="S10" i="2"/>
  <c r="P11" i="2"/>
  <c r="Q11" i="2"/>
  <c r="R11" i="2"/>
  <c r="S11" i="2"/>
  <c r="P12" i="2"/>
  <c r="Q12" i="2"/>
  <c r="R12" i="2"/>
  <c r="S12" i="2"/>
  <c r="P13" i="2"/>
  <c r="Q13" i="2"/>
  <c r="R13" i="2"/>
  <c r="S13" i="2"/>
  <c r="P14" i="2"/>
  <c r="Q14" i="2"/>
  <c r="R14" i="2"/>
  <c r="S14" i="2"/>
  <c r="P15" i="2"/>
  <c r="Q15" i="2"/>
  <c r="R15" i="2"/>
  <c r="S15" i="2"/>
  <c r="P16" i="2"/>
  <c r="Q16" i="2"/>
  <c r="R16" i="2"/>
  <c r="S16" i="2"/>
  <c r="P17" i="2"/>
  <c r="Q17" i="2"/>
  <c r="R17" i="2"/>
  <c r="S17" i="2"/>
  <c r="P18" i="2"/>
  <c r="Q18" i="2"/>
  <c r="R18" i="2"/>
  <c r="S18" i="2"/>
  <c r="S6" i="2"/>
  <c r="R6" i="2"/>
  <c r="Q6" i="2"/>
  <c r="P6" i="2"/>
  <c r="O7" i="2"/>
  <c r="O8" i="2"/>
  <c r="O9" i="2"/>
  <c r="O10" i="2"/>
  <c r="O11" i="2"/>
  <c r="O12" i="2"/>
  <c r="O13" i="2"/>
  <c r="O14" i="2"/>
  <c r="O15" i="2"/>
  <c r="O16" i="2"/>
  <c r="O17" i="2"/>
  <c r="O18" i="2"/>
  <c r="O6" i="2"/>
  <c r="A33" i="3"/>
  <c r="A34" i="3" s="1"/>
  <c r="A35" i="3" s="1"/>
  <c r="A36" i="3" s="1"/>
  <c r="A37" i="3" s="1"/>
  <c r="A38" i="3" s="1"/>
  <c r="A39" i="3" s="1"/>
  <c r="A40" i="3" s="1"/>
  <c r="A41" i="3" s="1"/>
  <c r="A42" i="3" s="1"/>
  <c r="A43" i="3" s="1"/>
  <c r="A44" i="3" s="1"/>
  <c r="A45" i="3" s="1"/>
  <c r="A46" i="3" s="1"/>
  <c r="A47" i="3" s="1"/>
  <c r="A48" i="3" s="1"/>
  <c r="A49" i="3" s="1"/>
  <c r="A50" i="3" s="1"/>
  <c r="AS122" i="3"/>
  <c r="AS123" i="3"/>
  <c r="AS124" i="3"/>
  <c r="AS125" i="3"/>
  <c r="AS126" i="3" s="1"/>
  <c r="AS127" i="3" s="1"/>
  <c r="AS128" i="3" s="1"/>
  <c r="AS129" i="3" s="1"/>
  <c r="AS130" i="3" s="1"/>
  <c r="AS131" i="3" s="1"/>
  <c r="AS132" i="3" s="1"/>
  <c r="AS133" i="3" s="1"/>
  <c r="AS134" i="3" s="1"/>
  <c r="AS135" i="3" s="1"/>
  <c r="AS136" i="3" s="1"/>
  <c r="AS137" i="3" s="1"/>
  <c r="AS138" i="3" s="1"/>
  <c r="AS139" i="3" s="1"/>
  <c r="AS140" i="3" s="1"/>
  <c r="AS141" i="3" s="1"/>
  <c r="AS142" i="3" s="1"/>
  <c r="AS143" i="3" s="1"/>
  <c r="AS144" i="3" s="1"/>
  <c r="AS145" i="3" s="1"/>
  <c r="AS146" i="3" s="1"/>
  <c r="N69" i="3"/>
  <c r="N68" i="3" l="1"/>
  <c r="H5" i="3"/>
  <c r="H20" i="3" s="1"/>
  <c r="I5" i="3"/>
  <c r="J5" i="3"/>
  <c r="J20" i="3" s="1"/>
  <c r="K5" i="3"/>
  <c r="H18" i="3"/>
  <c r="I18" i="3"/>
  <c r="I20" i="3" s="1"/>
  <c r="J18" i="3"/>
  <c r="K18" i="3"/>
  <c r="K20" i="3" s="1"/>
  <c r="N67" i="3"/>
  <c r="M44" i="8"/>
  <c r="N44" i="8"/>
  <c r="O44" i="8"/>
  <c r="N64" i="3"/>
  <c r="N62" i="3"/>
  <c r="A25" i="3"/>
  <c r="A26" i="3" s="1"/>
  <c r="A27" i="3" s="1"/>
  <c r="A28" i="3" s="1"/>
  <c r="N61" i="3"/>
  <c r="N60" i="3" l="1"/>
  <c r="N59" i="3" l="1"/>
  <c r="AS108" i="3"/>
  <c r="AS109" i="3" s="1"/>
  <c r="AS112" i="3"/>
  <c r="AS113" i="3" s="1"/>
  <c r="AS114" i="3" s="1"/>
  <c r="AS115" i="3" s="1"/>
  <c r="AS116" i="3" s="1"/>
  <c r="AS117" i="3" s="1"/>
  <c r="AS118" i="3" s="1"/>
  <c r="AS119" i="3" s="1"/>
  <c r="AS120" i="3" s="1"/>
  <c r="AS121" i="3" s="1"/>
  <c r="N55" i="3"/>
  <c r="A29" i="3"/>
  <c r="AO15" i="3" l="1"/>
  <c r="N51" i="3"/>
  <c r="N49" i="3"/>
  <c r="N47" i="3"/>
  <c r="N46" i="3"/>
  <c r="N43" i="3"/>
  <c r="N42" i="3"/>
  <c r="C33" i="6" l="1"/>
  <c r="P33" i="6"/>
  <c r="O33" i="6"/>
  <c r="B33" i="6"/>
  <c r="N40" i="3"/>
  <c r="F33" i="6" l="1"/>
  <c r="W33" i="6"/>
  <c r="S33" i="6"/>
  <c r="J33" i="6"/>
  <c r="T33" i="6"/>
  <c r="X33" i="6"/>
  <c r="K33" i="6"/>
  <c r="G33" i="6"/>
  <c r="N27" i="3"/>
  <c r="Q19" i="3"/>
  <c r="N25" i="3"/>
  <c r="I26" i="2" l="1"/>
  <c r="J26" i="2"/>
  <c r="N24" i="3"/>
  <c r="Q18" i="3" l="1"/>
  <c r="Q17" i="3"/>
  <c r="Q16" i="3" l="1"/>
  <c r="Q15" i="3"/>
  <c r="AG25" i="3"/>
  <c r="AG24" i="3"/>
  <c r="AG23" i="3"/>
  <c r="AG22" i="3"/>
  <c r="AG21" i="3"/>
  <c r="AG20" i="3"/>
  <c r="AG19" i="3"/>
  <c r="AG18" i="3"/>
  <c r="AG17" i="3"/>
  <c r="AG16" i="3"/>
  <c r="Q14" i="3" l="1"/>
  <c r="N16" i="3"/>
  <c r="C6" i="3" l="1"/>
  <c r="Q10" i="3" l="1"/>
  <c r="Q9" i="3"/>
  <c r="Q8" i="3"/>
  <c r="Q7" i="3"/>
  <c r="Q6" i="3"/>
  <c r="Q5" i="3"/>
  <c r="Q4" i="3"/>
  <c r="Q3" i="3"/>
  <c r="Q2" i="3"/>
  <c r="Q13" i="3"/>
  <c r="Q12" i="3"/>
  <c r="Q11" i="3"/>
  <c r="C28" i="2" l="1"/>
  <c r="C31" i="2"/>
  <c r="AS57" i="3" l="1"/>
  <c r="F32" i="2" l="1"/>
  <c r="AS58" i="3"/>
  <c r="AS59" i="3" s="1"/>
  <c r="AS60" i="3" s="1"/>
  <c r="AS61" i="3" s="1"/>
  <c r="AS62" i="3" s="1"/>
  <c r="AS63" i="3" s="1"/>
  <c r="AS64" i="3" s="1"/>
  <c r="AS65" i="3" s="1"/>
  <c r="AS66" i="3" s="1"/>
  <c r="AS67" i="3" s="1"/>
  <c r="AS68" i="3" s="1"/>
  <c r="AS69" i="3" s="1"/>
  <c r="AS70" i="3" s="1"/>
  <c r="AS71" i="3" s="1"/>
  <c r="AS72" i="3" s="1"/>
  <c r="AS73" i="3" s="1"/>
  <c r="AS74" i="3" s="1"/>
  <c r="AS75" i="3" s="1"/>
  <c r="AS76" i="3" s="1"/>
  <c r="AS77" i="3" s="1"/>
  <c r="AS78" i="3" s="1"/>
  <c r="AS79" i="3" s="1"/>
  <c r="AS80" i="3" s="1"/>
  <c r="AS81" i="3" s="1"/>
  <c r="AS82" i="3" s="1"/>
  <c r="AS83" i="3" s="1"/>
  <c r="AS84" i="3" s="1"/>
  <c r="AS85" i="3" s="1"/>
  <c r="AS86" i="3" s="1"/>
  <c r="AS87" i="3" s="1"/>
  <c r="AS88" i="3" s="1"/>
  <c r="AS89" i="3" s="1"/>
  <c r="AS90" i="3" s="1"/>
  <c r="AS91" i="3" s="1"/>
  <c r="AS92" i="3" s="1"/>
  <c r="AS93" i="3" s="1"/>
  <c r="AS94" i="3" s="1"/>
  <c r="AS95" i="3" s="1"/>
  <c r="AS96" i="3" s="1"/>
  <c r="AS97" i="3" s="1"/>
  <c r="AS98" i="3" s="1"/>
  <c r="AS99" i="3" s="1"/>
  <c r="AS100" i="3" s="1"/>
  <c r="AS101" i="3" s="1"/>
  <c r="AS102" i="3" s="1"/>
  <c r="AS103" i="3" s="1"/>
  <c r="AS104" i="3" s="1"/>
  <c r="AS105" i="3" s="1"/>
  <c r="F30" i="2"/>
  <c r="F29" i="2"/>
  <c r="F33" i="2" l="1"/>
  <c r="B34" i="1"/>
  <c r="H33" i="2"/>
  <c r="K5" i="5"/>
  <c r="G5" i="5"/>
  <c r="C5" i="5"/>
  <c r="K14" i="5"/>
  <c r="L14" i="5"/>
  <c r="K15" i="5"/>
  <c r="L15" i="5"/>
  <c r="K16" i="5"/>
  <c r="L16" i="5"/>
  <c r="K17" i="5"/>
  <c r="L17" i="5"/>
  <c r="K18" i="5"/>
  <c r="L18" i="5"/>
  <c r="K19" i="5"/>
  <c r="L19" i="5"/>
  <c r="K20" i="5"/>
  <c r="L20" i="5"/>
  <c r="K21" i="5"/>
  <c r="L21" i="5"/>
  <c r="K22" i="5"/>
  <c r="L22" i="5"/>
  <c r="L13" i="5"/>
  <c r="K13" i="5"/>
  <c r="K9" i="5"/>
  <c r="L9" i="5"/>
  <c r="L8" i="5"/>
  <c r="K8" i="5"/>
  <c r="G14" i="5"/>
  <c r="H14" i="5"/>
  <c r="G15" i="5"/>
  <c r="H15" i="5"/>
  <c r="G16" i="5"/>
  <c r="H16" i="5"/>
  <c r="G17" i="5"/>
  <c r="H17" i="5"/>
  <c r="G18" i="5"/>
  <c r="H18" i="5"/>
  <c r="G19" i="5"/>
  <c r="H19" i="5"/>
  <c r="G20" i="5"/>
  <c r="H20" i="5"/>
  <c r="G21" i="5"/>
  <c r="H21" i="5"/>
  <c r="G22" i="5"/>
  <c r="H22" i="5"/>
  <c r="H13" i="5"/>
  <c r="G13" i="5"/>
  <c r="G9" i="5"/>
  <c r="H9" i="5"/>
  <c r="H8" i="5"/>
  <c r="G8" i="5"/>
  <c r="C14" i="5"/>
  <c r="D14" i="5"/>
  <c r="C15" i="5"/>
  <c r="D15" i="5"/>
  <c r="C16" i="5"/>
  <c r="D16" i="5"/>
  <c r="C17" i="5"/>
  <c r="D17" i="5"/>
  <c r="C18" i="5"/>
  <c r="D18" i="5"/>
  <c r="C19" i="5"/>
  <c r="D19" i="5"/>
  <c r="C20" i="5"/>
  <c r="D20" i="5"/>
  <c r="C21" i="5"/>
  <c r="D21" i="5"/>
  <c r="C22" i="5"/>
  <c r="D22" i="5"/>
  <c r="D13" i="5"/>
  <c r="C13" i="5"/>
  <c r="C9" i="5"/>
  <c r="D9" i="5"/>
  <c r="D8" i="5"/>
  <c r="C8" i="5"/>
  <c r="G5" i="3"/>
  <c r="G18" i="3"/>
  <c r="F18" i="3"/>
  <c r="F5" i="3"/>
  <c r="I27" i="2"/>
  <c r="J27" i="2"/>
  <c r="I28" i="2"/>
  <c r="J28" i="2"/>
  <c r="I29" i="2"/>
  <c r="J29" i="2"/>
  <c r="I30" i="2"/>
  <c r="J30" i="2"/>
  <c r="I31" i="2"/>
  <c r="J31" i="2"/>
  <c r="H27" i="2"/>
  <c r="H28" i="2"/>
  <c r="H29" i="2"/>
  <c r="H30" i="2"/>
  <c r="H31" i="2"/>
  <c r="H26" i="2"/>
  <c r="F27" i="2"/>
  <c r="F28" i="2"/>
  <c r="F26" i="2"/>
  <c r="C27" i="2"/>
  <c r="C29" i="2"/>
  <c r="C32" i="2"/>
  <c r="C26" i="2"/>
  <c r="C25" i="2" s="1"/>
  <c r="D48"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9"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B10" i="8"/>
  <c r="C10" i="8"/>
  <c r="E10" i="8"/>
  <c r="F10" i="8"/>
  <c r="B11" i="8"/>
  <c r="C11" i="8"/>
  <c r="E11" i="8"/>
  <c r="F11" i="8"/>
  <c r="B12" i="8"/>
  <c r="C12" i="8"/>
  <c r="E12" i="8"/>
  <c r="F12" i="8"/>
  <c r="B13" i="8"/>
  <c r="C13" i="8"/>
  <c r="E13" i="8"/>
  <c r="F13" i="8"/>
  <c r="B14" i="8"/>
  <c r="C14" i="8"/>
  <c r="E14" i="8"/>
  <c r="F14" i="8"/>
  <c r="B15" i="8"/>
  <c r="C15" i="8"/>
  <c r="E15" i="8"/>
  <c r="F15" i="8"/>
  <c r="B16" i="8"/>
  <c r="C16" i="8"/>
  <c r="E16" i="8"/>
  <c r="F16" i="8"/>
  <c r="B17" i="8"/>
  <c r="C17" i="8"/>
  <c r="E17" i="8"/>
  <c r="F17" i="8"/>
  <c r="B18" i="8"/>
  <c r="C18" i="8"/>
  <c r="E18" i="8"/>
  <c r="F18" i="8"/>
  <c r="B19" i="8"/>
  <c r="C19" i="8"/>
  <c r="E19" i="8"/>
  <c r="F19" i="8"/>
  <c r="B20" i="8"/>
  <c r="C20" i="8"/>
  <c r="E20" i="8"/>
  <c r="F20" i="8"/>
  <c r="B21" i="8"/>
  <c r="C21" i="8"/>
  <c r="E21" i="8"/>
  <c r="F21" i="8"/>
  <c r="B22" i="8"/>
  <c r="C22" i="8"/>
  <c r="E22" i="8"/>
  <c r="F22" i="8"/>
  <c r="B23" i="8"/>
  <c r="C23" i="8"/>
  <c r="E23" i="8"/>
  <c r="F23" i="8"/>
  <c r="B24" i="8"/>
  <c r="C24" i="8"/>
  <c r="E24" i="8"/>
  <c r="F24" i="8"/>
  <c r="B25" i="8"/>
  <c r="C25" i="8"/>
  <c r="E25" i="8"/>
  <c r="F25" i="8"/>
  <c r="B26" i="8"/>
  <c r="C26" i="8"/>
  <c r="E26" i="8"/>
  <c r="F26" i="8"/>
  <c r="B27" i="8"/>
  <c r="C27" i="8"/>
  <c r="E27" i="8"/>
  <c r="F27" i="8"/>
  <c r="B28" i="8"/>
  <c r="C28" i="8"/>
  <c r="E28" i="8"/>
  <c r="F28" i="8"/>
  <c r="B29" i="8"/>
  <c r="C29" i="8"/>
  <c r="E29" i="8"/>
  <c r="F29" i="8"/>
  <c r="B30" i="8"/>
  <c r="C30" i="8"/>
  <c r="E30" i="8"/>
  <c r="F30" i="8"/>
  <c r="B31" i="8"/>
  <c r="C31" i="8"/>
  <c r="E31" i="8"/>
  <c r="F31" i="8"/>
  <c r="B32" i="8"/>
  <c r="C32" i="8"/>
  <c r="E32" i="8"/>
  <c r="F32" i="8"/>
  <c r="B33" i="8"/>
  <c r="C33" i="8"/>
  <c r="E33" i="8"/>
  <c r="F33" i="8"/>
  <c r="B34" i="8"/>
  <c r="C34" i="8"/>
  <c r="E34" i="8"/>
  <c r="F34" i="8"/>
  <c r="B35" i="8"/>
  <c r="C35" i="8"/>
  <c r="E35" i="8"/>
  <c r="F35" i="8"/>
  <c r="B36" i="8"/>
  <c r="C36" i="8"/>
  <c r="E36" i="8"/>
  <c r="F36" i="8"/>
  <c r="B37" i="8"/>
  <c r="C37" i="8"/>
  <c r="E37" i="8"/>
  <c r="F37" i="8"/>
  <c r="B38" i="8"/>
  <c r="C38" i="8"/>
  <c r="E38" i="8"/>
  <c r="F38" i="8"/>
  <c r="B39" i="8"/>
  <c r="C39" i="8"/>
  <c r="E39" i="8"/>
  <c r="F39" i="8"/>
  <c r="B40" i="8"/>
  <c r="C40" i="8"/>
  <c r="E40" i="8"/>
  <c r="F40" i="8"/>
  <c r="B41" i="8"/>
  <c r="C41" i="8"/>
  <c r="E41" i="8"/>
  <c r="F41" i="8"/>
  <c r="B42" i="8"/>
  <c r="C42" i="8"/>
  <c r="E42" i="8"/>
  <c r="F42" i="8"/>
  <c r="B43" i="8"/>
  <c r="C43" i="8"/>
  <c r="E43" i="8"/>
  <c r="F43" i="8"/>
  <c r="B44" i="8"/>
  <c r="C44" i="8"/>
  <c r="E44" i="8"/>
  <c r="F44" i="8"/>
  <c r="B45" i="8"/>
  <c r="C45" i="8"/>
  <c r="E45" i="8"/>
  <c r="F45" i="8"/>
  <c r="B46" i="8"/>
  <c r="C46" i="8"/>
  <c r="E46" i="8"/>
  <c r="F46" i="8"/>
  <c r="B47" i="8"/>
  <c r="C47" i="8"/>
  <c r="E47" i="8"/>
  <c r="F47" i="8"/>
  <c r="B48" i="8"/>
  <c r="C48" i="8"/>
  <c r="E48" i="8"/>
  <c r="F48" i="8"/>
  <c r="C9" i="8"/>
  <c r="E9" i="8"/>
  <c r="F9" i="8"/>
  <c r="B9" i="8"/>
  <c r="V44" i="8"/>
  <c r="W44" i="8"/>
  <c r="U44" i="8"/>
  <c r="A51" i="3" l="1"/>
  <c r="A52" i="3" s="1"/>
  <c r="A53" i="3" s="1"/>
  <c r="A54" i="3" s="1"/>
  <c r="A55" i="3" s="1"/>
  <c r="I18" i="5"/>
  <c r="M18" i="5"/>
  <c r="E19" i="5"/>
  <c r="E16" i="5"/>
  <c r="E20" i="5"/>
  <c r="E21" i="5"/>
  <c r="E18" i="5"/>
  <c r="E17" i="5"/>
  <c r="E15" i="5"/>
  <c r="E14" i="5"/>
  <c r="I19" i="5"/>
  <c r="M16" i="5"/>
  <c r="M21" i="5"/>
  <c r="I15" i="5"/>
  <c r="I22" i="5"/>
  <c r="F20" i="3"/>
  <c r="E9" i="5"/>
  <c r="M20" i="5"/>
  <c r="M14" i="5"/>
  <c r="I14" i="5"/>
  <c r="I20" i="5"/>
  <c r="M19" i="5"/>
  <c r="M17" i="5"/>
  <c r="M15" i="5"/>
  <c r="I21" i="5"/>
  <c r="I17" i="5"/>
  <c r="I16" i="5"/>
  <c r="G20" i="3"/>
  <c r="E8" i="5"/>
  <c r="D10" i="5"/>
  <c r="E22" i="5"/>
  <c r="C10" i="5"/>
  <c r="D23" i="5"/>
  <c r="E13" i="5"/>
  <c r="C23" i="5"/>
  <c r="D7" i="8"/>
  <c r="G7" i="8" s="1"/>
  <c r="K26" i="2"/>
  <c r="L26" i="2" s="1"/>
  <c r="H44" i="8"/>
  <c r="H36" i="8"/>
  <c r="H28" i="8"/>
  <c r="H20" i="8"/>
  <c r="H12" i="8"/>
  <c r="H41" i="8"/>
  <c r="H33" i="8"/>
  <c r="H25" i="8"/>
  <c r="H17" i="8"/>
  <c r="H9" i="8"/>
  <c r="C7" i="8"/>
  <c r="F7" i="8" s="1"/>
  <c r="H48" i="8"/>
  <c r="H40" i="8"/>
  <c r="H32" i="8"/>
  <c r="H24" i="8"/>
  <c r="H16" i="8"/>
  <c r="H47" i="8"/>
  <c r="H39" i="8"/>
  <c r="H31" i="8"/>
  <c r="H23" i="8"/>
  <c r="H15" i="8"/>
  <c r="H46" i="8"/>
  <c r="H38" i="8"/>
  <c r="H30" i="8"/>
  <c r="H22" i="8"/>
  <c r="H14" i="8"/>
  <c r="H45" i="8"/>
  <c r="H37" i="8"/>
  <c r="H29" i="8"/>
  <c r="H21" i="8"/>
  <c r="H13" i="8"/>
  <c r="H43" i="8"/>
  <c r="H35" i="8"/>
  <c r="H27" i="8"/>
  <c r="H19" i="8"/>
  <c r="H11" i="8"/>
  <c r="H42" i="8"/>
  <c r="H34" i="8"/>
  <c r="H26" i="8"/>
  <c r="H18" i="8"/>
  <c r="H10" i="8"/>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L23" i="5"/>
  <c r="K23" i="5"/>
  <c r="L10" i="5"/>
  <c r="K10" i="5"/>
  <c r="M22" i="5"/>
  <c r="M13" i="5"/>
  <c r="M9" i="5"/>
  <c r="M8" i="5"/>
  <c r="I13" i="5"/>
  <c r="I9" i="5"/>
  <c r="I8" i="5"/>
  <c r="H23" i="5"/>
  <c r="H10" i="5"/>
  <c r="G10" i="5"/>
  <c r="G23" i="5"/>
  <c r="T7" i="2"/>
  <c r="T8" i="2"/>
  <c r="T9" i="2"/>
  <c r="T10" i="2"/>
  <c r="T11" i="2"/>
  <c r="T12" i="2"/>
  <c r="T13" i="2"/>
  <c r="T14" i="2"/>
  <c r="T15" i="2"/>
  <c r="T16" i="2"/>
  <c r="T17" i="2"/>
  <c r="T18" i="2"/>
  <c r="T6" i="2"/>
  <c r="S19" i="2"/>
  <c r="R19" i="2"/>
  <c r="Q19" i="2"/>
  <c r="P19" i="2"/>
  <c r="B27" i="1"/>
  <c r="B28" i="1"/>
  <c r="B33" i="1"/>
  <c r="D26" i="5" l="1"/>
  <c r="E10" i="5"/>
  <c r="C26" i="5"/>
  <c r="I10" i="5"/>
  <c r="E23" i="5"/>
  <c r="E7" i="8"/>
  <c r="I23" i="5"/>
  <c r="H26" i="5"/>
  <c r="G26" i="5"/>
  <c r="K26" i="5"/>
  <c r="M10" i="5"/>
  <c r="T19" i="2"/>
  <c r="K27" i="2"/>
  <c r="K28" i="2" s="1"/>
  <c r="K29" i="2" s="1"/>
  <c r="K30" i="2" s="1"/>
  <c r="K31" i="2" s="1"/>
  <c r="K44" i="8"/>
  <c r="Q33" i="6"/>
  <c r="U33" i="6"/>
  <c r="Y33" i="6"/>
  <c r="L33" i="6"/>
  <c r="H33" i="6"/>
  <c r="D33" i="6"/>
  <c r="L26" i="5"/>
  <c r="M23" i="5"/>
  <c r="E26" i="5" l="1"/>
  <c r="H7" i="8"/>
  <c r="K46" i="8"/>
  <c r="I26" i="5"/>
  <c r="M26" i="5"/>
  <c r="L27" i="2"/>
  <c r="L44" i="8"/>
  <c r="L28" i="2"/>
  <c r="L46" i="8" l="1"/>
  <c r="M46" i="8"/>
  <c r="N46" i="8"/>
  <c r="O46" i="8"/>
  <c r="L29" i="2"/>
  <c r="L31" i="2" l="1"/>
  <c r="L30" i="2"/>
  <c r="C30" i="2"/>
  <c r="C33" i="2" s="1"/>
</calcChain>
</file>

<file path=xl/sharedStrings.xml><?xml version="1.0" encoding="utf-8"?>
<sst xmlns="http://schemas.openxmlformats.org/spreadsheetml/2006/main" count="226" uniqueCount="120">
  <si>
    <t>INPUT PAGE</t>
  </si>
  <si>
    <t>FINANCIAL</t>
  </si>
  <si>
    <t>JUNE</t>
  </si>
  <si>
    <t>MAY</t>
  </si>
  <si>
    <t>APRIL</t>
  </si>
  <si>
    <t>HISTORICAL OCCUPANCY</t>
  </si>
  <si>
    <t>HISTORICAL TURNOVER</t>
  </si>
  <si>
    <t>INCOME</t>
  </si>
  <si>
    <t>EXPENSE</t>
  </si>
  <si>
    <t>CASH BALANCE</t>
  </si>
  <si>
    <t>COLLECTIONS</t>
  </si>
  <si>
    <t>MARKET AND IN PLACE</t>
  </si>
  <si>
    <t>FOR ARCAN USE ONLY</t>
  </si>
  <si>
    <t>DATE</t>
  </si>
  <si>
    <t>ACTUAL</t>
  </si>
  <si>
    <t>BUDGET</t>
  </si>
  <si>
    <t>CURRENT</t>
  </si>
  <si>
    <t>Date</t>
  </si>
  <si>
    <t>CHARGES</t>
  </si>
  <si>
    <t>COLLECTED</t>
  </si>
  <si>
    <t>% collected</t>
  </si>
  <si>
    <t>UNIT</t>
  </si>
  <si>
    <t># Units</t>
  </si>
  <si>
    <t xml:space="preserve"># Occ </t>
  </si>
  <si>
    <t>SF</t>
  </si>
  <si>
    <t>MARKET</t>
  </si>
  <si>
    <t>IN-PLACE</t>
  </si>
  <si>
    <t>Work Orders</t>
  </si>
  <si>
    <t>Make Readies</t>
  </si>
  <si>
    <t>PROPERTY</t>
  </si>
  <si>
    <t>COLONY WOODS</t>
  </si>
  <si>
    <t>NET RENTAL INCOME</t>
  </si>
  <si>
    <t>1x1</t>
  </si>
  <si>
    <t>LOCATION</t>
  </si>
  <si>
    <t>BIRMINGHAM, AL</t>
  </si>
  <si>
    <t>OTHER INCOME</t>
  </si>
  <si>
    <t xml:space="preserve">ACTUAL </t>
  </si>
  <si>
    <t>ADJUSTED</t>
  </si>
  <si>
    <t>1x1 P. Reno</t>
  </si>
  <si>
    <t>UNITS</t>
  </si>
  <si>
    <t>TOTAL INCOME</t>
  </si>
  <si>
    <t>1x1 Reno</t>
  </si>
  <si>
    <t>WEEK END</t>
  </si>
  <si>
    <t>1x1 Upgrade</t>
  </si>
  <si>
    <t>EXPENSES</t>
  </si>
  <si>
    <t xml:space="preserve">2x1 </t>
  </si>
  <si>
    <t>TOTAL OCCUPIED UNITS</t>
  </si>
  <si>
    <t>PAYROLL | BENEFITS</t>
  </si>
  <si>
    <t>2x1 P. Reno</t>
  </si>
  <si>
    <t>MODEL/DOWN UNITS</t>
  </si>
  <si>
    <t>MANAGEMENT FEE</t>
  </si>
  <si>
    <t>2x1 Reno</t>
  </si>
  <si>
    <t>VACANT RENTABLE UNITS</t>
  </si>
  <si>
    <t>GENERAL | ADMIN</t>
  </si>
  <si>
    <t>2x1 Upgrade</t>
  </si>
  <si>
    <t>LEASED VACANT UNITS</t>
  </si>
  <si>
    <t>UTILITIES</t>
  </si>
  <si>
    <t>2x2</t>
  </si>
  <si>
    <t>NOTICE UNITS</t>
  </si>
  <si>
    <t>REPAIRS &amp; MAINTENANCE</t>
  </si>
  <si>
    <t>2x2 P. Reno</t>
  </si>
  <si>
    <t>UNITS UNDER EVICTION</t>
  </si>
  <si>
    <t>CONTRACT SERVICES</t>
  </si>
  <si>
    <t>2x2 Reno</t>
  </si>
  <si>
    <t>PRE-LEASED NOTICE</t>
  </si>
  <si>
    <t>MAKE READY</t>
  </si>
  <si>
    <t>2x2 Upgrade</t>
  </si>
  <si>
    <t>RECREATION AMENITIES</t>
  </si>
  <si>
    <t>3x2</t>
  </si>
  <si>
    <t>TOTAL TRAFFIC</t>
  </si>
  <si>
    <t>ADVERTISING | MARKETING</t>
  </si>
  <si>
    <t>3x2 P. Reno</t>
  </si>
  <si>
    <t>TOTAL APPLICATIONS</t>
  </si>
  <si>
    <t>TAXES &amp; INSURANCE</t>
  </si>
  <si>
    <t>3x2 Reno</t>
  </si>
  <si>
    <t>APPLICATIONS APPROVED</t>
  </si>
  <si>
    <t>TOTAL OPERATING EXPENSES</t>
  </si>
  <si>
    <t>3x2 Upgrade</t>
  </si>
  <si>
    <t>APPLICATIONS CANCELLED</t>
  </si>
  <si>
    <t>APPLICATIONS DENIED</t>
  </si>
  <si>
    <t>NET OPERATING INCOME</t>
  </si>
  <si>
    <t>SCHEDULED MOVE INS</t>
  </si>
  <si>
    <t>SCHEDULED MOVE OUTS</t>
  </si>
  <si>
    <t>MONTH</t>
  </si>
  <si>
    <t>LEASE EXPIRATIONS</t>
  </si>
  <si>
    <t>RENEWED</t>
  </si>
  <si>
    <t>NOTICE/EVICTION</t>
  </si>
  <si>
    <t>MOVE-OUT</t>
  </si>
  <si>
    <t>WEEKLY REPORT</t>
  </si>
  <si>
    <t>TURNOVER</t>
  </si>
  <si>
    <t>TOTAL</t>
  </si>
  <si>
    <t>UNITS OCCUPIED</t>
  </si>
  <si>
    <t>OCCUPANCY</t>
  </si>
  <si>
    <t>TOTAL OCCUPIED PERCENTAGE</t>
  </si>
  <si>
    <t>TOTAL LEASED PERCENTAGE</t>
  </si>
  <si>
    <t>MAINTENANCE</t>
  </si>
  <si>
    <t>WORK ORDERS</t>
  </si>
  <si>
    <t xml:space="preserve">NET TO RENT </t>
  </si>
  <si>
    <t>VARIANCE</t>
  </si>
  <si>
    <t>NOI</t>
  </si>
  <si>
    <t>Collections data below is reported as total for prior months and through the current report date for the current month.</t>
  </si>
  <si>
    <t>MONTHLY CHARGES</t>
  </si>
  <si>
    <t xml:space="preserve"> T12 AVERAGE</t>
  </si>
  <si>
    <t>MONTHLY TOTAL COLLECTED</t>
  </si>
  <si>
    <t>CURRENT CHARGES</t>
  </si>
  <si>
    <t>CURRENT TOTAL COLLECTED</t>
  </si>
  <si>
    <t>#</t>
  </si>
  <si>
    <t>VACANT</t>
  </si>
  <si>
    <t>VAR %</t>
  </si>
  <si>
    <t>HISTORICAL MARKET AND IN-PLACE RENTS</t>
  </si>
  <si>
    <t>ACTUAL AND ADJUSTED OPERATING ACCOUNT CASH BALANCES</t>
  </si>
  <si>
    <t>TOTALS/AVERAGES</t>
  </si>
  <si>
    <t>ACTUAL CASH BALANCE</t>
  </si>
  <si>
    <t>ADJUSTED CASH BALANCE</t>
  </si>
  <si>
    <t>CURRENT VS. 1 MONTH</t>
  </si>
  <si>
    <t>CURRENT VS. 3 MONTH</t>
  </si>
  <si>
    <t>CURRENT VS. 6 MONTH</t>
  </si>
  <si>
    <t>CURRENT VS. 12 MONTH</t>
  </si>
  <si>
    <t>MARKET RENT</t>
  </si>
  <si>
    <t>IN-PLACE 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</si>
</sst>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mmmm\ d\,\ yyyy;@"/>
    <numFmt numFmtId="165" formatCode="0.0%"/>
    <numFmt numFmtId="166" formatCode="mm/dd/yyyy;@"/>
    <numFmt numFmtId="167" formatCode="mmm\-yyyy"/>
    <numFmt numFmtId="168" formatCode="_(&quot;$&quot;* #,##0_);_(&quot;$&quot;* \(#,##0\);_(&quot;$&quot;* &quot;-&quot;??_);_(@_)"/>
    <numFmt numFmtId="169" formatCode="&quot;$&quot;#,##0"/>
    <numFmt numFmtId="170" formatCode="[$-2409]mmmm\ dd\,\ yyyy;@"/>
    <numFmt numFmtId="171" formatCode="&quot;$&quot;#,##0.00"/>
  </numFmts>
  <fonts count="22">
    <font>
      <sz val="11"/>
      <color theme="1"/>
      <name val="Calibri"/>
      <family val="2"/>
      <scheme val="minor"/>
    </font>
    <font>
      <sz val="11"/>
      <color theme="1"/>
      <name val="Calibri"/>
      <family val="2"/>
      <scheme val="minor"/>
    </font>
    <font>
      <sz val="11"/>
      <color theme="1"/>
      <name val="Microsoft Sans Serif"/>
      <family val="2"/>
    </font>
    <font>
      <sz val="11"/>
      <color theme="0"/>
      <name val="Microsoft Sans Serif"/>
      <family val="2"/>
    </font>
    <font>
      <sz val="10"/>
      <color theme="1"/>
      <name val="Microsoft Sans Serif"/>
      <family val="2"/>
    </font>
    <font>
      <sz val="11"/>
      <color rgb="FF0000FF"/>
      <name val="Calibri"/>
      <family val="2"/>
      <scheme val="minor"/>
    </font>
    <font>
      <sz val="12"/>
      <color theme="1"/>
      <name val="Microsoft Sans Serif"/>
      <family val="2"/>
    </font>
    <font>
      <sz val="20"/>
      <color theme="1"/>
      <name val="Microsoft Sans Serif"/>
      <family val="2"/>
    </font>
    <font>
      <sz val="40"/>
      <color theme="1"/>
      <name val="Microsoft Sans Serif"/>
      <family val="2"/>
    </font>
    <font>
      <b/>
      <sz val="11"/>
      <color theme="1"/>
      <name val="Microsoft Sans Serif"/>
      <family val="2"/>
    </font>
    <font>
      <b/>
      <sz val="10"/>
      <color theme="0"/>
      <name val="Microsoft Sans Serif"/>
      <family val="2"/>
    </font>
    <font>
      <b/>
      <sz val="10"/>
      <color theme="1"/>
      <name val="Microsoft Sans Serif"/>
      <family val="2"/>
    </font>
    <font>
      <b/>
      <sz val="11"/>
      <color theme="0"/>
      <name val="Microsoft Sans Serif"/>
      <family val="2"/>
    </font>
    <font>
      <b/>
      <sz val="11"/>
      <name val="Microsoft Sans Serif"/>
      <family val="2"/>
    </font>
    <font>
      <sz val="14"/>
      <color theme="1"/>
      <name val="Microsoft Sans Serif"/>
      <family val="2"/>
    </font>
    <font>
      <b/>
      <sz val="12"/>
      <color theme="1"/>
      <name val="Microsoft Sans Serif"/>
      <family val="2"/>
    </font>
    <font>
      <b/>
      <sz val="14"/>
      <color theme="1"/>
      <name val="Calibri"/>
      <family val="2"/>
      <scheme val="minor"/>
    </font>
    <font>
      <b/>
      <sz val="11"/>
      <color theme="1"/>
      <name val="Calibri"/>
      <family val="2"/>
      <scheme val="minor"/>
    </font>
    <font>
      <b/>
      <sz val="12"/>
      <color theme="0"/>
      <name val="Microsoft Sans Serif"/>
      <family val="2"/>
    </font>
    <font>
      <b/>
      <sz val="14"/>
      <color theme="0"/>
      <name val="Microsoft Sans Serif"/>
      <family val="2"/>
    </font>
    <font>
      <sz val="11"/>
      <name val="Calibri"/>
      <family val="2"/>
      <scheme val="minor"/>
    </font>
    <font>
      <sz val="10"/>
      <name val="Arial"/>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13">
    <xf numFmtId="0" fontId="0" fillId="0" borderId="0"/>
    <xf numFmtId="44" fontId="1" fillId="0" borderId="0" applyFont="0" applyFill="0" applyBorder="0" applyAlignment="0" applyProtection="0"/>
    <xf numFmtId="9" fontId="1" fillId="0" borderId="0" applyFont="0" applyFill="0" applyBorder="0" applyAlignment="0" applyProtection="0"/>
    <xf numFmtId="0" fontId="21" fillId="0" borderId="0"/>
    <xf numFmtId="9" fontId="21" fillId="0" borderId="0" applyFont="0" applyFill="0" applyBorder="0" applyAlignment="0" applyProtection="0"/>
    <xf numFmtId="44" fontId="21" fillId="0" borderId="0" applyFont="0" applyFill="0" applyBorder="0" applyAlignment="0" applyProtection="0"/>
    <xf numFmtId="42" fontId="21" fillId="0" borderId="0" applyFont="0" applyFill="0" applyBorder="0" applyAlignment="0" applyProtection="0"/>
    <xf numFmtId="43" fontId="21" fillId="0" borderId="0" applyFont="0" applyFill="0" applyBorder="0" applyAlignment="0" applyProtection="0"/>
    <xf numFmtId="41"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114">
    <xf numFmtId="0" fontId="0" fillId="0" borderId="0" xfId="0"/>
    <xf numFmtId="0" fontId="2" fillId="0" borderId="0" xfId="0" applyFont="1"/>
    <xf numFmtId="14" fontId="5" fillId="4" borderId="0" xfId="0" applyNumberFormat="1" applyFont="1" applyFill="1" applyAlignment="1">
      <alignment horizontal="center"/>
    </xf>
    <xf numFmtId="0" fontId="8" fillId="0" borderId="0" xfId="0" applyFont="1" applyAlignment="1">
      <alignment horizontal="left" vertical="center"/>
    </xf>
    <xf numFmtId="0" fontId="2" fillId="0" borderId="0" xfId="0" applyFont="1" applyAlignment="1">
      <alignment vertical="center"/>
    </xf>
    <xf numFmtId="166" fontId="5" fillId="4" borderId="0" xfId="2" applyNumberFormat="1" applyFont="1" applyFill="1" applyAlignment="1">
      <alignment horizontal="center"/>
    </xf>
    <xf numFmtId="165" fontId="5" fillId="4" borderId="0" xfId="2" applyNumberFormat="1" applyFont="1" applyFill="1" applyAlignment="1">
      <alignment horizontal="center"/>
    </xf>
    <xf numFmtId="165" fontId="0" fillId="0" borderId="0" xfId="2" applyNumberFormat="1" applyFont="1"/>
    <xf numFmtId="0" fontId="4" fillId="0" borderId="0" xfId="0" applyFont="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xf>
    <xf numFmtId="166" fontId="4" fillId="0" borderId="1" xfId="0" applyNumberFormat="1" applyFont="1" applyBorder="1" applyAlignment="1">
      <alignment horizontal="center" vertical="center"/>
    </xf>
    <xf numFmtId="165" fontId="4" fillId="0" borderId="1" xfId="2" applyNumberFormat="1" applyFont="1" applyBorder="1" applyAlignment="1">
      <alignment horizontal="center" vertical="center"/>
    </xf>
    <xf numFmtId="14" fontId="2" fillId="0" borderId="0" xfId="0" applyNumberFormat="1" applyFont="1"/>
    <xf numFmtId="0" fontId="2" fillId="0" borderId="0" xfId="0" applyFont="1" applyAlignment="1">
      <alignment horizontal="center"/>
    </xf>
    <xf numFmtId="0" fontId="3" fillId="2" borderId="0" xfId="0" applyFont="1" applyFill="1" applyAlignment="1">
      <alignment horizontal="center" vertical="center"/>
    </xf>
    <xf numFmtId="0" fontId="2" fillId="0" borderId="0" xfId="0" applyFont="1" applyAlignment="1">
      <alignment horizontal="center" vertical="center"/>
    </xf>
    <xf numFmtId="165" fontId="2" fillId="0" borderId="0" xfId="2" applyNumberFormat="1" applyFont="1" applyAlignment="1">
      <alignment horizontal="center" vertical="center"/>
    </xf>
    <xf numFmtId="14" fontId="9" fillId="0" borderId="0" xfId="0" applyNumberFormat="1" applyFont="1" applyAlignment="1">
      <alignment horizontal="center" vertical="center"/>
    </xf>
    <xf numFmtId="0" fontId="9" fillId="0" borderId="0" xfId="0" applyFont="1" applyAlignment="1">
      <alignment horizontal="center" vertical="center"/>
    </xf>
    <xf numFmtId="165" fontId="9" fillId="0" borderId="0" xfId="2" applyNumberFormat="1" applyFont="1" applyAlignment="1">
      <alignment horizontal="center" vertical="center"/>
    </xf>
    <xf numFmtId="167" fontId="2" fillId="0" borderId="0" xfId="0" applyNumberFormat="1" applyFont="1" applyAlignment="1">
      <alignment horizontal="center" vertical="center"/>
    </xf>
    <xf numFmtId="0" fontId="10" fillId="2" borderId="1" xfId="0" applyFont="1" applyFill="1" applyBorder="1" applyAlignment="1">
      <alignment vertical="center"/>
    </xf>
    <xf numFmtId="165" fontId="11" fillId="3" borderId="1" xfId="0" applyNumberFormat="1" applyFont="1" applyFill="1" applyBorder="1" applyAlignment="1">
      <alignment horizontal="center" vertical="center"/>
    </xf>
    <xf numFmtId="0" fontId="11" fillId="0" borderId="0" xfId="0" applyFont="1" applyAlignment="1">
      <alignment vertical="center"/>
    </xf>
    <xf numFmtId="165" fontId="11" fillId="3" borderId="1" xfId="2" applyNumberFormat="1" applyFont="1" applyFill="1" applyBorder="1" applyAlignment="1">
      <alignment horizontal="center" vertical="center"/>
    </xf>
    <xf numFmtId="44" fontId="2" fillId="0" borderId="0" xfId="1" applyFont="1"/>
    <xf numFmtId="44" fontId="5" fillId="4" borderId="0" xfId="1" applyFont="1" applyFill="1" applyAlignment="1">
      <alignment horizontal="center"/>
    </xf>
    <xf numFmtId="0" fontId="0" fillId="0" borderId="0" xfId="0" applyAlignment="1">
      <alignment vertical="center" wrapText="1"/>
    </xf>
    <xf numFmtId="169" fontId="6" fillId="0" borderId="1" xfId="0" applyNumberFormat="1" applyFont="1" applyBorder="1" applyAlignment="1">
      <alignment horizontal="center" vertical="center"/>
    </xf>
    <xf numFmtId="166" fontId="5" fillId="7" borderId="0" xfId="2" applyNumberFormat="1" applyFont="1" applyFill="1" applyAlignment="1">
      <alignment horizontal="center"/>
    </xf>
    <xf numFmtId="0" fontId="13" fillId="7" borderId="1" xfId="0" applyFont="1" applyFill="1" applyBorder="1" applyAlignment="1">
      <alignment horizontal="center" vertical="center" wrapText="1"/>
    </xf>
    <xf numFmtId="0" fontId="6" fillId="0" borderId="0" xfId="0" applyFont="1" applyAlignment="1">
      <alignment vertical="center"/>
    </xf>
    <xf numFmtId="0" fontId="2" fillId="0" borderId="0" xfId="0" applyFont="1" applyAlignment="1">
      <alignment horizontal="left"/>
    </xf>
    <xf numFmtId="9" fontId="2" fillId="0" borderId="0" xfId="2" applyFont="1"/>
    <xf numFmtId="0" fontId="0" fillId="0" borderId="1" xfId="0" applyBorder="1" applyAlignment="1">
      <alignment horizontal="center"/>
    </xf>
    <xf numFmtId="0" fontId="0" fillId="0" borderId="0" xfId="0" applyAlignment="1">
      <alignment horizontal="center" vertical="center"/>
    </xf>
    <xf numFmtId="3" fontId="5" fillId="4" borderId="0" xfId="2" applyNumberFormat="1" applyFont="1" applyFill="1" applyAlignment="1">
      <alignment horizontal="center"/>
    </xf>
    <xf numFmtId="44" fontId="2" fillId="0" borderId="0" xfId="1" applyFont="1" applyAlignment="1">
      <alignment horizontal="center"/>
    </xf>
    <xf numFmtId="3" fontId="2" fillId="0" borderId="0" xfId="0" applyNumberFormat="1" applyFont="1" applyAlignment="1">
      <alignment horizontal="center"/>
    </xf>
    <xf numFmtId="0" fontId="10" fillId="0" borderId="0" xfId="0" applyFont="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center" vertical="center"/>
    </xf>
    <xf numFmtId="44" fontId="6" fillId="0" borderId="1" xfId="1" applyFont="1" applyBorder="1" applyAlignment="1">
      <alignment horizontal="left" vertical="center"/>
    </xf>
    <xf numFmtId="0" fontId="0" fillId="0" borderId="0" xfId="0" applyAlignment="1">
      <alignment horizontal="center"/>
    </xf>
    <xf numFmtId="165" fontId="2" fillId="0" borderId="0" xfId="2" applyNumberFormat="1" applyFont="1" applyAlignment="1">
      <alignment horizontal="center"/>
    </xf>
    <xf numFmtId="0" fontId="17" fillId="0" borderId="1" xfId="0" applyFont="1" applyBorder="1" applyAlignment="1">
      <alignment vertical="center"/>
    </xf>
    <xf numFmtId="0" fontId="17" fillId="0" borderId="0" xfId="0" applyFont="1"/>
    <xf numFmtId="0" fontId="17" fillId="0" borderId="0" xfId="0" applyFont="1" applyAlignment="1">
      <alignment vertical="center"/>
    </xf>
    <xf numFmtId="44" fontId="17" fillId="0" borderId="0" xfId="0" applyNumberFormat="1" applyFont="1"/>
    <xf numFmtId="0" fontId="18" fillId="2" borderId="0" xfId="0" applyFont="1" applyFill="1" applyAlignment="1">
      <alignment horizontal="center" vertical="center"/>
    </xf>
    <xf numFmtId="0" fontId="6" fillId="0" borderId="0" xfId="0" applyFont="1"/>
    <xf numFmtId="0" fontId="15" fillId="0" borderId="0" xfId="0" applyFont="1"/>
    <xf numFmtId="44" fontId="15" fillId="5" borderId="0" xfId="1" applyFont="1" applyFill="1" applyAlignment="1">
      <alignment horizontal="center" vertical="center"/>
    </xf>
    <xf numFmtId="165" fontId="15" fillId="5" borderId="0" xfId="2" applyNumberFormat="1" applyFont="1" applyFill="1" applyAlignment="1">
      <alignment horizontal="center" vertical="center"/>
    </xf>
    <xf numFmtId="44" fontId="15" fillId="6" borderId="0" xfId="1" applyFont="1" applyFill="1" applyAlignment="1">
      <alignment horizontal="center" vertical="center"/>
    </xf>
    <xf numFmtId="0" fontId="15" fillId="6" borderId="0" xfId="0" applyFont="1" applyFill="1" applyAlignment="1">
      <alignment horizontal="center" vertical="center"/>
    </xf>
    <xf numFmtId="168" fontId="6" fillId="5" borderId="0" xfId="1" applyNumberFormat="1" applyFont="1" applyFill="1"/>
    <xf numFmtId="165" fontId="6" fillId="5" borderId="0" xfId="2" applyNumberFormat="1" applyFont="1" applyFill="1" applyAlignment="1">
      <alignment horizontal="center"/>
    </xf>
    <xf numFmtId="168" fontId="6" fillId="0" borderId="0" xfId="0" applyNumberFormat="1" applyFont="1"/>
    <xf numFmtId="168" fontId="6" fillId="6" borderId="0" xfId="1" applyNumberFormat="1" applyFont="1" applyFill="1"/>
    <xf numFmtId="165" fontId="6" fillId="6" borderId="0" xfId="2" applyNumberFormat="1" applyFont="1" applyFill="1" applyAlignment="1">
      <alignment horizontal="center"/>
    </xf>
    <xf numFmtId="168" fontId="15" fillId="5" borderId="0" xfId="1" applyNumberFormat="1" applyFont="1" applyFill="1"/>
    <xf numFmtId="165" fontId="15" fillId="5" borderId="0" xfId="2" applyNumberFormat="1" applyFont="1" applyFill="1" applyAlignment="1">
      <alignment horizontal="center"/>
    </xf>
    <xf numFmtId="168" fontId="15" fillId="0" borderId="0" xfId="0" applyNumberFormat="1" applyFont="1"/>
    <xf numFmtId="168" fontId="15" fillId="6" borderId="0" xfId="1" applyNumberFormat="1" applyFont="1" applyFill="1"/>
    <xf numFmtId="165" fontId="15" fillId="6" borderId="0" xfId="2" applyNumberFormat="1" applyFont="1" applyFill="1" applyAlignment="1">
      <alignment horizontal="center"/>
    </xf>
    <xf numFmtId="168" fontId="6" fillId="6" borderId="0" xfId="0" applyNumberFormat="1" applyFont="1" applyFill="1" applyAlignment="1">
      <alignment horizontal="center"/>
    </xf>
    <xf numFmtId="44" fontId="5" fillId="4" borderId="5" xfId="1" applyFont="1" applyFill="1" applyBorder="1" applyAlignment="1">
      <alignment horizontal="center"/>
    </xf>
    <xf numFmtId="44" fontId="5" fillId="4" borderId="6" xfId="1" applyFont="1" applyFill="1" applyBorder="1" applyAlignment="1">
      <alignment horizontal="center"/>
    </xf>
    <xf numFmtId="44" fontId="5" fillId="4" borderId="0" xfId="1" applyFont="1" applyFill="1" applyAlignment="1">
      <alignment vertical="center" wrapText="1"/>
    </xf>
    <xf numFmtId="4" fontId="0" fillId="0" borderId="0" xfId="0" applyNumberFormat="1" applyAlignment="1">
      <alignment horizontal="center" vertical="center"/>
    </xf>
    <xf numFmtId="44" fontId="10" fillId="2" borderId="1" xfId="0" applyNumberFormat="1" applyFont="1" applyFill="1" applyBorder="1" applyAlignment="1">
      <alignment horizontal="center" vertical="center" wrapText="1"/>
    </xf>
    <xf numFmtId="165" fontId="10" fillId="2" borderId="1" xfId="2" applyNumberFormat="1" applyFont="1" applyFill="1" applyBorder="1" applyAlignment="1">
      <alignment horizontal="center" vertical="center" wrapText="1"/>
    </xf>
    <xf numFmtId="0" fontId="5" fillId="4" borderId="0" xfId="2" applyNumberFormat="1" applyFont="1" applyFill="1" applyAlignment="1">
      <alignment horizontal="center"/>
    </xf>
    <xf numFmtId="165" fontId="0" fillId="0" borderId="0" xfId="2" applyNumberFormat="1" applyFont="1" applyFill="1"/>
    <xf numFmtId="0" fontId="5" fillId="0" borderId="0" xfId="0" applyFont="1" applyAlignment="1">
      <alignment horizontal="center"/>
    </xf>
    <xf numFmtId="0" fontId="0" fillId="8" borderId="1" xfId="0" applyFill="1" applyBorder="1" applyAlignment="1">
      <alignment horizontal="center" vertical="center"/>
    </xf>
    <xf numFmtId="1" fontId="5" fillId="4" borderId="0" xfId="1" applyNumberFormat="1" applyFont="1" applyFill="1" applyAlignment="1">
      <alignment horizontal="center"/>
    </xf>
    <xf numFmtId="14" fontId="20" fillId="0" borderId="0" xfId="0" applyNumberFormat="1" applyFont="1" applyAlignment="1">
      <alignment horizontal="center"/>
    </xf>
    <xf numFmtId="0" fontId="10" fillId="2" borderId="1" xfId="0" applyFont="1" applyFill="1" applyBorder="1" applyAlignment="1">
      <alignment horizontal="center" vertical="center"/>
    </xf>
    <xf numFmtId="10" fontId="0" fillId="0" borderId="0" xfId="2" applyNumberFormat="1" applyFont="1" applyFill="1"/>
    <xf numFmtId="0" fontId="2" fillId="0" borderId="0" xfId="0" applyFont="1" applyAlignment="1">
      <alignment horizontal="left" vertical="center" indent="2"/>
    </xf>
    <xf numFmtId="0" fontId="7" fillId="0" borderId="0" xfId="0" applyFont="1" applyAlignment="1">
      <alignment horizontal="left" indent="2"/>
    </xf>
    <xf numFmtId="0" fontId="2" fillId="0" borderId="0" xfId="0" applyFont="1" applyAlignment="1">
      <alignment horizontal="left" indent="2"/>
    </xf>
    <xf numFmtId="14" fontId="0" fillId="0" borderId="0" xfId="0" applyNumberFormat="1"/>
    <xf numFmtId="0" fontId="0" fillId="0" borderId="0" xfId="0" applyAlignment="1">
      <alignment horizontal="left"/>
    </xf>
    <xf numFmtId="0" fontId="0" fillId="0" borderId="1" xfId="0" applyBorder="1" applyAlignment="1">
      <alignment horizontal="center" vertical="center"/>
    </xf>
    <xf numFmtId="0" fontId="16" fillId="0" borderId="0" xfId="0" applyFont="1" applyAlignment="1">
      <alignment horizontal="left"/>
    </xf>
    <xf numFmtId="0" fontId="5" fillId="4" borderId="0" xfId="0" applyFont="1" applyFill="1" applyAlignment="1">
      <alignment horizontal="center"/>
    </xf>
    <xf numFmtId="0" fontId="10" fillId="2" borderId="1" xfId="0" applyFont="1" applyFill="1" applyBorder="1" applyAlignment="1">
      <alignment horizontal="center" vertical="center" wrapText="1"/>
    </xf>
    <xf numFmtId="0" fontId="6" fillId="0" borderId="0" xfId="0" applyFont="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xf numFmtId="165" fontId="6" fillId="0" borderId="1" xfId="2" applyNumberFormat="1" applyFont="1" applyBorder="1" applyAlignment="1">
      <alignment horizontal="center" vertical="center"/>
    </xf>
    <xf numFmtId="0" fontId="0" fillId="0" borderId="0" xfId="0" applyAlignment="1">
      <alignment horizontal="left"/>
    </xf>
    <xf numFmtId="0" fontId="0" fillId="0" borderId="1" xfId="0"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4" xfId="0" applyFont="1" applyBorder="1" applyAlignment="1">
      <alignment horizontal="center" vertical="center"/>
    </xf>
    <xf numFmtId="0" fontId="16" fillId="0" borderId="0" xfId="0" applyFont="1" applyAlignment="1">
      <alignment horizontal="left"/>
    </xf>
    <xf numFmtId="0" fontId="5" fillId="4" borderId="0" xfId="0" applyFont="1" applyFill="1" applyAlignment="1">
      <alignment horizontal="center"/>
    </xf>
    <xf numFmtId="0" fontId="17" fillId="0" borderId="3" xfId="0" applyFont="1" applyBorder="1" applyAlignment="1">
      <alignment horizontal="center" vertical="center"/>
    </xf>
    <xf numFmtId="0" fontId="5" fillId="4" borderId="7" xfId="0" applyFont="1" applyFill="1" applyBorder="1" applyAlignment="1">
      <alignment horizontal="center"/>
    </xf>
    <xf numFmtId="164" fontId="2" fillId="0" borderId="0" xfId="0" applyNumberFormat="1" applyFont="1" applyAlignment="1">
      <alignment horizontal="left" indent="2"/>
    </xf>
    <xf numFmtId="0" fontId="10" fillId="2" borderId="1" xfId="0" applyFont="1" applyFill="1" applyBorder="1" applyAlignment="1">
      <alignment horizontal="center" vertical="center" wrapText="1"/>
    </xf>
    <xf numFmtId="0" fontId="19" fillId="2" borderId="0" xfId="0" applyFont="1" applyFill="1" applyAlignment="1">
      <alignment horizontal="center" vertical="center"/>
    </xf>
    <xf numFmtId="0" fontId="6" fillId="0" borderId="0" xfId="0" applyFont="1" applyAlignment="1">
      <alignment horizontal="center" vertical="center"/>
    </xf>
    <xf numFmtId="165" fontId="6" fillId="0" borderId="1" xfId="2" applyNumberFormat="1" applyFont="1" applyBorder="1" applyAlignment="1">
      <alignment horizontal="center" vertical="center"/>
    </xf>
    <xf numFmtId="171" fontId="6" fillId="0" borderId="1" xfId="2" applyNumberFormat="1" applyFont="1" applyBorder="1" applyAlignment="1">
      <alignment horizontal="center" vertical="center"/>
    </xf>
    <xf numFmtId="170" fontId="14" fillId="0" borderId="1" xfId="0" applyNumberFormat="1" applyFont="1" applyBorder="1" applyAlignment="1">
      <alignment horizontal="center" vertical="center"/>
    </xf>
    <xf numFmtId="169" fontId="14" fillId="0" borderId="1" xfId="0" applyNumberFormat="1" applyFont="1" applyBorder="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cellXfs>
  <cellStyles count="13">
    <cellStyle name="Comma [0] 2" xfId="8" xr:uid="{64D09B61-106E-44D2-8608-74AF63AA5D24}"/>
    <cellStyle name="Comma 2" xfId="7" xr:uid="{9C8C3A7E-00AF-4214-9138-E0D46115248E}"/>
    <cellStyle name="Comma 3" xfId="11" xr:uid="{F9BBC86F-3185-4229-9723-A40C758172FF}"/>
    <cellStyle name="Comma 4" xfId="12" xr:uid="{47CBB9C5-4A7B-473C-A63B-589EAEE0C262}"/>
    <cellStyle name="Currency" xfId="1" builtinId="4"/>
    <cellStyle name="Currency [0] 2" xfId="6" xr:uid="{523B9228-8F81-4F37-8C86-C53A152A3B9C}"/>
    <cellStyle name="Currency 2" xfId="5" xr:uid="{45BB1E04-F5BC-4104-9C42-7FF90DD982AB}"/>
    <cellStyle name="Currency 3" xfId="9" xr:uid="{E7691C53-8242-4ADE-B8C8-8AE6C7CF3966}"/>
    <cellStyle name="Currency 4" xfId="10" xr:uid="{9975113A-89B3-4190-8498-85D5883099E3}"/>
    <cellStyle name="Normal" xfId="0" builtinId="0"/>
    <cellStyle name="Normal 2" xfId="3" xr:uid="{E5FF7095-0C1B-4801-9F65-16B85825BBC0}"/>
    <cellStyle name="Percent" xfId="2" builtinId="5"/>
    <cellStyle name="Percent 2" xfId="4" xr:uid="{EA7C5799-CD04-463E-BBD0-A191AE48AAA6}"/>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INPUT!$M$1</c:f>
              <c:strCache>
                <c:ptCount val="1"/>
                <c:pt idx="0">
                  <c:v>HISTORICAL OCCUPANCY</c:v>
                </c:pt>
              </c:strCache>
            </c:strRef>
          </c:tx>
          <c:spPr>
            <a:ln w="50800" cap="rnd">
              <a:solidFill>
                <a:schemeClr val="accent1"/>
              </a:solidFill>
              <a:round/>
            </a:ln>
            <a:effectLst/>
          </c:spPr>
          <c:marker>
            <c:symbol val="circle"/>
            <c:size val="5"/>
            <c:spPr>
              <a:noFill/>
              <a:ln w="9525">
                <a:noFill/>
              </a:ln>
              <a:effectLst/>
            </c:spPr>
          </c:marker>
          <c:dLbls>
            <c:delete val="1"/>
          </c:dLbls>
          <c:cat>
            <c:numRef>
              <c:f>INPUT!$M$2:$M$262</c:f>
              <c:numCache>
                <c:formatCode>mm/dd/yyyy;@</c:formatCode>
                <c:ptCount val="261"/>
                <c:pt idx="0">
                  <c:v>45017</c:v>
                </c:pt>
                <c:pt idx="1">
                  <c:v>45047</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45427</c:v>
                </c:pt>
                <c:pt idx="15">
                  <c:v>45444</c:v>
                </c:pt>
                <c:pt idx="16">
                  <c:v>45460</c:v>
                </c:pt>
                <c:pt idx="17">
                  <c:v>45467</c:v>
                </c:pt>
                <c:pt idx="18">
                  <c:v>45474</c:v>
                </c:pt>
                <c:pt idx="19">
                  <c:v>45505</c:v>
                </c:pt>
                <c:pt idx="20">
                  <c:v>45516</c:v>
                </c:pt>
                <c:pt idx="21">
                  <c:v>45523</c:v>
                </c:pt>
                <c:pt idx="22">
                  <c:v>45530</c:v>
                </c:pt>
                <c:pt idx="23">
                  <c:v>45537</c:v>
                </c:pt>
                <c:pt idx="24">
                  <c:v>45544</c:v>
                </c:pt>
                <c:pt idx="25">
                  <c:v>45558</c:v>
                </c:pt>
                <c:pt idx="26">
                  <c:v>45565</c:v>
                </c:pt>
                <c:pt idx="27">
                  <c:v>45579</c:v>
                </c:pt>
                <c:pt idx="28">
                  <c:v>45586</c:v>
                </c:pt>
                <c:pt idx="29">
                  <c:v>45592</c:v>
                </c:pt>
                <c:pt idx="30">
                  <c:v>45597</c:v>
                </c:pt>
                <c:pt idx="31">
                  <c:v>45607</c:v>
                </c:pt>
                <c:pt idx="32">
                  <c:v>45614</c:v>
                </c:pt>
                <c:pt idx="33">
                  <c:v>45621</c:v>
                </c:pt>
                <c:pt idx="34">
                  <c:v>45628</c:v>
                </c:pt>
                <c:pt idx="35">
                  <c:v>45642</c:v>
                </c:pt>
                <c:pt idx="36">
                  <c:v>45649</c:v>
                </c:pt>
                <c:pt idx="37">
                  <c:v>45656</c:v>
                </c:pt>
                <c:pt idx="38">
                  <c:v>45663</c:v>
                </c:pt>
                <c:pt idx="39">
                  <c:v>45670</c:v>
                </c:pt>
                <c:pt idx="40">
                  <c:v>45677</c:v>
                </c:pt>
                <c:pt idx="41">
                  <c:v>45684</c:v>
                </c:pt>
                <c:pt idx="42">
                  <c:v>45691</c:v>
                </c:pt>
                <c:pt idx="43">
                  <c:v>45698</c:v>
                </c:pt>
                <c:pt idx="44">
                  <c:v>45705</c:v>
                </c:pt>
                <c:pt idx="45">
                  <c:v>45712</c:v>
                </c:pt>
                <c:pt idx="46">
                  <c:v>45719</c:v>
                </c:pt>
                <c:pt idx="47">
                  <c:v>45726</c:v>
                </c:pt>
                <c:pt idx="48">
                  <c:v>45733</c:v>
                </c:pt>
                <c:pt idx="49">
                  <c:v>45740</c:v>
                </c:pt>
                <c:pt idx="50">
                  <c:v>45747</c:v>
                </c:pt>
                <c:pt idx="51">
                  <c:v>45754</c:v>
                </c:pt>
                <c:pt idx="52">
                  <c:v>45761</c:v>
                </c:pt>
                <c:pt idx="53">
                  <c:v>45768</c:v>
                </c:pt>
                <c:pt idx="54">
                  <c:v>45775</c:v>
                </c:pt>
                <c:pt idx="55">
                  <c:v>45782</c:v>
                </c:pt>
                <c:pt idx="56">
                  <c:v>45789</c:v>
                </c:pt>
                <c:pt idx="57">
                  <c:v>45796</c:v>
                </c:pt>
                <c:pt idx="58">
                  <c:v>45803</c:v>
                </c:pt>
                <c:pt idx="59">
                  <c:v>45810</c:v>
                </c:pt>
                <c:pt idx="60">
                  <c:v>45817</c:v>
                </c:pt>
                <c:pt idx="61">
                  <c:v>45824</c:v>
                </c:pt>
                <c:pt idx="62">
                  <c:v>45831</c:v>
                </c:pt>
                <c:pt idx="63">
                  <c:v>45838</c:v>
                </c:pt>
                <c:pt idx="64">
                  <c:v>45845</c:v>
                </c:pt>
                <c:pt idx="65">
                  <c:v>45852</c:v>
                </c:pt>
                <c:pt idx="66">
                  <c:v>45859</c:v>
                </c:pt>
                <c:pt idx="67">
                  <c:v>45866</c:v>
                </c:pt>
                <c:pt idx="68">
                  <c:v>45873</c:v>
                </c:pt>
                <c:pt idx="69">
                  <c:v>45880</c:v>
                </c:pt>
              </c:numCache>
            </c:numRef>
          </c:cat>
          <c:val>
            <c:numRef>
              <c:f>INPUT!$N$2:$N$262</c:f>
              <c:numCache>
                <c:formatCode>0.0%</c:formatCode>
                <c:ptCount val="261"/>
                <c:pt idx="0">
                  <c:v>0.87429999999999997</c:v>
                </c:pt>
                <c:pt idx="1">
                  <c:v>0.86960000000000004</c:v>
                </c:pt>
                <c:pt idx="2">
                  <c:v>0.89129999999999998</c:v>
                </c:pt>
                <c:pt idx="3">
                  <c:v>0.88890000000000002</c:v>
                </c:pt>
                <c:pt idx="4">
                  <c:v>0.87680000000000002</c:v>
                </c:pt>
                <c:pt idx="5">
                  <c:v>0.85960000000000003</c:v>
                </c:pt>
                <c:pt idx="6">
                  <c:v>0.88890000000000002</c:v>
                </c:pt>
                <c:pt idx="7">
                  <c:v>0.90820000000000001</c:v>
                </c:pt>
                <c:pt idx="8">
                  <c:v>0.92510000000000003</c:v>
                </c:pt>
                <c:pt idx="9">
                  <c:v>0.93479999999999996</c:v>
                </c:pt>
                <c:pt idx="10">
                  <c:v>0.94199999999999995</c:v>
                </c:pt>
                <c:pt idx="11">
                  <c:v>0.95169999999999999</c:v>
                </c:pt>
                <c:pt idx="12">
                  <c:v>0.95169999999999999</c:v>
                </c:pt>
                <c:pt idx="13">
                  <c:v>0.94930000000000003</c:v>
                </c:pt>
                <c:pt idx="14">
                  <c:v>0.94444444444444442</c:v>
                </c:pt>
                <c:pt idx="15">
                  <c:v>0.93500000000000005</c:v>
                </c:pt>
                <c:pt idx="16">
                  <c:v>0.93479999999999996</c:v>
                </c:pt>
                <c:pt idx="17">
                  <c:v>0.93479999999999996</c:v>
                </c:pt>
                <c:pt idx="18">
                  <c:v>0.93899999999999995</c:v>
                </c:pt>
                <c:pt idx="19">
                  <c:v>0.92749999999999999</c:v>
                </c:pt>
                <c:pt idx="20">
                  <c:v>0.92269999999999996</c:v>
                </c:pt>
                <c:pt idx="21">
                  <c:v>0.93240000000000001</c:v>
                </c:pt>
                <c:pt idx="22">
                  <c:v>0.92753623188405798</c:v>
                </c:pt>
                <c:pt idx="23">
                  <c:v>0.92995169082125606</c:v>
                </c:pt>
                <c:pt idx="24">
                  <c:v>0.92030000000000001</c:v>
                </c:pt>
                <c:pt idx="25">
                  <c:v>0.92995169082125606</c:v>
                </c:pt>
                <c:pt idx="26">
                  <c:v>0.93710000000000004</c:v>
                </c:pt>
                <c:pt idx="27">
                  <c:v>0.93</c:v>
                </c:pt>
                <c:pt idx="28">
                  <c:v>0.93</c:v>
                </c:pt>
                <c:pt idx="29">
                  <c:v>0.92749999999999999</c:v>
                </c:pt>
                <c:pt idx="30">
                  <c:v>0.92510000000000003</c:v>
                </c:pt>
                <c:pt idx="31">
                  <c:v>0.92510000000000003</c:v>
                </c:pt>
                <c:pt idx="32">
                  <c:v>0.93240000000000001</c:v>
                </c:pt>
                <c:pt idx="33">
                  <c:v>0.92269999999999996</c:v>
                </c:pt>
                <c:pt idx="34">
                  <c:v>0.92269999999999996</c:v>
                </c:pt>
                <c:pt idx="35">
                  <c:v>0.93240000000000001</c:v>
                </c:pt>
                <c:pt idx="36">
                  <c:v>0.93</c:v>
                </c:pt>
                <c:pt idx="37">
                  <c:v>0.93240000000000001</c:v>
                </c:pt>
                <c:pt idx="38">
                  <c:v>0.93236714975845414</c:v>
                </c:pt>
                <c:pt idx="39">
                  <c:v>0.93230000000000002</c:v>
                </c:pt>
                <c:pt idx="40">
                  <c:v>0.9371980676328503</c:v>
                </c:pt>
                <c:pt idx="41">
                  <c:v>0.93236714975845414</c:v>
                </c:pt>
                <c:pt idx="42">
                  <c:v>0.92749999999999999</c:v>
                </c:pt>
                <c:pt idx="43">
                  <c:v>0.93240000000000001</c:v>
                </c:pt>
                <c:pt idx="44">
                  <c:v>0.90338164251207731</c:v>
                </c:pt>
                <c:pt idx="45">
                  <c:v>0.90338164251207731</c:v>
                </c:pt>
                <c:pt idx="46">
                  <c:v>0.91300000000000003</c:v>
                </c:pt>
                <c:pt idx="47">
                  <c:v>0.91304347826086951</c:v>
                </c:pt>
                <c:pt idx="48">
                  <c:v>0.91300000000000003</c:v>
                </c:pt>
                <c:pt idx="49">
                  <c:v>0.91787439613526567</c:v>
                </c:pt>
                <c:pt idx="50">
                  <c:v>0.92510000000000003</c:v>
                </c:pt>
                <c:pt idx="51">
                  <c:v>0.92269999999999996</c:v>
                </c:pt>
                <c:pt idx="52">
                  <c:v>0.91790000000000005</c:v>
                </c:pt>
                <c:pt idx="53">
                  <c:v>0.91787439613526567</c:v>
                </c:pt>
                <c:pt idx="54">
                  <c:v>0.91790000000000005</c:v>
                </c:pt>
                <c:pt idx="55">
                  <c:v>0.91800000000000004</c:v>
                </c:pt>
                <c:pt idx="56">
                  <c:v>0.92030000000000001</c:v>
                </c:pt>
                <c:pt idx="57">
                  <c:v>0.9251207729468599</c:v>
                </c:pt>
                <c:pt idx="58">
                  <c:v>0.92753623188405798</c:v>
                </c:pt>
                <c:pt idx="59">
                  <c:v>0.9251207729468599</c:v>
                </c:pt>
                <c:pt idx="60">
                  <c:v>0.91545893719806759</c:v>
                </c:pt>
                <c:pt idx="61">
                  <c:v>0.90580000000000005</c:v>
                </c:pt>
                <c:pt idx="62">
                  <c:v>0.90821256038647347</c:v>
                </c:pt>
                <c:pt idx="63">
                  <c:v>0.91059999999999997</c:v>
                </c:pt>
                <c:pt idx="64">
                  <c:v>0.91100000000000003</c:v>
                </c:pt>
                <c:pt idx="65">
                  <c:v>0.90579710144927539</c:v>
                </c:pt>
                <c:pt idx="66">
                  <c:v>0.90579710144927539</c:v>
                </c:pt>
                <c:pt idx="67">
                  <c:v>0.89855072463768115</c:v>
                </c:pt>
                <c:pt idx="68">
                  <c:v>0.90339999999999998</c:v>
                </c:pt>
                <c:pt idx="69">
                  <c:v>0.90339999999999998</c:v>
                </c:pt>
              </c:numCache>
            </c:numRef>
          </c:val>
          <c:smooth val="1"/>
          <c:extLst>
            <c:ext xmlns:c16="http://schemas.microsoft.com/office/drawing/2014/chart" uri="{C3380CC4-5D6E-409C-BE32-E72D297353CC}">
              <c16:uniqueId val="{00000000-4F4B-449A-8F44-27619E41BE28}"/>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CHARGES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lumMod val="50000"/>
              </a:schemeClr>
            </a:solidFill>
            <a:ln>
              <a:noFill/>
            </a:ln>
            <a:effectLst/>
          </c:spPr>
          <c:invertIfNegative val="0"/>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INPUT!$AE$3:$AE$15</c:f>
              <c:numCache>
                <c:formatCode>_("$"* #,##0.00_);_("$"* \(#,##0.00\);_("$"* "-"??_);_(@_)</c:formatCode>
                <c:ptCount val="13"/>
                <c:pt idx="0">
                  <c:v>535917.84299999999</c:v>
                </c:pt>
                <c:pt idx="1">
                  <c:v>515313.66</c:v>
                </c:pt>
                <c:pt idx="2">
                  <c:v>515479.48</c:v>
                </c:pt>
                <c:pt idx="3">
                  <c:v>506152.13</c:v>
                </c:pt>
                <c:pt idx="4">
                  <c:v>525739.29</c:v>
                </c:pt>
                <c:pt idx="5">
                  <c:v>534550.74</c:v>
                </c:pt>
                <c:pt idx="6">
                  <c:v>524001.5</c:v>
                </c:pt>
                <c:pt idx="7">
                  <c:v>527339.72</c:v>
                </c:pt>
                <c:pt idx="8">
                  <c:v>531129.15</c:v>
                </c:pt>
                <c:pt idx="9">
                  <c:v>546014.16999999993</c:v>
                </c:pt>
                <c:pt idx="10">
                  <c:v>517409.27999999997</c:v>
                </c:pt>
                <c:pt idx="11">
                  <c:v>514990.25</c:v>
                </c:pt>
                <c:pt idx="12">
                  <c:v>527236.32999999996</c:v>
                </c:pt>
              </c:numCache>
            </c:numRef>
          </c:val>
          <c:extLst>
            <c:ext xmlns:c16="http://schemas.microsoft.com/office/drawing/2014/chart" uri="{C3380CC4-5D6E-409C-BE32-E72D297353CC}">
              <c16:uniqueId val="{00000000-883D-45EE-ABEE-07443A948764}"/>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600000"/>
          <c:min val="4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5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TOTAL COLLECTED ($)</c:v>
          </c:tx>
          <c:spPr>
            <a:solidFill>
              <a:schemeClr val="accent1">
                <a:lumMod val="40000"/>
                <a:lumOff val="60000"/>
              </a:schemeClr>
            </a:solidFill>
            <a:ln>
              <a:noFill/>
            </a:ln>
            <a:effectLst/>
          </c:spPr>
          <c:invertIfNegative val="0"/>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INPUT!$AF$3:$AF$15</c:f>
              <c:numCache>
                <c:formatCode>_("$"* #,##0.00_);_("$"* \(#,##0.00\);_("$"* "-"??_);_(@_)</c:formatCode>
                <c:ptCount val="13"/>
                <c:pt idx="0">
                  <c:v>532124.03299999994</c:v>
                </c:pt>
                <c:pt idx="1">
                  <c:v>512874.12999999995</c:v>
                </c:pt>
                <c:pt idx="2">
                  <c:v>511230.68</c:v>
                </c:pt>
                <c:pt idx="3">
                  <c:v>493609.07</c:v>
                </c:pt>
                <c:pt idx="4">
                  <c:v>508425.81000000006</c:v>
                </c:pt>
                <c:pt idx="5">
                  <c:v>521654.70999999996</c:v>
                </c:pt>
                <c:pt idx="6">
                  <c:v>503603.41</c:v>
                </c:pt>
                <c:pt idx="7">
                  <c:v>513969.04</c:v>
                </c:pt>
                <c:pt idx="8">
                  <c:v>511946.47000000003</c:v>
                </c:pt>
                <c:pt idx="9">
                  <c:v>532503.00999999989</c:v>
                </c:pt>
                <c:pt idx="10">
                  <c:v>494559.75999999995</c:v>
                </c:pt>
                <c:pt idx="11">
                  <c:v>495378.15</c:v>
                </c:pt>
                <c:pt idx="12">
                  <c:v>458225.04999999993</c:v>
                </c:pt>
              </c:numCache>
            </c:numRef>
          </c:val>
          <c:extLst>
            <c:ext xmlns:c16="http://schemas.microsoft.com/office/drawing/2014/chart" uri="{C3380CC4-5D6E-409C-BE32-E72D297353CC}">
              <c16:uniqueId val="{00000000-12E0-4C7E-B123-AFCBCBFF12A1}"/>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600000"/>
          <c:min val="4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TOTAL COLLECTED (%)</c:v>
          </c:tx>
          <c:spPr>
            <a:solidFill>
              <a:schemeClr val="accent1">
                <a:lumMod val="50000"/>
              </a:schemeClr>
            </a:solidFill>
            <a:ln>
              <a:noFill/>
            </a:ln>
            <a:effectLst/>
          </c:spPr>
          <c:invertIfNegative val="0"/>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INPUT!$AG$3:$AG$15</c:f>
              <c:numCache>
                <c:formatCode>0.00%</c:formatCode>
                <c:ptCount val="13"/>
                <c:pt idx="0">
                  <c:v>0.99292091120018922</c:v>
                </c:pt>
                <c:pt idx="1">
                  <c:v>0.99526593182101941</c:v>
                </c:pt>
                <c:pt idx="2">
                  <c:v>0.99175757684864585</c:v>
                </c:pt>
                <c:pt idx="3">
                  <c:v>0.97521879439685455</c:v>
                </c:pt>
                <c:pt idx="4">
                  <c:v>0.96706831631320544</c:v>
                </c:pt>
                <c:pt idx="5">
                  <c:v>0.97587501235149343</c:v>
                </c:pt>
                <c:pt idx="6">
                  <c:v>0.9610724587620455</c:v>
                </c:pt>
                <c:pt idx="7">
                  <c:v>0.97464503527251845</c:v>
                </c:pt>
                <c:pt idx="8">
                  <c:v>0.96388320994997168</c:v>
                </c:pt>
                <c:pt idx="9">
                  <c:v>0.97525492790782331</c:v>
                </c:pt>
                <c:pt idx="10">
                  <c:v>0.95583859647820768</c:v>
                </c:pt>
                <c:pt idx="11">
                  <c:v>0.96191753144841097</c:v>
                </c:pt>
                <c:pt idx="12">
                  <c:v>0.86910750251220348</c:v>
                </c:pt>
              </c:numCache>
            </c:numRef>
          </c:val>
          <c:extLst>
            <c:ext xmlns:c16="http://schemas.microsoft.com/office/drawing/2014/chart" uri="{C3380CC4-5D6E-409C-BE32-E72D297353CC}">
              <c16:uniqueId val="{00000000-E01F-4AC2-9705-82D7AA01D45E}"/>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1"/>
          <c:min val="0.60000000000000009"/>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0.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MARKET</c:v>
          </c:tx>
          <c:spPr>
            <a:ln w="50800"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INPUT!$AO$3:$AO$15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INPUT!$AP$3:$AP$15</c:f>
              <c:numCache>
                <c:formatCode>_("$"* #,##0.00_);_("$"* \(#,##0.00\);_("$"* "-"??_);_(@_)</c:formatCode>
                <c:ptCount val="13"/>
                <c:pt idx="0">
                  <c:v>1231.26</c:v>
                </c:pt>
                <c:pt idx="1">
                  <c:v>1231.26</c:v>
                </c:pt>
                <c:pt idx="2">
                  <c:v>1231.26</c:v>
                </c:pt>
                <c:pt idx="3">
                  <c:v>1231.26</c:v>
                </c:pt>
                <c:pt idx="4">
                  <c:v>1231.26</c:v>
                </c:pt>
                <c:pt idx="5">
                  <c:v>1247.81</c:v>
                </c:pt>
                <c:pt idx="6">
                  <c:v>1247.81</c:v>
                </c:pt>
                <c:pt idx="7">
                  <c:v>1247.81</c:v>
                </c:pt>
                <c:pt idx="8">
                  <c:v>1247.81</c:v>
                </c:pt>
                <c:pt idx="9">
                  <c:v>1247.81</c:v>
                </c:pt>
                <c:pt idx="10">
                  <c:v>1247.81</c:v>
                </c:pt>
                <c:pt idx="11">
                  <c:v>1247.81</c:v>
                </c:pt>
                <c:pt idx="12">
                  <c:v>1247.81</c:v>
                </c:pt>
              </c:numCache>
            </c:numRef>
          </c:val>
          <c:smooth val="1"/>
          <c:extLst>
            <c:ext xmlns:c16="http://schemas.microsoft.com/office/drawing/2014/chart" uri="{C3380CC4-5D6E-409C-BE32-E72D297353CC}">
              <c16:uniqueId val="{00000000-4C8C-470E-A077-7E23651455A7}"/>
            </c:ext>
          </c:extLst>
        </c:ser>
        <c:ser>
          <c:idx val="1"/>
          <c:order val="1"/>
          <c:tx>
            <c:v>IN-PLACE</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INPUT!$AO$3:$AO$15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INPUT!$AQ$3:$AQ$15</c:f>
              <c:numCache>
                <c:formatCode>_("$"* #,##0.00_);_("$"* \(#,##0.00\);_("$"* "-"??_);_(@_)</c:formatCode>
                <c:ptCount val="13"/>
                <c:pt idx="0">
                  <c:v>1195.02</c:v>
                </c:pt>
                <c:pt idx="1">
                  <c:v>1196.04</c:v>
                </c:pt>
                <c:pt idx="2">
                  <c:v>1201.6300000000001</c:v>
                </c:pt>
                <c:pt idx="3">
                  <c:v>1202.67</c:v>
                </c:pt>
                <c:pt idx="4">
                  <c:v>1202.6500000000001</c:v>
                </c:pt>
                <c:pt idx="5">
                  <c:v>1198.76</c:v>
                </c:pt>
                <c:pt idx="6">
                  <c:v>1199.27</c:v>
                </c:pt>
                <c:pt idx="7">
                  <c:v>1202.08</c:v>
                </c:pt>
                <c:pt idx="8">
                  <c:v>1203</c:v>
                </c:pt>
                <c:pt idx="9">
                  <c:v>1202.6099999999999</c:v>
                </c:pt>
                <c:pt idx="10">
                  <c:v>1208.8800000000001</c:v>
                </c:pt>
                <c:pt idx="11">
                  <c:v>1214.75</c:v>
                </c:pt>
                <c:pt idx="12">
                  <c:v>1211.99</c:v>
                </c:pt>
              </c:numCache>
            </c:numRef>
          </c:val>
          <c:smooth val="1"/>
          <c:extLst>
            <c:ext xmlns:c16="http://schemas.microsoft.com/office/drawing/2014/chart" uri="{C3380CC4-5D6E-409C-BE32-E72D297353CC}">
              <c16:uniqueId val="{00000001-4C8C-470E-A077-7E23651455A7}"/>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ACTUAL CASH BALANCE</c:v>
          </c:tx>
          <c:spPr>
            <a:ln w="50800" cap="rnd">
              <a:solidFill>
                <a:schemeClr val="accent1"/>
              </a:solidFill>
              <a:round/>
            </a:ln>
            <a:effectLst/>
          </c:spPr>
          <c:marker>
            <c:symbol val="circle"/>
            <c:size val="5"/>
            <c:spPr>
              <a:noFill/>
              <a:ln w="9525">
                <a:noFill/>
              </a:ln>
              <a:effectLst/>
            </c:spPr>
          </c:marker>
          <c:cat>
            <c:numRef>
              <c:f>INPUT!$Z$5:$Z$72</c:f>
              <c:numCache>
                <c:formatCode>mm/dd/yyyy;@</c:formatCode>
                <c:ptCount val="68"/>
                <c:pt idx="0">
                  <c:v>45034</c:v>
                </c:pt>
                <c:pt idx="1">
                  <c:v>45062</c:v>
                </c:pt>
                <c:pt idx="2">
                  <c:v>45092</c:v>
                </c:pt>
                <c:pt idx="3">
                  <c:v>45122</c:v>
                </c:pt>
                <c:pt idx="4">
                  <c:v>45155</c:v>
                </c:pt>
                <c:pt idx="5">
                  <c:v>45189</c:v>
                </c:pt>
                <c:pt idx="6">
                  <c:v>45215</c:v>
                </c:pt>
                <c:pt idx="7">
                  <c:v>45276</c:v>
                </c:pt>
                <c:pt idx="8">
                  <c:v>45307</c:v>
                </c:pt>
                <c:pt idx="9">
                  <c:v>45338</c:v>
                </c:pt>
                <c:pt idx="10">
                  <c:v>45367</c:v>
                </c:pt>
                <c:pt idx="11">
                  <c:v>45428</c:v>
                </c:pt>
                <c:pt idx="12">
                  <c:v>45459</c:v>
                </c:pt>
                <c:pt idx="13">
                  <c:v>45489</c:v>
                </c:pt>
                <c:pt idx="14">
                  <c:v>45520</c:v>
                </c:pt>
                <c:pt idx="15">
                  <c:v>45551</c:v>
                </c:pt>
                <c:pt idx="16">
                  <c:v>45581</c:v>
                </c:pt>
                <c:pt idx="17">
                  <c:v>45612</c:v>
                </c:pt>
                <c:pt idx="18">
                  <c:v>45642</c:v>
                </c:pt>
                <c:pt idx="19">
                  <c:v>45673</c:v>
                </c:pt>
                <c:pt idx="20">
                  <c:v>45705</c:v>
                </c:pt>
                <c:pt idx="21">
                  <c:v>45733</c:v>
                </c:pt>
                <c:pt idx="22">
                  <c:v>45763</c:v>
                </c:pt>
                <c:pt idx="23">
                  <c:v>45792</c:v>
                </c:pt>
                <c:pt idx="24">
                  <c:v>45825</c:v>
                </c:pt>
                <c:pt idx="25">
                  <c:v>45854</c:v>
                </c:pt>
              </c:numCache>
            </c:numRef>
          </c:cat>
          <c:val>
            <c:numRef>
              <c:f>INPUT!$AA$5:$AA$72</c:f>
              <c:numCache>
                <c:formatCode>_("$"* #,##0.00_);_("$"* \(#,##0.00\);_("$"* "-"??_);_(@_)</c:formatCode>
                <c:ptCount val="68"/>
                <c:pt idx="0">
                  <c:v>277588.03999999998</c:v>
                </c:pt>
                <c:pt idx="1">
                  <c:v>914776.82</c:v>
                </c:pt>
                <c:pt idx="2">
                  <c:v>915947.2</c:v>
                </c:pt>
                <c:pt idx="3">
                  <c:v>516892.72</c:v>
                </c:pt>
                <c:pt idx="4">
                  <c:v>476505.47</c:v>
                </c:pt>
                <c:pt idx="5">
                  <c:v>371084.32</c:v>
                </c:pt>
                <c:pt idx="6">
                  <c:v>380467.41</c:v>
                </c:pt>
                <c:pt idx="7">
                  <c:v>354062.28</c:v>
                </c:pt>
                <c:pt idx="8">
                  <c:v>342259.15</c:v>
                </c:pt>
                <c:pt idx="9">
                  <c:v>412719.66</c:v>
                </c:pt>
                <c:pt idx="10">
                  <c:v>466933.71</c:v>
                </c:pt>
                <c:pt idx="11">
                  <c:v>292340.74</c:v>
                </c:pt>
                <c:pt idx="12">
                  <c:v>346113.38</c:v>
                </c:pt>
                <c:pt idx="13">
                  <c:v>359856.17</c:v>
                </c:pt>
                <c:pt idx="14">
                  <c:v>262485.09999999998</c:v>
                </c:pt>
                <c:pt idx="15">
                  <c:v>294221.02</c:v>
                </c:pt>
                <c:pt idx="16">
                  <c:v>433513.24</c:v>
                </c:pt>
                <c:pt idx="17">
                  <c:v>355242.37</c:v>
                </c:pt>
                <c:pt idx="18">
                  <c:v>443604.92</c:v>
                </c:pt>
                <c:pt idx="19">
                  <c:v>413074.29</c:v>
                </c:pt>
                <c:pt idx="20">
                  <c:v>305457.31</c:v>
                </c:pt>
                <c:pt idx="21">
                  <c:v>439173.74</c:v>
                </c:pt>
                <c:pt idx="22">
                  <c:v>456822.77</c:v>
                </c:pt>
                <c:pt idx="23">
                  <c:v>445847.64</c:v>
                </c:pt>
                <c:pt idx="24">
                  <c:v>309587.95</c:v>
                </c:pt>
                <c:pt idx="25">
                  <c:v>636213.81999999995</c:v>
                </c:pt>
              </c:numCache>
            </c:numRef>
          </c:val>
          <c:smooth val="1"/>
          <c:extLst>
            <c:ext xmlns:c16="http://schemas.microsoft.com/office/drawing/2014/chart" uri="{C3380CC4-5D6E-409C-BE32-E72D297353CC}">
              <c16:uniqueId val="{00000000-7480-4CBF-9C99-B6F3B53C9EC3}"/>
            </c:ext>
          </c:extLst>
        </c:ser>
        <c:ser>
          <c:idx val="1"/>
          <c:order val="1"/>
          <c:tx>
            <c:v>ADJUSTED CASH BALANCE</c:v>
          </c:tx>
          <c:spPr>
            <a:ln w="50800" cap="rnd">
              <a:solidFill>
                <a:schemeClr val="accent1">
                  <a:lumMod val="40000"/>
                  <a:lumOff val="60000"/>
                </a:schemeClr>
              </a:solidFill>
              <a:round/>
            </a:ln>
            <a:effectLst/>
          </c:spPr>
          <c:marker>
            <c:symbol val="circle"/>
            <c:size val="5"/>
            <c:spPr>
              <a:noFill/>
              <a:ln w="9525">
                <a:noFill/>
              </a:ln>
              <a:effectLst/>
            </c:spPr>
          </c:marker>
          <c:cat>
            <c:numRef>
              <c:f>INPUT!$Z$5:$Z$72</c:f>
              <c:numCache>
                <c:formatCode>mm/dd/yyyy;@</c:formatCode>
                <c:ptCount val="68"/>
                <c:pt idx="0">
                  <c:v>45034</c:v>
                </c:pt>
                <c:pt idx="1">
                  <c:v>45062</c:v>
                </c:pt>
                <c:pt idx="2">
                  <c:v>45092</c:v>
                </c:pt>
                <c:pt idx="3">
                  <c:v>45122</c:v>
                </c:pt>
                <c:pt idx="4">
                  <c:v>45155</c:v>
                </c:pt>
                <c:pt idx="5">
                  <c:v>45189</c:v>
                </c:pt>
                <c:pt idx="6">
                  <c:v>45215</c:v>
                </c:pt>
                <c:pt idx="7">
                  <c:v>45276</c:v>
                </c:pt>
                <c:pt idx="8">
                  <c:v>45307</c:v>
                </c:pt>
                <c:pt idx="9">
                  <c:v>45338</c:v>
                </c:pt>
                <c:pt idx="10">
                  <c:v>45367</c:v>
                </c:pt>
                <c:pt idx="11">
                  <c:v>45428</c:v>
                </c:pt>
                <c:pt idx="12">
                  <c:v>45459</c:v>
                </c:pt>
                <c:pt idx="13">
                  <c:v>45489</c:v>
                </c:pt>
                <c:pt idx="14">
                  <c:v>45520</c:v>
                </c:pt>
                <c:pt idx="15">
                  <c:v>45551</c:v>
                </c:pt>
                <c:pt idx="16">
                  <c:v>45581</c:v>
                </c:pt>
                <c:pt idx="17">
                  <c:v>45612</c:v>
                </c:pt>
                <c:pt idx="18">
                  <c:v>45642</c:v>
                </c:pt>
                <c:pt idx="19">
                  <c:v>45673</c:v>
                </c:pt>
                <c:pt idx="20">
                  <c:v>45705</c:v>
                </c:pt>
                <c:pt idx="21">
                  <c:v>45733</c:v>
                </c:pt>
                <c:pt idx="22">
                  <c:v>45763</c:v>
                </c:pt>
                <c:pt idx="23">
                  <c:v>45792</c:v>
                </c:pt>
                <c:pt idx="24">
                  <c:v>45825</c:v>
                </c:pt>
                <c:pt idx="25">
                  <c:v>45854</c:v>
                </c:pt>
              </c:numCache>
            </c:numRef>
          </c:cat>
          <c:val>
            <c:numRef>
              <c:f>INPUT!$AB$5:$AB$72</c:f>
              <c:numCache>
                <c:formatCode>_("$"* #,##0.00_);_("$"* \(#,##0.00\);_("$"* "-"??_);_(@_)</c:formatCode>
                <c:ptCount val="68"/>
                <c:pt idx="0">
                  <c:v>122347.75</c:v>
                </c:pt>
                <c:pt idx="1">
                  <c:v>607641.37</c:v>
                </c:pt>
                <c:pt idx="2">
                  <c:v>505752.66</c:v>
                </c:pt>
                <c:pt idx="3">
                  <c:v>483252.2</c:v>
                </c:pt>
                <c:pt idx="4">
                  <c:v>440250.29</c:v>
                </c:pt>
                <c:pt idx="5">
                  <c:v>349651.76</c:v>
                </c:pt>
                <c:pt idx="6">
                  <c:v>316687.64</c:v>
                </c:pt>
                <c:pt idx="7">
                  <c:v>260137.82</c:v>
                </c:pt>
                <c:pt idx="8">
                  <c:v>291154.62</c:v>
                </c:pt>
                <c:pt idx="9">
                  <c:v>266599.12</c:v>
                </c:pt>
                <c:pt idx="10">
                  <c:v>375214.81</c:v>
                </c:pt>
                <c:pt idx="11">
                  <c:v>263701.33</c:v>
                </c:pt>
                <c:pt idx="12">
                  <c:v>298619.99</c:v>
                </c:pt>
                <c:pt idx="13">
                  <c:v>338270.21</c:v>
                </c:pt>
                <c:pt idx="14">
                  <c:v>182860.56</c:v>
                </c:pt>
                <c:pt idx="15">
                  <c:v>224949.03</c:v>
                </c:pt>
                <c:pt idx="16">
                  <c:v>263947.53999999998</c:v>
                </c:pt>
                <c:pt idx="17">
                  <c:v>270439.02</c:v>
                </c:pt>
                <c:pt idx="18">
                  <c:v>341174.26</c:v>
                </c:pt>
                <c:pt idx="19">
                  <c:v>392047.75</c:v>
                </c:pt>
                <c:pt idx="20">
                  <c:v>272808.15000000002</c:v>
                </c:pt>
                <c:pt idx="21">
                  <c:v>372184.88</c:v>
                </c:pt>
                <c:pt idx="22">
                  <c:v>414613.34</c:v>
                </c:pt>
                <c:pt idx="23">
                  <c:v>284539.71999999997</c:v>
                </c:pt>
                <c:pt idx="24">
                  <c:v>301055.88</c:v>
                </c:pt>
                <c:pt idx="25">
                  <c:v>220776.07999999996</c:v>
                </c:pt>
              </c:numCache>
            </c:numRef>
          </c:val>
          <c:smooth val="1"/>
          <c:extLst>
            <c:ext xmlns:c16="http://schemas.microsoft.com/office/drawing/2014/chart" uri="{C3380CC4-5D6E-409C-BE32-E72D297353CC}">
              <c16:uniqueId val="{00000002-7480-4CBF-9C99-B6F3B53C9EC3}"/>
            </c:ext>
          </c:extLst>
        </c:ser>
        <c:dLbls>
          <c:showLegendKey val="0"/>
          <c:showVal val="0"/>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At val="44362"/>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Occ!$H$26:$H$31</c:f>
              <c:numCache>
                <c:formatCode>mm/dd/yyyy;@</c:formatCode>
                <c:ptCount val="6"/>
                <c:pt idx="0">
                  <c:v>45880</c:v>
                </c:pt>
                <c:pt idx="1">
                  <c:v>45887</c:v>
                </c:pt>
                <c:pt idx="2">
                  <c:v>45894</c:v>
                </c:pt>
                <c:pt idx="3">
                  <c:v>45901</c:v>
                </c:pt>
                <c:pt idx="4">
                  <c:v>45908</c:v>
                </c:pt>
                <c:pt idx="5">
                  <c:v>45915</c:v>
                </c:pt>
              </c:numCache>
            </c:numRef>
          </c:cat>
          <c:val>
            <c:numRef>
              <c:f>Occ!$L$26:$L$31</c:f>
              <c:numCache>
                <c:formatCode>0.0%</c:formatCode>
                <c:ptCount val="6"/>
                <c:pt idx="0">
                  <c:v>0.89613526570048307</c:v>
                </c:pt>
                <c:pt idx="1">
                  <c:v>0.90096618357487923</c:v>
                </c:pt>
                <c:pt idx="2">
                  <c:v>0.90579710144927539</c:v>
                </c:pt>
                <c:pt idx="3">
                  <c:v>0.90338164251207731</c:v>
                </c:pt>
                <c:pt idx="4">
                  <c:v>0.90096618357487923</c:v>
                </c:pt>
                <c:pt idx="5">
                  <c:v>0.89855072463768115</c:v>
                </c:pt>
              </c:numCache>
            </c:numRef>
          </c:val>
          <c:smooth val="1"/>
          <c:extLst>
            <c:ext xmlns:c16="http://schemas.microsoft.com/office/drawing/2014/chart" uri="{C3380CC4-5D6E-409C-BE32-E72D297353CC}">
              <c16:uniqueId val="{00000000-05D1-4D50-800B-DBE80D40C957}"/>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d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7"/>
        <c:majorTimeUnit val="days"/>
      </c:dateAx>
      <c:valAx>
        <c:axId val="945477952"/>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LEASE</a:t>
            </a:r>
            <a:r>
              <a:rPr lang="en-US" baseline="0"/>
              <a:t> EXPIRATIONS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191211159175158E-2"/>
          <c:y val="0.11605295029971575"/>
          <c:w val="0.87166810275841466"/>
          <c:h val="0.77963676507151858"/>
        </c:manualLayout>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Occ!$O$6:$O$18</c:f>
              <c:numCache>
                <c:formatCode>mmm\-yyyy</c:formatCode>
                <c:ptCount val="13"/>
                <c:pt idx="0">
                  <c:v>45809</c:v>
                </c:pt>
                <c:pt idx="1">
                  <c:v>45839</c:v>
                </c:pt>
                <c:pt idx="2">
                  <c:v>45870</c:v>
                </c:pt>
                <c:pt idx="3">
                  <c:v>45901</c:v>
                </c:pt>
                <c:pt idx="4">
                  <c:v>45931</c:v>
                </c:pt>
                <c:pt idx="5">
                  <c:v>45962</c:v>
                </c:pt>
                <c:pt idx="6">
                  <c:v>45992</c:v>
                </c:pt>
                <c:pt idx="7">
                  <c:v>46023</c:v>
                </c:pt>
                <c:pt idx="8">
                  <c:v>46054</c:v>
                </c:pt>
                <c:pt idx="9">
                  <c:v>46082</c:v>
                </c:pt>
                <c:pt idx="10">
                  <c:v>46113</c:v>
                </c:pt>
                <c:pt idx="11">
                  <c:v>46143</c:v>
                </c:pt>
                <c:pt idx="12">
                  <c:v>46174</c:v>
                </c:pt>
              </c:numCache>
            </c:numRef>
          </c:cat>
          <c:val>
            <c:numRef>
              <c:f>Occ!$P$6:$P$18</c:f>
              <c:numCache>
                <c:formatCode>General</c:formatCode>
                <c:ptCount val="13"/>
                <c:pt idx="0">
                  <c:v>32</c:v>
                </c:pt>
                <c:pt idx="1">
                  <c:v>27</c:v>
                </c:pt>
                <c:pt idx="2">
                  <c:v>36</c:v>
                </c:pt>
                <c:pt idx="3">
                  <c:v>29</c:v>
                </c:pt>
                <c:pt idx="4">
                  <c:v>20</c:v>
                </c:pt>
                <c:pt idx="5">
                  <c:v>20</c:v>
                </c:pt>
                <c:pt idx="6">
                  <c:v>11</c:v>
                </c:pt>
                <c:pt idx="7">
                  <c:v>19</c:v>
                </c:pt>
                <c:pt idx="8">
                  <c:v>39</c:v>
                </c:pt>
                <c:pt idx="9">
                  <c:v>37</c:v>
                </c:pt>
                <c:pt idx="10">
                  <c:v>34</c:v>
                </c:pt>
                <c:pt idx="11">
                  <c:v>42</c:v>
                </c:pt>
                <c:pt idx="12">
                  <c:v>29</c:v>
                </c:pt>
              </c:numCache>
            </c:numRef>
          </c:val>
          <c:smooth val="1"/>
          <c:extLst>
            <c:ext xmlns:c16="http://schemas.microsoft.com/office/drawing/2014/chart" uri="{C3380CC4-5D6E-409C-BE32-E72D297353CC}">
              <c16:uniqueId val="{00000000-8654-4778-9DE6-A99A15FBFC53}"/>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max val="46143"/>
          <c:min val="45778"/>
        </c:scaling>
        <c:delete val="0"/>
        <c:axPos val="b"/>
        <c:majorGridlines>
          <c:spPr>
            <a:ln w="9525" cap="flat" cmpd="sng" algn="ctr">
              <a:solidFill>
                <a:schemeClr val="tx1">
                  <a:lumMod val="15000"/>
                  <a:lumOff val="85000"/>
                </a:schemeClr>
              </a:solidFill>
              <a:round/>
            </a:ln>
            <a:effectLst/>
          </c:spPr>
        </c:majorGridlines>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max val="60"/>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INPUT!$AT$2</c:f>
              <c:strCache>
                <c:ptCount val="1"/>
                <c:pt idx="0">
                  <c:v>Work Orders</c:v>
                </c:pt>
              </c:strCache>
            </c:strRef>
          </c:tx>
          <c:spPr>
            <a:solidFill>
              <a:schemeClr val="accent1"/>
            </a:solidFill>
            <a:ln w="25400">
              <a:noFill/>
            </a:ln>
            <a:effectLst/>
          </c:spPr>
          <c:dLbls>
            <c:delete val="1"/>
          </c:dLbls>
          <c:cat>
            <c:numRef>
              <c:f>INPUT!$AS$3:$AS$193</c:f>
              <c:numCache>
                <c:formatCode>mm/dd/yyyy;@</c:formatCode>
                <c:ptCount val="191"/>
                <c:pt idx="0">
                  <c:v>45039</c:v>
                </c:pt>
                <c:pt idx="1">
                  <c:v>45047</c:v>
                </c:pt>
                <c:pt idx="2">
                  <c:v>45054</c:v>
                </c:pt>
                <c:pt idx="3">
                  <c:v>45061</c:v>
                </c:pt>
                <c:pt idx="4">
                  <c:v>45068</c:v>
                </c:pt>
                <c:pt idx="5">
                  <c:v>45075</c:v>
                </c:pt>
                <c:pt idx="6">
                  <c:v>45082</c:v>
                </c:pt>
                <c:pt idx="7">
                  <c:v>45089</c:v>
                </c:pt>
                <c:pt idx="8">
                  <c:v>45096</c:v>
                </c:pt>
                <c:pt idx="9">
                  <c:v>45103</c:v>
                </c:pt>
                <c:pt idx="10">
                  <c:v>45110</c:v>
                </c:pt>
                <c:pt idx="11">
                  <c:v>45117</c:v>
                </c:pt>
                <c:pt idx="12">
                  <c:v>45124</c:v>
                </c:pt>
                <c:pt idx="13">
                  <c:v>45131</c:v>
                </c:pt>
                <c:pt idx="14">
                  <c:v>45138</c:v>
                </c:pt>
                <c:pt idx="15">
                  <c:v>45145</c:v>
                </c:pt>
                <c:pt idx="16">
                  <c:v>45152</c:v>
                </c:pt>
                <c:pt idx="17">
                  <c:v>45159</c:v>
                </c:pt>
                <c:pt idx="18">
                  <c:v>45167</c:v>
                </c:pt>
                <c:pt idx="19">
                  <c:v>45173</c:v>
                </c:pt>
                <c:pt idx="20">
                  <c:v>45180</c:v>
                </c:pt>
                <c:pt idx="21">
                  <c:v>45187</c:v>
                </c:pt>
                <c:pt idx="22">
                  <c:v>45194</c:v>
                </c:pt>
                <c:pt idx="23">
                  <c:v>45201</c:v>
                </c:pt>
                <c:pt idx="24">
                  <c:v>45208</c:v>
                </c:pt>
                <c:pt idx="25">
                  <c:v>45215</c:v>
                </c:pt>
                <c:pt idx="26">
                  <c:v>45222</c:v>
                </c:pt>
                <c:pt idx="27">
                  <c:v>45229</c:v>
                </c:pt>
                <c:pt idx="28">
                  <c:v>45236</c:v>
                </c:pt>
                <c:pt idx="29">
                  <c:v>45243</c:v>
                </c:pt>
                <c:pt idx="30">
                  <c:v>45250</c:v>
                </c:pt>
                <c:pt idx="31">
                  <c:v>45257</c:v>
                </c:pt>
                <c:pt idx="32">
                  <c:v>45264</c:v>
                </c:pt>
                <c:pt idx="33">
                  <c:v>45271</c:v>
                </c:pt>
                <c:pt idx="34">
                  <c:v>45278</c:v>
                </c:pt>
                <c:pt idx="35">
                  <c:v>45285</c:v>
                </c:pt>
                <c:pt idx="36">
                  <c:v>45292</c:v>
                </c:pt>
                <c:pt idx="37">
                  <c:v>45299</c:v>
                </c:pt>
                <c:pt idx="38">
                  <c:v>45306</c:v>
                </c:pt>
                <c:pt idx="39">
                  <c:v>45313</c:v>
                </c:pt>
                <c:pt idx="40">
                  <c:v>45320</c:v>
                </c:pt>
                <c:pt idx="41">
                  <c:v>45327</c:v>
                </c:pt>
                <c:pt idx="42">
                  <c:v>45334</c:v>
                </c:pt>
                <c:pt idx="43">
                  <c:v>45341</c:v>
                </c:pt>
                <c:pt idx="44">
                  <c:v>45348</c:v>
                </c:pt>
                <c:pt idx="45">
                  <c:v>45355</c:v>
                </c:pt>
                <c:pt idx="46">
                  <c:v>45362</c:v>
                </c:pt>
                <c:pt idx="47">
                  <c:v>45369</c:v>
                </c:pt>
                <c:pt idx="48">
                  <c:v>45376</c:v>
                </c:pt>
                <c:pt idx="49">
                  <c:v>45383</c:v>
                </c:pt>
                <c:pt idx="50">
                  <c:v>45390</c:v>
                </c:pt>
                <c:pt idx="51">
                  <c:v>45397</c:v>
                </c:pt>
                <c:pt idx="52">
                  <c:v>45404</c:v>
                </c:pt>
                <c:pt idx="53">
                  <c:v>45411</c:v>
                </c:pt>
                <c:pt idx="54">
                  <c:v>45418</c:v>
                </c:pt>
                <c:pt idx="55">
                  <c:v>45425</c:v>
                </c:pt>
                <c:pt idx="56">
                  <c:v>45432</c:v>
                </c:pt>
                <c:pt idx="57">
                  <c:v>45439</c:v>
                </c:pt>
                <c:pt idx="58">
                  <c:v>45446</c:v>
                </c:pt>
                <c:pt idx="59">
                  <c:v>45453</c:v>
                </c:pt>
                <c:pt idx="60">
                  <c:v>45460</c:v>
                </c:pt>
                <c:pt idx="61">
                  <c:v>45467</c:v>
                </c:pt>
                <c:pt idx="62">
                  <c:v>45474</c:v>
                </c:pt>
                <c:pt idx="63">
                  <c:v>45481</c:v>
                </c:pt>
                <c:pt idx="64">
                  <c:v>45488</c:v>
                </c:pt>
                <c:pt idx="65">
                  <c:v>45495</c:v>
                </c:pt>
                <c:pt idx="66">
                  <c:v>45502</c:v>
                </c:pt>
                <c:pt idx="67">
                  <c:v>45509</c:v>
                </c:pt>
                <c:pt idx="68">
                  <c:v>45516</c:v>
                </c:pt>
                <c:pt idx="69">
                  <c:v>45523</c:v>
                </c:pt>
                <c:pt idx="70">
                  <c:v>45530</c:v>
                </c:pt>
                <c:pt idx="71">
                  <c:v>45537</c:v>
                </c:pt>
                <c:pt idx="72">
                  <c:v>45544</c:v>
                </c:pt>
                <c:pt idx="73">
                  <c:v>45551</c:v>
                </c:pt>
                <c:pt idx="74">
                  <c:v>45558</c:v>
                </c:pt>
                <c:pt idx="75">
                  <c:v>45565</c:v>
                </c:pt>
                <c:pt idx="76">
                  <c:v>45572</c:v>
                </c:pt>
                <c:pt idx="77">
                  <c:v>45579</c:v>
                </c:pt>
                <c:pt idx="78">
                  <c:v>45586</c:v>
                </c:pt>
                <c:pt idx="79">
                  <c:v>45593</c:v>
                </c:pt>
                <c:pt idx="80">
                  <c:v>45600</c:v>
                </c:pt>
                <c:pt idx="81">
                  <c:v>45607</c:v>
                </c:pt>
                <c:pt idx="82">
                  <c:v>45614</c:v>
                </c:pt>
                <c:pt idx="83">
                  <c:v>45621</c:v>
                </c:pt>
                <c:pt idx="84">
                  <c:v>45628</c:v>
                </c:pt>
                <c:pt idx="85">
                  <c:v>45635</c:v>
                </c:pt>
                <c:pt idx="86">
                  <c:v>45642</c:v>
                </c:pt>
                <c:pt idx="87">
                  <c:v>45649</c:v>
                </c:pt>
                <c:pt idx="88">
                  <c:v>45656</c:v>
                </c:pt>
                <c:pt idx="89">
                  <c:v>45663</c:v>
                </c:pt>
                <c:pt idx="90">
                  <c:v>45670</c:v>
                </c:pt>
                <c:pt idx="91">
                  <c:v>45677</c:v>
                </c:pt>
                <c:pt idx="92">
                  <c:v>45684</c:v>
                </c:pt>
                <c:pt idx="93">
                  <c:v>45691</c:v>
                </c:pt>
                <c:pt idx="94">
                  <c:v>45698</c:v>
                </c:pt>
                <c:pt idx="95">
                  <c:v>45705</c:v>
                </c:pt>
                <c:pt idx="96">
                  <c:v>45712</c:v>
                </c:pt>
                <c:pt idx="97">
                  <c:v>45719</c:v>
                </c:pt>
                <c:pt idx="98">
                  <c:v>45726</c:v>
                </c:pt>
                <c:pt idx="99">
                  <c:v>45733</c:v>
                </c:pt>
                <c:pt idx="100">
                  <c:v>45740</c:v>
                </c:pt>
                <c:pt idx="101">
                  <c:v>45747</c:v>
                </c:pt>
                <c:pt idx="102">
                  <c:v>45754</c:v>
                </c:pt>
                <c:pt idx="103">
                  <c:v>45761</c:v>
                </c:pt>
                <c:pt idx="104">
                  <c:v>45768</c:v>
                </c:pt>
                <c:pt idx="105">
                  <c:v>45775</c:v>
                </c:pt>
                <c:pt idx="106">
                  <c:v>45782</c:v>
                </c:pt>
                <c:pt idx="107">
                  <c:v>45789</c:v>
                </c:pt>
                <c:pt idx="108">
                  <c:v>45796</c:v>
                </c:pt>
                <c:pt idx="109">
                  <c:v>45803</c:v>
                </c:pt>
                <c:pt idx="110">
                  <c:v>45810</c:v>
                </c:pt>
                <c:pt idx="111">
                  <c:v>45817</c:v>
                </c:pt>
                <c:pt idx="112">
                  <c:v>45824</c:v>
                </c:pt>
                <c:pt idx="113">
                  <c:v>45831</c:v>
                </c:pt>
                <c:pt idx="114">
                  <c:v>45838</c:v>
                </c:pt>
                <c:pt idx="115">
                  <c:v>45845</c:v>
                </c:pt>
                <c:pt idx="116">
                  <c:v>45852</c:v>
                </c:pt>
                <c:pt idx="117">
                  <c:v>45859</c:v>
                </c:pt>
                <c:pt idx="118">
                  <c:v>45866</c:v>
                </c:pt>
                <c:pt idx="119">
                  <c:v>45873</c:v>
                </c:pt>
                <c:pt idx="120">
                  <c:v>45880</c:v>
                </c:pt>
                <c:pt idx="121">
                  <c:v>45887</c:v>
                </c:pt>
                <c:pt idx="122">
                  <c:v>45894</c:v>
                </c:pt>
                <c:pt idx="123">
                  <c:v>45901</c:v>
                </c:pt>
                <c:pt idx="124">
                  <c:v>45908</c:v>
                </c:pt>
                <c:pt idx="125">
                  <c:v>45915</c:v>
                </c:pt>
                <c:pt idx="126">
                  <c:v>45922</c:v>
                </c:pt>
                <c:pt idx="127">
                  <c:v>45929</c:v>
                </c:pt>
                <c:pt idx="128">
                  <c:v>45936</c:v>
                </c:pt>
                <c:pt idx="129">
                  <c:v>45943</c:v>
                </c:pt>
                <c:pt idx="130">
                  <c:v>45950</c:v>
                </c:pt>
                <c:pt idx="131">
                  <c:v>45957</c:v>
                </c:pt>
                <c:pt idx="132">
                  <c:v>45964</c:v>
                </c:pt>
                <c:pt idx="133">
                  <c:v>45971</c:v>
                </c:pt>
                <c:pt idx="134">
                  <c:v>45978</c:v>
                </c:pt>
                <c:pt idx="135">
                  <c:v>45985</c:v>
                </c:pt>
                <c:pt idx="136">
                  <c:v>45992</c:v>
                </c:pt>
                <c:pt idx="137">
                  <c:v>45999</c:v>
                </c:pt>
                <c:pt idx="138">
                  <c:v>46006</c:v>
                </c:pt>
                <c:pt idx="139">
                  <c:v>46013</c:v>
                </c:pt>
                <c:pt idx="140">
                  <c:v>46020</c:v>
                </c:pt>
                <c:pt idx="141">
                  <c:v>46027</c:v>
                </c:pt>
                <c:pt idx="142">
                  <c:v>46034</c:v>
                </c:pt>
                <c:pt idx="143">
                  <c:v>46041</c:v>
                </c:pt>
              </c:numCache>
            </c:numRef>
          </c:cat>
          <c:val>
            <c:numRef>
              <c:f>INPUT!$AT$3:$AT$195</c:f>
              <c:numCache>
                <c:formatCode>0</c:formatCode>
                <c:ptCount val="193"/>
                <c:pt idx="0">
                  <c:v>81</c:v>
                </c:pt>
                <c:pt idx="1">
                  <c:v>80</c:v>
                </c:pt>
                <c:pt idx="2">
                  <c:v>77</c:v>
                </c:pt>
                <c:pt idx="3">
                  <c:v>74</c:v>
                </c:pt>
                <c:pt idx="4">
                  <c:v>74</c:v>
                </c:pt>
                <c:pt idx="5">
                  <c:v>80</c:v>
                </c:pt>
                <c:pt idx="6">
                  <c:v>80</c:v>
                </c:pt>
                <c:pt idx="7">
                  <c:v>80</c:v>
                </c:pt>
                <c:pt idx="8">
                  <c:v>79</c:v>
                </c:pt>
                <c:pt idx="9">
                  <c:v>90</c:v>
                </c:pt>
                <c:pt idx="10">
                  <c:v>92</c:v>
                </c:pt>
                <c:pt idx="11">
                  <c:v>90</c:v>
                </c:pt>
                <c:pt idx="12">
                  <c:v>90</c:v>
                </c:pt>
                <c:pt idx="13">
                  <c:v>97</c:v>
                </c:pt>
                <c:pt idx="14">
                  <c:v>85</c:v>
                </c:pt>
                <c:pt idx="15">
                  <c:v>84</c:v>
                </c:pt>
                <c:pt idx="16">
                  <c:v>82</c:v>
                </c:pt>
                <c:pt idx="17">
                  <c:v>71</c:v>
                </c:pt>
                <c:pt idx="18">
                  <c:v>64</c:v>
                </c:pt>
                <c:pt idx="19">
                  <c:v>59</c:v>
                </c:pt>
                <c:pt idx="20">
                  <c:v>59</c:v>
                </c:pt>
                <c:pt idx="21">
                  <c:v>59</c:v>
                </c:pt>
                <c:pt idx="22">
                  <c:v>67</c:v>
                </c:pt>
                <c:pt idx="23">
                  <c:v>62</c:v>
                </c:pt>
                <c:pt idx="24">
                  <c:v>55</c:v>
                </c:pt>
                <c:pt idx="25">
                  <c:v>53</c:v>
                </c:pt>
                <c:pt idx="26">
                  <c:v>51</c:v>
                </c:pt>
                <c:pt idx="27">
                  <c:v>52</c:v>
                </c:pt>
                <c:pt idx="28">
                  <c:v>48</c:v>
                </c:pt>
                <c:pt idx="29">
                  <c:v>42</c:v>
                </c:pt>
                <c:pt idx="30">
                  <c:v>45</c:v>
                </c:pt>
                <c:pt idx="31">
                  <c:v>46</c:v>
                </c:pt>
                <c:pt idx="32">
                  <c:v>35</c:v>
                </c:pt>
                <c:pt idx="33">
                  <c:v>33</c:v>
                </c:pt>
                <c:pt idx="34">
                  <c:v>36</c:v>
                </c:pt>
                <c:pt idx="35">
                  <c:v>40</c:v>
                </c:pt>
                <c:pt idx="36">
                  <c:v>40</c:v>
                </c:pt>
                <c:pt idx="37">
                  <c:v>38</c:v>
                </c:pt>
                <c:pt idx="38">
                  <c:v>36</c:v>
                </c:pt>
                <c:pt idx="39">
                  <c:v>42</c:v>
                </c:pt>
                <c:pt idx="40">
                  <c:v>38</c:v>
                </c:pt>
                <c:pt idx="41">
                  <c:v>38</c:v>
                </c:pt>
                <c:pt idx="42">
                  <c:v>45</c:v>
                </c:pt>
                <c:pt idx="43">
                  <c:v>55</c:v>
                </c:pt>
                <c:pt idx="44">
                  <c:v>53</c:v>
                </c:pt>
                <c:pt idx="45">
                  <c:v>50</c:v>
                </c:pt>
                <c:pt idx="46">
                  <c:v>51</c:v>
                </c:pt>
                <c:pt idx="47">
                  <c:v>52</c:v>
                </c:pt>
                <c:pt idx="48">
                  <c:v>54</c:v>
                </c:pt>
                <c:pt idx="49">
                  <c:v>50</c:v>
                </c:pt>
                <c:pt idx="50">
                  <c:v>51</c:v>
                </c:pt>
                <c:pt idx="51">
                  <c:v>50</c:v>
                </c:pt>
                <c:pt idx="52">
                  <c:v>69</c:v>
                </c:pt>
                <c:pt idx="53">
                  <c:v>55</c:v>
                </c:pt>
                <c:pt idx="54">
                  <c:v>52</c:v>
                </c:pt>
                <c:pt idx="55">
                  <c:v>69</c:v>
                </c:pt>
                <c:pt idx="56">
                  <c:v>66</c:v>
                </c:pt>
                <c:pt idx="57">
                  <c:v>63</c:v>
                </c:pt>
                <c:pt idx="58">
                  <c:v>69</c:v>
                </c:pt>
                <c:pt idx="59">
                  <c:v>57</c:v>
                </c:pt>
                <c:pt idx="60">
                  <c:v>36</c:v>
                </c:pt>
                <c:pt idx="61">
                  <c:v>42</c:v>
                </c:pt>
                <c:pt idx="62">
                  <c:v>71</c:v>
                </c:pt>
                <c:pt idx="63">
                  <c:v>54</c:v>
                </c:pt>
                <c:pt idx="64">
                  <c:v>60</c:v>
                </c:pt>
                <c:pt idx="65">
                  <c:v>47</c:v>
                </c:pt>
                <c:pt idx="66">
                  <c:v>48</c:v>
                </c:pt>
                <c:pt idx="67">
                  <c:v>48</c:v>
                </c:pt>
                <c:pt idx="68">
                  <c:v>61</c:v>
                </c:pt>
                <c:pt idx="69">
                  <c:v>44</c:v>
                </c:pt>
                <c:pt idx="70">
                  <c:v>28</c:v>
                </c:pt>
                <c:pt idx="71">
                  <c:v>21</c:v>
                </c:pt>
                <c:pt idx="72">
                  <c:v>30</c:v>
                </c:pt>
                <c:pt idx="73">
                  <c:v>23</c:v>
                </c:pt>
                <c:pt idx="74">
                  <c:v>4</c:v>
                </c:pt>
                <c:pt idx="75">
                  <c:v>17</c:v>
                </c:pt>
                <c:pt idx="76">
                  <c:v>31</c:v>
                </c:pt>
                <c:pt idx="77">
                  <c:v>32</c:v>
                </c:pt>
                <c:pt idx="78">
                  <c:v>28</c:v>
                </c:pt>
                <c:pt idx="79">
                  <c:v>19</c:v>
                </c:pt>
                <c:pt idx="80">
                  <c:v>29</c:v>
                </c:pt>
                <c:pt idx="81">
                  <c:v>26</c:v>
                </c:pt>
                <c:pt idx="82">
                  <c:v>38</c:v>
                </c:pt>
                <c:pt idx="83">
                  <c:v>24</c:v>
                </c:pt>
                <c:pt idx="84">
                  <c:v>27</c:v>
                </c:pt>
                <c:pt idx="85">
                  <c:v>36</c:v>
                </c:pt>
                <c:pt idx="86">
                  <c:v>21</c:v>
                </c:pt>
                <c:pt idx="87">
                  <c:v>23</c:v>
                </c:pt>
                <c:pt idx="88">
                  <c:v>38</c:v>
                </c:pt>
                <c:pt idx="89">
                  <c:v>53</c:v>
                </c:pt>
                <c:pt idx="90">
                  <c:v>46</c:v>
                </c:pt>
                <c:pt idx="91">
                  <c:v>24</c:v>
                </c:pt>
                <c:pt idx="92">
                  <c:v>15</c:v>
                </c:pt>
                <c:pt idx="93">
                  <c:v>26</c:v>
                </c:pt>
                <c:pt idx="94">
                  <c:v>37</c:v>
                </c:pt>
                <c:pt idx="95">
                  <c:v>38</c:v>
                </c:pt>
                <c:pt idx="96">
                  <c:v>48</c:v>
                </c:pt>
                <c:pt idx="97">
                  <c:v>52</c:v>
                </c:pt>
                <c:pt idx="98">
                  <c:v>51</c:v>
                </c:pt>
                <c:pt idx="99">
                  <c:v>44</c:v>
                </c:pt>
                <c:pt idx="100">
                  <c:v>63</c:v>
                </c:pt>
                <c:pt idx="101">
                  <c:v>72</c:v>
                </c:pt>
                <c:pt idx="102">
                  <c:v>97</c:v>
                </c:pt>
                <c:pt idx="103">
                  <c:v>78</c:v>
                </c:pt>
                <c:pt idx="104">
                  <c:v>77</c:v>
                </c:pt>
                <c:pt idx="105">
                  <c:v>58</c:v>
                </c:pt>
                <c:pt idx="106">
                  <c:v>74</c:v>
                </c:pt>
                <c:pt idx="107">
                  <c:v>65</c:v>
                </c:pt>
                <c:pt idx="108">
                  <c:v>91</c:v>
                </c:pt>
                <c:pt idx="109">
                  <c:v>89</c:v>
                </c:pt>
                <c:pt idx="110">
                  <c:v>127</c:v>
                </c:pt>
                <c:pt idx="111">
                  <c:v>88</c:v>
                </c:pt>
                <c:pt idx="112">
                  <c:v>97</c:v>
                </c:pt>
                <c:pt idx="113">
                  <c:v>98</c:v>
                </c:pt>
                <c:pt idx="114">
                  <c:v>55</c:v>
                </c:pt>
                <c:pt idx="115">
                  <c:v>35</c:v>
                </c:pt>
                <c:pt idx="116">
                  <c:v>18</c:v>
                </c:pt>
                <c:pt idx="117">
                  <c:v>24</c:v>
                </c:pt>
                <c:pt idx="118">
                  <c:v>40</c:v>
                </c:pt>
                <c:pt idx="119">
                  <c:v>40</c:v>
                </c:pt>
                <c:pt idx="120">
                  <c:v>28</c:v>
                </c:pt>
              </c:numCache>
            </c:numRef>
          </c:val>
          <c:extLst>
            <c:ext xmlns:c16="http://schemas.microsoft.com/office/drawing/2014/chart" uri="{C3380CC4-5D6E-409C-BE32-E72D297353CC}">
              <c16:uniqueId val="{00000000-87FD-4156-B98A-0F3293F5C72D}"/>
            </c:ext>
          </c:extLst>
        </c:ser>
        <c:dLbls>
          <c:showLegendKey val="0"/>
          <c:showVal val="1"/>
          <c:showCatName val="0"/>
          <c:showSerName val="0"/>
          <c:showPercent val="0"/>
          <c:showBubbleSize val="0"/>
        </c:dLbls>
        <c:axId val="2020407808"/>
        <c:axId val="945477952"/>
      </c:area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midCat"/>
        <c:majorUnit val="10"/>
        <c:minorUnit val="1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 READY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INPUT!$AU$2</c:f>
              <c:strCache>
                <c:ptCount val="1"/>
                <c:pt idx="0">
                  <c:v>Make Readies</c:v>
                </c:pt>
              </c:strCache>
            </c:strRef>
          </c:tx>
          <c:spPr>
            <a:solidFill>
              <a:schemeClr val="accent1"/>
            </a:solidFill>
            <a:ln w="25400">
              <a:noFill/>
            </a:ln>
            <a:effectLst/>
          </c:spPr>
          <c:dLbls>
            <c:delete val="1"/>
          </c:dLbls>
          <c:cat>
            <c:numRef>
              <c:f>INPUT!$AS$3:$AS$193</c:f>
              <c:numCache>
                <c:formatCode>mm/dd/yyyy;@</c:formatCode>
                <c:ptCount val="191"/>
                <c:pt idx="0">
                  <c:v>45039</c:v>
                </c:pt>
                <c:pt idx="1">
                  <c:v>45047</c:v>
                </c:pt>
                <c:pt idx="2">
                  <c:v>45054</c:v>
                </c:pt>
                <c:pt idx="3">
                  <c:v>45061</c:v>
                </c:pt>
                <c:pt idx="4">
                  <c:v>45068</c:v>
                </c:pt>
                <c:pt idx="5">
                  <c:v>45075</c:v>
                </c:pt>
                <c:pt idx="6">
                  <c:v>45082</c:v>
                </c:pt>
                <c:pt idx="7">
                  <c:v>45089</c:v>
                </c:pt>
                <c:pt idx="8">
                  <c:v>45096</c:v>
                </c:pt>
                <c:pt idx="9">
                  <c:v>45103</c:v>
                </c:pt>
                <c:pt idx="10">
                  <c:v>45110</c:v>
                </c:pt>
                <c:pt idx="11">
                  <c:v>45117</c:v>
                </c:pt>
                <c:pt idx="12">
                  <c:v>45124</c:v>
                </c:pt>
                <c:pt idx="13">
                  <c:v>45131</c:v>
                </c:pt>
                <c:pt idx="14">
                  <c:v>45138</c:v>
                </c:pt>
                <c:pt idx="15">
                  <c:v>45145</c:v>
                </c:pt>
                <c:pt idx="16">
                  <c:v>45152</c:v>
                </c:pt>
                <c:pt idx="17">
                  <c:v>45159</c:v>
                </c:pt>
                <c:pt idx="18">
                  <c:v>45167</c:v>
                </c:pt>
                <c:pt idx="19">
                  <c:v>45173</c:v>
                </c:pt>
                <c:pt idx="20">
                  <c:v>45180</c:v>
                </c:pt>
                <c:pt idx="21">
                  <c:v>45187</c:v>
                </c:pt>
                <c:pt idx="22">
                  <c:v>45194</c:v>
                </c:pt>
                <c:pt idx="23">
                  <c:v>45201</c:v>
                </c:pt>
                <c:pt idx="24">
                  <c:v>45208</c:v>
                </c:pt>
                <c:pt idx="25">
                  <c:v>45215</c:v>
                </c:pt>
                <c:pt idx="26">
                  <c:v>45222</c:v>
                </c:pt>
                <c:pt idx="27">
                  <c:v>45229</c:v>
                </c:pt>
                <c:pt idx="28">
                  <c:v>45236</c:v>
                </c:pt>
                <c:pt idx="29">
                  <c:v>45243</c:v>
                </c:pt>
                <c:pt idx="30">
                  <c:v>45250</c:v>
                </c:pt>
                <c:pt idx="31">
                  <c:v>45257</c:v>
                </c:pt>
                <c:pt idx="32">
                  <c:v>45264</c:v>
                </c:pt>
                <c:pt idx="33">
                  <c:v>45271</c:v>
                </c:pt>
                <c:pt idx="34">
                  <c:v>45278</c:v>
                </c:pt>
                <c:pt idx="35">
                  <c:v>45285</c:v>
                </c:pt>
                <c:pt idx="36">
                  <c:v>45292</c:v>
                </c:pt>
                <c:pt idx="37">
                  <c:v>45299</c:v>
                </c:pt>
                <c:pt idx="38">
                  <c:v>45306</c:v>
                </c:pt>
                <c:pt idx="39">
                  <c:v>45313</c:v>
                </c:pt>
                <c:pt idx="40">
                  <c:v>45320</c:v>
                </c:pt>
                <c:pt idx="41">
                  <c:v>45327</c:v>
                </c:pt>
                <c:pt idx="42">
                  <c:v>45334</c:v>
                </c:pt>
                <c:pt idx="43">
                  <c:v>45341</c:v>
                </c:pt>
                <c:pt idx="44">
                  <c:v>45348</c:v>
                </c:pt>
                <c:pt idx="45">
                  <c:v>45355</c:v>
                </c:pt>
                <c:pt idx="46">
                  <c:v>45362</c:v>
                </c:pt>
                <c:pt idx="47">
                  <c:v>45369</c:v>
                </c:pt>
                <c:pt idx="48">
                  <c:v>45376</c:v>
                </c:pt>
                <c:pt idx="49">
                  <c:v>45383</c:v>
                </c:pt>
                <c:pt idx="50">
                  <c:v>45390</c:v>
                </c:pt>
                <c:pt idx="51">
                  <c:v>45397</c:v>
                </c:pt>
                <c:pt idx="52">
                  <c:v>45404</c:v>
                </c:pt>
                <c:pt idx="53">
                  <c:v>45411</c:v>
                </c:pt>
                <c:pt idx="54">
                  <c:v>45418</c:v>
                </c:pt>
                <c:pt idx="55">
                  <c:v>45425</c:v>
                </c:pt>
                <c:pt idx="56">
                  <c:v>45432</c:v>
                </c:pt>
                <c:pt idx="57">
                  <c:v>45439</c:v>
                </c:pt>
                <c:pt idx="58">
                  <c:v>45446</c:v>
                </c:pt>
                <c:pt idx="59">
                  <c:v>45453</c:v>
                </c:pt>
                <c:pt idx="60">
                  <c:v>45460</c:v>
                </c:pt>
                <c:pt idx="61">
                  <c:v>45467</c:v>
                </c:pt>
                <c:pt idx="62">
                  <c:v>45474</c:v>
                </c:pt>
                <c:pt idx="63">
                  <c:v>45481</c:v>
                </c:pt>
                <c:pt idx="64">
                  <c:v>45488</c:v>
                </c:pt>
                <c:pt idx="65">
                  <c:v>45495</c:v>
                </c:pt>
                <c:pt idx="66">
                  <c:v>45502</c:v>
                </c:pt>
                <c:pt idx="67">
                  <c:v>45509</c:v>
                </c:pt>
                <c:pt idx="68">
                  <c:v>45516</c:v>
                </c:pt>
                <c:pt idx="69">
                  <c:v>45523</c:v>
                </c:pt>
                <c:pt idx="70">
                  <c:v>45530</c:v>
                </c:pt>
                <c:pt idx="71">
                  <c:v>45537</c:v>
                </c:pt>
                <c:pt idx="72">
                  <c:v>45544</c:v>
                </c:pt>
                <c:pt idx="73">
                  <c:v>45551</c:v>
                </c:pt>
                <c:pt idx="74">
                  <c:v>45558</c:v>
                </c:pt>
                <c:pt idx="75">
                  <c:v>45565</c:v>
                </c:pt>
                <c:pt idx="76">
                  <c:v>45572</c:v>
                </c:pt>
                <c:pt idx="77">
                  <c:v>45579</c:v>
                </c:pt>
                <c:pt idx="78">
                  <c:v>45586</c:v>
                </c:pt>
                <c:pt idx="79">
                  <c:v>45593</c:v>
                </c:pt>
                <c:pt idx="80">
                  <c:v>45600</c:v>
                </c:pt>
                <c:pt idx="81">
                  <c:v>45607</c:v>
                </c:pt>
                <c:pt idx="82">
                  <c:v>45614</c:v>
                </c:pt>
                <c:pt idx="83">
                  <c:v>45621</c:v>
                </c:pt>
                <c:pt idx="84">
                  <c:v>45628</c:v>
                </c:pt>
                <c:pt idx="85">
                  <c:v>45635</c:v>
                </c:pt>
                <c:pt idx="86">
                  <c:v>45642</c:v>
                </c:pt>
                <c:pt idx="87">
                  <c:v>45649</c:v>
                </c:pt>
                <c:pt idx="88">
                  <c:v>45656</c:v>
                </c:pt>
                <c:pt idx="89">
                  <c:v>45663</c:v>
                </c:pt>
                <c:pt idx="90">
                  <c:v>45670</c:v>
                </c:pt>
                <c:pt idx="91">
                  <c:v>45677</c:v>
                </c:pt>
                <c:pt idx="92">
                  <c:v>45684</c:v>
                </c:pt>
                <c:pt idx="93">
                  <c:v>45691</c:v>
                </c:pt>
                <c:pt idx="94">
                  <c:v>45698</c:v>
                </c:pt>
                <c:pt idx="95">
                  <c:v>45705</c:v>
                </c:pt>
                <c:pt idx="96">
                  <c:v>45712</c:v>
                </c:pt>
                <c:pt idx="97">
                  <c:v>45719</c:v>
                </c:pt>
                <c:pt idx="98">
                  <c:v>45726</c:v>
                </c:pt>
                <c:pt idx="99">
                  <c:v>45733</c:v>
                </c:pt>
                <c:pt idx="100">
                  <c:v>45740</c:v>
                </c:pt>
                <c:pt idx="101">
                  <c:v>45747</c:v>
                </c:pt>
                <c:pt idx="102">
                  <c:v>45754</c:v>
                </c:pt>
                <c:pt idx="103">
                  <c:v>45761</c:v>
                </c:pt>
                <c:pt idx="104">
                  <c:v>45768</c:v>
                </c:pt>
                <c:pt idx="105">
                  <c:v>45775</c:v>
                </c:pt>
                <c:pt idx="106">
                  <c:v>45782</c:v>
                </c:pt>
                <c:pt idx="107">
                  <c:v>45789</c:v>
                </c:pt>
                <c:pt idx="108">
                  <c:v>45796</c:v>
                </c:pt>
                <c:pt idx="109">
                  <c:v>45803</c:v>
                </c:pt>
                <c:pt idx="110">
                  <c:v>45810</c:v>
                </c:pt>
                <c:pt idx="111">
                  <c:v>45817</c:v>
                </c:pt>
                <c:pt idx="112">
                  <c:v>45824</c:v>
                </c:pt>
                <c:pt idx="113">
                  <c:v>45831</c:v>
                </c:pt>
                <c:pt idx="114">
                  <c:v>45838</c:v>
                </c:pt>
                <c:pt idx="115">
                  <c:v>45845</c:v>
                </c:pt>
                <c:pt idx="116">
                  <c:v>45852</c:v>
                </c:pt>
                <c:pt idx="117">
                  <c:v>45859</c:v>
                </c:pt>
                <c:pt idx="118">
                  <c:v>45866</c:v>
                </c:pt>
                <c:pt idx="119">
                  <c:v>45873</c:v>
                </c:pt>
                <c:pt idx="120">
                  <c:v>45880</c:v>
                </c:pt>
                <c:pt idx="121">
                  <c:v>45887</c:v>
                </c:pt>
                <c:pt idx="122">
                  <c:v>45894</c:v>
                </c:pt>
                <c:pt idx="123">
                  <c:v>45901</c:v>
                </c:pt>
                <c:pt idx="124">
                  <c:v>45908</c:v>
                </c:pt>
                <c:pt idx="125">
                  <c:v>45915</c:v>
                </c:pt>
                <c:pt idx="126">
                  <c:v>45922</c:v>
                </c:pt>
                <c:pt idx="127">
                  <c:v>45929</c:v>
                </c:pt>
                <c:pt idx="128">
                  <c:v>45936</c:v>
                </c:pt>
                <c:pt idx="129">
                  <c:v>45943</c:v>
                </c:pt>
                <c:pt idx="130">
                  <c:v>45950</c:v>
                </c:pt>
                <c:pt idx="131">
                  <c:v>45957</c:v>
                </c:pt>
                <c:pt idx="132">
                  <c:v>45964</c:v>
                </c:pt>
                <c:pt idx="133">
                  <c:v>45971</c:v>
                </c:pt>
                <c:pt idx="134">
                  <c:v>45978</c:v>
                </c:pt>
                <c:pt idx="135">
                  <c:v>45985</c:v>
                </c:pt>
                <c:pt idx="136">
                  <c:v>45992</c:v>
                </c:pt>
                <c:pt idx="137">
                  <c:v>45999</c:v>
                </c:pt>
                <c:pt idx="138">
                  <c:v>46006</c:v>
                </c:pt>
                <c:pt idx="139">
                  <c:v>46013</c:v>
                </c:pt>
                <c:pt idx="140">
                  <c:v>46020</c:v>
                </c:pt>
                <c:pt idx="141">
                  <c:v>46027</c:v>
                </c:pt>
                <c:pt idx="142">
                  <c:v>46034</c:v>
                </c:pt>
                <c:pt idx="143">
                  <c:v>46041</c:v>
                </c:pt>
              </c:numCache>
            </c:numRef>
          </c:cat>
          <c:val>
            <c:numRef>
              <c:f>INPUT!$AU$3:$AU$195</c:f>
              <c:numCache>
                <c:formatCode>0</c:formatCode>
                <c:ptCount val="193"/>
                <c:pt idx="0">
                  <c:v>40</c:v>
                </c:pt>
                <c:pt idx="1">
                  <c:v>41</c:v>
                </c:pt>
                <c:pt idx="2">
                  <c:v>62</c:v>
                </c:pt>
                <c:pt idx="3">
                  <c:v>73</c:v>
                </c:pt>
                <c:pt idx="4">
                  <c:v>73</c:v>
                </c:pt>
                <c:pt idx="5">
                  <c:v>77</c:v>
                </c:pt>
                <c:pt idx="6">
                  <c:v>84</c:v>
                </c:pt>
                <c:pt idx="7">
                  <c:v>102</c:v>
                </c:pt>
                <c:pt idx="8">
                  <c:v>89</c:v>
                </c:pt>
                <c:pt idx="9">
                  <c:v>79</c:v>
                </c:pt>
                <c:pt idx="10">
                  <c:v>115</c:v>
                </c:pt>
                <c:pt idx="11">
                  <c:v>123</c:v>
                </c:pt>
                <c:pt idx="12">
                  <c:v>146</c:v>
                </c:pt>
                <c:pt idx="13">
                  <c:v>112</c:v>
                </c:pt>
                <c:pt idx="14">
                  <c:v>86</c:v>
                </c:pt>
                <c:pt idx="15">
                  <c:v>87</c:v>
                </c:pt>
                <c:pt idx="16">
                  <c:v>58</c:v>
                </c:pt>
                <c:pt idx="17">
                  <c:v>26</c:v>
                </c:pt>
                <c:pt idx="18">
                  <c:v>26</c:v>
                </c:pt>
                <c:pt idx="19">
                  <c:v>36</c:v>
                </c:pt>
                <c:pt idx="20">
                  <c:v>47</c:v>
                </c:pt>
                <c:pt idx="21">
                  <c:v>53</c:v>
                </c:pt>
                <c:pt idx="22">
                  <c:v>46</c:v>
                </c:pt>
                <c:pt idx="23">
                  <c:v>50</c:v>
                </c:pt>
                <c:pt idx="24">
                  <c:v>36</c:v>
                </c:pt>
                <c:pt idx="25">
                  <c:v>18</c:v>
                </c:pt>
                <c:pt idx="26">
                  <c:v>13</c:v>
                </c:pt>
                <c:pt idx="27">
                  <c:v>33</c:v>
                </c:pt>
                <c:pt idx="28">
                  <c:v>38</c:v>
                </c:pt>
                <c:pt idx="29">
                  <c:v>37</c:v>
                </c:pt>
                <c:pt idx="30">
                  <c:v>30</c:v>
                </c:pt>
                <c:pt idx="31">
                  <c:v>58</c:v>
                </c:pt>
                <c:pt idx="32">
                  <c:v>37</c:v>
                </c:pt>
                <c:pt idx="33">
                  <c:v>39</c:v>
                </c:pt>
                <c:pt idx="34">
                  <c:v>53</c:v>
                </c:pt>
                <c:pt idx="35">
                  <c:v>12</c:v>
                </c:pt>
                <c:pt idx="36">
                  <c:v>33</c:v>
                </c:pt>
                <c:pt idx="37">
                  <c:v>40</c:v>
                </c:pt>
                <c:pt idx="38">
                  <c:v>19</c:v>
                </c:pt>
                <c:pt idx="39">
                  <c:v>34</c:v>
                </c:pt>
                <c:pt idx="40">
                  <c:v>20</c:v>
                </c:pt>
                <c:pt idx="41">
                  <c:v>12</c:v>
                </c:pt>
                <c:pt idx="42">
                  <c:v>10</c:v>
                </c:pt>
                <c:pt idx="43">
                  <c:v>18</c:v>
                </c:pt>
                <c:pt idx="44">
                  <c:v>25</c:v>
                </c:pt>
                <c:pt idx="45">
                  <c:v>17</c:v>
                </c:pt>
                <c:pt idx="46">
                  <c:v>39</c:v>
                </c:pt>
                <c:pt idx="47">
                  <c:v>35</c:v>
                </c:pt>
                <c:pt idx="48">
                  <c:v>40</c:v>
                </c:pt>
                <c:pt idx="49">
                  <c:v>42</c:v>
                </c:pt>
                <c:pt idx="50">
                  <c:v>39</c:v>
                </c:pt>
                <c:pt idx="51">
                  <c:v>32</c:v>
                </c:pt>
                <c:pt idx="52">
                  <c:v>53</c:v>
                </c:pt>
                <c:pt idx="53">
                  <c:v>45</c:v>
                </c:pt>
                <c:pt idx="54">
                  <c:v>66</c:v>
                </c:pt>
                <c:pt idx="55">
                  <c:v>44</c:v>
                </c:pt>
                <c:pt idx="56">
                  <c:v>56</c:v>
                </c:pt>
                <c:pt idx="57">
                  <c:v>54</c:v>
                </c:pt>
                <c:pt idx="58">
                  <c:v>47</c:v>
                </c:pt>
                <c:pt idx="59">
                  <c:v>48</c:v>
                </c:pt>
                <c:pt idx="60">
                  <c:v>44</c:v>
                </c:pt>
                <c:pt idx="61">
                  <c:v>53</c:v>
                </c:pt>
                <c:pt idx="62">
                  <c:v>49</c:v>
                </c:pt>
                <c:pt idx="63">
                  <c:v>51</c:v>
                </c:pt>
                <c:pt idx="64">
                  <c:v>51</c:v>
                </c:pt>
                <c:pt idx="65">
                  <c:v>58</c:v>
                </c:pt>
                <c:pt idx="66">
                  <c:v>57</c:v>
                </c:pt>
                <c:pt idx="67">
                  <c:v>56</c:v>
                </c:pt>
                <c:pt idx="68">
                  <c:v>55</c:v>
                </c:pt>
                <c:pt idx="69">
                  <c:v>51</c:v>
                </c:pt>
                <c:pt idx="70">
                  <c:v>50</c:v>
                </c:pt>
                <c:pt idx="71">
                  <c:v>34</c:v>
                </c:pt>
                <c:pt idx="72">
                  <c:v>37</c:v>
                </c:pt>
                <c:pt idx="73">
                  <c:v>37</c:v>
                </c:pt>
                <c:pt idx="74">
                  <c:v>20</c:v>
                </c:pt>
                <c:pt idx="75">
                  <c:v>37</c:v>
                </c:pt>
                <c:pt idx="76">
                  <c:v>31</c:v>
                </c:pt>
                <c:pt idx="77">
                  <c:v>25</c:v>
                </c:pt>
                <c:pt idx="78">
                  <c:v>29</c:v>
                </c:pt>
                <c:pt idx="79">
                  <c:v>34</c:v>
                </c:pt>
                <c:pt idx="80">
                  <c:v>29</c:v>
                </c:pt>
                <c:pt idx="81">
                  <c:v>29</c:v>
                </c:pt>
                <c:pt idx="82">
                  <c:v>23</c:v>
                </c:pt>
                <c:pt idx="83">
                  <c:v>30</c:v>
                </c:pt>
                <c:pt idx="84">
                  <c:v>32</c:v>
                </c:pt>
                <c:pt idx="85">
                  <c:v>32</c:v>
                </c:pt>
                <c:pt idx="86">
                  <c:v>32</c:v>
                </c:pt>
                <c:pt idx="87">
                  <c:v>35</c:v>
                </c:pt>
                <c:pt idx="88">
                  <c:v>31</c:v>
                </c:pt>
                <c:pt idx="89">
                  <c:v>35</c:v>
                </c:pt>
                <c:pt idx="90">
                  <c:v>35</c:v>
                </c:pt>
                <c:pt idx="91">
                  <c:v>37</c:v>
                </c:pt>
                <c:pt idx="92">
                  <c:v>40</c:v>
                </c:pt>
                <c:pt idx="93">
                  <c:v>39</c:v>
                </c:pt>
                <c:pt idx="94">
                  <c:v>41</c:v>
                </c:pt>
                <c:pt idx="95">
                  <c:v>40</c:v>
                </c:pt>
                <c:pt idx="96">
                  <c:v>45</c:v>
                </c:pt>
                <c:pt idx="97">
                  <c:v>32</c:v>
                </c:pt>
                <c:pt idx="98">
                  <c:v>39</c:v>
                </c:pt>
                <c:pt idx="99">
                  <c:v>43</c:v>
                </c:pt>
                <c:pt idx="100">
                  <c:v>39</c:v>
                </c:pt>
                <c:pt idx="101">
                  <c:v>41</c:v>
                </c:pt>
                <c:pt idx="102">
                  <c:v>50</c:v>
                </c:pt>
                <c:pt idx="103">
                  <c:v>52</c:v>
                </c:pt>
                <c:pt idx="104">
                  <c:v>54</c:v>
                </c:pt>
                <c:pt idx="105">
                  <c:v>53</c:v>
                </c:pt>
                <c:pt idx="106">
                  <c:v>48</c:v>
                </c:pt>
                <c:pt idx="107">
                  <c:v>49</c:v>
                </c:pt>
                <c:pt idx="108">
                  <c:v>49</c:v>
                </c:pt>
                <c:pt idx="109">
                  <c:v>48</c:v>
                </c:pt>
                <c:pt idx="110">
                  <c:v>49</c:v>
                </c:pt>
                <c:pt idx="111">
                  <c:v>49</c:v>
                </c:pt>
                <c:pt idx="112">
                  <c:v>45</c:v>
                </c:pt>
                <c:pt idx="113">
                  <c:v>48</c:v>
                </c:pt>
                <c:pt idx="114">
                  <c:v>55</c:v>
                </c:pt>
                <c:pt idx="115">
                  <c:v>57</c:v>
                </c:pt>
                <c:pt idx="116">
                  <c:v>59</c:v>
                </c:pt>
                <c:pt idx="117">
                  <c:v>63</c:v>
                </c:pt>
                <c:pt idx="118">
                  <c:v>64</c:v>
                </c:pt>
                <c:pt idx="119">
                  <c:v>54</c:v>
                </c:pt>
                <c:pt idx="120">
                  <c:v>56</c:v>
                </c:pt>
              </c:numCache>
            </c:numRef>
          </c:val>
          <c:extLst>
            <c:ext xmlns:c16="http://schemas.microsoft.com/office/drawing/2014/chart" uri="{C3380CC4-5D6E-409C-BE32-E72D297353CC}">
              <c16:uniqueId val="{00000000-B020-495E-AC50-1BD3E9C9CEF1}"/>
            </c:ext>
          </c:extLst>
        </c:ser>
        <c:dLbls>
          <c:showLegendKey val="0"/>
          <c:showVal val="1"/>
          <c:showCatName val="0"/>
          <c:showSerName val="0"/>
          <c:showPercent val="0"/>
          <c:showBubbleSize val="0"/>
        </c:dLbls>
        <c:axId val="2020407808"/>
        <c:axId val="945477952"/>
      </c:area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midCat"/>
        <c:majorUnit val="10"/>
        <c:minorUnit val="1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INCOME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INCOME</c:v>
          </c:tx>
          <c:spPr>
            <a:solidFill>
              <a:schemeClr val="tx1">
                <a:lumMod val="50000"/>
                <a:lumOff val="50000"/>
              </a:schemeClr>
            </a:solidFill>
            <a:ln w="25400">
              <a:solidFill>
                <a:schemeClr val="tx1"/>
              </a:solidFill>
            </a:ln>
            <a:effectLst/>
          </c:spPr>
          <c:cat>
            <c:numRef>
              <c:f>INPUT!$S$3:$S$30</c:f>
              <c:numCache>
                <c:formatCode>mm/dd/yyyy;@</c:formatCode>
                <c:ptCount val="28"/>
                <c:pt idx="0">
                  <c:v>45017</c:v>
                </c:pt>
                <c:pt idx="1">
                  <c:v>45047</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pt idx="24">
                  <c:v>45748</c:v>
                </c:pt>
                <c:pt idx="25">
                  <c:v>45778</c:v>
                </c:pt>
                <c:pt idx="26">
                  <c:v>45809</c:v>
                </c:pt>
                <c:pt idx="27">
                  <c:v>45839</c:v>
                </c:pt>
              </c:numCache>
            </c:numRef>
          </c:cat>
          <c:val>
            <c:numRef>
              <c:f>INPUT!$T$3:$T$29</c:f>
              <c:numCache>
                <c:formatCode>_("$"* #,##0.00_);_("$"* \(#,##0.00\);_("$"* "-"??_);_(@_)</c:formatCode>
                <c:ptCount val="27"/>
                <c:pt idx="0">
                  <c:v>452210.48</c:v>
                </c:pt>
                <c:pt idx="1">
                  <c:v>526388</c:v>
                </c:pt>
                <c:pt idx="2">
                  <c:v>466809.48</c:v>
                </c:pt>
                <c:pt idx="3">
                  <c:v>479470.5</c:v>
                </c:pt>
                <c:pt idx="4">
                  <c:v>459900.67</c:v>
                </c:pt>
                <c:pt idx="5">
                  <c:v>463153.82</c:v>
                </c:pt>
                <c:pt idx="6">
                  <c:v>452706.51</c:v>
                </c:pt>
                <c:pt idx="7">
                  <c:v>475396.2</c:v>
                </c:pt>
                <c:pt idx="8">
                  <c:v>519923.69</c:v>
                </c:pt>
                <c:pt idx="9">
                  <c:v>487545.72</c:v>
                </c:pt>
                <c:pt idx="10">
                  <c:v>513821.4</c:v>
                </c:pt>
                <c:pt idx="11">
                  <c:v>521501.28</c:v>
                </c:pt>
                <c:pt idx="12">
                  <c:v>522882.75</c:v>
                </c:pt>
                <c:pt idx="13">
                  <c:v>549784.18000000005</c:v>
                </c:pt>
                <c:pt idx="14">
                  <c:v>513539.12</c:v>
                </c:pt>
                <c:pt idx="15">
                  <c:v>518146.38</c:v>
                </c:pt>
                <c:pt idx="16">
                  <c:v>519269.53</c:v>
                </c:pt>
                <c:pt idx="17">
                  <c:v>498518.06</c:v>
                </c:pt>
                <c:pt idx="18">
                  <c:v>504432.23</c:v>
                </c:pt>
                <c:pt idx="19">
                  <c:v>489745.13</c:v>
                </c:pt>
                <c:pt idx="20">
                  <c:v>518257.47</c:v>
                </c:pt>
                <c:pt idx="21">
                  <c:v>532152.43999999994</c:v>
                </c:pt>
                <c:pt idx="22">
                  <c:v>514932.38</c:v>
                </c:pt>
                <c:pt idx="23">
                  <c:v>510210.81</c:v>
                </c:pt>
                <c:pt idx="24">
                  <c:v>516149.16</c:v>
                </c:pt>
                <c:pt idx="25">
                  <c:v>523074.29000000004</c:v>
                </c:pt>
                <c:pt idx="26">
                  <c:v>500441.36</c:v>
                </c:pt>
              </c:numCache>
            </c:numRef>
          </c:val>
          <c:extLst>
            <c:ext xmlns:c16="http://schemas.microsoft.com/office/drawing/2014/chart" uri="{C3380CC4-5D6E-409C-BE32-E72D297353CC}">
              <c16:uniqueId val="{00000000-6D6F-4D76-8358-F423377F3C02}"/>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f>INPUT!$S$3:$S$30</c:f>
              <c:numCache>
                <c:formatCode>mm/dd/yyyy;@</c:formatCode>
                <c:ptCount val="28"/>
                <c:pt idx="0">
                  <c:v>45017</c:v>
                </c:pt>
                <c:pt idx="1">
                  <c:v>45047</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pt idx="24">
                  <c:v>45748</c:v>
                </c:pt>
                <c:pt idx="25">
                  <c:v>45778</c:v>
                </c:pt>
                <c:pt idx="26">
                  <c:v>45809</c:v>
                </c:pt>
                <c:pt idx="27">
                  <c:v>45839</c:v>
                </c:pt>
              </c:numCache>
            </c:numRef>
          </c:cat>
          <c:val>
            <c:numRef>
              <c:f>INPUT!$U$3:$U$29</c:f>
              <c:numCache>
                <c:formatCode>_("$"* #,##0.00_);_("$"* \(#,##0.00\);_("$"* "-"??_);_(@_)</c:formatCode>
                <c:ptCount val="27"/>
                <c:pt idx="0">
                  <c:v>485166.41</c:v>
                </c:pt>
                <c:pt idx="1">
                  <c:v>490256</c:v>
                </c:pt>
                <c:pt idx="2">
                  <c:v>495164.3</c:v>
                </c:pt>
                <c:pt idx="3">
                  <c:v>499902.69</c:v>
                </c:pt>
                <c:pt idx="4">
                  <c:v>504481.85</c:v>
                </c:pt>
                <c:pt idx="5">
                  <c:v>508911.73</c:v>
                </c:pt>
                <c:pt idx="6">
                  <c:v>513201.66</c:v>
                </c:pt>
                <c:pt idx="7">
                  <c:v>517436.64</c:v>
                </c:pt>
                <c:pt idx="8">
                  <c:v>520468</c:v>
                </c:pt>
                <c:pt idx="9">
                  <c:v>498811.19</c:v>
                </c:pt>
                <c:pt idx="10">
                  <c:v>506171.59</c:v>
                </c:pt>
                <c:pt idx="11">
                  <c:v>510171.59</c:v>
                </c:pt>
                <c:pt idx="12">
                  <c:v>515604.46</c:v>
                </c:pt>
                <c:pt idx="13">
                  <c:v>520246.98</c:v>
                </c:pt>
                <c:pt idx="14">
                  <c:v>524846.34</c:v>
                </c:pt>
                <c:pt idx="15">
                  <c:v>526808.09</c:v>
                </c:pt>
                <c:pt idx="16">
                  <c:v>528721.79</c:v>
                </c:pt>
                <c:pt idx="17">
                  <c:v>530591.01</c:v>
                </c:pt>
                <c:pt idx="18">
                  <c:v>532419.1</c:v>
                </c:pt>
                <c:pt idx="19">
                  <c:v>534209.17000000004</c:v>
                </c:pt>
                <c:pt idx="20">
                  <c:v>535964.02</c:v>
                </c:pt>
                <c:pt idx="21">
                  <c:v>515672.55</c:v>
                </c:pt>
                <c:pt idx="22">
                  <c:v>519380.95</c:v>
                </c:pt>
                <c:pt idx="23">
                  <c:v>523105.01</c:v>
                </c:pt>
                <c:pt idx="24">
                  <c:v>526884.77</c:v>
                </c:pt>
                <c:pt idx="25">
                  <c:v>530600.31000000006</c:v>
                </c:pt>
                <c:pt idx="26">
                  <c:v>531790.92000000004</c:v>
                </c:pt>
              </c:numCache>
            </c:numRef>
          </c:val>
          <c:extLst>
            <c:ext xmlns:c16="http://schemas.microsoft.com/office/drawing/2014/chart" uri="{C3380CC4-5D6E-409C-BE32-E72D297353CC}">
              <c16:uniqueId val="{00000002-6D6F-4D76-8358-F423377F3C02}"/>
            </c:ext>
          </c:extLst>
        </c:ser>
        <c:dLbls>
          <c:showLegendKey val="0"/>
          <c:showVal val="0"/>
          <c:showCatName val="0"/>
          <c:showSerName val="0"/>
          <c:showPercent val="0"/>
          <c:showBubbleSize val="0"/>
        </c:dLbls>
        <c:axId val="1891865552"/>
        <c:axId val="1891873872"/>
      </c:areaChart>
      <c:dateAx>
        <c:axId val="1891865552"/>
        <c:scaling>
          <c:orientation val="minMax"/>
          <c:max val="45809"/>
          <c:min val="45078"/>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months"/>
      </c:dateAx>
      <c:valAx>
        <c:axId val="1891873872"/>
        <c:scaling>
          <c:orientation val="minMax"/>
          <c:min val="12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EXPENSE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EXPENSE</c:v>
          </c:tx>
          <c:spPr>
            <a:solidFill>
              <a:schemeClr val="tx1">
                <a:lumMod val="50000"/>
                <a:lumOff val="50000"/>
              </a:schemeClr>
            </a:solidFill>
            <a:ln w="25400">
              <a:solidFill>
                <a:schemeClr val="tx1"/>
              </a:solidFill>
            </a:ln>
            <a:effectLst/>
          </c:spPr>
          <c:cat>
            <c:numRef>
              <c:f>INPUT!$S$3:$S$30</c:f>
              <c:numCache>
                <c:formatCode>mm/dd/yyyy;@</c:formatCode>
                <c:ptCount val="28"/>
                <c:pt idx="0">
                  <c:v>45017</c:v>
                </c:pt>
                <c:pt idx="1">
                  <c:v>45047</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pt idx="24">
                  <c:v>45748</c:v>
                </c:pt>
                <c:pt idx="25">
                  <c:v>45778</c:v>
                </c:pt>
                <c:pt idx="26">
                  <c:v>45809</c:v>
                </c:pt>
                <c:pt idx="27">
                  <c:v>45839</c:v>
                </c:pt>
              </c:numCache>
            </c:numRef>
          </c:cat>
          <c:val>
            <c:numRef>
              <c:f>INPUT!$W$3:$W$30</c:f>
              <c:numCache>
                <c:formatCode>_("$"* #,##0.00_);_("$"* \(#,##0.00\);_("$"* "-"??_);_(@_)</c:formatCode>
                <c:ptCount val="28"/>
                <c:pt idx="0">
                  <c:v>226975.34</c:v>
                </c:pt>
                <c:pt idx="1">
                  <c:v>221219.87</c:v>
                </c:pt>
                <c:pt idx="2">
                  <c:v>278593.21000000002</c:v>
                </c:pt>
                <c:pt idx="3">
                  <c:v>306590.52</c:v>
                </c:pt>
                <c:pt idx="4">
                  <c:v>325265.46999999997</c:v>
                </c:pt>
                <c:pt idx="5">
                  <c:v>259224.27</c:v>
                </c:pt>
                <c:pt idx="6">
                  <c:v>265341.01</c:v>
                </c:pt>
                <c:pt idx="7">
                  <c:v>249008.32</c:v>
                </c:pt>
                <c:pt idx="8">
                  <c:v>343297.06</c:v>
                </c:pt>
                <c:pt idx="9">
                  <c:v>258239.89</c:v>
                </c:pt>
                <c:pt idx="10">
                  <c:v>258576.17</c:v>
                </c:pt>
                <c:pt idx="11">
                  <c:v>270720.3</c:v>
                </c:pt>
                <c:pt idx="12">
                  <c:v>248487.33</c:v>
                </c:pt>
                <c:pt idx="13">
                  <c:v>303329.09000000003</c:v>
                </c:pt>
                <c:pt idx="14">
                  <c:v>275326.89</c:v>
                </c:pt>
                <c:pt idx="15">
                  <c:v>252796.88</c:v>
                </c:pt>
                <c:pt idx="16">
                  <c:v>249119.65</c:v>
                </c:pt>
                <c:pt idx="17">
                  <c:v>289964</c:v>
                </c:pt>
                <c:pt idx="18">
                  <c:v>278941.14</c:v>
                </c:pt>
                <c:pt idx="19">
                  <c:v>262907.93</c:v>
                </c:pt>
                <c:pt idx="20">
                  <c:v>228709.32</c:v>
                </c:pt>
                <c:pt idx="21">
                  <c:v>304499.53999999998</c:v>
                </c:pt>
                <c:pt idx="22">
                  <c:v>261922.36</c:v>
                </c:pt>
                <c:pt idx="23">
                  <c:v>238080.18</c:v>
                </c:pt>
                <c:pt idx="24">
                  <c:v>247179.89</c:v>
                </c:pt>
                <c:pt idx="25">
                  <c:v>272594.84000000003</c:v>
                </c:pt>
                <c:pt idx="26">
                  <c:v>284466.81</c:v>
                </c:pt>
                <c:pt idx="27">
                  <c:v>322666.52</c:v>
                </c:pt>
              </c:numCache>
            </c:numRef>
          </c:val>
          <c:extLst>
            <c:ext xmlns:c16="http://schemas.microsoft.com/office/drawing/2014/chart" uri="{C3380CC4-5D6E-409C-BE32-E72D297353CC}">
              <c16:uniqueId val="{00000000-5D89-4E40-9E31-23569637780C}"/>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f>INPUT!$S$3:$S$30</c:f>
              <c:numCache>
                <c:formatCode>mm/dd/yyyy;@</c:formatCode>
                <c:ptCount val="28"/>
                <c:pt idx="0">
                  <c:v>45017</c:v>
                </c:pt>
                <c:pt idx="1">
                  <c:v>45047</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pt idx="24">
                  <c:v>45748</c:v>
                </c:pt>
                <c:pt idx="25">
                  <c:v>45778</c:v>
                </c:pt>
                <c:pt idx="26">
                  <c:v>45809</c:v>
                </c:pt>
                <c:pt idx="27">
                  <c:v>45839</c:v>
                </c:pt>
              </c:numCache>
            </c:numRef>
          </c:cat>
          <c:val>
            <c:numRef>
              <c:f>INPUT!$X$3:$X$30</c:f>
              <c:numCache>
                <c:formatCode>_("$"* #,##0.00_);_("$"* \(#,##0.00\);_("$"* "-"??_);_(@_)</c:formatCode>
                <c:ptCount val="28"/>
                <c:pt idx="0">
                  <c:v>193444.82</c:v>
                </c:pt>
                <c:pt idx="1">
                  <c:v>192977.86</c:v>
                </c:pt>
                <c:pt idx="2">
                  <c:v>192567.43</c:v>
                </c:pt>
                <c:pt idx="3">
                  <c:v>192207.66</c:v>
                </c:pt>
                <c:pt idx="4">
                  <c:v>191893.31</c:v>
                </c:pt>
                <c:pt idx="5">
                  <c:v>191619.65</c:v>
                </c:pt>
                <c:pt idx="6">
                  <c:v>191382.45</c:v>
                </c:pt>
                <c:pt idx="7">
                  <c:v>191180.2</c:v>
                </c:pt>
                <c:pt idx="8">
                  <c:v>190976</c:v>
                </c:pt>
                <c:pt idx="9">
                  <c:v>227571.82</c:v>
                </c:pt>
                <c:pt idx="10">
                  <c:v>227279.33</c:v>
                </c:pt>
                <c:pt idx="11">
                  <c:v>226945.23</c:v>
                </c:pt>
                <c:pt idx="12">
                  <c:v>226632.43</c:v>
                </c:pt>
                <c:pt idx="13">
                  <c:v>226339.96</c:v>
                </c:pt>
                <c:pt idx="14">
                  <c:v>226066.83</c:v>
                </c:pt>
                <c:pt idx="15">
                  <c:v>225894.65</c:v>
                </c:pt>
                <c:pt idx="16">
                  <c:v>225727.91</c:v>
                </c:pt>
                <c:pt idx="17">
                  <c:v>225566.49</c:v>
                </c:pt>
                <c:pt idx="18">
                  <c:v>225410.29</c:v>
                </c:pt>
                <c:pt idx="19">
                  <c:v>225259.19</c:v>
                </c:pt>
                <c:pt idx="20">
                  <c:v>225113.09</c:v>
                </c:pt>
                <c:pt idx="21">
                  <c:v>264955.59000000003</c:v>
                </c:pt>
                <c:pt idx="22">
                  <c:v>265048.3</c:v>
                </c:pt>
                <c:pt idx="23">
                  <c:v>270141.40999999997</c:v>
                </c:pt>
                <c:pt idx="24">
                  <c:v>267234.90000000002</c:v>
                </c:pt>
                <c:pt idx="25">
                  <c:v>267328.78999999998</c:v>
                </c:pt>
                <c:pt idx="26">
                  <c:v>268358.55</c:v>
                </c:pt>
                <c:pt idx="27">
                  <c:v>268388.39</c:v>
                </c:pt>
              </c:numCache>
            </c:numRef>
          </c:val>
          <c:extLst>
            <c:ext xmlns:c16="http://schemas.microsoft.com/office/drawing/2014/chart" uri="{C3380CC4-5D6E-409C-BE32-E72D297353CC}">
              <c16:uniqueId val="{00000001-5D89-4E40-9E31-23569637780C}"/>
            </c:ext>
          </c:extLst>
        </c:ser>
        <c:dLbls>
          <c:showLegendKey val="0"/>
          <c:showVal val="0"/>
          <c:showCatName val="0"/>
          <c:showSerName val="0"/>
          <c:showPercent val="0"/>
          <c:showBubbleSize val="0"/>
        </c:dLbls>
        <c:axId val="1891865552"/>
        <c:axId val="1891873872"/>
      </c:areaChart>
      <c:dateAx>
        <c:axId val="1891865552"/>
        <c:scaling>
          <c:orientation val="minMax"/>
          <c:max val="45809"/>
          <c:min val="45078"/>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months"/>
      </c:dateAx>
      <c:valAx>
        <c:axId val="1891873872"/>
        <c:scaling>
          <c:orientation val="minMax"/>
          <c:min val="5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CHARGES</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numFmt formatCode="_(&quot;$&quot;* #,##0_);_(&quot;$&quot;* \(#,##0\);_(&quot;$&quot;* &quot;-&quot;_);_(@_)" sourceLinked="0"/>
            <c:spPr>
              <a:noFill/>
              <a:ln>
                <a:noFill/>
              </a:ln>
              <a:effectLst/>
            </c:spPr>
            <c:txPr>
              <a:bodyPr rot="0" spcFirstLastPara="1" vertOverflow="ellipsis" vert="horz" wrap="square" lIns="91440"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(INPUT!$AE$3:$AE$15,INPUT!$AE$20:$AE$72)</c:f>
              <c:numCache>
                <c:formatCode>_("$"* #,##0.00_);_("$"* \(#,##0.00\);_("$"* "-"??_);_(@_)</c:formatCode>
                <c:ptCount val="66"/>
                <c:pt idx="0">
                  <c:v>535917.84299999999</c:v>
                </c:pt>
                <c:pt idx="1">
                  <c:v>515313.66</c:v>
                </c:pt>
                <c:pt idx="2">
                  <c:v>515479.48</c:v>
                </c:pt>
                <c:pt idx="3">
                  <c:v>506152.13</c:v>
                </c:pt>
                <c:pt idx="4">
                  <c:v>525739.29</c:v>
                </c:pt>
                <c:pt idx="5">
                  <c:v>534550.74</c:v>
                </c:pt>
                <c:pt idx="6">
                  <c:v>524001.5</c:v>
                </c:pt>
                <c:pt idx="7">
                  <c:v>527339.72</c:v>
                </c:pt>
                <c:pt idx="8">
                  <c:v>531129.15</c:v>
                </c:pt>
                <c:pt idx="9">
                  <c:v>546014.16999999993</c:v>
                </c:pt>
                <c:pt idx="10">
                  <c:v>517409.27999999997</c:v>
                </c:pt>
                <c:pt idx="11">
                  <c:v>514990.25</c:v>
                </c:pt>
                <c:pt idx="12">
                  <c:v>527236.32999999996</c:v>
                </c:pt>
              </c:numCache>
              <c:extLst/>
            </c:numRef>
          </c:val>
          <c:smooth val="1"/>
          <c:extLst>
            <c:ext xmlns:c16="http://schemas.microsoft.com/office/drawing/2014/chart" uri="{C3380CC4-5D6E-409C-BE32-E72D297353CC}">
              <c16:uniqueId val="{00000000-CB2E-4A94-A1B0-55D873EA1E7C}"/>
            </c:ext>
          </c:extLst>
        </c:ser>
        <c:ser>
          <c:idx val="1"/>
          <c:order val="1"/>
          <c:tx>
            <c:v>TOTAL COLLECTIONS</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_(&quot;$&quot;* #,##0_);_(&quot;$&quot;* \(#,##0\);_(&quot;$&quot;* &quot;-&quot;_);_(@_)"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(INPUT!$AF$3:$AF$15,INPUT!$AF$20:$AF$72)</c:f>
              <c:numCache>
                <c:formatCode>_("$"* #,##0.00_);_("$"* \(#,##0.00\);_("$"* "-"??_);_(@_)</c:formatCode>
                <c:ptCount val="66"/>
                <c:pt idx="0">
                  <c:v>532124.03299999994</c:v>
                </c:pt>
                <c:pt idx="1">
                  <c:v>512874.12999999995</c:v>
                </c:pt>
                <c:pt idx="2">
                  <c:v>511230.68</c:v>
                </c:pt>
                <c:pt idx="3">
                  <c:v>493609.07</c:v>
                </c:pt>
                <c:pt idx="4">
                  <c:v>508425.81000000006</c:v>
                </c:pt>
                <c:pt idx="5">
                  <c:v>521654.70999999996</c:v>
                </c:pt>
                <c:pt idx="6">
                  <c:v>503603.41</c:v>
                </c:pt>
                <c:pt idx="7">
                  <c:v>513969.04</c:v>
                </c:pt>
                <c:pt idx="8">
                  <c:v>511946.47000000003</c:v>
                </c:pt>
                <c:pt idx="9">
                  <c:v>532503.00999999989</c:v>
                </c:pt>
                <c:pt idx="10">
                  <c:v>494559.75999999995</c:v>
                </c:pt>
                <c:pt idx="11">
                  <c:v>495378.15</c:v>
                </c:pt>
                <c:pt idx="12">
                  <c:v>458225.04999999993</c:v>
                </c:pt>
              </c:numCache>
              <c:extLst/>
            </c:numRef>
          </c:val>
          <c:smooth val="1"/>
          <c:extLst>
            <c:ext xmlns:c16="http://schemas.microsoft.com/office/drawing/2014/chart" uri="{C3380CC4-5D6E-409C-BE32-E72D297353CC}">
              <c16:uniqueId val="{00000002-CB2E-4A94-A1B0-55D873EA1E7C}"/>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months"/>
      </c:dateAx>
      <c:valAx>
        <c:axId val="945477952"/>
        <c:scaling>
          <c:orientation val="minMax"/>
          <c:max val="600000"/>
          <c:min val="425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COLLECTTED %</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INPUT!$AG$3:$AG$65</c:f>
              <c:numCache>
                <c:formatCode>0.00%</c:formatCode>
                <c:ptCount val="63"/>
                <c:pt idx="0">
                  <c:v>0.99292091120018922</c:v>
                </c:pt>
                <c:pt idx="1">
                  <c:v>0.99526593182101941</c:v>
                </c:pt>
                <c:pt idx="2">
                  <c:v>0.99175757684864585</c:v>
                </c:pt>
                <c:pt idx="3">
                  <c:v>0.97521879439685455</c:v>
                </c:pt>
                <c:pt idx="4">
                  <c:v>0.96706831631320544</c:v>
                </c:pt>
                <c:pt idx="5">
                  <c:v>0.97587501235149343</c:v>
                </c:pt>
                <c:pt idx="6">
                  <c:v>0.9610724587620455</c:v>
                </c:pt>
                <c:pt idx="7">
                  <c:v>0.97464503527251845</c:v>
                </c:pt>
                <c:pt idx="8">
                  <c:v>0.96388320994997168</c:v>
                </c:pt>
                <c:pt idx="9">
                  <c:v>0.97525492790782331</c:v>
                </c:pt>
                <c:pt idx="10">
                  <c:v>0.95583859647820768</c:v>
                </c:pt>
                <c:pt idx="11">
                  <c:v>0.96191753144841097</c:v>
                </c:pt>
                <c:pt idx="12">
                  <c:v>0.86910750251220348</c:v>
                </c:pt>
                <c:pt idx="13" formatCode="0.0%">
                  <c:v>0</c:v>
                </c:pt>
                <c:pt idx="14" formatCode="0.0%">
                  <c:v>0</c:v>
                </c:pt>
                <c:pt idx="15" formatCode="0.0%">
                  <c:v>0</c:v>
                </c:pt>
                <c:pt idx="16" formatCode="0.0%">
                  <c:v>0</c:v>
                </c:pt>
                <c:pt idx="17" formatCode="0.0%">
                  <c:v>0</c:v>
                </c:pt>
                <c:pt idx="18" formatCode="0.0%">
                  <c:v>0</c:v>
                </c:pt>
                <c:pt idx="19" formatCode="0.0%">
                  <c:v>0</c:v>
                </c:pt>
                <c:pt idx="20" formatCode="0.0%">
                  <c:v>0</c:v>
                </c:pt>
                <c:pt idx="21" formatCode="0.0%">
                  <c:v>0</c:v>
                </c:pt>
                <c:pt idx="22" formatCode="0.0%">
                  <c:v>0</c:v>
                </c:pt>
                <c:pt idx="23" formatCode="0.0%">
                  <c:v>0</c:v>
                </c:pt>
                <c:pt idx="24" formatCode="0.0%">
                  <c:v>0</c:v>
                </c:pt>
                <c:pt idx="25" formatCode="0.0%">
                  <c:v>0</c:v>
                </c:pt>
                <c:pt idx="26" formatCode="0.0%">
                  <c:v>0</c:v>
                </c:pt>
                <c:pt idx="27" formatCode="0.0%">
                  <c:v>0</c:v>
                </c:pt>
                <c:pt idx="28" formatCode="0.0%">
                  <c:v>0</c:v>
                </c:pt>
                <c:pt idx="29" formatCode="0.0%">
                  <c:v>0</c:v>
                </c:pt>
                <c:pt idx="30" formatCode="0.0%">
                  <c:v>0</c:v>
                </c:pt>
                <c:pt idx="31" formatCode="0.0%">
                  <c:v>0</c:v>
                </c:pt>
                <c:pt idx="32" formatCode="0.0%">
                  <c:v>0</c:v>
                </c:pt>
                <c:pt idx="33" formatCode="0.0%">
                  <c:v>0</c:v>
                </c:pt>
                <c:pt idx="34" formatCode="0.0%">
                  <c:v>0</c:v>
                </c:pt>
                <c:pt idx="35" formatCode="0.0%">
                  <c:v>0</c:v>
                </c:pt>
                <c:pt idx="36" formatCode="0.0%">
                  <c:v>0</c:v>
                </c:pt>
                <c:pt idx="37" formatCode="0.0%">
                  <c:v>0</c:v>
                </c:pt>
                <c:pt idx="38" formatCode="0.0%">
                  <c:v>0</c:v>
                </c:pt>
                <c:pt idx="39" formatCode="0.0%">
                  <c:v>0</c:v>
                </c:pt>
                <c:pt idx="40" formatCode="0.0%">
                  <c:v>0</c:v>
                </c:pt>
                <c:pt idx="41" formatCode="0.0%">
                  <c:v>0</c:v>
                </c:pt>
                <c:pt idx="42" formatCode="0.0%">
                  <c:v>0</c:v>
                </c:pt>
                <c:pt idx="43" formatCode="0.0%">
                  <c:v>0</c:v>
                </c:pt>
                <c:pt idx="44" formatCode="0.0%">
                  <c:v>0</c:v>
                </c:pt>
                <c:pt idx="45" formatCode="0.0%">
                  <c:v>0</c:v>
                </c:pt>
                <c:pt idx="46" formatCode="0.0%">
                  <c:v>0</c:v>
                </c:pt>
                <c:pt idx="47" formatCode="0.0%">
                  <c:v>0</c:v>
                </c:pt>
                <c:pt idx="48" formatCode="0.0%">
                  <c:v>0</c:v>
                </c:pt>
                <c:pt idx="49" formatCode="0.0%">
                  <c:v>0</c:v>
                </c:pt>
                <c:pt idx="50" formatCode="0.0%">
                  <c:v>0</c:v>
                </c:pt>
                <c:pt idx="51" formatCode="0.0%">
                  <c:v>0</c:v>
                </c:pt>
                <c:pt idx="52" formatCode="0.0%">
                  <c:v>0</c:v>
                </c:pt>
                <c:pt idx="53" formatCode="0.0%">
                  <c:v>0</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numCache>
            </c:numRef>
          </c:val>
          <c:smooth val="1"/>
          <c:extLst>
            <c:ext xmlns:c16="http://schemas.microsoft.com/office/drawing/2014/chart" uri="{C3380CC4-5D6E-409C-BE32-E72D297353CC}">
              <c16:uniqueId val="{00000000-DD84-4574-8324-0AACA975C62F}"/>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months"/>
      </c:dateAx>
      <c:valAx>
        <c:axId val="945477952"/>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29</xdr:col>
      <xdr:colOff>66675</xdr:colOff>
      <xdr:row>16</xdr:row>
      <xdr:rowOff>38100</xdr:rowOff>
    </xdr:from>
    <xdr:to>
      <xdr:col>31</xdr:col>
      <xdr:colOff>838200</xdr:colOff>
      <xdr:row>18</xdr:row>
      <xdr:rowOff>152400</xdr:rowOff>
    </xdr:to>
    <xdr:sp macro="" textlink="">
      <xdr:nvSpPr>
        <xdr:cNvPr id="2" name="TextBox 1">
          <a:extLst>
            <a:ext uri="{FF2B5EF4-FFF2-40B4-BE49-F238E27FC236}">
              <a16:creationId xmlns:a16="http://schemas.microsoft.com/office/drawing/2014/main" id="{94641186-21F7-4D9F-92E1-AAFD1A2B94B0}"/>
            </a:ext>
          </a:extLst>
        </xdr:cNvPr>
        <xdr:cNvSpPr txBox="1"/>
      </xdr:nvSpPr>
      <xdr:spPr>
        <a:xfrm>
          <a:off x="10277475" y="3086100"/>
          <a:ext cx="250507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enter prior 12 months above that</a:t>
          </a:r>
          <a:endParaRPr lang="en-US" sz="1100"/>
        </a:p>
      </xdr:txBody>
    </xdr:sp>
    <xdr:clientData/>
  </xdr:twoCellAnchor>
  <xdr:twoCellAnchor>
    <xdr:from>
      <xdr:col>15</xdr:col>
      <xdr:colOff>45507</xdr:colOff>
      <xdr:row>48</xdr:row>
      <xdr:rowOff>95779</xdr:rowOff>
    </xdr:from>
    <xdr:to>
      <xdr:col>27</xdr:col>
      <xdr:colOff>685269</xdr:colOff>
      <xdr:row>51</xdr:row>
      <xdr:rowOff>29104</xdr:rowOff>
    </xdr:to>
    <xdr:sp macro="" textlink="">
      <xdr:nvSpPr>
        <xdr:cNvPr id="3" name="TextBox 2">
          <a:extLst>
            <a:ext uri="{FF2B5EF4-FFF2-40B4-BE49-F238E27FC236}">
              <a16:creationId xmlns:a16="http://schemas.microsoft.com/office/drawing/2014/main" id="{7E49A947-E0C6-4C6E-B1F5-A45C344D8BF9}"/>
            </a:ext>
          </a:extLst>
        </xdr:cNvPr>
        <xdr:cNvSpPr txBox="1"/>
      </xdr:nvSpPr>
      <xdr:spPr>
        <a:xfrm>
          <a:off x="15552207" y="9077854"/>
          <a:ext cx="9374187"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a:t>
          </a:r>
          <a:r>
            <a:rPr lang="en-US" sz="1100" baseline="0"/>
            <a:t> and remove months and dates to these charts as desired. At some point the graphs will become too crowded so adjust as needed to provide the desired info. use at least 13 months. </a:t>
          </a:r>
          <a:endParaRPr lang="en-US" sz="1100"/>
        </a:p>
      </xdr:txBody>
    </xdr:sp>
    <xdr:clientData/>
  </xdr:twoCellAnchor>
  <xdr:twoCellAnchor>
    <xdr:from>
      <xdr:col>40</xdr:col>
      <xdr:colOff>114300</xdr:colOff>
      <xdr:row>15</xdr:row>
      <xdr:rowOff>123824</xdr:rowOff>
    </xdr:from>
    <xdr:to>
      <xdr:col>43</xdr:col>
      <xdr:colOff>390525</xdr:colOff>
      <xdr:row>21</xdr:row>
      <xdr:rowOff>19049</xdr:rowOff>
    </xdr:to>
    <xdr:sp macro="" textlink="">
      <xdr:nvSpPr>
        <xdr:cNvPr id="4" name="TextBox 3">
          <a:extLst>
            <a:ext uri="{FF2B5EF4-FFF2-40B4-BE49-F238E27FC236}">
              <a16:creationId xmlns:a16="http://schemas.microsoft.com/office/drawing/2014/main" id="{D776F6BB-E091-45C3-B77F-FD5D6E429C7A}"/>
            </a:ext>
          </a:extLst>
        </xdr:cNvPr>
        <xdr:cNvSpPr txBox="1"/>
      </xdr:nvSpPr>
      <xdr:spPr>
        <a:xfrm>
          <a:off x="21431250" y="3219449"/>
          <a:ext cx="266700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a:t>
          </a:r>
          <a:r>
            <a:rPr lang="en-US" sz="1100" baseline="0">
              <a:solidFill>
                <a:schemeClr val="dk1"/>
              </a:solidFill>
              <a:effectLst/>
              <a:latin typeface="+mn-lt"/>
              <a:ea typeface="+mn-ea"/>
              <a:cs typeface="+mn-cs"/>
            </a:rPr>
            <a:t>Cells for current month (to the right of blue cell) calculate automatically so move them up to prior month before adjusting the chart.</a:t>
          </a:r>
          <a:r>
            <a:rPr lang="en-US" sz="1100" baseline="0"/>
            <a:t> Enter prior 12 months above that. </a:t>
          </a:r>
          <a:endParaRPr lang="en-US" sz="1100"/>
        </a:p>
      </xdr:txBody>
    </xdr:sp>
    <xdr:clientData/>
  </xdr:twoCellAnchor>
  <xdr:twoCellAnchor>
    <xdr:from>
      <xdr:col>31</xdr:col>
      <xdr:colOff>276224</xdr:colOff>
      <xdr:row>19</xdr:row>
      <xdr:rowOff>152400</xdr:rowOff>
    </xdr:from>
    <xdr:to>
      <xdr:col>33</xdr:col>
      <xdr:colOff>95250</xdr:colOff>
      <xdr:row>26</xdr:row>
      <xdr:rowOff>104775</xdr:rowOff>
    </xdr:to>
    <xdr:sp macro="" textlink="">
      <xdr:nvSpPr>
        <xdr:cNvPr id="5" name="TextBox 4">
          <a:extLst>
            <a:ext uri="{FF2B5EF4-FFF2-40B4-BE49-F238E27FC236}">
              <a16:creationId xmlns:a16="http://schemas.microsoft.com/office/drawing/2014/main" id="{E27D57F6-BB25-473D-9A4C-51B896498CE3}"/>
            </a:ext>
          </a:extLst>
        </xdr:cNvPr>
        <xdr:cNvSpPr txBox="1"/>
      </xdr:nvSpPr>
      <xdr:spPr>
        <a:xfrm>
          <a:off x="25717499" y="3819525"/>
          <a:ext cx="1485901"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chart to right with current occupancy</a:t>
          </a:r>
          <a:r>
            <a:rPr lang="en-US" sz="1100" baseline="0"/>
            <a:t> weekly but only update unit types, </a:t>
          </a:r>
          <a:r>
            <a:rPr lang="en-US" sz="1100"/>
            <a:t>market and in place rents monthly.</a:t>
          </a:r>
        </a:p>
      </xdr:txBody>
    </xdr:sp>
    <xdr:clientData/>
  </xdr:twoCellAnchor>
  <xdr:twoCellAnchor>
    <xdr:from>
      <xdr:col>3</xdr:col>
      <xdr:colOff>28575</xdr:colOff>
      <xdr:row>22</xdr:row>
      <xdr:rowOff>38100</xdr:rowOff>
    </xdr:from>
    <xdr:to>
      <xdr:col>3</xdr:col>
      <xdr:colOff>1047750</xdr:colOff>
      <xdr:row>29</xdr:row>
      <xdr:rowOff>47625</xdr:rowOff>
    </xdr:to>
    <xdr:sp macro="" textlink="">
      <xdr:nvSpPr>
        <xdr:cNvPr id="6" name="TextBox 5">
          <a:extLst>
            <a:ext uri="{FF2B5EF4-FFF2-40B4-BE49-F238E27FC236}">
              <a16:creationId xmlns:a16="http://schemas.microsoft.com/office/drawing/2014/main" id="{F12D0F3C-9ACC-4878-9397-410F27364DF3}"/>
            </a:ext>
          </a:extLst>
        </xdr:cNvPr>
        <xdr:cNvSpPr txBox="1"/>
      </xdr:nvSpPr>
      <xdr:spPr>
        <a:xfrm>
          <a:off x="4124325" y="4276725"/>
          <a:ext cx="1019175"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Remove first row every week,</a:t>
          </a:r>
          <a:r>
            <a:rPr lang="en-US" sz="1100" baseline="0"/>
            <a:t> move dates up and add new date for bottom row.</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598042</xdr:colOff>
      <xdr:row>21</xdr:row>
      <xdr:rowOff>57149</xdr:rowOff>
    </xdr:to>
    <xdr:pic>
      <xdr:nvPicPr>
        <xdr:cNvPr id="5" name="Picture 4">
          <a:extLst>
            <a:ext uri="{FF2B5EF4-FFF2-40B4-BE49-F238E27FC236}">
              <a16:creationId xmlns:a16="http://schemas.microsoft.com/office/drawing/2014/main" id="{0B136543-2FDC-4D55-BCAA-3465024B498E}"/>
            </a:ext>
          </a:extLst>
        </xdr:cNvPr>
        <xdr:cNvPicPr>
          <a:picLocks noChangeAspect="1"/>
        </xdr:cNvPicPr>
      </xdr:nvPicPr>
      <xdr:blipFill>
        <a:blip xmlns:r="http://schemas.openxmlformats.org/officeDocument/2006/relationships" r:embed="rId1"/>
        <a:stretch>
          <a:fillRect/>
        </a:stretch>
      </xdr:blipFill>
      <xdr:spPr>
        <a:xfrm>
          <a:off x="0" y="0"/>
          <a:ext cx="8522842" cy="38576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4</xdr:row>
      <xdr:rowOff>0</xdr:rowOff>
    </xdr:from>
    <xdr:to>
      <xdr:col>6</xdr:col>
      <xdr:colOff>0</xdr:colOff>
      <xdr:row>22</xdr:row>
      <xdr:rowOff>166682</xdr:rowOff>
    </xdr:to>
    <xdr:graphicFrame macro="">
      <xdr:nvGraphicFramePr>
        <xdr:cNvPr id="2" name="Chart 1">
          <a:extLst>
            <a:ext uri="{FF2B5EF4-FFF2-40B4-BE49-F238E27FC236}">
              <a16:creationId xmlns:a16="http://schemas.microsoft.com/office/drawing/2014/main" id="{5AE287F4-8FE2-4ACF-B1A4-6107ABEAA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297656</xdr:rowOff>
    </xdr:from>
    <xdr:to>
      <xdr:col>12</xdr:col>
      <xdr:colOff>0</xdr:colOff>
      <xdr:row>20</xdr:row>
      <xdr:rowOff>158749</xdr:rowOff>
    </xdr:to>
    <xdr:graphicFrame macro="">
      <xdr:nvGraphicFramePr>
        <xdr:cNvPr id="4" name="Chart 3">
          <a:extLst>
            <a:ext uri="{FF2B5EF4-FFF2-40B4-BE49-F238E27FC236}">
              <a16:creationId xmlns:a16="http://schemas.microsoft.com/office/drawing/2014/main" id="{C0A135FB-9EA5-4BE0-88DF-EF754221E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0</xdr:row>
      <xdr:rowOff>152399</xdr:rowOff>
    </xdr:from>
    <xdr:to>
      <xdr:col>1</xdr:col>
      <xdr:colOff>400049</xdr:colOff>
      <xdr:row>2</xdr:row>
      <xdr:rowOff>161924</xdr:rowOff>
    </xdr:to>
    <xdr:sp macro="" textlink="">
      <xdr:nvSpPr>
        <xdr:cNvPr id="6" name="Rectangle 5">
          <a:extLst>
            <a:ext uri="{FF2B5EF4-FFF2-40B4-BE49-F238E27FC236}">
              <a16:creationId xmlns:a16="http://schemas.microsoft.com/office/drawing/2014/main" id="{838963A1-FE6F-4940-BBE3-DEAF79A28355}"/>
            </a:ext>
          </a:extLst>
        </xdr:cNvPr>
        <xdr:cNvSpPr/>
      </xdr:nvSpPr>
      <xdr:spPr>
        <a:xfrm>
          <a:off x="219074"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1</a:t>
          </a:r>
        </a:p>
      </xdr:txBody>
    </xdr:sp>
    <xdr:clientData/>
  </xdr:twoCellAnchor>
  <xdr:twoCellAnchor>
    <xdr:from>
      <xdr:col>1</xdr:col>
      <xdr:colOff>419099</xdr:colOff>
      <xdr:row>0</xdr:row>
      <xdr:rowOff>152399</xdr:rowOff>
    </xdr:from>
    <xdr:to>
      <xdr:col>4</xdr:col>
      <xdr:colOff>1028700</xdr:colOff>
      <xdr:row>2</xdr:row>
      <xdr:rowOff>161924</xdr:rowOff>
    </xdr:to>
    <xdr:sp macro="" textlink="">
      <xdr:nvSpPr>
        <xdr:cNvPr id="7" name="Rectangle 6">
          <a:extLst>
            <a:ext uri="{FF2B5EF4-FFF2-40B4-BE49-F238E27FC236}">
              <a16:creationId xmlns:a16="http://schemas.microsoft.com/office/drawing/2014/main" id="{49C914AF-F25D-48AF-9248-7733D259600D}"/>
            </a:ext>
          </a:extLst>
        </xdr:cNvPr>
        <xdr:cNvSpPr/>
      </xdr:nvSpPr>
      <xdr:spPr>
        <a:xfrm>
          <a:off x="628649" y="152399"/>
          <a:ext cx="4067176" cy="371475"/>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OCCUPANCY</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 LEASING ACTIVITY</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14</xdr:col>
      <xdr:colOff>23811</xdr:colOff>
      <xdr:row>1</xdr:row>
      <xdr:rowOff>35722</xdr:rowOff>
    </xdr:from>
    <xdr:to>
      <xdr:col>14</xdr:col>
      <xdr:colOff>414336</xdr:colOff>
      <xdr:row>3</xdr:row>
      <xdr:rowOff>45248</xdr:rowOff>
    </xdr:to>
    <xdr:sp macro="" textlink="">
      <xdr:nvSpPr>
        <xdr:cNvPr id="8" name="Rectangle 7">
          <a:extLst>
            <a:ext uri="{FF2B5EF4-FFF2-40B4-BE49-F238E27FC236}">
              <a16:creationId xmlns:a16="http://schemas.microsoft.com/office/drawing/2014/main" id="{77A3602E-B0A9-4494-B4AF-15385FC44202}"/>
            </a:ext>
          </a:extLst>
        </xdr:cNvPr>
        <xdr:cNvSpPr/>
      </xdr:nvSpPr>
      <xdr:spPr>
        <a:xfrm>
          <a:off x="12263436" y="21431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2</a:t>
          </a:r>
        </a:p>
      </xdr:txBody>
    </xdr:sp>
    <xdr:clientData/>
  </xdr:twoCellAnchor>
  <xdr:twoCellAnchor>
    <xdr:from>
      <xdr:col>14</xdr:col>
      <xdr:colOff>433386</xdr:colOff>
      <xdr:row>1</xdr:row>
      <xdr:rowOff>35722</xdr:rowOff>
    </xdr:from>
    <xdr:to>
      <xdr:col>18</xdr:col>
      <xdr:colOff>-1</xdr:colOff>
      <xdr:row>3</xdr:row>
      <xdr:rowOff>45248</xdr:rowOff>
    </xdr:to>
    <xdr:sp macro="" textlink="">
      <xdr:nvSpPr>
        <xdr:cNvPr id="9" name="Rectangle 8">
          <a:extLst>
            <a:ext uri="{FF2B5EF4-FFF2-40B4-BE49-F238E27FC236}">
              <a16:creationId xmlns:a16="http://schemas.microsoft.com/office/drawing/2014/main" id="{946D939C-8261-45CD-B77B-2AE4A8587C4A}"/>
            </a:ext>
          </a:extLst>
        </xdr:cNvPr>
        <xdr:cNvSpPr/>
      </xdr:nvSpPr>
      <xdr:spPr>
        <a:xfrm>
          <a:off x="12280105" y="214316"/>
          <a:ext cx="3983832"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RESIDEN</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T RETENTION</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20</xdr:col>
      <xdr:colOff>523875</xdr:colOff>
      <xdr:row>3</xdr:row>
      <xdr:rowOff>0</xdr:rowOff>
    </xdr:from>
    <xdr:to>
      <xdr:col>28</xdr:col>
      <xdr:colOff>583406</xdr:colOff>
      <xdr:row>19</xdr:row>
      <xdr:rowOff>162719</xdr:rowOff>
    </xdr:to>
    <xdr:graphicFrame macro="">
      <xdr:nvGraphicFramePr>
        <xdr:cNvPr id="11" name="Chart 10">
          <a:extLst>
            <a:ext uri="{FF2B5EF4-FFF2-40B4-BE49-F238E27FC236}">
              <a16:creationId xmlns:a16="http://schemas.microsoft.com/office/drawing/2014/main" id="{734BFCCE-F3B6-4C5B-882D-CABD01870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11907</xdr:colOff>
      <xdr:row>21</xdr:row>
      <xdr:rowOff>0</xdr:rowOff>
    </xdr:from>
    <xdr:to>
      <xdr:col>19</xdr:col>
      <xdr:colOff>423865</xdr:colOff>
      <xdr:row>32</xdr:row>
      <xdr:rowOff>238126</xdr:rowOff>
    </xdr:to>
    <xdr:graphicFrame macro="">
      <xdr:nvGraphicFramePr>
        <xdr:cNvPr id="3" name="Chart 2">
          <a:extLst>
            <a:ext uri="{FF2B5EF4-FFF2-40B4-BE49-F238E27FC236}">
              <a16:creationId xmlns:a16="http://schemas.microsoft.com/office/drawing/2014/main" id="{A0BC2A8C-D1CA-430B-B5AE-F6C827B13CC0}"/>
            </a:ext>
            <a:ext uri="{147F2762-F138-4A5C-976F-8EAC2B608ADB}">
              <a16:predDERef xmlns:a16="http://schemas.microsoft.com/office/drawing/2014/main" pred="{946D939C-8261-45CD-B77B-2AE4A8587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572694</xdr:colOff>
      <xdr:row>21</xdr:row>
      <xdr:rowOff>0</xdr:rowOff>
    </xdr:from>
    <xdr:to>
      <xdr:col>28</xdr:col>
      <xdr:colOff>544120</xdr:colOff>
      <xdr:row>32</xdr:row>
      <xdr:rowOff>238126</xdr:rowOff>
    </xdr:to>
    <xdr:graphicFrame macro="">
      <xdr:nvGraphicFramePr>
        <xdr:cNvPr id="5" name="Chart 4">
          <a:extLst>
            <a:ext uri="{FF2B5EF4-FFF2-40B4-BE49-F238E27FC236}">
              <a16:creationId xmlns:a16="http://schemas.microsoft.com/office/drawing/2014/main" id="{736FC8E0-187B-4ABB-9C12-27F6648297FC}"/>
            </a:ext>
            <a:ext uri="{147F2762-F138-4A5C-976F-8EAC2B608ADB}">
              <a16:predDERef xmlns:a16="http://schemas.microsoft.com/office/drawing/2014/main" pred="{946D939C-8261-45CD-B77B-2AE4A8587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9524</xdr:colOff>
      <xdr:row>0</xdr:row>
      <xdr:rowOff>152399</xdr:rowOff>
    </xdr:from>
    <xdr:to>
      <xdr:col>1</xdr:col>
      <xdr:colOff>400049</xdr:colOff>
      <xdr:row>2</xdr:row>
      <xdr:rowOff>161924</xdr:rowOff>
    </xdr:to>
    <xdr:sp macro="" textlink="">
      <xdr:nvSpPr>
        <xdr:cNvPr id="4" name="Rectangle 3">
          <a:extLst>
            <a:ext uri="{FF2B5EF4-FFF2-40B4-BE49-F238E27FC236}">
              <a16:creationId xmlns:a16="http://schemas.microsoft.com/office/drawing/2014/main" id="{C665105E-2C68-4934-A98A-03EAD6EBDB9A}"/>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3</a:t>
          </a:r>
        </a:p>
      </xdr:txBody>
    </xdr:sp>
    <xdr:clientData/>
  </xdr:twoCellAnchor>
  <xdr:twoCellAnchor>
    <xdr:from>
      <xdr:col>1</xdr:col>
      <xdr:colOff>419100</xdr:colOff>
      <xdr:row>0</xdr:row>
      <xdr:rowOff>152399</xdr:rowOff>
    </xdr:from>
    <xdr:to>
      <xdr:col>2</xdr:col>
      <xdr:colOff>595313</xdr:colOff>
      <xdr:row>2</xdr:row>
      <xdr:rowOff>161924</xdr:rowOff>
    </xdr:to>
    <xdr:sp macro="" textlink="">
      <xdr:nvSpPr>
        <xdr:cNvPr id="5" name="Rectangle 4">
          <a:extLst>
            <a:ext uri="{FF2B5EF4-FFF2-40B4-BE49-F238E27FC236}">
              <a16:creationId xmlns:a16="http://schemas.microsoft.com/office/drawing/2014/main" id="{F5C3DE7E-FD06-444C-9DB6-8C40F068277A}"/>
            </a:ext>
          </a:extLst>
        </xdr:cNvPr>
        <xdr:cNvSpPr/>
      </xdr:nvSpPr>
      <xdr:spPr>
        <a:xfrm>
          <a:off x="585788" y="152399"/>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twoCellAnchor>
    <xdr:from>
      <xdr:col>14</xdr:col>
      <xdr:colOff>160735</xdr:colOff>
      <xdr:row>3</xdr:row>
      <xdr:rowOff>345280</xdr:rowOff>
    </xdr:from>
    <xdr:to>
      <xdr:col>29</xdr:col>
      <xdr:colOff>559594</xdr:colOff>
      <xdr:row>20</xdr:row>
      <xdr:rowOff>47625</xdr:rowOff>
    </xdr:to>
    <xdr:graphicFrame macro="">
      <xdr:nvGraphicFramePr>
        <xdr:cNvPr id="10" name="Chart 9">
          <a:extLst>
            <a:ext uri="{FF2B5EF4-FFF2-40B4-BE49-F238E27FC236}">
              <a16:creationId xmlns:a16="http://schemas.microsoft.com/office/drawing/2014/main" id="{CAF6B7AB-2A76-4378-9D7B-38CDD828A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166686</xdr:colOff>
      <xdr:row>20</xdr:row>
      <xdr:rowOff>178594</xdr:rowOff>
    </xdr:from>
    <xdr:to>
      <xdr:col>29</xdr:col>
      <xdr:colOff>565545</xdr:colOff>
      <xdr:row>38</xdr:row>
      <xdr:rowOff>0</xdr:rowOff>
    </xdr:to>
    <xdr:graphicFrame macro="">
      <xdr:nvGraphicFramePr>
        <xdr:cNvPr id="11" name="Chart 10">
          <a:extLst>
            <a:ext uri="{FF2B5EF4-FFF2-40B4-BE49-F238E27FC236}">
              <a16:creationId xmlns:a16="http://schemas.microsoft.com/office/drawing/2014/main" id="{98868169-9D83-4138-915D-735EFC7E7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xdr:row>
      <xdr:rowOff>11910</xdr:rowOff>
    </xdr:from>
    <xdr:to>
      <xdr:col>15</xdr:col>
      <xdr:colOff>390525</xdr:colOff>
      <xdr:row>2</xdr:row>
      <xdr:rowOff>200029</xdr:rowOff>
    </xdr:to>
    <xdr:sp macro="" textlink="">
      <xdr:nvSpPr>
        <xdr:cNvPr id="8" name="Rectangle 7">
          <a:extLst>
            <a:ext uri="{FF2B5EF4-FFF2-40B4-BE49-F238E27FC236}">
              <a16:creationId xmlns:a16="http://schemas.microsoft.com/office/drawing/2014/main" id="{888FF009-F359-41DA-8734-3A6EE85365F4}"/>
            </a:ext>
          </a:extLst>
        </xdr:cNvPr>
        <xdr:cNvSpPr/>
      </xdr:nvSpPr>
      <xdr:spPr>
        <a:xfrm>
          <a:off x="13132594"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4</a:t>
          </a:r>
        </a:p>
      </xdr:txBody>
    </xdr:sp>
    <xdr:clientData/>
  </xdr:twoCellAnchor>
  <xdr:twoCellAnchor>
    <xdr:from>
      <xdr:col>15</xdr:col>
      <xdr:colOff>409576</xdr:colOff>
      <xdr:row>1</xdr:row>
      <xdr:rowOff>11910</xdr:rowOff>
    </xdr:from>
    <xdr:to>
      <xdr:col>17</xdr:col>
      <xdr:colOff>728664</xdr:colOff>
      <xdr:row>2</xdr:row>
      <xdr:rowOff>200029</xdr:rowOff>
    </xdr:to>
    <xdr:sp macro="" textlink="">
      <xdr:nvSpPr>
        <xdr:cNvPr id="9" name="Rectangle 8">
          <a:extLst>
            <a:ext uri="{FF2B5EF4-FFF2-40B4-BE49-F238E27FC236}">
              <a16:creationId xmlns:a16="http://schemas.microsoft.com/office/drawing/2014/main" id="{A056753C-257D-4FF5-B6FB-BBF2426BE55D}"/>
            </a:ext>
          </a:extLst>
        </xdr:cNvPr>
        <xdr:cNvSpPr/>
      </xdr:nvSpPr>
      <xdr:spPr>
        <a:xfrm>
          <a:off x="13542170"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2351B5B2-EEA7-4192-9AA1-20F7E293B989}"/>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381000</xdr:colOff>
      <xdr:row>0</xdr:row>
      <xdr:rowOff>152399</xdr:rowOff>
    </xdr:from>
    <xdr:to>
      <xdr:col>2</xdr:col>
      <xdr:colOff>1059655</xdr:colOff>
      <xdr:row>2</xdr:row>
      <xdr:rowOff>161924</xdr:rowOff>
    </xdr:to>
    <xdr:sp macro="" textlink="">
      <xdr:nvSpPr>
        <xdr:cNvPr id="3" name="Rectangle 2">
          <a:extLst>
            <a:ext uri="{FF2B5EF4-FFF2-40B4-BE49-F238E27FC236}">
              <a16:creationId xmlns:a16="http://schemas.microsoft.com/office/drawing/2014/main" id="{11934747-DC16-47FA-9FA7-7ED3794354A5}"/>
            </a:ext>
          </a:extLst>
        </xdr:cNvPr>
        <xdr:cNvSpPr/>
      </xdr:nvSpPr>
      <xdr:spPr>
        <a:xfrm>
          <a:off x="547688" y="152399"/>
          <a:ext cx="2226467"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5</xdr:row>
      <xdr:rowOff>214311</xdr:rowOff>
    </xdr:from>
    <xdr:to>
      <xdr:col>6</xdr:col>
      <xdr:colOff>607217</xdr:colOff>
      <xdr:row>27</xdr:row>
      <xdr:rowOff>166686</xdr:rowOff>
    </xdr:to>
    <xdr:graphicFrame macro="">
      <xdr:nvGraphicFramePr>
        <xdr:cNvPr id="8" name="Chart 7">
          <a:extLst>
            <a:ext uri="{FF2B5EF4-FFF2-40B4-BE49-F238E27FC236}">
              <a16:creationId xmlns:a16="http://schemas.microsoft.com/office/drawing/2014/main" id="{09D53708-D4FF-49A9-B60D-1B8C84AD7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702470</xdr:colOff>
      <xdr:row>5</xdr:row>
      <xdr:rowOff>214312</xdr:rowOff>
    </xdr:from>
    <xdr:to>
      <xdr:col>12</xdr:col>
      <xdr:colOff>11907</xdr:colOff>
      <xdr:row>27</xdr:row>
      <xdr:rowOff>166687</xdr:rowOff>
    </xdr:to>
    <xdr:graphicFrame macro="">
      <xdr:nvGraphicFramePr>
        <xdr:cNvPr id="9" name="Chart 8">
          <a:extLst>
            <a:ext uri="{FF2B5EF4-FFF2-40B4-BE49-F238E27FC236}">
              <a16:creationId xmlns:a16="http://schemas.microsoft.com/office/drawing/2014/main" id="{E5787EC0-86E2-490B-8291-B6757F607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xdr:row>
      <xdr:rowOff>11910</xdr:rowOff>
    </xdr:from>
    <xdr:to>
      <xdr:col>14</xdr:col>
      <xdr:colOff>390525</xdr:colOff>
      <xdr:row>2</xdr:row>
      <xdr:rowOff>200029</xdr:rowOff>
    </xdr:to>
    <xdr:sp macro="" textlink="">
      <xdr:nvSpPr>
        <xdr:cNvPr id="10" name="Rectangle 9">
          <a:extLst>
            <a:ext uri="{FF2B5EF4-FFF2-40B4-BE49-F238E27FC236}">
              <a16:creationId xmlns:a16="http://schemas.microsoft.com/office/drawing/2014/main" id="{A7CA5E49-F537-49F1-9430-79071AF37E20}"/>
            </a:ext>
          </a:extLst>
        </xdr:cNvPr>
        <xdr:cNvSpPr/>
      </xdr:nvSpPr>
      <xdr:spPr>
        <a:xfrm>
          <a:off x="14049375"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6</a:t>
          </a:r>
        </a:p>
      </xdr:txBody>
    </xdr:sp>
    <xdr:clientData/>
  </xdr:twoCellAnchor>
  <xdr:twoCellAnchor>
    <xdr:from>
      <xdr:col>14</xdr:col>
      <xdr:colOff>409576</xdr:colOff>
      <xdr:row>1</xdr:row>
      <xdr:rowOff>11910</xdr:rowOff>
    </xdr:from>
    <xdr:to>
      <xdr:col>16</xdr:col>
      <xdr:colOff>728664</xdr:colOff>
      <xdr:row>2</xdr:row>
      <xdr:rowOff>200029</xdr:rowOff>
    </xdr:to>
    <xdr:sp macro="" textlink="">
      <xdr:nvSpPr>
        <xdr:cNvPr id="11" name="Rectangle 10">
          <a:extLst>
            <a:ext uri="{FF2B5EF4-FFF2-40B4-BE49-F238E27FC236}">
              <a16:creationId xmlns:a16="http://schemas.microsoft.com/office/drawing/2014/main" id="{C39D8D22-4D14-4B3F-8530-AE654872D134}"/>
            </a:ext>
          </a:extLst>
        </xdr:cNvPr>
        <xdr:cNvSpPr/>
      </xdr:nvSpPr>
      <xdr:spPr>
        <a:xfrm>
          <a:off x="14458951"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12" name="Rectangle 11">
          <a:extLst>
            <a:ext uri="{FF2B5EF4-FFF2-40B4-BE49-F238E27FC236}">
              <a16:creationId xmlns:a16="http://schemas.microsoft.com/office/drawing/2014/main" id="{337BBBF0-9C88-4CC6-8F89-2B5899EBFDCD}"/>
            </a:ext>
          </a:extLst>
        </xdr:cNvPr>
        <xdr:cNvSpPr/>
      </xdr:nvSpPr>
      <xdr:spPr>
        <a:xfrm>
          <a:off x="166688" y="15478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13</xdr:col>
      <xdr:colOff>160734</xdr:colOff>
      <xdr:row>4</xdr:row>
      <xdr:rowOff>11906</xdr:rowOff>
    </xdr:from>
    <xdr:to>
      <xdr:col>16</xdr:col>
      <xdr:colOff>1202531</xdr:colOff>
      <xdr:row>27</xdr:row>
      <xdr:rowOff>166687</xdr:rowOff>
    </xdr:to>
    <xdr:graphicFrame macro="">
      <xdr:nvGraphicFramePr>
        <xdr:cNvPr id="6" name="Chart 5">
          <a:extLst>
            <a:ext uri="{FF2B5EF4-FFF2-40B4-BE49-F238E27FC236}">
              <a16:creationId xmlns:a16="http://schemas.microsoft.com/office/drawing/2014/main" id="{B7E00E45-A33E-4F30-B5B2-8BAD62F3C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11907</xdr:colOff>
      <xdr:row>4</xdr:row>
      <xdr:rowOff>11906</xdr:rowOff>
    </xdr:from>
    <xdr:to>
      <xdr:col>21</xdr:col>
      <xdr:colOff>5953</xdr:colOff>
      <xdr:row>27</xdr:row>
      <xdr:rowOff>166687</xdr:rowOff>
    </xdr:to>
    <xdr:graphicFrame macro="">
      <xdr:nvGraphicFramePr>
        <xdr:cNvPr id="13" name="Chart 12">
          <a:extLst>
            <a:ext uri="{FF2B5EF4-FFF2-40B4-BE49-F238E27FC236}">
              <a16:creationId xmlns:a16="http://schemas.microsoft.com/office/drawing/2014/main" id="{2D31D50C-0C10-4139-B7DB-22C4BE405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11907</xdr:colOff>
      <xdr:row>3</xdr:row>
      <xdr:rowOff>250031</xdr:rowOff>
    </xdr:from>
    <xdr:to>
      <xdr:col>25</xdr:col>
      <xdr:colOff>5953</xdr:colOff>
      <xdr:row>27</xdr:row>
      <xdr:rowOff>142874</xdr:rowOff>
    </xdr:to>
    <xdr:graphicFrame macro="">
      <xdr:nvGraphicFramePr>
        <xdr:cNvPr id="14" name="Chart 13">
          <a:extLst>
            <a:ext uri="{FF2B5EF4-FFF2-40B4-BE49-F238E27FC236}">
              <a16:creationId xmlns:a16="http://schemas.microsoft.com/office/drawing/2014/main" id="{8A37D5BC-882C-4155-9126-FCDB6B381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003231CC-91FE-4E86-BAC1-F4A9AFFAFF90}"/>
            </a:ext>
          </a:extLst>
        </xdr:cNvPr>
        <xdr:cNvSpPr/>
      </xdr:nvSpPr>
      <xdr:spPr>
        <a:xfrm>
          <a:off x="161925" y="152399"/>
          <a:ext cx="0"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381001</xdr:colOff>
      <xdr:row>0</xdr:row>
      <xdr:rowOff>152399</xdr:rowOff>
    </xdr:from>
    <xdr:to>
      <xdr:col>6</xdr:col>
      <xdr:colOff>154782</xdr:colOff>
      <xdr:row>2</xdr:row>
      <xdr:rowOff>161924</xdr:rowOff>
    </xdr:to>
    <xdr:sp macro="" textlink="">
      <xdr:nvSpPr>
        <xdr:cNvPr id="3" name="Rectangle 2">
          <a:extLst>
            <a:ext uri="{FF2B5EF4-FFF2-40B4-BE49-F238E27FC236}">
              <a16:creationId xmlns:a16="http://schemas.microsoft.com/office/drawing/2014/main" id="{3F701203-D522-43E3-A200-3A164650F50E}"/>
            </a:ext>
          </a:extLst>
        </xdr:cNvPr>
        <xdr:cNvSpPr/>
      </xdr:nvSpPr>
      <xdr:spPr>
        <a:xfrm>
          <a:off x="547689" y="152399"/>
          <a:ext cx="441721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MARKET</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AND IN-PLACE RENTS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9</xdr:col>
      <xdr:colOff>11907</xdr:colOff>
      <xdr:row>5</xdr:row>
      <xdr:rowOff>83344</xdr:rowOff>
    </xdr:from>
    <xdr:to>
      <xdr:col>15</xdr:col>
      <xdr:colOff>11906</xdr:colOff>
      <xdr:row>37</xdr:row>
      <xdr:rowOff>166687</xdr:rowOff>
    </xdr:to>
    <xdr:graphicFrame macro="">
      <xdr:nvGraphicFramePr>
        <xdr:cNvPr id="4" name="Chart 3">
          <a:extLst>
            <a:ext uri="{FF2B5EF4-FFF2-40B4-BE49-F238E27FC236}">
              <a16:creationId xmlns:a16="http://schemas.microsoft.com/office/drawing/2014/main" id="{14B32117-0C4A-4A34-8270-698C8955A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11910</xdr:rowOff>
    </xdr:from>
    <xdr:to>
      <xdr:col>17</xdr:col>
      <xdr:colOff>390525</xdr:colOff>
      <xdr:row>2</xdr:row>
      <xdr:rowOff>200029</xdr:rowOff>
    </xdr:to>
    <xdr:sp macro="" textlink="">
      <xdr:nvSpPr>
        <xdr:cNvPr id="6" name="Rectangle 5">
          <a:extLst>
            <a:ext uri="{FF2B5EF4-FFF2-40B4-BE49-F238E27FC236}">
              <a16:creationId xmlns:a16="http://schemas.microsoft.com/office/drawing/2014/main" id="{E725120A-3C77-44A3-BEE7-D61934B319D8}"/>
            </a:ext>
          </a:extLst>
        </xdr:cNvPr>
        <xdr:cNvSpPr/>
      </xdr:nvSpPr>
      <xdr:spPr>
        <a:xfrm>
          <a:off x="13973175" y="192885"/>
          <a:ext cx="390525" cy="36909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8</a:t>
          </a:r>
        </a:p>
      </xdr:txBody>
    </xdr:sp>
    <xdr:clientData/>
  </xdr:twoCellAnchor>
  <xdr:twoCellAnchor>
    <xdr:from>
      <xdr:col>17</xdr:col>
      <xdr:colOff>409576</xdr:colOff>
      <xdr:row>1</xdr:row>
      <xdr:rowOff>11910</xdr:rowOff>
    </xdr:from>
    <xdr:to>
      <xdr:col>20</xdr:col>
      <xdr:colOff>619125</xdr:colOff>
      <xdr:row>2</xdr:row>
      <xdr:rowOff>200029</xdr:rowOff>
    </xdr:to>
    <xdr:sp macro="" textlink="">
      <xdr:nvSpPr>
        <xdr:cNvPr id="7" name="Rectangle 6">
          <a:extLst>
            <a:ext uri="{FF2B5EF4-FFF2-40B4-BE49-F238E27FC236}">
              <a16:creationId xmlns:a16="http://schemas.microsoft.com/office/drawing/2014/main" id="{7203AB64-0C89-454C-8D00-577E02F4E030}"/>
            </a:ext>
          </a:extLst>
        </xdr:cNvPr>
        <xdr:cNvSpPr/>
      </xdr:nvSpPr>
      <xdr:spPr>
        <a:xfrm>
          <a:off x="14673264" y="190504"/>
          <a:ext cx="2555080"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CASH</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BALANCES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8" name="Rectangle 7">
          <a:extLst>
            <a:ext uri="{FF2B5EF4-FFF2-40B4-BE49-F238E27FC236}">
              <a16:creationId xmlns:a16="http://schemas.microsoft.com/office/drawing/2014/main" id="{0BF482C4-F692-4F96-A994-C97F635E9022}"/>
            </a:ext>
          </a:extLst>
        </xdr:cNvPr>
        <xdr:cNvSpPr/>
      </xdr:nvSpPr>
      <xdr:spPr>
        <a:xfrm>
          <a:off x="161925" y="154786"/>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7</a:t>
          </a:r>
        </a:p>
      </xdr:txBody>
    </xdr:sp>
    <xdr:clientData/>
  </xdr:twoCellAnchor>
  <xdr:twoCellAnchor>
    <xdr:from>
      <xdr:col>16</xdr:col>
      <xdr:colOff>154781</xdr:colOff>
      <xdr:row>6</xdr:row>
      <xdr:rowOff>0</xdr:rowOff>
    </xdr:from>
    <xdr:to>
      <xdr:col>26</xdr:col>
      <xdr:colOff>0</xdr:colOff>
      <xdr:row>37</xdr:row>
      <xdr:rowOff>154781</xdr:rowOff>
    </xdr:to>
    <xdr:graphicFrame macro="">
      <xdr:nvGraphicFramePr>
        <xdr:cNvPr id="12" name="Chart 11">
          <a:extLst>
            <a:ext uri="{FF2B5EF4-FFF2-40B4-BE49-F238E27FC236}">
              <a16:creationId xmlns:a16="http://schemas.microsoft.com/office/drawing/2014/main" id="{FF43C83B-037F-4C0E-B2AD-026C3410D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26C5C-2CC1-45D9-A2A2-1CBEF7D6C0C9}">
  <sheetPr>
    <pageSetUpPr fitToPage="1"/>
  </sheetPr>
  <dimension ref="A1:BM262"/>
  <sheetViews>
    <sheetView tabSelected="1" zoomScaleNormal="100" workbookViewId="0">
      <selection activeCell="K38" sqref="K38"/>
    </sheetView>
  </sheetViews>
  <sheetFormatPr defaultRowHeight="15"/>
  <cols>
    <col min="1" max="1" width="12.5703125" customWidth="1"/>
    <col min="2" max="3" width="24.42578125" customWidth="1"/>
    <col min="4" max="4" width="17" customWidth="1"/>
    <col min="5" max="5" width="27" bestFit="1" customWidth="1"/>
    <col min="6" max="11" width="13.28515625" customWidth="1"/>
    <col min="12" max="12" width="4.7109375" customWidth="1"/>
    <col min="13" max="13" width="12" customWidth="1"/>
    <col min="14" max="14" width="10.85546875" style="7" customWidth="1"/>
    <col min="15" max="15" width="3.7109375" customWidth="1"/>
    <col min="16" max="16" width="12" customWidth="1"/>
    <col min="17" max="17" width="10.85546875" style="7" customWidth="1"/>
    <col min="18" max="18" width="2.28515625" customWidth="1"/>
    <col min="19" max="19" width="11.85546875" customWidth="1"/>
    <col min="20" max="21" width="13.42578125" customWidth="1"/>
    <col min="22" max="22" width="2" customWidth="1"/>
    <col min="23" max="24" width="13.42578125" customWidth="1"/>
    <col min="25" max="25" width="1.85546875" customWidth="1"/>
    <col min="26" max="26" width="12.140625" customWidth="1"/>
    <col min="27" max="28" width="15.28515625" bestFit="1" customWidth="1"/>
    <col min="29" max="29" width="1.85546875" customWidth="1"/>
    <col min="30" max="30" width="12.140625" customWidth="1"/>
    <col min="31" max="32" width="13.85546875" customWidth="1"/>
    <col min="33" max="33" width="11.140625" bestFit="1" customWidth="1"/>
    <col min="34" max="34" width="2.28515625" customWidth="1"/>
    <col min="35" max="35" width="10.7109375" bestFit="1" customWidth="1"/>
    <col min="36" max="36" width="7" bestFit="1" customWidth="1"/>
    <col min="37" max="37" width="6.5703125" customWidth="1"/>
    <col min="38" max="38" width="10.7109375" bestFit="1" customWidth="1"/>
    <col min="39" max="40" width="13" customWidth="1"/>
    <col min="41" max="41" width="12.42578125" customWidth="1"/>
    <col min="42" max="43" width="13.140625" customWidth="1"/>
    <col min="45" max="47" width="16.42578125" customWidth="1"/>
  </cols>
  <sheetData>
    <row r="1" spans="1:58" ht="18.600000000000001" customHeight="1">
      <c r="A1" s="100" t="s">
        <v>0</v>
      </c>
      <c r="B1" s="100"/>
      <c r="C1" s="100"/>
      <c r="D1" s="88"/>
      <c r="E1" s="46" t="s">
        <v>1</v>
      </c>
      <c r="F1" s="101" t="s">
        <v>2</v>
      </c>
      <c r="G1" s="101"/>
      <c r="H1" s="101" t="s">
        <v>3</v>
      </c>
      <c r="I1" s="101"/>
      <c r="J1" s="103" t="s">
        <v>4</v>
      </c>
      <c r="K1" s="103"/>
      <c r="L1" s="47"/>
      <c r="M1" s="97" t="s">
        <v>5</v>
      </c>
      <c r="N1" s="97"/>
      <c r="O1" s="48"/>
      <c r="P1" s="98" t="s">
        <v>6</v>
      </c>
      <c r="Q1" s="99"/>
      <c r="R1" s="48"/>
      <c r="S1" s="97" t="s">
        <v>7</v>
      </c>
      <c r="T1" s="97"/>
      <c r="U1" s="97"/>
      <c r="V1" s="48"/>
      <c r="W1" s="97" t="s">
        <v>8</v>
      </c>
      <c r="X1" s="97"/>
      <c r="Y1" s="48"/>
      <c r="Z1" s="97" t="s">
        <v>9</v>
      </c>
      <c r="AA1" s="97"/>
      <c r="AB1" s="97"/>
      <c r="AC1" s="48"/>
      <c r="AD1" s="98" t="s">
        <v>10</v>
      </c>
      <c r="AE1" s="102"/>
      <c r="AF1" s="102"/>
      <c r="AG1" s="99"/>
      <c r="AH1" s="48"/>
      <c r="AI1" s="97" t="s">
        <v>11</v>
      </c>
      <c r="AJ1" s="97"/>
      <c r="AK1" s="97"/>
      <c r="AL1" s="97"/>
      <c r="AM1" s="97"/>
      <c r="AN1" s="97"/>
      <c r="AO1" s="98" t="s">
        <v>11</v>
      </c>
      <c r="AP1" s="102"/>
      <c r="AQ1" s="99"/>
      <c r="AS1" s="98" t="s">
        <v>12</v>
      </c>
      <c r="AT1" s="102"/>
      <c r="AU1" s="99"/>
    </row>
    <row r="2" spans="1:58" ht="14.85" customHeight="1">
      <c r="A2" s="95" t="s">
        <v>13</v>
      </c>
      <c r="B2" s="95"/>
      <c r="C2" s="2">
        <v>45880</v>
      </c>
      <c r="E2" t="s">
        <v>7</v>
      </c>
      <c r="F2" s="35" t="s">
        <v>14</v>
      </c>
      <c r="G2" s="35" t="s">
        <v>15</v>
      </c>
      <c r="H2" s="35" t="s">
        <v>14</v>
      </c>
      <c r="I2" s="35" t="s">
        <v>15</v>
      </c>
      <c r="J2" s="35" t="s">
        <v>14</v>
      </c>
      <c r="K2" s="35" t="s">
        <v>15</v>
      </c>
      <c r="M2" s="5">
        <v>45017</v>
      </c>
      <c r="N2" s="6">
        <v>0.87429999999999997</v>
      </c>
      <c r="P2" s="5">
        <v>45017</v>
      </c>
      <c r="Q2" s="6">
        <f>17/36</f>
        <v>0.47222222222222221</v>
      </c>
      <c r="S2" s="87" t="s">
        <v>13</v>
      </c>
      <c r="T2" s="87" t="s">
        <v>14</v>
      </c>
      <c r="U2" s="87" t="s">
        <v>15</v>
      </c>
      <c r="V2" s="36"/>
      <c r="W2" s="87" t="s">
        <v>14</v>
      </c>
      <c r="X2" s="87" t="s">
        <v>15</v>
      </c>
      <c r="Y2" s="36"/>
      <c r="Z2" s="96" t="s">
        <v>16</v>
      </c>
      <c r="AA2" s="96"/>
      <c r="AB2" s="96"/>
      <c r="AC2" s="36"/>
      <c r="AD2" s="87" t="s">
        <v>17</v>
      </c>
      <c r="AE2" s="87" t="s">
        <v>18</v>
      </c>
      <c r="AF2" s="87" t="s">
        <v>19</v>
      </c>
      <c r="AG2" s="87" t="s">
        <v>20</v>
      </c>
      <c r="AH2" s="36"/>
      <c r="AI2" s="87" t="s">
        <v>21</v>
      </c>
      <c r="AJ2" s="87" t="s">
        <v>22</v>
      </c>
      <c r="AK2" s="77" t="s">
        <v>23</v>
      </c>
      <c r="AL2" s="87" t="s">
        <v>24</v>
      </c>
      <c r="AM2" s="77" t="s">
        <v>25</v>
      </c>
      <c r="AN2" s="77" t="s">
        <v>26</v>
      </c>
      <c r="AO2" s="87" t="s">
        <v>17</v>
      </c>
      <c r="AP2" s="87" t="s">
        <v>25</v>
      </c>
      <c r="AQ2" s="87" t="s">
        <v>26</v>
      </c>
      <c r="AS2" s="87" t="s">
        <v>17</v>
      </c>
      <c r="AT2" s="87" t="s">
        <v>27</v>
      </c>
      <c r="AU2" s="87" t="s">
        <v>28</v>
      </c>
    </row>
    <row r="3" spans="1:58" ht="14.85" customHeight="1">
      <c r="A3" s="95" t="s">
        <v>29</v>
      </c>
      <c r="B3" s="95"/>
      <c r="C3" s="89" t="s">
        <v>30</v>
      </c>
      <c r="E3" t="s">
        <v>31</v>
      </c>
      <c r="F3" s="68">
        <v>432964.99</v>
      </c>
      <c r="G3" s="69">
        <v>455640.92</v>
      </c>
      <c r="H3" s="68">
        <v>431056.02</v>
      </c>
      <c r="I3" s="69">
        <v>454450.31</v>
      </c>
      <c r="J3" s="68">
        <v>443902.76</v>
      </c>
      <c r="K3" s="69">
        <v>450694.77</v>
      </c>
      <c r="M3" s="5">
        <v>45047</v>
      </c>
      <c r="N3" s="6">
        <v>0.86960000000000004</v>
      </c>
      <c r="P3" s="5">
        <v>45047</v>
      </c>
      <c r="Q3" s="6">
        <f>12/29</f>
        <v>0.41379310344827586</v>
      </c>
      <c r="S3" s="5">
        <v>45017</v>
      </c>
      <c r="T3" s="70">
        <v>452210.48</v>
      </c>
      <c r="U3" s="70">
        <v>485166.41</v>
      </c>
      <c r="W3" s="27">
        <v>226975.34</v>
      </c>
      <c r="X3" s="27">
        <v>193444.82</v>
      </c>
      <c r="Z3" s="5">
        <v>45854</v>
      </c>
      <c r="AA3" s="27">
        <v>636213.81999999995</v>
      </c>
      <c r="AB3" s="27">
        <v>220776.07999999996</v>
      </c>
      <c r="AD3" s="5">
        <v>45505</v>
      </c>
      <c r="AE3" s="27">
        <v>535917.84299999999</v>
      </c>
      <c r="AF3" s="27">
        <v>532124.03299999994</v>
      </c>
      <c r="AG3" s="81">
        <f t="shared" ref="AG3:AG15" si="0">IFERROR(AF3/AE3,"")</f>
        <v>0.99292091120018922</v>
      </c>
      <c r="AI3" s="5" t="s">
        <v>32</v>
      </c>
      <c r="AJ3" s="37">
        <v>47</v>
      </c>
      <c r="AK3" s="37">
        <v>43</v>
      </c>
      <c r="AL3" s="37">
        <v>784</v>
      </c>
      <c r="AM3" s="27">
        <v>1035</v>
      </c>
      <c r="AN3" s="27">
        <v>1009.58</v>
      </c>
      <c r="AO3" s="5">
        <v>45505</v>
      </c>
      <c r="AP3" s="27">
        <v>1231.26</v>
      </c>
      <c r="AQ3" s="27">
        <v>1195.02</v>
      </c>
      <c r="AS3" s="5">
        <v>45039</v>
      </c>
      <c r="AT3" s="78">
        <v>81</v>
      </c>
      <c r="AU3" s="78">
        <v>40</v>
      </c>
    </row>
    <row r="4" spans="1:58" ht="14.85" customHeight="1">
      <c r="A4" s="95" t="s">
        <v>33</v>
      </c>
      <c r="B4" s="95"/>
      <c r="C4" s="89" t="s">
        <v>34</v>
      </c>
      <c r="E4" t="s">
        <v>35</v>
      </c>
      <c r="F4" s="68">
        <v>67476.37</v>
      </c>
      <c r="G4" s="69">
        <v>76150</v>
      </c>
      <c r="H4" s="68">
        <v>92018.27</v>
      </c>
      <c r="I4" s="69">
        <v>76150</v>
      </c>
      <c r="J4" s="68">
        <v>72246.399999999994</v>
      </c>
      <c r="K4" s="69">
        <v>46150</v>
      </c>
      <c r="M4" s="5">
        <v>45078</v>
      </c>
      <c r="N4" s="6">
        <v>0.89129999999999998</v>
      </c>
      <c r="P4" s="5">
        <v>45078</v>
      </c>
      <c r="Q4" s="6">
        <f>9/28</f>
        <v>0.32142857142857145</v>
      </c>
      <c r="S4" s="5">
        <v>45047</v>
      </c>
      <c r="T4" s="27">
        <v>526388</v>
      </c>
      <c r="U4" s="27">
        <v>490256</v>
      </c>
      <c r="W4" s="27">
        <v>221219.87</v>
      </c>
      <c r="X4" s="27">
        <v>192977.86</v>
      </c>
      <c r="Z4" s="35" t="s">
        <v>17</v>
      </c>
      <c r="AA4" s="35" t="s">
        <v>36</v>
      </c>
      <c r="AB4" s="35" t="s">
        <v>37</v>
      </c>
      <c r="AC4" s="28"/>
      <c r="AD4" s="5">
        <v>45536</v>
      </c>
      <c r="AE4" s="27">
        <v>515313.66</v>
      </c>
      <c r="AF4" s="27">
        <v>512874.12999999995</v>
      </c>
      <c r="AG4" s="81">
        <f t="shared" si="0"/>
        <v>0.99526593182101941</v>
      </c>
      <c r="AH4" s="28"/>
      <c r="AI4" s="5" t="s">
        <v>38</v>
      </c>
      <c r="AJ4" s="37">
        <v>36</v>
      </c>
      <c r="AK4" s="37">
        <v>30</v>
      </c>
      <c r="AL4" s="37">
        <v>784</v>
      </c>
      <c r="AM4" s="27">
        <v>1055</v>
      </c>
      <c r="AN4" s="27">
        <v>1035.46</v>
      </c>
      <c r="AO4" s="5">
        <v>45536</v>
      </c>
      <c r="AP4" s="27">
        <v>1231.26</v>
      </c>
      <c r="AQ4" s="27">
        <v>1196.04</v>
      </c>
      <c r="AS4" s="5">
        <v>45047</v>
      </c>
      <c r="AT4" s="78">
        <v>80</v>
      </c>
      <c r="AU4" s="78">
        <v>41</v>
      </c>
      <c r="AV4" s="28"/>
      <c r="AW4" s="28"/>
      <c r="AX4" s="28"/>
      <c r="AY4" s="28"/>
      <c r="AZ4" s="28"/>
      <c r="BA4" s="28"/>
      <c r="BB4" s="28"/>
      <c r="BC4" s="28"/>
      <c r="BD4" s="28"/>
      <c r="BE4" s="28"/>
    </row>
    <row r="5" spans="1:58" ht="14.85" customHeight="1">
      <c r="A5" s="95" t="s">
        <v>39</v>
      </c>
      <c r="B5" s="95"/>
      <c r="C5" s="89">
        <v>414</v>
      </c>
      <c r="E5" s="47" t="s">
        <v>40</v>
      </c>
      <c r="F5" s="49">
        <f>SUM(F3:F4)</f>
        <v>500441.36</v>
      </c>
      <c r="G5" s="49">
        <f t="shared" ref="G5:I5" si="1">SUM(G3:G4)</f>
        <v>531790.91999999993</v>
      </c>
      <c r="H5" s="49">
        <f>SUM(H3:H4)</f>
        <v>523074.29000000004</v>
      </c>
      <c r="I5" s="49">
        <f t="shared" si="1"/>
        <v>530600.31000000006</v>
      </c>
      <c r="J5" s="49">
        <f>SUM(J3:J4)</f>
        <v>516149.16000000003</v>
      </c>
      <c r="K5" s="49">
        <f t="shared" ref="K5" si="2">SUM(K3:K4)</f>
        <v>496844.77</v>
      </c>
      <c r="M5" s="5">
        <v>45108</v>
      </c>
      <c r="N5" s="6">
        <v>0.88890000000000002</v>
      </c>
      <c r="P5" s="5">
        <v>45108</v>
      </c>
      <c r="Q5" s="6">
        <f>29/34</f>
        <v>0.8529411764705882</v>
      </c>
      <c r="S5" s="5">
        <v>45078</v>
      </c>
      <c r="T5" s="27">
        <v>466809.48</v>
      </c>
      <c r="U5" s="27">
        <v>495164.3</v>
      </c>
      <c r="W5" s="27">
        <v>278593.21000000002</v>
      </c>
      <c r="X5" s="27">
        <v>192567.43</v>
      </c>
      <c r="Z5" s="5">
        <v>45034</v>
      </c>
      <c r="AA5" s="27">
        <v>277588.03999999998</v>
      </c>
      <c r="AB5" s="27">
        <v>122347.75</v>
      </c>
      <c r="AC5" s="28"/>
      <c r="AD5" s="5">
        <v>45566</v>
      </c>
      <c r="AE5" s="27">
        <v>515479.48</v>
      </c>
      <c r="AF5" s="27">
        <v>511230.68</v>
      </c>
      <c r="AG5" s="81">
        <f t="shared" si="0"/>
        <v>0.99175757684864585</v>
      </c>
      <c r="AH5" s="28"/>
      <c r="AI5" s="5" t="s">
        <v>41</v>
      </c>
      <c r="AJ5" s="37">
        <v>20</v>
      </c>
      <c r="AK5" s="37">
        <v>19</v>
      </c>
      <c r="AL5" s="37">
        <v>784</v>
      </c>
      <c r="AM5" s="27">
        <v>1105</v>
      </c>
      <c r="AN5" s="27">
        <v>1074.94</v>
      </c>
      <c r="AO5" s="5">
        <v>45566</v>
      </c>
      <c r="AP5" s="27">
        <v>1231.26</v>
      </c>
      <c r="AQ5" s="27">
        <v>1201.6300000000001</v>
      </c>
      <c r="AS5" s="5">
        <v>45054</v>
      </c>
      <c r="AT5" s="78">
        <v>77</v>
      </c>
      <c r="AU5" s="78">
        <v>62</v>
      </c>
      <c r="AV5" s="28"/>
      <c r="AW5" s="28"/>
      <c r="AX5" s="28"/>
      <c r="AY5" s="28"/>
      <c r="AZ5" s="28"/>
      <c r="BA5" s="28"/>
      <c r="BB5" s="28"/>
      <c r="BC5" s="28"/>
      <c r="BD5" s="28"/>
      <c r="BE5" s="28"/>
    </row>
    <row r="6" spans="1:58" ht="14.85" customHeight="1">
      <c r="A6" s="95" t="s">
        <v>42</v>
      </c>
      <c r="B6" s="95"/>
      <c r="C6" s="2">
        <f>DATE-1</f>
        <v>45879</v>
      </c>
      <c r="D6" s="85"/>
      <c r="M6" s="5">
        <v>45139</v>
      </c>
      <c r="N6" s="6">
        <v>0.87680000000000002</v>
      </c>
      <c r="P6" s="5">
        <v>45139</v>
      </c>
      <c r="Q6" s="6">
        <f>34/42</f>
        <v>0.80952380952380953</v>
      </c>
      <c r="S6" s="5">
        <v>45108</v>
      </c>
      <c r="T6" s="27">
        <v>479470.5</v>
      </c>
      <c r="U6" s="27">
        <v>499902.69</v>
      </c>
      <c r="W6" s="27">
        <v>306590.52</v>
      </c>
      <c r="X6" s="27">
        <v>192207.66</v>
      </c>
      <c r="Z6" s="5">
        <v>45062</v>
      </c>
      <c r="AA6" s="27">
        <v>914776.82</v>
      </c>
      <c r="AB6" s="27">
        <v>607641.37</v>
      </c>
      <c r="AD6" s="5">
        <v>45597</v>
      </c>
      <c r="AE6" s="27">
        <v>506152.13</v>
      </c>
      <c r="AF6" s="27">
        <v>493609.07</v>
      </c>
      <c r="AG6" s="81">
        <f t="shared" si="0"/>
        <v>0.97521879439685455</v>
      </c>
      <c r="AI6" s="5" t="s">
        <v>43</v>
      </c>
      <c r="AJ6" s="37">
        <v>7</v>
      </c>
      <c r="AK6" s="37">
        <v>7</v>
      </c>
      <c r="AL6" s="37">
        <v>784</v>
      </c>
      <c r="AM6" s="27">
        <v>1290</v>
      </c>
      <c r="AN6" s="27">
        <v>1239.8499999999999</v>
      </c>
      <c r="AO6" s="5">
        <v>45597</v>
      </c>
      <c r="AP6" s="27">
        <v>1231.26</v>
      </c>
      <c r="AQ6" s="27">
        <v>1202.67</v>
      </c>
      <c r="AS6" s="5">
        <v>45061</v>
      </c>
      <c r="AT6" s="78">
        <v>74</v>
      </c>
      <c r="AU6" s="78">
        <v>73</v>
      </c>
    </row>
    <row r="7" spans="1:58" ht="14.85" customHeight="1">
      <c r="A7" s="86"/>
      <c r="B7" s="86"/>
      <c r="E7" t="s">
        <v>44</v>
      </c>
      <c r="F7" s="44" t="s">
        <v>14</v>
      </c>
      <c r="G7" s="44" t="s">
        <v>15</v>
      </c>
      <c r="H7" s="44" t="s">
        <v>14</v>
      </c>
      <c r="I7" s="44" t="s">
        <v>15</v>
      </c>
      <c r="J7" s="44" t="s">
        <v>14</v>
      </c>
      <c r="K7" s="44" t="s">
        <v>15</v>
      </c>
      <c r="M7" s="5">
        <v>45170</v>
      </c>
      <c r="N7" s="6">
        <v>0.85960000000000003</v>
      </c>
      <c r="P7" s="5">
        <v>45170</v>
      </c>
      <c r="Q7" s="6">
        <f>16/47</f>
        <v>0.34042553191489361</v>
      </c>
      <c r="S7" s="5">
        <v>45139</v>
      </c>
      <c r="T7" s="27">
        <v>459900.67</v>
      </c>
      <c r="U7" s="27">
        <v>504481.85</v>
      </c>
      <c r="W7" s="27">
        <v>325265.46999999997</v>
      </c>
      <c r="X7" s="27">
        <v>191893.31</v>
      </c>
      <c r="Z7" s="5">
        <v>45092</v>
      </c>
      <c r="AA7" s="27">
        <v>915947.2</v>
      </c>
      <c r="AB7" s="27">
        <v>505752.66</v>
      </c>
      <c r="AD7" s="5">
        <v>45627</v>
      </c>
      <c r="AE7" s="27">
        <v>525739.29</v>
      </c>
      <c r="AF7" s="27">
        <v>508425.81000000006</v>
      </c>
      <c r="AG7" s="81">
        <f t="shared" si="0"/>
        <v>0.96706831631320544</v>
      </c>
      <c r="AI7" s="5" t="s">
        <v>45</v>
      </c>
      <c r="AJ7" s="37">
        <v>35</v>
      </c>
      <c r="AK7" s="37">
        <v>34</v>
      </c>
      <c r="AL7" s="37">
        <v>978</v>
      </c>
      <c r="AM7" s="27">
        <v>1125</v>
      </c>
      <c r="AN7" s="27">
        <v>1107.24</v>
      </c>
      <c r="AO7" s="5">
        <v>45627</v>
      </c>
      <c r="AP7" s="27">
        <v>1231.26</v>
      </c>
      <c r="AQ7" s="27">
        <v>1202.6500000000001</v>
      </c>
      <c r="AS7" s="5">
        <v>45068</v>
      </c>
      <c r="AT7" s="78">
        <v>74</v>
      </c>
      <c r="AU7" s="78">
        <v>73</v>
      </c>
    </row>
    <row r="8" spans="1:58" ht="14.85" customHeight="1">
      <c r="A8" s="95" t="s">
        <v>46</v>
      </c>
      <c r="B8" s="95"/>
      <c r="C8" s="89">
        <f>339+28+7</f>
        <v>374</v>
      </c>
      <c r="E8" t="s">
        <v>47</v>
      </c>
      <c r="F8" s="68">
        <v>50553.88</v>
      </c>
      <c r="G8" s="69">
        <v>45832.59</v>
      </c>
      <c r="H8" s="68">
        <v>57022.12</v>
      </c>
      <c r="I8" s="69">
        <v>45832.59</v>
      </c>
      <c r="J8" s="68">
        <v>45461.599999999999</v>
      </c>
      <c r="K8" s="69">
        <v>45832.59</v>
      </c>
      <c r="M8" s="5">
        <v>45200</v>
      </c>
      <c r="N8" s="6">
        <v>0.88890000000000002</v>
      </c>
      <c r="P8" s="5">
        <v>45200</v>
      </c>
      <c r="Q8" s="6">
        <f>23/18</f>
        <v>1.2777777777777777</v>
      </c>
      <c r="S8" s="5">
        <v>45170</v>
      </c>
      <c r="T8" s="27">
        <v>463153.82</v>
      </c>
      <c r="U8" s="27">
        <v>508911.73</v>
      </c>
      <c r="W8" s="27">
        <v>259224.27</v>
      </c>
      <c r="X8" s="27">
        <v>191619.65</v>
      </c>
      <c r="Z8" s="5">
        <v>45122</v>
      </c>
      <c r="AA8" s="27">
        <v>516892.72</v>
      </c>
      <c r="AB8" s="27">
        <v>483252.2</v>
      </c>
      <c r="AD8" s="5">
        <v>45658</v>
      </c>
      <c r="AE8" s="27">
        <v>534550.74</v>
      </c>
      <c r="AF8" s="27">
        <v>521654.70999999996</v>
      </c>
      <c r="AG8" s="81">
        <f t="shared" si="0"/>
        <v>0.97587501235149343</v>
      </c>
      <c r="AI8" s="5" t="s">
        <v>48</v>
      </c>
      <c r="AJ8" s="37">
        <v>41</v>
      </c>
      <c r="AK8" s="37">
        <v>35</v>
      </c>
      <c r="AL8" s="37">
        <v>978</v>
      </c>
      <c r="AM8" s="27">
        <v>1200</v>
      </c>
      <c r="AN8" s="27">
        <v>1165.5999999999999</v>
      </c>
      <c r="AO8" s="5">
        <v>45658</v>
      </c>
      <c r="AP8" s="27">
        <v>1247.81</v>
      </c>
      <c r="AQ8" s="27">
        <v>1198.76</v>
      </c>
      <c r="AS8" s="5">
        <v>45075</v>
      </c>
      <c r="AT8" s="78">
        <v>80</v>
      </c>
      <c r="AU8" s="78">
        <v>77</v>
      </c>
      <c r="AV8" s="28"/>
      <c r="AW8" s="28"/>
      <c r="AX8" s="28"/>
      <c r="AY8" s="28"/>
      <c r="AZ8" s="28"/>
      <c r="BA8" s="28"/>
      <c r="BB8" s="28"/>
      <c r="BC8" s="28"/>
      <c r="BD8" s="28"/>
      <c r="BE8" s="28"/>
      <c r="BF8" s="28"/>
    </row>
    <row r="9" spans="1:58" ht="14.85" customHeight="1">
      <c r="A9" s="95" t="s">
        <v>49</v>
      </c>
      <c r="B9" s="95"/>
      <c r="C9" s="89">
        <v>1</v>
      </c>
      <c r="E9" t="s">
        <v>50</v>
      </c>
      <c r="F9" s="68">
        <v>12748.76</v>
      </c>
      <c r="G9" s="69">
        <v>13261.02</v>
      </c>
      <c r="H9" s="68">
        <v>12573.18</v>
      </c>
      <c r="I9" s="69">
        <v>13231.26</v>
      </c>
      <c r="J9" s="68">
        <v>12648.76</v>
      </c>
      <c r="K9" s="69">
        <v>13137.37</v>
      </c>
      <c r="M9" s="5">
        <v>45231</v>
      </c>
      <c r="N9" s="6">
        <v>0.90820000000000001</v>
      </c>
      <c r="P9" s="5">
        <v>45231</v>
      </c>
      <c r="Q9" s="6">
        <f>14/24</f>
        <v>0.58333333333333337</v>
      </c>
      <c r="S9" s="5">
        <v>45200</v>
      </c>
      <c r="T9" s="27">
        <v>452706.51</v>
      </c>
      <c r="U9" s="27">
        <v>513201.66</v>
      </c>
      <c r="W9" s="27">
        <v>265341.01</v>
      </c>
      <c r="X9" s="27">
        <v>191382.45</v>
      </c>
      <c r="Z9" s="5">
        <v>45155</v>
      </c>
      <c r="AA9" s="27">
        <v>476505.47</v>
      </c>
      <c r="AB9" s="27">
        <v>440250.29</v>
      </c>
      <c r="AD9" s="5">
        <v>45689</v>
      </c>
      <c r="AE9" s="27">
        <v>524001.5</v>
      </c>
      <c r="AF9" s="27">
        <v>503603.41</v>
      </c>
      <c r="AG9" s="81">
        <f t="shared" si="0"/>
        <v>0.9610724587620455</v>
      </c>
      <c r="AI9" s="5" t="s">
        <v>51</v>
      </c>
      <c r="AJ9" s="37">
        <v>18</v>
      </c>
      <c r="AK9" s="37">
        <v>16</v>
      </c>
      <c r="AL9" s="37">
        <v>978</v>
      </c>
      <c r="AM9" s="27">
        <v>1275</v>
      </c>
      <c r="AN9" s="27">
        <v>1233.32</v>
      </c>
      <c r="AO9" s="5">
        <v>45689</v>
      </c>
      <c r="AP9" s="27">
        <v>1247.81</v>
      </c>
      <c r="AQ9" s="27">
        <v>1199.27</v>
      </c>
      <c r="AS9" s="5">
        <v>45082</v>
      </c>
      <c r="AT9" s="78">
        <v>80</v>
      </c>
      <c r="AU9" s="78">
        <v>84</v>
      </c>
      <c r="AW9" s="28"/>
      <c r="AX9" s="28"/>
      <c r="AY9" s="28"/>
      <c r="AZ9" s="28"/>
      <c r="BA9" s="28"/>
      <c r="BB9" s="28"/>
      <c r="BC9" s="28"/>
      <c r="BD9" s="28"/>
      <c r="BE9" s="28"/>
      <c r="BF9" s="28"/>
    </row>
    <row r="10" spans="1:58" ht="14.85" customHeight="1">
      <c r="A10" s="95" t="s">
        <v>52</v>
      </c>
      <c r="B10" s="95"/>
      <c r="C10" s="89">
        <f>22+18</f>
        <v>40</v>
      </c>
      <c r="E10" t="s">
        <v>53</v>
      </c>
      <c r="F10" s="68">
        <v>14916.89</v>
      </c>
      <c r="G10" s="69">
        <v>15691.05</v>
      </c>
      <c r="H10" s="68">
        <v>16823.21</v>
      </c>
      <c r="I10" s="69">
        <v>15691.05</v>
      </c>
      <c r="J10" s="68">
        <v>9739.85</v>
      </c>
      <c r="K10" s="69">
        <v>15691.05</v>
      </c>
      <c r="M10" s="5">
        <v>45261</v>
      </c>
      <c r="N10" s="6">
        <v>0.92510000000000003</v>
      </c>
      <c r="P10" s="5">
        <v>45261</v>
      </c>
      <c r="Q10" s="6">
        <f>12/18</f>
        <v>0.66666666666666663</v>
      </c>
      <c r="S10" s="5">
        <v>45231</v>
      </c>
      <c r="T10" s="27">
        <v>475396.2</v>
      </c>
      <c r="U10" s="27">
        <v>517436.64</v>
      </c>
      <c r="W10" s="27">
        <v>249008.32</v>
      </c>
      <c r="X10" s="27">
        <v>191180.2</v>
      </c>
      <c r="Z10" s="5">
        <v>45189</v>
      </c>
      <c r="AA10" s="27">
        <v>371084.32</v>
      </c>
      <c r="AB10" s="27">
        <v>349651.76</v>
      </c>
      <c r="AD10" s="5">
        <v>45717</v>
      </c>
      <c r="AE10" s="27">
        <f>510210.81+17128.91</f>
        <v>527339.72</v>
      </c>
      <c r="AF10" s="27">
        <f>AE10-13370.68</f>
        <v>513969.04</v>
      </c>
      <c r="AG10" s="81">
        <f t="shared" si="0"/>
        <v>0.97464503527251845</v>
      </c>
      <c r="AI10" s="5" t="s">
        <v>54</v>
      </c>
      <c r="AJ10" s="37">
        <v>1</v>
      </c>
      <c r="AK10" s="37">
        <v>1</v>
      </c>
      <c r="AL10" s="37">
        <v>978</v>
      </c>
      <c r="AM10" s="27">
        <v>1475</v>
      </c>
      <c r="AN10" s="27">
        <v>1470</v>
      </c>
      <c r="AO10" s="5">
        <v>45717</v>
      </c>
      <c r="AP10" s="27">
        <v>1247.81</v>
      </c>
      <c r="AQ10" s="27">
        <v>1202.08</v>
      </c>
      <c r="AS10" s="5">
        <v>45089</v>
      </c>
      <c r="AT10" s="78">
        <v>80</v>
      </c>
      <c r="AU10" s="78">
        <v>102</v>
      </c>
    </row>
    <row r="11" spans="1:58" ht="14.85" customHeight="1">
      <c r="A11" s="95" t="s">
        <v>55</v>
      </c>
      <c r="B11" s="95"/>
      <c r="C11" s="89">
        <v>18</v>
      </c>
      <c r="E11" t="s">
        <v>56</v>
      </c>
      <c r="F11" s="68">
        <v>66799.009999999995</v>
      </c>
      <c r="G11" s="69">
        <v>58369.83</v>
      </c>
      <c r="H11" s="68">
        <v>62016.97</v>
      </c>
      <c r="I11" s="69">
        <v>58369.83</v>
      </c>
      <c r="J11" s="68">
        <v>58725.24</v>
      </c>
      <c r="K11" s="69">
        <v>58369.83</v>
      </c>
      <c r="M11" s="5">
        <v>45292</v>
      </c>
      <c r="N11" s="6">
        <v>0.93479999999999996</v>
      </c>
      <c r="P11" s="5">
        <v>45292</v>
      </c>
      <c r="Q11" s="6">
        <f>10/19</f>
        <v>0.52631578947368418</v>
      </c>
      <c r="S11" s="5">
        <v>45261</v>
      </c>
      <c r="T11" s="27">
        <v>519923.69</v>
      </c>
      <c r="U11" s="27">
        <v>520468</v>
      </c>
      <c r="W11" s="27">
        <v>343297.06</v>
      </c>
      <c r="X11" s="27">
        <v>190976</v>
      </c>
      <c r="Z11" s="5">
        <v>45215</v>
      </c>
      <c r="AA11" s="27">
        <v>380467.41</v>
      </c>
      <c r="AB11" s="27">
        <v>316687.64</v>
      </c>
      <c r="AD11" s="5">
        <v>45748</v>
      </c>
      <c r="AE11" s="27">
        <f>516149.16+14979.99</f>
        <v>531129.15</v>
      </c>
      <c r="AF11" s="27">
        <f>AE11-19182.68</f>
        <v>511946.47000000003</v>
      </c>
      <c r="AG11" s="81">
        <f t="shared" si="0"/>
        <v>0.96388320994997168</v>
      </c>
      <c r="AI11" s="5" t="s">
        <v>57</v>
      </c>
      <c r="AJ11" s="37">
        <v>45</v>
      </c>
      <c r="AK11" s="37">
        <v>41</v>
      </c>
      <c r="AL11" s="37">
        <v>1224</v>
      </c>
      <c r="AM11" s="27">
        <v>1224</v>
      </c>
      <c r="AN11" s="27">
        <v>1195.4100000000001</v>
      </c>
      <c r="AO11" s="5">
        <v>45748</v>
      </c>
      <c r="AP11" s="27">
        <v>1247.81</v>
      </c>
      <c r="AQ11" s="27">
        <v>1203</v>
      </c>
      <c r="AS11" s="5">
        <v>45096</v>
      </c>
      <c r="AT11" s="78">
        <v>79</v>
      </c>
      <c r="AU11" s="78">
        <v>89</v>
      </c>
    </row>
    <row r="12" spans="1:58" ht="14.85" customHeight="1">
      <c r="A12" s="95" t="s">
        <v>58</v>
      </c>
      <c r="B12" s="95"/>
      <c r="C12" s="89">
        <v>28</v>
      </c>
      <c r="E12" t="s">
        <v>59</v>
      </c>
      <c r="F12" s="68">
        <v>21325.25</v>
      </c>
      <c r="G12" s="69">
        <v>13654.17</v>
      </c>
      <c r="H12" s="68">
        <v>21687.75</v>
      </c>
      <c r="I12" s="69">
        <v>13654.17</v>
      </c>
      <c r="J12" s="68">
        <v>10636.64</v>
      </c>
      <c r="K12" s="69">
        <v>13654.17</v>
      </c>
      <c r="M12" s="5">
        <v>45323</v>
      </c>
      <c r="N12" s="6">
        <v>0.94199999999999995</v>
      </c>
      <c r="P12" s="5">
        <v>45323</v>
      </c>
      <c r="Q12" s="6">
        <f>13/27</f>
        <v>0.48148148148148145</v>
      </c>
      <c r="S12" s="5">
        <v>45292</v>
      </c>
      <c r="T12" s="27">
        <v>487545.72</v>
      </c>
      <c r="U12" s="27">
        <v>498811.19</v>
      </c>
      <c r="W12" s="27">
        <v>258239.89</v>
      </c>
      <c r="X12" s="27">
        <v>227571.82</v>
      </c>
      <c r="Z12" s="5">
        <v>45276</v>
      </c>
      <c r="AA12" s="27">
        <v>354062.28</v>
      </c>
      <c r="AB12" s="27">
        <v>260137.82</v>
      </c>
      <c r="AD12" s="5">
        <v>45778</v>
      </c>
      <c r="AE12" s="27">
        <f>523074.29+22939.88</f>
        <v>546014.16999999993</v>
      </c>
      <c r="AF12" s="27">
        <f>AE12-13511.16</f>
        <v>532503.00999999989</v>
      </c>
      <c r="AG12" s="81">
        <f t="shared" si="0"/>
        <v>0.97525492790782331</v>
      </c>
      <c r="AI12" s="5" t="s">
        <v>60</v>
      </c>
      <c r="AJ12" s="37">
        <v>47</v>
      </c>
      <c r="AK12" s="37">
        <v>41</v>
      </c>
      <c r="AL12" s="37">
        <v>1224</v>
      </c>
      <c r="AM12" s="27">
        <v>1300</v>
      </c>
      <c r="AN12" s="27">
        <v>1265.75</v>
      </c>
      <c r="AO12" s="5">
        <v>45778</v>
      </c>
      <c r="AP12" s="27">
        <v>1247.81</v>
      </c>
      <c r="AQ12" s="27">
        <v>1202.6099999999999</v>
      </c>
      <c r="AS12" s="5">
        <v>45103</v>
      </c>
      <c r="AT12" s="78">
        <v>90</v>
      </c>
      <c r="AU12" s="78">
        <v>79</v>
      </c>
    </row>
    <row r="13" spans="1:58" ht="14.85" customHeight="1">
      <c r="A13" s="95" t="s">
        <v>61</v>
      </c>
      <c r="B13" s="95"/>
      <c r="C13" s="89">
        <v>13</v>
      </c>
      <c r="E13" t="s">
        <v>62</v>
      </c>
      <c r="F13" s="68">
        <v>6876.66</v>
      </c>
      <c r="G13" s="69">
        <v>7625</v>
      </c>
      <c r="H13" s="68">
        <v>7421.67</v>
      </c>
      <c r="I13" s="69">
        <v>6625</v>
      </c>
      <c r="J13" s="68">
        <v>5856.66</v>
      </c>
      <c r="K13" s="69">
        <v>6625</v>
      </c>
      <c r="M13" s="5">
        <v>45352</v>
      </c>
      <c r="N13" s="6">
        <v>0.95169999999999999</v>
      </c>
      <c r="P13" s="5">
        <v>45352</v>
      </c>
      <c r="Q13" s="6">
        <f>18/24</f>
        <v>0.75</v>
      </c>
      <c r="S13" s="5">
        <v>45323</v>
      </c>
      <c r="T13" s="27">
        <v>513821.4</v>
      </c>
      <c r="U13" s="27">
        <v>506171.59</v>
      </c>
      <c r="W13" s="27">
        <v>258576.17</v>
      </c>
      <c r="X13" s="27">
        <v>227279.33</v>
      </c>
      <c r="Z13" s="5">
        <v>45307</v>
      </c>
      <c r="AA13" s="27">
        <v>342259.15</v>
      </c>
      <c r="AB13" s="27">
        <v>291154.62</v>
      </c>
      <c r="AD13" s="5">
        <v>45809</v>
      </c>
      <c r="AE13" s="27">
        <f>500441.36-(-16967.92)</f>
        <v>517409.27999999997</v>
      </c>
      <c r="AF13" s="27">
        <f>AE13-22849.52</f>
        <v>494559.75999999995</v>
      </c>
      <c r="AG13" s="81">
        <f t="shared" si="0"/>
        <v>0.95583859647820768</v>
      </c>
      <c r="AI13" s="5" t="s">
        <v>63</v>
      </c>
      <c r="AJ13" s="37">
        <v>37</v>
      </c>
      <c r="AK13" s="37">
        <v>37</v>
      </c>
      <c r="AL13" s="37">
        <v>1224</v>
      </c>
      <c r="AM13" s="27">
        <v>1375</v>
      </c>
      <c r="AN13" s="27">
        <v>1346.19</v>
      </c>
      <c r="AO13" s="5">
        <v>45809</v>
      </c>
      <c r="AP13" s="27">
        <v>1247.81</v>
      </c>
      <c r="AQ13" s="27">
        <v>1208.8800000000001</v>
      </c>
      <c r="AS13" s="5">
        <v>45110</v>
      </c>
      <c r="AT13" s="78">
        <v>92</v>
      </c>
      <c r="AU13" s="78">
        <v>115</v>
      </c>
    </row>
    <row r="14" spans="1:58" ht="14.85" customHeight="1">
      <c r="A14" s="95" t="s">
        <v>64</v>
      </c>
      <c r="B14" s="95"/>
      <c r="C14" s="89">
        <v>7</v>
      </c>
      <c r="E14" t="s">
        <v>65</v>
      </c>
      <c r="F14" s="68">
        <v>21062.04</v>
      </c>
      <c r="G14" s="69">
        <v>17625</v>
      </c>
      <c r="H14" s="68">
        <v>21719.4</v>
      </c>
      <c r="I14" s="69">
        <v>17625</v>
      </c>
      <c r="J14" s="68">
        <v>8169.68</v>
      </c>
      <c r="K14" s="69">
        <v>17625</v>
      </c>
      <c r="M14" s="5">
        <v>45383</v>
      </c>
      <c r="N14" s="6">
        <v>0.95169999999999999</v>
      </c>
      <c r="P14" s="5">
        <v>45383</v>
      </c>
      <c r="Q14" s="6">
        <f>16/27</f>
        <v>0.59259259259259256</v>
      </c>
      <c r="S14" s="5">
        <v>45352</v>
      </c>
      <c r="T14" s="27">
        <v>521501.28</v>
      </c>
      <c r="U14" s="27">
        <v>510171.59</v>
      </c>
      <c r="W14" s="27">
        <v>270720.3</v>
      </c>
      <c r="X14" s="27">
        <v>226945.23</v>
      </c>
      <c r="Z14" s="5">
        <v>45338</v>
      </c>
      <c r="AA14" s="27">
        <v>412719.66</v>
      </c>
      <c r="AB14" s="27">
        <v>266599.12</v>
      </c>
      <c r="AD14" s="5">
        <v>45839</v>
      </c>
      <c r="AE14" s="27">
        <f>495941.76-(-19048.49)</f>
        <v>514990.25</v>
      </c>
      <c r="AF14" s="27">
        <f>AE14-19612.1</f>
        <v>495378.15</v>
      </c>
      <c r="AG14" s="81">
        <f t="shared" si="0"/>
        <v>0.96191753144841097</v>
      </c>
      <c r="AI14" s="5" t="s">
        <v>66</v>
      </c>
      <c r="AJ14" s="37">
        <v>10</v>
      </c>
      <c r="AK14" s="37">
        <v>10</v>
      </c>
      <c r="AL14" s="37">
        <v>1224</v>
      </c>
      <c r="AM14" s="27">
        <v>1550</v>
      </c>
      <c r="AN14" s="27">
        <v>1484.6</v>
      </c>
      <c r="AO14" s="5">
        <v>45839</v>
      </c>
      <c r="AP14" s="27">
        <v>1247.81</v>
      </c>
      <c r="AQ14" s="27">
        <v>1214.75</v>
      </c>
      <c r="AS14" s="5">
        <v>45117</v>
      </c>
      <c r="AT14" s="78">
        <v>90</v>
      </c>
      <c r="AU14" s="78">
        <v>123</v>
      </c>
    </row>
    <row r="15" spans="1:58" ht="14.85" customHeight="1">
      <c r="A15" s="86"/>
      <c r="B15" s="86"/>
      <c r="E15" t="s">
        <v>67</v>
      </c>
      <c r="F15" s="68">
        <v>3395.54</v>
      </c>
      <c r="G15" s="69">
        <v>750</v>
      </c>
      <c r="H15" s="68">
        <v>0</v>
      </c>
      <c r="I15" s="69">
        <v>750</v>
      </c>
      <c r="J15" s="68">
        <v>1749.11</v>
      </c>
      <c r="K15" s="69">
        <v>750</v>
      </c>
      <c r="M15" s="5">
        <v>45413</v>
      </c>
      <c r="N15" s="6">
        <v>0.94930000000000003</v>
      </c>
      <c r="P15" s="5">
        <v>45413</v>
      </c>
      <c r="Q15" s="6">
        <f>16/22</f>
        <v>0.72727272727272729</v>
      </c>
      <c r="S15" s="5">
        <v>45383</v>
      </c>
      <c r="T15" s="70">
        <v>522882.75</v>
      </c>
      <c r="U15" s="70">
        <v>515604.46</v>
      </c>
      <c r="W15" s="27">
        <v>248487.33</v>
      </c>
      <c r="X15" s="27">
        <v>226632.43</v>
      </c>
      <c r="Z15" s="5">
        <v>45367</v>
      </c>
      <c r="AA15" s="27">
        <v>466933.71</v>
      </c>
      <c r="AB15" s="27">
        <v>375214.81</v>
      </c>
      <c r="AD15" s="30">
        <v>45870</v>
      </c>
      <c r="AE15" s="27">
        <v>527236.32999999996</v>
      </c>
      <c r="AF15" s="27">
        <f>AE15-69011.28</f>
        <v>458225.04999999993</v>
      </c>
      <c r="AG15" s="81">
        <f t="shared" si="0"/>
        <v>0.86910750251220348</v>
      </c>
      <c r="AI15" s="5" t="s">
        <v>68</v>
      </c>
      <c r="AJ15" s="37">
        <v>23</v>
      </c>
      <c r="AK15" s="37">
        <v>20</v>
      </c>
      <c r="AL15" s="37">
        <v>1445</v>
      </c>
      <c r="AM15" s="27">
        <v>1425</v>
      </c>
      <c r="AN15" s="27">
        <v>1394.05</v>
      </c>
      <c r="AO15" s="30">
        <f>DATE(YEAR(AO14),MONTH(AO14)+1,DAY(1))</f>
        <v>45870</v>
      </c>
      <c r="AP15" s="27">
        <v>1247.81</v>
      </c>
      <c r="AQ15" s="27">
        <v>1211.99</v>
      </c>
      <c r="AS15" s="5">
        <v>45124</v>
      </c>
      <c r="AT15" s="78">
        <v>90</v>
      </c>
      <c r="AU15" s="78">
        <v>146</v>
      </c>
    </row>
    <row r="16" spans="1:58" ht="14.85" customHeight="1">
      <c r="A16" s="95" t="s">
        <v>69</v>
      </c>
      <c r="B16" s="95"/>
      <c r="C16" s="89">
        <v>70</v>
      </c>
      <c r="E16" t="s">
        <v>70</v>
      </c>
      <c r="F16" s="68">
        <v>6640.62</v>
      </c>
      <c r="G16" s="69">
        <v>6750</v>
      </c>
      <c r="H16" s="68">
        <v>6548</v>
      </c>
      <c r="I16" s="69">
        <v>6750</v>
      </c>
      <c r="J16" s="68">
        <v>5823.12</v>
      </c>
      <c r="K16" s="69">
        <v>6750</v>
      </c>
      <c r="M16" s="5">
        <v>45427</v>
      </c>
      <c r="N16" s="6">
        <f>391/414</f>
        <v>0.94444444444444442</v>
      </c>
      <c r="P16" s="5">
        <v>45444</v>
      </c>
      <c r="Q16" s="6">
        <f>5/12</f>
        <v>0.41666666666666669</v>
      </c>
      <c r="S16" s="5">
        <v>45413</v>
      </c>
      <c r="T16" s="70">
        <v>549784.18000000005</v>
      </c>
      <c r="U16" s="70">
        <v>520246.98</v>
      </c>
      <c r="W16" s="27">
        <v>303329.09000000003</v>
      </c>
      <c r="X16" s="27">
        <v>226339.96</v>
      </c>
      <c r="Z16" s="5">
        <v>45428</v>
      </c>
      <c r="AA16" s="27">
        <v>292340.74</v>
      </c>
      <c r="AB16" s="27">
        <v>263701.33</v>
      </c>
      <c r="AG16" s="75" t="str">
        <f t="shared" ref="AG16:AG42" si="3">IFERROR(AF16/AE16,"")</f>
        <v/>
      </c>
      <c r="AI16" s="5" t="s">
        <v>71</v>
      </c>
      <c r="AJ16" s="37">
        <v>28</v>
      </c>
      <c r="AK16" s="37">
        <v>22</v>
      </c>
      <c r="AL16" s="37">
        <v>1445</v>
      </c>
      <c r="AM16" s="27">
        <v>1470</v>
      </c>
      <c r="AN16" s="27">
        <v>1429.18</v>
      </c>
      <c r="AS16" s="5">
        <v>45131</v>
      </c>
      <c r="AT16" s="78">
        <v>97</v>
      </c>
      <c r="AU16" s="78">
        <v>112</v>
      </c>
    </row>
    <row r="17" spans="1:65" ht="14.85" customHeight="1">
      <c r="A17" s="95" t="s">
        <v>72</v>
      </c>
      <c r="B17" s="95"/>
      <c r="C17" s="89">
        <v>9</v>
      </c>
      <c r="E17" t="s">
        <v>73</v>
      </c>
      <c r="F17" s="68">
        <v>80148.160000000003</v>
      </c>
      <c r="G17" s="69">
        <v>88799.89</v>
      </c>
      <c r="H17" s="68">
        <v>66782.539999999994</v>
      </c>
      <c r="I17" s="69">
        <v>88799.89</v>
      </c>
      <c r="J17" s="68">
        <v>88569.23</v>
      </c>
      <c r="K17" s="69">
        <v>88799.89</v>
      </c>
      <c r="M17" s="5">
        <v>45444</v>
      </c>
      <c r="N17" s="6">
        <v>0.93500000000000005</v>
      </c>
      <c r="P17" s="5">
        <v>45474</v>
      </c>
      <c r="Q17" s="6">
        <f>22/29</f>
        <v>0.75862068965517238</v>
      </c>
      <c r="S17" s="5">
        <v>45444</v>
      </c>
      <c r="T17" s="70">
        <v>513539.12</v>
      </c>
      <c r="U17" s="70">
        <v>524846.34</v>
      </c>
      <c r="W17" s="27">
        <v>275326.89</v>
      </c>
      <c r="X17" s="27">
        <v>226066.83</v>
      </c>
      <c r="Z17" s="5">
        <v>45459</v>
      </c>
      <c r="AA17" s="27">
        <v>346113.38</v>
      </c>
      <c r="AB17" s="27">
        <v>298619.99</v>
      </c>
      <c r="AG17" s="7" t="str">
        <f t="shared" si="3"/>
        <v/>
      </c>
      <c r="AI17" s="5" t="s">
        <v>74</v>
      </c>
      <c r="AJ17" s="37">
        <v>16</v>
      </c>
      <c r="AK17" s="37">
        <v>16</v>
      </c>
      <c r="AL17" s="37">
        <v>1445</v>
      </c>
      <c r="AM17" s="27">
        <v>1525</v>
      </c>
      <c r="AN17" s="27">
        <v>1402.83</v>
      </c>
      <c r="AO17" s="28"/>
      <c r="AP17" s="28"/>
      <c r="AQ17" s="28"/>
      <c r="AS17" s="5">
        <v>45138</v>
      </c>
      <c r="AT17" s="78">
        <v>85</v>
      </c>
      <c r="AU17" s="78">
        <v>86</v>
      </c>
    </row>
    <row r="18" spans="1:65" ht="14.85" customHeight="1">
      <c r="A18" s="95" t="s">
        <v>75</v>
      </c>
      <c r="B18" s="95"/>
      <c r="C18" s="89">
        <v>7</v>
      </c>
      <c r="E18" s="47" t="s">
        <v>76</v>
      </c>
      <c r="F18" s="49">
        <f t="shared" ref="F18:G18" si="4">SUM(F8:F17)</f>
        <v>284466.81</v>
      </c>
      <c r="G18" s="49">
        <f t="shared" si="4"/>
        <v>268358.55</v>
      </c>
      <c r="H18" s="49">
        <f t="shared" ref="H18:I18" si="5">SUM(H8:H17)</f>
        <v>272594.84000000003</v>
      </c>
      <c r="I18" s="49">
        <f t="shared" si="5"/>
        <v>267328.78999999998</v>
      </c>
      <c r="J18" s="49">
        <f t="shared" ref="J18:K18" si="6">SUM(J8:J17)</f>
        <v>247379.89</v>
      </c>
      <c r="K18" s="49">
        <f t="shared" si="6"/>
        <v>267234.90000000002</v>
      </c>
      <c r="M18" s="5">
        <v>45460</v>
      </c>
      <c r="N18" s="6">
        <v>0.93479999999999996</v>
      </c>
      <c r="P18" s="5">
        <v>45505</v>
      </c>
      <c r="Q18" s="6">
        <f>14/43</f>
        <v>0.32558139534883723</v>
      </c>
      <c r="S18" s="5">
        <v>45474</v>
      </c>
      <c r="T18" s="70">
        <v>518146.38</v>
      </c>
      <c r="U18" s="70">
        <v>526808.09</v>
      </c>
      <c r="W18" s="27">
        <v>252796.88</v>
      </c>
      <c r="X18" s="27">
        <v>225894.65</v>
      </c>
      <c r="Z18" s="5">
        <v>45489</v>
      </c>
      <c r="AA18" s="27">
        <v>359856.17</v>
      </c>
      <c r="AB18" s="27">
        <v>338270.21</v>
      </c>
      <c r="AG18" s="7" t="str">
        <f t="shared" si="3"/>
        <v/>
      </c>
      <c r="AI18" s="5" t="s">
        <v>77</v>
      </c>
      <c r="AJ18" s="37">
        <v>3</v>
      </c>
      <c r="AK18" s="37">
        <v>2</v>
      </c>
      <c r="AL18" s="37">
        <v>1445</v>
      </c>
      <c r="AM18" s="27">
        <v>1650</v>
      </c>
      <c r="AN18" s="27">
        <v>1550</v>
      </c>
      <c r="AO18" s="28"/>
      <c r="AP18" s="28"/>
      <c r="AQ18" s="28"/>
      <c r="AS18" s="5">
        <v>45145</v>
      </c>
      <c r="AT18" s="78">
        <v>84</v>
      </c>
      <c r="AU18" s="78">
        <v>87</v>
      </c>
    </row>
    <row r="19" spans="1:65" ht="14.85" customHeight="1">
      <c r="A19" s="95" t="s">
        <v>78</v>
      </c>
      <c r="B19" s="95"/>
      <c r="C19" s="89">
        <v>3</v>
      </c>
      <c r="M19" s="5">
        <v>45467</v>
      </c>
      <c r="N19" s="6">
        <v>0.93479999999999996</v>
      </c>
      <c r="P19" s="5">
        <v>45536</v>
      </c>
      <c r="Q19" s="6">
        <f>7/25</f>
        <v>0.28000000000000003</v>
      </c>
      <c r="S19" s="5">
        <v>45505</v>
      </c>
      <c r="T19" s="70">
        <v>519269.53</v>
      </c>
      <c r="U19" s="70">
        <v>528721.79</v>
      </c>
      <c r="W19" s="27">
        <v>249119.65</v>
      </c>
      <c r="X19" s="27">
        <v>225727.91</v>
      </c>
      <c r="Z19" s="5">
        <v>45520</v>
      </c>
      <c r="AA19" s="27">
        <v>262485.09999999998</v>
      </c>
      <c r="AB19" s="27">
        <v>182860.56</v>
      </c>
      <c r="AG19" s="7" t="str">
        <f t="shared" si="3"/>
        <v/>
      </c>
      <c r="AI19" s="5"/>
      <c r="AJ19" s="37"/>
      <c r="AK19" s="37"/>
      <c r="AL19" s="37"/>
      <c r="AM19" s="27"/>
      <c r="AN19" s="27"/>
      <c r="AO19" s="28"/>
      <c r="AP19" s="28"/>
      <c r="AQ19" s="28"/>
      <c r="AS19" s="5">
        <v>45152</v>
      </c>
      <c r="AT19" s="78">
        <v>82</v>
      </c>
      <c r="AU19" s="78">
        <v>58</v>
      </c>
    </row>
    <row r="20" spans="1:65" ht="14.85" customHeight="1">
      <c r="A20" s="95" t="s">
        <v>79</v>
      </c>
      <c r="B20" s="95"/>
      <c r="C20" s="89">
        <v>0</v>
      </c>
      <c r="E20" s="47" t="s">
        <v>80</v>
      </c>
      <c r="F20" s="49">
        <f>F5-F18</f>
        <v>215974.55</v>
      </c>
      <c r="G20" s="49">
        <f t="shared" ref="G20:I20" si="7">G5-G18</f>
        <v>263432.36999999994</v>
      </c>
      <c r="H20" s="49">
        <f>H5-H18</f>
        <v>250479.45</v>
      </c>
      <c r="I20" s="49">
        <f t="shared" si="7"/>
        <v>263271.52000000008</v>
      </c>
      <c r="J20" s="49">
        <f>J5-J18</f>
        <v>268769.27</v>
      </c>
      <c r="K20" s="49">
        <f t="shared" ref="K20" si="8">K5-K18</f>
        <v>229609.87</v>
      </c>
      <c r="M20" s="5">
        <v>45474</v>
      </c>
      <c r="N20" s="6">
        <v>0.93899999999999995</v>
      </c>
      <c r="P20" s="5">
        <v>45566</v>
      </c>
      <c r="Q20" s="6">
        <v>0.42307692307692307</v>
      </c>
      <c r="S20" s="5">
        <v>45536</v>
      </c>
      <c r="T20" s="70">
        <v>498518.06</v>
      </c>
      <c r="U20" s="70">
        <v>530591.01</v>
      </c>
      <c r="W20" s="27">
        <v>289964</v>
      </c>
      <c r="X20" s="27">
        <v>225566.49</v>
      </c>
      <c r="Z20" s="5">
        <v>45551</v>
      </c>
      <c r="AA20" s="27">
        <v>294221.02</v>
      </c>
      <c r="AB20" s="27">
        <v>224949.03</v>
      </c>
      <c r="AG20" s="7" t="str">
        <f t="shared" si="3"/>
        <v/>
      </c>
      <c r="AI20" s="5"/>
      <c r="AJ20" s="37"/>
      <c r="AK20" s="74"/>
      <c r="AL20" s="37"/>
      <c r="AM20" s="27"/>
      <c r="AN20" s="27"/>
      <c r="AS20" s="5">
        <v>45159</v>
      </c>
      <c r="AT20" s="78">
        <v>71</v>
      </c>
      <c r="AU20" s="78">
        <v>26</v>
      </c>
    </row>
    <row r="21" spans="1:65" ht="14.85" customHeight="1">
      <c r="A21" s="95"/>
      <c r="B21" s="95"/>
      <c r="C21" s="76"/>
      <c r="M21" s="5">
        <v>45505</v>
      </c>
      <c r="N21" s="6">
        <v>0.92749999999999999</v>
      </c>
      <c r="P21" s="5">
        <v>45597</v>
      </c>
      <c r="Q21" s="6">
        <v>0.6470588235294118</v>
      </c>
      <c r="S21" s="5">
        <v>45566</v>
      </c>
      <c r="T21" s="27">
        <v>504432.23</v>
      </c>
      <c r="U21" s="27">
        <v>532419.1</v>
      </c>
      <c r="W21" s="27">
        <v>278941.14</v>
      </c>
      <c r="X21" s="27">
        <v>225410.29</v>
      </c>
      <c r="Z21" s="5">
        <v>45581</v>
      </c>
      <c r="AA21" s="27">
        <v>433513.24</v>
      </c>
      <c r="AB21" s="27">
        <v>263947.53999999998</v>
      </c>
      <c r="AG21" s="7" t="str">
        <f t="shared" si="3"/>
        <v/>
      </c>
      <c r="AI21" s="5"/>
      <c r="AJ21" s="37"/>
      <c r="AK21" s="74"/>
      <c r="AL21" s="37"/>
      <c r="AM21" s="27"/>
      <c r="AN21" s="27"/>
      <c r="AS21" s="5">
        <v>45167</v>
      </c>
      <c r="AT21" s="78">
        <v>64</v>
      </c>
      <c r="AU21" s="78">
        <v>26</v>
      </c>
    </row>
    <row r="22" spans="1:65" ht="15" customHeight="1">
      <c r="F22" s="68"/>
      <c r="G22" s="69"/>
      <c r="H22" s="68"/>
      <c r="I22" s="69"/>
      <c r="J22" s="68"/>
      <c r="K22" s="69"/>
      <c r="M22" s="5">
        <v>45516</v>
      </c>
      <c r="N22" s="6">
        <v>0.92269999999999996</v>
      </c>
      <c r="P22" s="5">
        <v>45627</v>
      </c>
      <c r="Q22" s="6">
        <v>0.53300000000000003</v>
      </c>
      <c r="S22" s="5">
        <v>45597</v>
      </c>
      <c r="T22" s="27">
        <v>489745.13</v>
      </c>
      <c r="U22" s="27">
        <v>534209.17000000004</v>
      </c>
      <c r="W22" s="27">
        <v>262907.93</v>
      </c>
      <c r="X22" s="27">
        <v>225259.19</v>
      </c>
      <c r="Z22" s="5">
        <v>45612</v>
      </c>
      <c r="AA22" s="27">
        <v>355242.37</v>
      </c>
      <c r="AB22" s="27">
        <v>270439.02</v>
      </c>
      <c r="AG22" s="7" t="str">
        <f t="shared" si="3"/>
        <v/>
      </c>
      <c r="AI22" s="5"/>
      <c r="AJ22" s="37"/>
      <c r="AK22" s="74"/>
      <c r="AL22" s="37"/>
      <c r="AM22" s="27"/>
      <c r="AN22" s="27"/>
      <c r="AS22" s="5">
        <v>45173</v>
      </c>
      <c r="AT22" s="78">
        <v>59</v>
      </c>
      <c r="AU22" s="78">
        <v>36</v>
      </c>
    </row>
    <row r="23" spans="1:65" ht="14.85" customHeight="1">
      <c r="A23" t="s">
        <v>13</v>
      </c>
      <c r="B23" s="44" t="s">
        <v>81</v>
      </c>
      <c r="C23" s="44" t="s">
        <v>82</v>
      </c>
      <c r="F23" s="68"/>
      <c r="G23" s="69"/>
      <c r="H23" s="68"/>
      <c r="I23" s="69"/>
      <c r="J23" s="68"/>
      <c r="K23" s="69"/>
      <c r="M23" s="5">
        <v>45523</v>
      </c>
      <c r="N23" s="6">
        <v>0.93240000000000001</v>
      </c>
      <c r="P23" s="5">
        <v>45658</v>
      </c>
      <c r="Q23" s="6">
        <v>0.53846153846153844</v>
      </c>
      <c r="S23" s="5">
        <v>45627</v>
      </c>
      <c r="T23" s="27">
        <v>518257.47</v>
      </c>
      <c r="U23" s="27">
        <v>535964.02</v>
      </c>
      <c r="W23" s="27">
        <v>228709.32</v>
      </c>
      <c r="X23" s="27">
        <v>225113.09</v>
      </c>
      <c r="Z23" s="5">
        <v>45642</v>
      </c>
      <c r="AA23" s="27">
        <v>443604.92</v>
      </c>
      <c r="AB23" s="27">
        <v>341174.26</v>
      </c>
      <c r="AG23" s="7" t="str">
        <f t="shared" si="3"/>
        <v/>
      </c>
      <c r="AI23" s="5"/>
      <c r="AJ23" s="37"/>
      <c r="AK23" s="74"/>
      <c r="AL23" s="37"/>
      <c r="AM23" s="27"/>
      <c r="AN23" s="27"/>
      <c r="AS23" s="5">
        <v>45180</v>
      </c>
      <c r="AT23" s="78">
        <v>59</v>
      </c>
      <c r="AU23" s="78">
        <v>47</v>
      </c>
    </row>
    <row r="24" spans="1:65" ht="14.85" customHeight="1">
      <c r="A24" s="2">
        <v>45880</v>
      </c>
      <c r="B24" s="89">
        <v>5</v>
      </c>
      <c r="C24" s="89">
        <v>8</v>
      </c>
      <c r="F24" s="68"/>
      <c r="G24" s="69"/>
      <c r="H24" s="68"/>
      <c r="I24" s="69"/>
      <c r="J24" s="68"/>
      <c r="K24" s="69"/>
      <c r="M24" s="5">
        <v>45530</v>
      </c>
      <c r="N24" s="6">
        <f>384/414</f>
        <v>0.92753623188405798</v>
      </c>
      <c r="P24" s="5">
        <v>45689</v>
      </c>
      <c r="Q24" s="6">
        <v>0.5</v>
      </c>
      <c r="S24" s="5">
        <v>45658</v>
      </c>
      <c r="T24" s="27">
        <v>532152.43999999994</v>
      </c>
      <c r="U24" s="27">
        <v>515672.55</v>
      </c>
      <c r="W24" s="27">
        <v>304499.53999999998</v>
      </c>
      <c r="X24" s="27">
        <v>264955.59000000003</v>
      </c>
      <c r="Z24" s="5">
        <v>45673</v>
      </c>
      <c r="AA24" s="27">
        <v>413074.29</v>
      </c>
      <c r="AB24" s="27">
        <v>392047.75</v>
      </c>
      <c r="AG24" s="7" t="str">
        <f t="shared" si="3"/>
        <v/>
      </c>
      <c r="AI24" s="5"/>
      <c r="AJ24" s="37"/>
      <c r="AK24" s="74"/>
      <c r="AL24" s="37"/>
      <c r="AM24" s="27"/>
      <c r="AN24" s="27"/>
      <c r="AS24" s="5">
        <v>45187</v>
      </c>
      <c r="AT24" s="78">
        <v>59</v>
      </c>
      <c r="AU24" s="78">
        <v>53</v>
      </c>
    </row>
    <row r="25" spans="1:65" ht="14.85" customHeight="1">
      <c r="A25" s="79">
        <f t="shared" ref="A25:A28" si="9">A24+7</f>
        <v>45887</v>
      </c>
      <c r="B25" s="89">
        <v>4</v>
      </c>
      <c r="C25" s="89">
        <v>2</v>
      </c>
      <c r="M25" s="5">
        <v>45537</v>
      </c>
      <c r="N25" s="6">
        <f>385/414</f>
        <v>0.92995169082125606</v>
      </c>
      <c r="P25" s="5">
        <v>45717</v>
      </c>
      <c r="Q25" s="6">
        <v>0.21875</v>
      </c>
      <c r="S25" s="5">
        <v>45689</v>
      </c>
      <c r="T25" s="27">
        <v>514932.38</v>
      </c>
      <c r="U25" s="27">
        <v>519380.95</v>
      </c>
      <c r="W25" s="27">
        <v>261922.36</v>
      </c>
      <c r="X25" s="27">
        <v>265048.3</v>
      </c>
      <c r="Z25" s="5">
        <v>45705</v>
      </c>
      <c r="AA25" s="27">
        <v>305457.31</v>
      </c>
      <c r="AB25" s="27">
        <v>272808.15000000002</v>
      </c>
      <c r="AG25" s="7" t="str">
        <f t="shared" si="3"/>
        <v/>
      </c>
      <c r="AI25" s="5"/>
      <c r="AJ25" s="37"/>
      <c r="AK25" s="74"/>
      <c r="AL25" s="37"/>
      <c r="AM25" s="27"/>
      <c r="AN25" s="27"/>
      <c r="AS25" s="5">
        <v>45194</v>
      </c>
      <c r="AT25" s="78">
        <v>67</v>
      </c>
      <c r="AU25" s="78">
        <v>46</v>
      </c>
    </row>
    <row r="26" spans="1:65" ht="14.85" customHeight="1">
      <c r="A26" s="79">
        <f t="shared" si="9"/>
        <v>45894</v>
      </c>
      <c r="B26" s="89">
        <v>5</v>
      </c>
      <c r="C26" s="89">
        <v>3</v>
      </c>
      <c r="E26" s="47"/>
      <c r="F26" s="49"/>
      <c r="G26" s="49"/>
      <c r="H26" s="49"/>
      <c r="I26" s="49"/>
      <c r="J26" s="49"/>
      <c r="K26" s="49"/>
      <c r="M26" s="5">
        <v>45544</v>
      </c>
      <c r="N26" s="6">
        <v>0.92030000000000001</v>
      </c>
      <c r="P26" s="5">
        <v>45748</v>
      </c>
      <c r="Q26" s="6">
        <v>0.5</v>
      </c>
      <c r="S26" s="5">
        <v>45717</v>
      </c>
      <c r="T26" s="27">
        <v>510210.81</v>
      </c>
      <c r="U26" s="27">
        <v>523105.01</v>
      </c>
      <c r="W26" s="27">
        <v>238080.18</v>
      </c>
      <c r="X26" s="27">
        <v>270141.40999999997</v>
      </c>
      <c r="Z26" s="5">
        <v>45733</v>
      </c>
      <c r="AA26" s="27">
        <v>439173.74</v>
      </c>
      <c r="AB26" s="27">
        <v>372184.88</v>
      </c>
      <c r="AG26" s="7" t="str">
        <f t="shared" si="3"/>
        <v/>
      </c>
      <c r="AI26" s="5"/>
      <c r="AJ26" s="37"/>
      <c r="AK26" s="37"/>
      <c r="AL26" s="37"/>
      <c r="AM26" s="27"/>
      <c r="AN26" s="27"/>
      <c r="AS26" s="5">
        <v>45201</v>
      </c>
      <c r="AT26" s="78">
        <v>62</v>
      </c>
      <c r="AU26" s="78">
        <v>50</v>
      </c>
    </row>
    <row r="27" spans="1:65">
      <c r="A27" s="79">
        <f t="shared" si="9"/>
        <v>45901</v>
      </c>
      <c r="B27" s="89">
        <v>0</v>
      </c>
      <c r="C27" s="89">
        <v>1</v>
      </c>
      <c r="M27" s="5">
        <v>45558</v>
      </c>
      <c r="N27" s="6">
        <f>385/414</f>
        <v>0.92995169082125606</v>
      </c>
      <c r="P27" s="5">
        <v>45778</v>
      </c>
      <c r="Q27" s="6">
        <v>0.68600000000000005</v>
      </c>
      <c r="S27" s="5">
        <v>45748</v>
      </c>
      <c r="T27" s="27">
        <v>516149.16</v>
      </c>
      <c r="U27" s="27">
        <v>526884.77</v>
      </c>
      <c r="W27" s="27">
        <v>247179.89</v>
      </c>
      <c r="X27" s="27">
        <v>267234.90000000002</v>
      </c>
      <c r="Z27" s="5">
        <v>45763</v>
      </c>
      <c r="AA27" s="27">
        <v>456822.77</v>
      </c>
      <c r="AB27" s="27">
        <v>414613.34</v>
      </c>
      <c r="AG27" s="7" t="str">
        <f t="shared" si="3"/>
        <v/>
      </c>
      <c r="AI27" s="5"/>
      <c r="AJ27" s="37"/>
      <c r="AK27" s="37"/>
      <c r="AL27" s="37"/>
      <c r="AM27" s="27"/>
      <c r="AN27" s="27"/>
      <c r="AP27" s="36"/>
      <c r="AS27" s="5">
        <v>45208</v>
      </c>
      <c r="AT27" s="78">
        <v>55</v>
      </c>
      <c r="AU27" s="78">
        <v>36</v>
      </c>
    </row>
    <row r="28" spans="1:65">
      <c r="A28" s="79">
        <f t="shared" si="9"/>
        <v>45908</v>
      </c>
      <c r="B28" s="89">
        <v>1</v>
      </c>
      <c r="C28" s="89">
        <v>2</v>
      </c>
      <c r="M28" s="5">
        <v>45565</v>
      </c>
      <c r="N28" s="6">
        <v>0.93710000000000004</v>
      </c>
      <c r="P28" s="5">
        <v>45809</v>
      </c>
      <c r="Q28" s="6">
        <v>0.46899999999999997</v>
      </c>
      <c r="S28" s="5">
        <v>45778</v>
      </c>
      <c r="T28" s="27">
        <v>523074.29000000004</v>
      </c>
      <c r="U28" s="27">
        <v>530600.31000000006</v>
      </c>
      <c r="W28" s="27">
        <v>272594.84000000003</v>
      </c>
      <c r="X28" s="27">
        <v>267328.78999999998</v>
      </c>
      <c r="Z28" s="5">
        <v>45792</v>
      </c>
      <c r="AA28" s="27">
        <v>445847.64</v>
      </c>
      <c r="AB28" s="27">
        <v>284539.71999999997</v>
      </c>
      <c r="AG28" s="7" t="str">
        <f t="shared" si="3"/>
        <v/>
      </c>
      <c r="AI28" s="5"/>
      <c r="AJ28" s="37"/>
      <c r="AK28" s="37"/>
      <c r="AL28" s="37"/>
      <c r="AM28" s="27"/>
      <c r="AN28" s="27"/>
      <c r="AP28" s="36"/>
      <c r="AS28" s="5">
        <v>45215</v>
      </c>
      <c r="AT28" s="78">
        <v>53</v>
      </c>
      <c r="AU28" s="78">
        <v>18</v>
      </c>
    </row>
    <row r="29" spans="1:65">
      <c r="A29" s="79">
        <f t="shared" ref="A29" si="10">A28+7</f>
        <v>45915</v>
      </c>
      <c r="B29" s="89">
        <v>0</v>
      </c>
      <c r="C29" s="89">
        <v>1</v>
      </c>
      <c r="M29" s="5">
        <v>45579</v>
      </c>
      <c r="N29" s="6">
        <v>0.93</v>
      </c>
      <c r="P29" s="5">
        <v>45839</v>
      </c>
      <c r="Q29" s="6">
        <v>0.92600000000000005</v>
      </c>
      <c r="S29" s="5">
        <v>45809</v>
      </c>
      <c r="T29" s="27">
        <v>500441.36</v>
      </c>
      <c r="U29" s="27">
        <v>531790.92000000004</v>
      </c>
      <c r="W29" s="27">
        <v>284466.81</v>
      </c>
      <c r="X29" s="27">
        <v>268358.55</v>
      </c>
      <c r="Z29" s="5">
        <v>45825</v>
      </c>
      <c r="AA29" s="27">
        <v>309587.95</v>
      </c>
      <c r="AB29" s="27">
        <v>301055.88</v>
      </c>
      <c r="AG29" s="7" t="str">
        <f t="shared" si="3"/>
        <v/>
      </c>
      <c r="AI29" s="5"/>
      <c r="AJ29" s="37"/>
      <c r="AK29" s="37"/>
      <c r="AL29" s="37"/>
      <c r="AM29" s="27"/>
      <c r="AN29" s="27"/>
      <c r="AP29" s="71"/>
      <c r="AS29" s="5">
        <v>45222</v>
      </c>
      <c r="AT29" s="78">
        <v>51</v>
      </c>
      <c r="AU29" s="78">
        <v>13</v>
      </c>
      <c r="AV29" s="28"/>
      <c r="AW29" s="28"/>
      <c r="AX29" s="28"/>
      <c r="AY29" s="28"/>
      <c r="AZ29" s="28"/>
      <c r="BA29" s="28"/>
      <c r="BB29" s="28"/>
      <c r="BC29" s="28"/>
      <c r="BD29" s="28"/>
      <c r="BE29" s="28"/>
      <c r="BF29" s="28"/>
      <c r="BG29" s="28"/>
      <c r="BH29" s="28"/>
      <c r="BI29" s="28"/>
      <c r="BJ29" s="28"/>
      <c r="BK29" s="28"/>
      <c r="BL29" s="28"/>
      <c r="BM29" s="28"/>
    </row>
    <row r="30" spans="1:65">
      <c r="M30" s="5">
        <v>45586</v>
      </c>
      <c r="N30" s="6">
        <v>0.93</v>
      </c>
      <c r="P30" s="5">
        <v>45870</v>
      </c>
      <c r="Q30" s="6">
        <v>2.8000000000000001E-2</v>
      </c>
      <c r="S30" s="5">
        <v>45839</v>
      </c>
      <c r="T30" s="27">
        <v>495941.76</v>
      </c>
      <c r="U30" s="27">
        <v>532984.51</v>
      </c>
      <c r="W30" s="27">
        <v>322666.52</v>
      </c>
      <c r="X30" s="27">
        <v>268388.39</v>
      </c>
      <c r="Z30" s="5">
        <v>45854</v>
      </c>
      <c r="AA30" s="27">
        <v>636213.81999999995</v>
      </c>
      <c r="AB30" s="27">
        <v>220776.07999999996</v>
      </c>
      <c r="AG30" s="7" t="str">
        <f t="shared" si="3"/>
        <v/>
      </c>
      <c r="AI30" s="5"/>
      <c r="AJ30" s="37"/>
      <c r="AK30" s="37"/>
      <c r="AL30" s="37"/>
      <c r="AM30" s="27"/>
      <c r="AN30" s="27"/>
      <c r="AP30" s="36"/>
      <c r="AS30" s="5">
        <v>45229</v>
      </c>
      <c r="AT30" s="78">
        <v>52</v>
      </c>
      <c r="AU30" s="78">
        <v>33</v>
      </c>
      <c r="AV30" s="28"/>
      <c r="AW30" s="28"/>
      <c r="AX30" s="28"/>
      <c r="AY30" s="28"/>
      <c r="AZ30" s="28"/>
      <c r="BA30" s="28"/>
      <c r="BB30" s="28"/>
      <c r="BC30" s="28"/>
      <c r="BD30" s="28"/>
      <c r="BE30" s="28"/>
      <c r="BF30" s="28"/>
      <c r="BG30" s="28"/>
      <c r="BH30" s="28"/>
      <c r="BI30" s="28"/>
      <c r="BJ30" s="28"/>
      <c r="BK30" s="28"/>
      <c r="BL30" s="28"/>
      <c r="BM30" s="28"/>
    </row>
    <row r="31" spans="1:65">
      <c r="A31" t="s">
        <v>83</v>
      </c>
      <c r="B31" s="44" t="s">
        <v>84</v>
      </c>
      <c r="C31" s="44" t="s">
        <v>85</v>
      </c>
      <c r="D31" s="44" t="s">
        <v>86</v>
      </c>
      <c r="E31" s="44" t="s">
        <v>87</v>
      </c>
      <c r="M31" s="5">
        <v>45592</v>
      </c>
      <c r="N31" s="6">
        <v>0.92749999999999999</v>
      </c>
      <c r="P31" s="5"/>
      <c r="Q31" s="6"/>
      <c r="S31" s="5"/>
      <c r="T31" s="27"/>
      <c r="U31" s="27"/>
      <c r="W31" s="27"/>
      <c r="X31" s="27"/>
      <c r="Z31" s="5"/>
      <c r="AA31" s="27"/>
      <c r="AB31" s="27"/>
      <c r="AG31" s="7" t="str">
        <f t="shared" si="3"/>
        <v/>
      </c>
      <c r="AI31" s="5"/>
      <c r="AJ31" s="37"/>
      <c r="AK31" s="37"/>
      <c r="AL31" s="37"/>
      <c r="AM31" s="27"/>
      <c r="AN31" s="27"/>
      <c r="AP31" s="36"/>
      <c r="AS31" s="5">
        <v>45236</v>
      </c>
      <c r="AT31" s="78">
        <v>48</v>
      </c>
      <c r="AU31" s="78">
        <v>38</v>
      </c>
      <c r="AV31" s="28"/>
      <c r="AW31" s="28"/>
      <c r="AX31" s="28"/>
      <c r="AY31" s="28"/>
      <c r="AZ31" s="28"/>
      <c r="BA31" s="28"/>
      <c r="BB31" s="28"/>
      <c r="BC31" s="28"/>
      <c r="BD31" s="28"/>
      <c r="BE31" s="28"/>
      <c r="BF31" s="28"/>
      <c r="BG31" s="28"/>
      <c r="BH31" s="28"/>
      <c r="BI31" s="28"/>
      <c r="BJ31" s="28"/>
      <c r="BK31" s="28"/>
      <c r="BL31" s="28"/>
      <c r="BM31" s="28"/>
    </row>
    <row r="32" spans="1:65">
      <c r="A32" s="2">
        <v>45809</v>
      </c>
      <c r="B32" s="89">
        <v>32</v>
      </c>
      <c r="C32" s="89">
        <v>19</v>
      </c>
      <c r="D32" s="89">
        <v>0</v>
      </c>
      <c r="E32" s="89">
        <v>15</v>
      </c>
      <c r="M32" s="5">
        <v>45597</v>
      </c>
      <c r="N32" s="6">
        <v>0.92510000000000003</v>
      </c>
      <c r="P32" s="5"/>
      <c r="Q32" s="6"/>
      <c r="S32" s="5"/>
      <c r="T32" s="27"/>
      <c r="U32" s="27"/>
      <c r="W32" s="27"/>
      <c r="X32" s="27"/>
      <c r="Z32" s="5"/>
      <c r="AA32" s="27"/>
      <c r="AB32" s="27"/>
      <c r="AG32" s="7" t="str">
        <f t="shared" si="3"/>
        <v/>
      </c>
      <c r="AI32" s="5"/>
      <c r="AJ32" s="37"/>
      <c r="AK32" s="37"/>
      <c r="AL32" s="37"/>
      <c r="AM32" s="27"/>
      <c r="AN32" s="27"/>
      <c r="AP32" s="71"/>
      <c r="AS32" s="5">
        <v>45243</v>
      </c>
      <c r="AT32" s="78">
        <v>42</v>
      </c>
      <c r="AU32" s="78">
        <v>37</v>
      </c>
      <c r="AV32" s="28"/>
      <c r="AW32" s="28"/>
      <c r="AX32" s="28"/>
      <c r="AY32" s="28"/>
      <c r="AZ32" s="28"/>
      <c r="BA32" s="28"/>
      <c r="BB32" s="28"/>
      <c r="BC32" s="28"/>
      <c r="BD32" s="28"/>
      <c r="BE32" s="28"/>
      <c r="BF32" s="28"/>
      <c r="BG32" s="28"/>
      <c r="BH32" s="28"/>
      <c r="BI32" s="28"/>
      <c r="BJ32" s="28"/>
      <c r="BK32" s="28"/>
      <c r="BL32" s="28"/>
      <c r="BM32" s="28"/>
    </row>
    <row r="33" spans="1:47">
      <c r="A33" s="2">
        <f t="shared" ref="A33:A55" si="11">DATE(YEAR(A32),MONTH(A32)+1,1)</f>
        <v>45839</v>
      </c>
      <c r="B33" s="89">
        <v>27</v>
      </c>
      <c r="C33" s="89">
        <v>23</v>
      </c>
      <c r="D33" s="89">
        <v>0</v>
      </c>
      <c r="E33" s="89">
        <v>25</v>
      </c>
      <c r="M33" s="5">
        <v>45607</v>
      </c>
      <c r="N33" s="6">
        <v>0.92510000000000003</v>
      </c>
      <c r="P33" s="5"/>
      <c r="Q33" s="6"/>
      <c r="S33" s="5"/>
      <c r="T33" s="27"/>
      <c r="U33" s="27"/>
      <c r="W33" s="27"/>
      <c r="X33" s="27"/>
      <c r="Z33" s="5"/>
      <c r="AA33" s="27"/>
      <c r="AB33" s="27"/>
      <c r="AG33" s="7" t="str">
        <f t="shared" si="3"/>
        <v/>
      </c>
      <c r="AI33" s="5"/>
      <c r="AJ33" s="37"/>
      <c r="AK33" s="37"/>
      <c r="AL33" s="37"/>
      <c r="AM33" s="27"/>
      <c r="AN33" s="27"/>
      <c r="AP33" s="36"/>
      <c r="AS33" s="5">
        <v>45250</v>
      </c>
      <c r="AT33" s="78">
        <v>45</v>
      </c>
      <c r="AU33" s="78">
        <v>30</v>
      </c>
    </row>
    <row r="34" spans="1:47">
      <c r="A34" s="2">
        <f t="shared" si="11"/>
        <v>45870</v>
      </c>
      <c r="B34" s="89">
        <v>36</v>
      </c>
      <c r="C34" s="89">
        <v>6</v>
      </c>
      <c r="D34" s="89">
        <v>28</v>
      </c>
      <c r="E34" s="89">
        <v>1</v>
      </c>
      <c r="M34" s="5">
        <v>45614</v>
      </c>
      <c r="N34" s="6">
        <v>0.93240000000000001</v>
      </c>
      <c r="P34" s="5"/>
      <c r="Q34" s="6"/>
      <c r="S34" s="5"/>
      <c r="T34" s="27"/>
      <c r="U34" s="27"/>
      <c r="W34" s="27"/>
      <c r="X34" s="27"/>
      <c r="Z34" s="5"/>
      <c r="AA34" s="27"/>
      <c r="AB34" s="27"/>
      <c r="AG34" s="7" t="str">
        <f t="shared" si="3"/>
        <v/>
      </c>
      <c r="AI34" s="5"/>
      <c r="AJ34" s="37"/>
      <c r="AK34" s="37"/>
      <c r="AL34" s="37"/>
      <c r="AM34" s="27"/>
      <c r="AN34" s="27"/>
      <c r="AP34" s="71"/>
      <c r="AS34" s="5">
        <v>45257</v>
      </c>
      <c r="AT34" s="78">
        <v>46</v>
      </c>
      <c r="AU34" s="78">
        <v>58</v>
      </c>
    </row>
    <row r="35" spans="1:47">
      <c r="A35" s="2">
        <f t="shared" si="11"/>
        <v>45901</v>
      </c>
      <c r="B35" s="89">
        <v>29</v>
      </c>
      <c r="C35" s="89">
        <v>0</v>
      </c>
      <c r="D35" s="89">
        <v>7</v>
      </c>
      <c r="E35" s="89">
        <v>0</v>
      </c>
      <c r="M35" s="5">
        <v>45621</v>
      </c>
      <c r="N35" s="6">
        <v>0.92269999999999996</v>
      </c>
      <c r="P35" s="5"/>
      <c r="Q35" s="6"/>
      <c r="S35" s="5"/>
      <c r="T35" s="27"/>
      <c r="U35" s="27"/>
      <c r="W35" s="27"/>
      <c r="X35" s="27"/>
      <c r="Z35" s="5"/>
      <c r="AA35" s="27"/>
      <c r="AB35" s="27"/>
      <c r="AG35" s="7" t="str">
        <f t="shared" si="3"/>
        <v/>
      </c>
      <c r="AI35" s="5"/>
      <c r="AJ35" s="37"/>
      <c r="AK35" s="37"/>
      <c r="AL35" s="37"/>
      <c r="AM35" s="27"/>
      <c r="AN35" s="27"/>
      <c r="AP35" s="71"/>
      <c r="AS35" s="5">
        <v>45264</v>
      </c>
      <c r="AT35" s="78">
        <v>35</v>
      </c>
      <c r="AU35" s="78">
        <v>37</v>
      </c>
    </row>
    <row r="36" spans="1:47">
      <c r="A36" s="2">
        <f t="shared" si="11"/>
        <v>45931</v>
      </c>
      <c r="B36" s="89">
        <v>20</v>
      </c>
      <c r="C36" s="89">
        <v>0</v>
      </c>
      <c r="D36" s="89">
        <v>1</v>
      </c>
      <c r="E36" s="89">
        <v>0</v>
      </c>
      <c r="M36" s="5">
        <v>45628</v>
      </c>
      <c r="N36" s="6">
        <v>0.92269999999999996</v>
      </c>
      <c r="P36" s="5"/>
      <c r="Q36" s="6"/>
      <c r="S36" s="5"/>
      <c r="T36" s="27"/>
      <c r="U36" s="27"/>
      <c r="W36" s="27"/>
      <c r="X36" s="27"/>
      <c r="Z36" s="5"/>
      <c r="AA36" s="27"/>
      <c r="AB36" s="27"/>
      <c r="AG36" s="7" t="str">
        <f t="shared" si="3"/>
        <v/>
      </c>
      <c r="AI36" s="5"/>
      <c r="AJ36" s="37"/>
      <c r="AK36" s="37"/>
      <c r="AL36" s="37"/>
      <c r="AM36" s="27"/>
      <c r="AN36" s="27"/>
      <c r="AP36" s="36"/>
      <c r="AS36" s="5">
        <v>45271</v>
      </c>
      <c r="AT36" s="78">
        <v>33</v>
      </c>
      <c r="AU36" s="78">
        <v>39</v>
      </c>
    </row>
    <row r="37" spans="1:47">
      <c r="A37" s="2">
        <f t="shared" si="11"/>
        <v>45962</v>
      </c>
      <c r="B37" s="89">
        <v>20</v>
      </c>
      <c r="C37" s="89">
        <v>0</v>
      </c>
      <c r="D37" s="89">
        <v>1</v>
      </c>
      <c r="E37" s="89">
        <v>0</v>
      </c>
      <c r="M37" s="5">
        <v>45642</v>
      </c>
      <c r="N37" s="6">
        <v>0.93240000000000001</v>
      </c>
      <c r="P37" s="5"/>
      <c r="Q37" s="6"/>
      <c r="S37" s="5"/>
      <c r="T37" s="27"/>
      <c r="U37" s="27"/>
      <c r="W37" s="27"/>
      <c r="X37" s="27"/>
      <c r="Z37" s="5"/>
      <c r="AA37" s="27"/>
      <c r="AB37" s="27"/>
      <c r="AG37" s="7" t="str">
        <f t="shared" si="3"/>
        <v/>
      </c>
      <c r="AI37" s="5"/>
      <c r="AJ37" s="37"/>
      <c r="AK37" s="37"/>
      <c r="AL37" s="37"/>
      <c r="AM37" s="27"/>
      <c r="AN37" s="27"/>
      <c r="AS37" s="5">
        <v>45278</v>
      </c>
      <c r="AT37" s="78">
        <v>36</v>
      </c>
      <c r="AU37" s="78">
        <v>53</v>
      </c>
    </row>
    <row r="38" spans="1:47">
      <c r="A38" s="2">
        <f t="shared" si="11"/>
        <v>45992</v>
      </c>
      <c r="B38" s="89">
        <v>11</v>
      </c>
      <c r="C38" s="89">
        <v>0</v>
      </c>
      <c r="D38" s="89">
        <v>0</v>
      </c>
      <c r="E38" s="89">
        <v>0</v>
      </c>
      <c r="M38" s="5">
        <v>45649</v>
      </c>
      <c r="N38" s="6">
        <v>0.93</v>
      </c>
      <c r="P38" s="5"/>
      <c r="Q38" s="6"/>
      <c r="Z38" s="5"/>
      <c r="AA38" s="27"/>
      <c r="AB38" s="27"/>
      <c r="AG38" s="7" t="str">
        <f t="shared" si="3"/>
        <v/>
      </c>
      <c r="AI38" s="5"/>
      <c r="AJ38" s="37"/>
      <c r="AK38" s="37"/>
      <c r="AL38" s="37"/>
      <c r="AM38" s="27"/>
      <c r="AN38" s="27"/>
      <c r="AS38" s="5">
        <v>45285</v>
      </c>
      <c r="AT38" s="78">
        <v>40</v>
      </c>
      <c r="AU38" s="78">
        <v>12</v>
      </c>
    </row>
    <row r="39" spans="1:47">
      <c r="A39" s="2">
        <f t="shared" si="11"/>
        <v>46023</v>
      </c>
      <c r="B39" s="89">
        <v>19</v>
      </c>
      <c r="C39" s="89">
        <v>0</v>
      </c>
      <c r="D39" s="89">
        <v>0</v>
      </c>
      <c r="E39" s="89">
        <v>0</v>
      </c>
      <c r="M39" s="5">
        <v>45656</v>
      </c>
      <c r="N39" s="6">
        <v>0.93240000000000001</v>
      </c>
      <c r="Z39" s="5"/>
      <c r="AA39" s="27"/>
      <c r="AB39" s="27"/>
      <c r="AG39" s="7" t="str">
        <f t="shared" si="3"/>
        <v/>
      </c>
      <c r="AI39" s="5"/>
      <c r="AJ39" s="37"/>
      <c r="AK39" s="37"/>
      <c r="AL39" s="37"/>
      <c r="AM39" s="27"/>
      <c r="AN39" s="27"/>
      <c r="AP39" s="36"/>
      <c r="AS39" s="5">
        <v>45292</v>
      </c>
      <c r="AT39" s="78">
        <v>40</v>
      </c>
      <c r="AU39" s="78">
        <v>33</v>
      </c>
    </row>
    <row r="40" spans="1:47">
      <c r="A40" s="2">
        <f t="shared" si="11"/>
        <v>46054</v>
      </c>
      <c r="B40" s="89">
        <v>39</v>
      </c>
      <c r="C40" s="89">
        <v>0</v>
      </c>
      <c r="D40" s="89">
        <v>0</v>
      </c>
      <c r="E40" s="89">
        <v>0</v>
      </c>
      <c r="M40" s="5">
        <v>45663</v>
      </c>
      <c r="N40" s="6">
        <f>386/414</f>
        <v>0.93236714975845414</v>
      </c>
      <c r="AG40" s="7" t="str">
        <f t="shared" si="3"/>
        <v/>
      </c>
      <c r="AI40" s="5"/>
      <c r="AJ40" s="37"/>
      <c r="AK40" s="37"/>
      <c r="AL40" s="37"/>
      <c r="AM40" s="27"/>
      <c r="AN40" s="27"/>
      <c r="AS40" s="5">
        <v>45299</v>
      </c>
      <c r="AT40" s="78">
        <v>38</v>
      </c>
      <c r="AU40" s="78">
        <v>40</v>
      </c>
    </row>
    <row r="41" spans="1:47">
      <c r="A41" s="2">
        <f t="shared" si="11"/>
        <v>46082</v>
      </c>
      <c r="B41" s="89">
        <v>37</v>
      </c>
      <c r="C41" s="89">
        <v>0</v>
      </c>
      <c r="D41" s="89">
        <v>0</v>
      </c>
      <c r="E41" s="89">
        <v>0</v>
      </c>
      <c r="M41" s="5">
        <v>45670</v>
      </c>
      <c r="N41" s="6">
        <v>0.93230000000000002</v>
      </c>
      <c r="AG41" s="7" t="str">
        <f t="shared" si="3"/>
        <v/>
      </c>
      <c r="AI41" s="5"/>
      <c r="AJ41" s="37"/>
      <c r="AK41" s="37"/>
      <c r="AL41" s="37"/>
      <c r="AM41" s="27"/>
      <c r="AN41" s="27"/>
      <c r="AS41" s="5">
        <v>45306</v>
      </c>
      <c r="AT41" s="78">
        <v>36</v>
      </c>
      <c r="AU41" s="78">
        <v>19</v>
      </c>
    </row>
    <row r="42" spans="1:47">
      <c r="A42" s="2">
        <f t="shared" si="11"/>
        <v>46113</v>
      </c>
      <c r="B42" s="89">
        <v>34</v>
      </c>
      <c r="C42" s="89">
        <v>0</v>
      </c>
      <c r="D42" s="89">
        <v>3</v>
      </c>
      <c r="E42" s="89">
        <v>0</v>
      </c>
      <c r="M42" s="5">
        <v>45677</v>
      </c>
      <c r="N42" s="6">
        <f>388/414</f>
        <v>0.9371980676328503</v>
      </c>
      <c r="AG42" s="7" t="str">
        <f t="shared" si="3"/>
        <v/>
      </c>
      <c r="AI42" s="5"/>
      <c r="AJ42" s="37"/>
      <c r="AK42" s="37"/>
      <c r="AL42" s="37"/>
      <c r="AM42" s="27"/>
      <c r="AN42" s="27"/>
      <c r="AP42" s="71"/>
      <c r="AS42" s="5">
        <v>45313</v>
      </c>
      <c r="AT42" s="78">
        <v>42</v>
      </c>
      <c r="AU42" s="78">
        <v>34</v>
      </c>
    </row>
    <row r="43" spans="1:47">
      <c r="A43" s="2">
        <f t="shared" si="11"/>
        <v>46143</v>
      </c>
      <c r="B43" s="89">
        <v>42</v>
      </c>
      <c r="C43" s="89">
        <v>0</v>
      </c>
      <c r="D43" s="89">
        <v>2</v>
      </c>
      <c r="E43" s="89">
        <v>0</v>
      </c>
      <c r="M43" s="5">
        <v>45684</v>
      </c>
      <c r="N43" s="6">
        <f>386/414</f>
        <v>0.93236714975845414</v>
      </c>
      <c r="AG43" s="7" t="str">
        <f t="shared" ref="AG43:AG60" si="12">IFERROR(AF50/AE50,"")</f>
        <v/>
      </c>
      <c r="AS43" s="5">
        <v>45320</v>
      </c>
      <c r="AT43" s="78">
        <v>38</v>
      </c>
      <c r="AU43" s="78">
        <v>20</v>
      </c>
    </row>
    <row r="44" spans="1:47">
      <c r="A44" s="2">
        <f t="shared" si="11"/>
        <v>46174</v>
      </c>
      <c r="B44" s="89">
        <v>29</v>
      </c>
      <c r="C44" s="89">
        <v>0</v>
      </c>
      <c r="D44" s="89">
        <v>3</v>
      </c>
      <c r="E44" s="89">
        <v>0</v>
      </c>
      <c r="M44" s="5">
        <v>45691</v>
      </c>
      <c r="N44" s="6">
        <v>0.92749999999999999</v>
      </c>
      <c r="AG44" s="7" t="str">
        <f t="shared" si="12"/>
        <v/>
      </c>
      <c r="AS44" s="5">
        <v>45327</v>
      </c>
      <c r="AT44" s="78">
        <v>38</v>
      </c>
      <c r="AU44" s="78">
        <v>12</v>
      </c>
    </row>
    <row r="45" spans="1:47">
      <c r="A45" s="2">
        <f t="shared" si="11"/>
        <v>46204</v>
      </c>
      <c r="B45" s="89">
        <v>41</v>
      </c>
      <c r="C45" s="89">
        <v>0</v>
      </c>
      <c r="D45" s="89">
        <v>5</v>
      </c>
      <c r="E45" s="89">
        <v>0</v>
      </c>
      <c r="M45" s="5">
        <v>45698</v>
      </c>
      <c r="N45" s="6">
        <v>0.93240000000000001</v>
      </c>
      <c r="AG45" s="7" t="str">
        <f t="shared" si="12"/>
        <v/>
      </c>
      <c r="AP45" s="36"/>
      <c r="AS45" s="5">
        <v>45334</v>
      </c>
      <c r="AT45" s="78">
        <v>45</v>
      </c>
      <c r="AU45" s="78">
        <v>10</v>
      </c>
    </row>
    <row r="46" spans="1:47">
      <c r="A46" s="2">
        <f t="shared" si="11"/>
        <v>46235</v>
      </c>
      <c r="B46" s="89"/>
      <c r="C46" s="89"/>
      <c r="D46" s="89"/>
      <c r="E46" s="89"/>
      <c r="M46" s="5">
        <v>45705</v>
      </c>
      <c r="N46" s="6">
        <f>C8/414</f>
        <v>0.90338164251207731</v>
      </c>
      <c r="AG46" s="7" t="str">
        <f t="shared" si="12"/>
        <v/>
      </c>
      <c r="AS46" s="5">
        <v>45341</v>
      </c>
      <c r="AT46" s="78">
        <v>55</v>
      </c>
      <c r="AU46" s="78">
        <v>18</v>
      </c>
    </row>
    <row r="47" spans="1:47">
      <c r="A47" s="2">
        <f t="shared" si="11"/>
        <v>46266</v>
      </c>
      <c r="B47" s="89"/>
      <c r="C47" s="89"/>
      <c r="D47" s="89"/>
      <c r="E47" s="89"/>
      <c r="M47" s="5">
        <v>45712</v>
      </c>
      <c r="N47" s="6">
        <f>C8/C5</f>
        <v>0.90338164251207731</v>
      </c>
      <c r="AG47" s="7" t="str">
        <f t="shared" si="12"/>
        <v/>
      </c>
      <c r="AS47" s="5">
        <v>45348</v>
      </c>
      <c r="AT47" s="78">
        <v>53</v>
      </c>
      <c r="AU47" s="78">
        <v>25</v>
      </c>
    </row>
    <row r="48" spans="1:47">
      <c r="A48" s="2">
        <f t="shared" si="11"/>
        <v>46296</v>
      </c>
      <c r="B48" s="89"/>
      <c r="C48" s="89"/>
      <c r="D48" s="89"/>
      <c r="E48" s="89"/>
      <c r="M48" s="5">
        <v>45719</v>
      </c>
      <c r="N48" s="6">
        <v>0.91300000000000003</v>
      </c>
      <c r="AG48" s="7" t="str">
        <f t="shared" si="12"/>
        <v/>
      </c>
      <c r="AP48" s="71"/>
      <c r="AS48" s="5">
        <v>45355</v>
      </c>
      <c r="AT48" s="78">
        <v>50</v>
      </c>
      <c r="AU48" s="78">
        <v>17</v>
      </c>
    </row>
    <row r="49" spans="1:47">
      <c r="A49" s="2">
        <f t="shared" si="11"/>
        <v>46327</v>
      </c>
      <c r="B49" s="89"/>
      <c r="C49" s="89"/>
      <c r="D49" s="89"/>
      <c r="E49" s="89"/>
      <c r="M49" s="5">
        <v>45726</v>
      </c>
      <c r="N49" s="6">
        <f>378/414</f>
        <v>0.91304347826086951</v>
      </c>
      <c r="AG49" s="7" t="str">
        <f t="shared" si="12"/>
        <v/>
      </c>
      <c r="AS49" s="5">
        <v>45362</v>
      </c>
      <c r="AT49" s="78">
        <v>51</v>
      </c>
      <c r="AU49" s="78">
        <v>39</v>
      </c>
    </row>
    <row r="50" spans="1:47">
      <c r="A50" s="2">
        <f t="shared" si="11"/>
        <v>46357</v>
      </c>
      <c r="B50" s="89"/>
      <c r="C50" s="89"/>
      <c r="D50" s="89"/>
      <c r="E50" s="89"/>
      <c r="M50" s="5">
        <v>45733</v>
      </c>
      <c r="N50" s="6">
        <v>0.91300000000000003</v>
      </c>
      <c r="AG50" s="7" t="str">
        <f t="shared" si="12"/>
        <v/>
      </c>
      <c r="AS50" s="5">
        <v>45369</v>
      </c>
      <c r="AT50" s="78">
        <v>52</v>
      </c>
      <c r="AU50" s="78">
        <v>35</v>
      </c>
    </row>
    <row r="51" spans="1:47">
      <c r="A51" s="2">
        <f t="shared" si="11"/>
        <v>46388</v>
      </c>
      <c r="B51" s="89"/>
      <c r="C51" s="89"/>
      <c r="D51" s="89"/>
      <c r="E51" s="89"/>
      <c r="M51" s="5">
        <v>45740</v>
      </c>
      <c r="N51" s="6">
        <f>380/414</f>
        <v>0.91787439613526567</v>
      </c>
      <c r="AG51" s="7" t="str">
        <f t="shared" si="12"/>
        <v/>
      </c>
      <c r="AP51" s="71"/>
      <c r="AS51" s="5">
        <v>45376</v>
      </c>
      <c r="AT51" s="78">
        <v>54</v>
      </c>
      <c r="AU51" s="78">
        <v>40</v>
      </c>
    </row>
    <row r="52" spans="1:47">
      <c r="A52" s="2">
        <f t="shared" si="11"/>
        <v>46419</v>
      </c>
      <c r="B52" s="89"/>
      <c r="C52" s="89"/>
      <c r="D52" s="89"/>
      <c r="E52" s="89"/>
      <c r="M52" s="5">
        <v>45747</v>
      </c>
      <c r="N52" s="6">
        <v>0.92510000000000003</v>
      </c>
      <c r="AG52" s="7" t="str">
        <f t="shared" si="12"/>
        <v/>
      </c>
      <c r="AS52" s="5">
        <v>45383</v>
      </c>
      <c r="AT52" s="78">
        <v>50</v>
      </c>
      <c r="AU52" s="78">
        <v>42</v>
      </c>
    </row>
    <row r="53" spans="1:47">
      <c r="A53" s="2">
        <f t="shared" si="11"/>
        <v>46447</v>
      </c>
      <c r="B53" s="89"/>
      <c r="C53" s="89"/>
      <c r="D53" s="89"/>
      <c r="E53" s="89"/>
      <c r="M53" s="5">
        <v>45754</v>
      </c>
      <c r="N53" s="6">
        <v>0.92269999999999996</v>
      </c>
      <c r="AG53" s="7" t="str">
        <f t="shared" si="12"/>
        <v/>
      </c>
      <c r="AS53" s="5">
        <v>45390</v>
      </c>
      <c r="AT53" s="78">
        <v>51</v>
      </c>
      <c r="AU53" s="78">
        <v>39</v>
      </c>
    </row>
    <row r="54" spans="1:47">
      <c r="A54" s="2">
        <f t="shared" si="11"/>
        <v>46478</v>
      </c>
      <c r="B54" s="89"/>
      <c r="C54" s="89"/>
      <c r="D54" s="89"/>
      <c r="E54" s="89"/>
      <c r="M54" s="5">
        <v>45761</v>
      </c>
      <c r="N54" s="6">
        <v>0.91790000000000005</v>
      </c>
      <c r="AG54" s="7" t="str">
        <f t="shared" si="12"/>
        <v/>
      </c>
      <c r="AP54" s="71"/>
      <c r="AS54" s="5">
        <v>45397</v>
      </c>
      <c r="AT54" s="78">
        <v>50</v>
      </c>
      <c r="AU54" s="78">
        <v>32</v>
      </c>
    </row>
    <row r="55" spans="1:47">
      <c r="A55" s="2">
        <f t="shared" si="11"/>
        <v>46508</v>
      </c>
      <c r="B55" s="89"/>
      <c r="C55" s="89"/>
      <c r="D55" s="89"/>
      <c r="E55" s="89"/>
      <c r="M55" s="5">
        <v>45768</v>
      </c>
      <c r="N55" s="6">
        <f>380/414</f>
        <v>0.91787439613526567</v>
      </c>
      <c r="AG55" s="7" t="str">
        <f t="shared" si="12"/>
        <v/>
      </c>
      <c r="AS55" s="5">
        <v>45404</v>
      </c>
      <c r="AT55" s="78">
        <v>69</v>
      </c>
      <c r="AU55" s="78">
        <v>53</v>
      </c>
    </row>
    <row r="56" spans="1:47">
      <c r="M56" s="5">
        <v>45775</v>
      </c>
      <c r="N56" s="6">
        <v>0.91790000000000005</v>
      </c>
      <c r="Z56" s="5"/>
      <c r="AA56" s="27"/>
      <c r="AB56" s="27"/>
      <c r="AG56" s="7" t="str">
        <f t="shared" si="12"/>
        <v/>
      </c>
      <c r="AS56" s="5">
        <v>45411</v>
      </c>
      <c r="AT56" s="78">
        <v>55</v>
      </c>
      <c r="AU56" s="78">
        <v>45</v>
      </c>
    </row>
    <row r="57" spans="1:47">
      <c r="M57" s="5">
        <v>45782</v>
      </c>
      <c r="N57" s="6">
        <v>0.91800000000000004</v>
      </c>
      <c r="Z57" s="5"/>
      <c r="AA57" s="27"/>
      <c r="AB57" s="27"/>
      <c r="AG57" s="7" t="str">
        <f t="shared" si="12"/>
        <v/>
      </c>
      <c r="AP57" s="71"/>
      <c r="AS57" s="5">
        <f t="shared" ref="AS57:AS105" si="13">AS56+7</f>
        <v>45418</v>
      </c>
      <c r="AT57" s="78">
        <v>52</v>
      </c>
      <c r="AU57" s="78">
        <v>66</v>
      </c>
    </row>
    <row r="58" spans="1:47">
      <c r="M58" s="5">
        <v>45789</v>
      </c>
      <c r="N58" s="6">
        <v>0.92030000000000001</v>
      </c>
      <c r="Z58" s="5"/>
      <c r="AA58" s="27"/>
      <c r="AB58" s="27"/>
      <c r="AG58" s="7" t="str">
        <f t="shared" si="12"/>
        <v/>
      </c>
      <c r="AS58" s="5">
        <f t="shared" si="13"/>
        <v>45425</v>
      </c>
      <c r="AT58" s="78">
        <v>69</v>
      </c>
      <c r="AU58" s="78">
        <v>44</v>
      </c>
    </row>
    <row r="59" spans="1:47">
      <c r="M59" s="5">
        <v>45796</v>
      </c>
      <c r="N59" s="6">
        <f>383/414</f>
        <v>0.9251207729468599</v>
      </c>
      <c r="Z59" s="5"/>
      <c r="AA59" s="27"/>
      <c r="AB59" s="27"/>
      <c r="AG59" s="7" t="str">
        <f t="shared" si="12"/>
        <v/>
      </c>
      <c r="AS59" s="5">
        <f t="shared" si="13"/>
        <v>45432</v>
      </c>
      <c r="AT59" s="78">
        <v>66</v>
      </c>
      <c r="AU59" s="78">
        <v>56</v>
      </c>
    </row>
    <row r="60" spans="1:47">
      <c r="M60" s="5">
        <v>45803</v>
      </c>
      <c r="N60" s="6">
        <f>384/414</f>
        <v>0.92753623188405798</v>
      </c>
      <c r="Z60" s="5"/>
      <c r="AA60" s="27"/>
      <c r="AB60" s="27"/>
      <c r="AG60" s="7" t="str">
        <f t="shared" si="12"/>
        <v/>
      </c>
      <c r="AP60" s="71"/>
      <c r="AS60" s="5">
        <f t="shared" si="13"/>
        <v>45439</v>
      </c>
      <c r="AT60" s="78">
        <v>63</v>
      </c>
      <c r="AU60" s="78">
        <v>54</v>
      </c>
    </row>
    <row r="61" spans="1:47">
      <c r="M61" s="5">
        <v>45810</v>
      </c>
      <c r="N61" s="6">
        <f>383/414</f>
        <v>0.9251207729468599</v>
      </c>
      <c r="Z61" s="5"/>
      <c r="AA61" s="27"/>
      <c r="AB61" s="27"/>
      <c r="AG61" s="7" t="str">
        <f t="shared" ref="AG61:AG65" si="14">IFERROR(AF68/AE68,"")</f>
        <v/>
      </c>
      <c r="AS61" s="5">
        <f t="shared" si="13"/>
        <v>45446</v>
      </c>
      <c r="AT61" s="78">
        <v>69</v>
      </c>
      <c r="AU61" s="78">
        <v>47</v>
      </c>
    </row>
    <row r="62" spans="1:47">
      <c r="M62" s="5">
        <v>45817</v>
      </c>
      <c r="N62" s="6">
        <f>379/414</f>
        <v>0.91545893719806759</v>
      </c>
      <c r="Z62" s="5"/>
      <c r="AA62" s="27"/>
      <c r="AB62" s="27"/>
      <c r="AG62" s="7" t="str">
        <f t="shared" si="14"/>
        <v/>
      </c>
      <c r="AS62" s="5">
        <f t="shared" si="13"/>
        <v>45453</v>
      </c>
      <c r="AT62" s="78">
        <v>57</v>
      </c>
      <c r="AU62" s="78">
        <v>48</v>
      </c>
    </row>
    <row r="63" spans="1:47">
      <c r="M63" s="5">
        <v>45824</v>
      </c>
      <c r="N63" s="6">
        <v>0.90580000000000005</v>
      </c>
      <c r="Z63" s="5"/>
      <c r="AA63" s="27"/>
      <c r="AB63" s="27"/>
      <c r="AG63" s="7" t="str">
        <f t="shared" si="14"/>
        <v/>
      </c>
      <c r="AP63" s="71"/>
      <c r="AS63" s="5">
        <f t="shared" si="13"/>
        <v>45460</v>
      </c>
      <c r="AT63" s="78">
        <v>36</v>
      </c>
      <c r="AU63" s="78">
        <v>44</v>
      </c>
    </row>
    <row r="64" spans="1:47">
      <c r="M64" s="5">
        <v>45831</v>
      </c>
      <c r="N64" s="6">
        <f>376/414</f>
        <v>0.90821256038647347</v>
      </c>
      <c r="Z64" s="5"/>
      <c r="AA64" s="27"/>
      <c r="AB64" s="27"/>
      <c r="AG64" s="7" t="str">
        <f t="shared" si="14"/>
        <v/>
      </c>
      <c r="AS64" s="5">
        <f t="shared" si="13"/>
        <v>45467</v>
      </c>
      <c r="AT64" s="78">
        <v>42</v>
      </c>
      <c r="AU64" s="78">
        <v>53</v>
      </c>
    </row>
    <row r="65" spans="13:47">
      <c r="M65" s="5">
        <v>45838</v>
      </c>
      <c r="N65" s="6">
        <v>0.91059999999999997</v>
      </c>
      <c r="Z65" s="5"/>
      <c r="AA65" s="27"/>
      <c r="AB65" s="27"/>
      <c r="AG65" s="7" t="str">
        <f t="shared" si="14"/>
        <v/>
      </c>
      <c r="AS65" s="5">
        <f t="shared" si="13"/>
        <v>45474</v>
      </c>
      <c r="AT65" s="78">
        <v>71</v>
      </c>
      <c r="AU65" s="78">
        <v>49</v>
      </c>
    </row>
    <row r="66" spans="13:47">
      <c r="M66" s="5">
        <v>45845</v>
      </c>
      <c r="N66" s="6">
        <v>0.91100000000000003</v>
      </c>
      <c r="Z66" s="5"/>
      <c r="AA66" s="27"/>
      <c r="AB66" s="27"/>
      <c r="AP66" s="71"/>
      <c r="AS66" s="5">
        <f t="shared" si="13"/>
        <v>45481</v>
      </c>
      <c r="AT66" s="78">
        <v>54</v>
      </c>
      <c r="AU66" s="78">
        <v>51</v>
      </c>
    </row>
    <row r="67" spans="13:47">
      <c r="M67" s="5">
        <v>45852</v>
      </c>
      <c r="N67" s="6">
        <f>375/414</f>
        <v>0.90579710144927539</v>
      </c>
      <c r="Z67" s="5"/>
      <c r="AA67" s="27"/>
      <c r="AB67" s="27"/>
      <c r="AS67" s="5">
        <f t="shared" si="13"/>
        <v>45488</v>
      </c>
      <c r="AT67" s="78">
        <v>60</v>
      </c>
      <c r="AU67" s="78">
        <v>51</v>
      </c>
    </row>
    <row r="68" spans="13:47">
      <c r="M68" s="5">
        <v>45859</v>
      </c>
      <c r="N68" s="6">
        <f>375/414</f>
        <v>0.90579710144927539</v>
      </c>
      <c r="Z68" s="5"/>
      <c r="AA68" s="27"/>
      <c r="AB68" s="27"/>
      <c r="AS68" s="5">
        <f t="shared" si="13"/>
        <v>45495</v>
      </c>
      <c r="AT68" s="78">
        <v>47</v>
      </c>
      <c r="AU68" s="78">
        <v>58</v>
      </c>
    </row>
    <row r="69" spans="13:47">
      <c r="M69" s="5">
        <v>45866</v>
      </c>
      <c r="N69" s="6">
        <f>372/414</f>
        <v>0.89855072463768115</v>
      </c>
      <c r="Z69" s="5"/>
      <c r="AA69" s="27"/>
      <c r="AB69" s="27"/>
      <c r="AP69" s="71"/>
      <c r="AS69" s="5">
        <f t="shared" si="13"/>
        <v>45502</v>
      </c>
      <c r="AT69" s="78">
        <v>48</v>
      </c>
      <c r="AU69" s="78">
        <v>57</v>
      </c>
    </row>
    <row r="70" spans="13:47">
      <c r="M70" s="5">
        <v>45873</v>
      </c>
      <c r="N70" s="6">
        <v>0.90339999999999998</v>
      </c>
      <c r="Z70" s="5"/>
      <c r="AA70" s="27"/>
      <c r="AB70" s="27"/>
      <c r="AS70" s="5">
        <f t="shared" si="13"/>
        <v>45509</v>
      </c>
      <c r="AT70" s="78">
        <v>48</v>
      </c>
      <c r="AU70" s="78">
        <v>56</v>
      </c>
    </row>
    <row r="71" spans="13:47">
      <c r="M71" s="5">
        <v>45880</v>
      </c>
      <c r="N71" s="6">
        <v>0.90339999999999998</v>
      </c>
      <c r="Z71" s="5"/>
      <c r="AA71" s="27"/>
      <c r="AB71" s="27"/>
      <c r="AS71" s="5">
        <f t="shared" si="13"/>
        <v>45516</v>
      </c>
      <c r="AT71" s="78">
        <v>61</v>
      </c>
      <c r="AU71" s="78">
        <v>55</v>
      </c>
    </row>
    <row r="72" spans="13:47">
      <c r="M72" s="5"/>
      <c r="N72" s="6"/>
      <c r="Z72" s="5"/>
      <c r="AA72" s="27"/>
      <c r="AB72" s="27"/>
      <c r="AP72" s="71"/>
      <c r="AS72" s="5">
        <f t="shared" si="13"/>
        <v>45523</v>
      </c>
      <c r="AT72" s="78">
        <v>44</v>
      </c>
      <c r="AU72" s="78">
        <v>51</v>
      </c>
    </row>
    <row r="73" spans="13:47">
      <c r="M73" s="5"/>
      <c r="N73" s="6"/>
      <c r="AS73" s="5">
        <f t="shared" si="13"/>
        <v>45530</v>
      </c>
      <c r="AT73" s="78">
        <v>28</v>
      </c>
      <c r="AU73" s="78">
        <v>50</v>
      </c>
    </row>
    <row r="74" spans="13:47">
      <c r="M74" s="5"/>
      <c r="N74" s="6"/>
      <c r="AS74" s="5">
        <f t="shared" si="13"/>
        <v>45537</v>
      </c>
      <c r="AT74" s="78">
        <v>21</v>
      </c>
      <c r="AU74" s="78">
        <v>34</v>
      </c>
    </row>
    <row r="75" spans="13:47">
      <c r="M75" s="5"/>
      <c r="N75" s="6"/>
      <c r="AP75" s="71"/>
      <c r="AS75" s="5">
        <f t="shared" si="13"/>
        <v>45544</v>
      </c>
      <c r="AT75" s="78">
        <v>30</v>
      </c>
      <c r="AU75" s="78">
        <v>37</v>
      </c>
    </row>
    <row r="76" spans="13:47">
      <c r="M76" s="5"/>
      <c r="N76" s="6"/>
      <c r="AS76" s="5">
        <f t="shared" si="13"/>
        <v>45551</v>
      </c>
      <c r="AT76" s="78">
        <v>23</v>
      </c>
      <c r="AU76" s="78">
        <v>37</v>
      </c>
    </row>
    <row r="77" spans="13:47">
      <c r="M77" s="5"/>
      <c r="N77" s="6"/>
      <c r="AS77" s="5">
        <f t="shared" si="13"/>
        <v>45558</v>
      </c>
      <c r="AT77" s="78">
        <v>4</v>
      </c>
      <c r="AU77" s="78">
        <v>20</v>
      </c>
    </row>
    <row r="78" spans="13:47">
      <c r="M78" s="5"/>
      <c r="N78" s="6"/>
      <c r="AP78" s="71"/>
      <c r="AS78" s="5">
        <f t="shared" si="13"/>
        <v>45565</v>
      </c>
      <c r="AT78" s="78">
        <v>17</v>
      </c>
      <c r="AU78" s="78">
        <v>37</v>
      </c>
    </row>
    <row r="79" spans="13:47">
      <c r="M79" s="5"/>
      <c r="N79" s="6"/>
      <c r="AS79" s="5">
        <f t="shared" si="13"/>
        <v>45572</v>
      </c>
      <c r="AT79" s="78">
        <v>31</v>
      </c>
      <c r="AU79" s="78">
        <v>31</v>
      </c>
    </row>
    <row r="80" spans="13:47">
      <c r="M80" s="5"/>
      <c r="N80" s="6"/>
      <c r="AS80" s="5">
        <f t="shared" si="13"/>
        <v>45579</v>
      </c>
      <c r="AT80" s="78">
        <v>32</v>
      </c>
      <c r="AU80" s="78">
        <v>25</v>
      </c>
    </row>
    <row r="81" spans="13:47">
      <c r="M81" s="5"/>
      <c r="N81" s="6"/>
      <c r="AP81" s="71"/>
      <c r="AS81" s="5">
        <f t="shared" si="13"/>
        <v>45586</v>
      </c>
      <c r="AT81" s="78">
        <v>28</v>
      </c>
      <c r="AU81" s="78">
        <v>29</v>
      </c>
    </row>
    <row r="82" spans="13:47">
      <c r="M82" s="5"/>
      <c r="N82" s="6"/>
      <c r="AS82" s="5">
        <f t="shared" si="13"/>
        <v>45593</v>
      </c>
      <c r="AT82" s="78">
        <v>19</v>
      </c>
      <c r="AU82" s="78">
        <v>34</v>
      </c>
    </row>
    <row r="83" spans="13:47">
      <c r="M83" s="5"/>
      <c r="N83" s="6"/>
      <c r="AS83" s="5">
        <f t="shared" si="13"/>
        <v>45600</v>
      </c>
      <c r="AT83" s="78">
        <v>29</v>
      </c>
      <c r="AU83" s="78">
        <v>29</v>
      </c>
    </row>
    <row r="84" spans="13:47">
      <c r="M84" s="5"/>
      <c r="N84" s="6"/>
      <c r="AP84" s="71"/>
      <c r="AS84" s="5">
        <f t="shared" si="13"/>
        <v>45607</v>
      </c>
      <c r="AT84" s="78">
        <v>26</v>
      </c>
      <c r="AU84" s="78">
        <v>29</v>
      </c>
    </row>
    <row r="85" spans="13:47">
      <c r="M85" s="5"/>
      <c r="N85" s="6"/>
      <c r="AS85" s="5">
        <f t="shared" si="13"/>
        <v>45614</v>
      </c>
      <c r="AT85" s="78">
        <v>38</v>
      </c>
      <c r="AU85" s="78">
        <v>23</v>
      </c>
    </row>
    <row r="86" spans="13:47">
      <c r="M86" s="5"/>
      <c r="N86" s="6"/>
      <c r="AS86" s="5">
        <f t="shared" si="13"/>
        <v>45621</v>
      </c>
      <c r="AT86" s="78">
        <v>24</v>
      </c>
      <c r="AU86" s="78">
        <v>30</v>
      </c>
    </row>
    <row r="87" spans="13:47">
      <c r="M87" s="5"/>
      <c r="N87" s="6"/>
      <c r="AP87" s="71"/>
      <c r="AS87" s="5">
        <f t="shared" si="13"/>
        <v>45628</v>
      </c>
      <c r="AT87" s="78">
        <v>27</v>
      </c>
      <c r="AU87" s="78">
        <v>32</v>
      </c>
    </row>
    <row r="88" spans="13:47">
      <c r="M88" s="5"/>
      <c r="N88" s="6"/>
      <c r="AS88" s="5">
        <f t="shared" si="13"/>
        <v>45635</v>
      </c>
      <c r="AT88" s="78">
        <v>36</v>
      </c>
      <c r="AU88" s="78">
        <v>32</v>
      </c>
    </row>
    <row r="89" spans="13:47">
      <c r="M89" s="5"/>
      <c r="N89" s="6"/>
      <c r="AS89" s="5">
        <f t="shared" si="13"/>
        <v>45642</v>
      </c>
      <c r="AT89" s="78">
        <v>21</v>
      </c>
      <c r="AU89" s="78">
        <v>32</v>
      </c>
    </row>
    <row r="90" spans="13:47">
      <c r="M90" s="5"/>
      <c r="N90" s="6"/>
      <c r="AP90" s="71"/>
      <c r="AS90" s="5">
        <f t="shared" si="13"/>
        <v>45649</v>
      </c>
      <c r="AT90" s="78">
        <v>23</v>
      </c>
      <c r="AU90" s="78">
        <v>35</v>
      </c>
    </row>
    <row r="91" spans="13:47">
      <c r="M91" s="5"/>
      <c r="N91" s="6"/>
      <c r="AS91" s="5">
        <f t="shared" si="13"/>
        <v>45656</v>
      </c>
      <c r="AT91" s="78">
        <v>38</v>
      </c>
      <c r="AU91" s="78">
        <v>31</v>
      </c>
    </row>
    <row r="92" spans="13:47">
      <c r="M92" s="5"/>
      <c r="N92" s="6"/>
      <c r="AS92" s="5">
        <f t="shared" si="13"/>
        <v>45663</v>
      </c>
      <c r="AT92" s="78">
        <v>53</v>
      </c>
      <c r="AU92" s="78">
        <v>35</v>
      </c>
    </row>
    <row r="93" spans="13:47">
      <c r="M93" s="5"/>
      <c r="N93" s="6"/>
      <c r="AP93" s="71"/>
      <c r="AS93" s="5">
        <f t="shared" si="13"/>
        <v>45670</v>
      </c>
      <c r="AT93" s="78">
        <v>46</v>
      </c>
      <c r="AU93" s="78">
        <v>35</v>
      </c>
    </row>
    <row r="94" spans="13:47">
      <c r="M94" s="5"/>
      <c r="N94" s="6"/>
      <c r="AS94" s="5">
        <f t="shared" si="13"/>
        <v>45677</v>
      </c>
      <c r="AT94" s="78">
        <v>24</v>
      </c>
      <c r="AU94" s="78">
        <v>37</v>
      </c>
    </row>
    <row r="95" spans="13:47">
      <c r="M95" s="5"/>
      <c r="N95" s="6"/>
      <c r="AS95" s="5">
        <f t="shared" si="13"/>
        <v>45684</v>
      </c>
      <c r="AT95" s="78">
        <v>15</v>
      </c>
      <c r="AU95" s="78">
        <v>40</v>
      </c>
    </row>
    <row r="96" spans="13:47">
      <c r="M96" s="5"/>
      <c r="N96" s="6"/>
      <c r="AS96" s="5">
        <f t="shared" si="13"/>
        <v>45691</v>
      </c>
      <c r="AT96" s="78">
        <v>26</v>
      </c>
      <c r="AU96" s="78">
        <v>39</v>
      </c>
    </row>
    <row r="97" spans="13:47">
      <c r="M97" s="5"/>
      <c r="N97" s="6"/>
      <c r="AS97" s="5">
        <f t="shared" si="13"/>
        <v>45698</v>
      </c>
      <c r="AT97" s="78">
        <v>37</v>
      </c>
      <c r="AU97" s="78">
        <v>41</v>
      </c>
    </row>
    <row r="98" spans="13:47">
      <c r="M98" s="5"/>
      <c r="N98" s="6"/>
      <c r="AS98" s="5">
        <f t="shared" si="13"/>
        <v>45705</v>
      </c>
      <c r="AT98" s="78">
        <v>38</v>
      </c>
      <c r="AU98" s="78">
        <v>40</v>
      </c>
    </row>
    <row r="99" spans="13:47">
      <c r="M99" s="5"/>
      <c r="N99" s="6"/>
      <c r="AS99" s="5">
        <f t="shared" si="13"/>
        <v>45712</v>
      </c>
      <c r="AT99" s="78">
        <v>48</v>
      </c>
      <c r="AU99" s="78">
        <v>45</v>
      </c>
    </row>
    <row r="100" spans="13:47">
      <c r="M100" s="5"/>
      <c r="N100" s="6"/>
      <c r="AS100" s="5">
        <f t="shared" si="13"/>
        <v>45719</v>
      </c>
      <c r="AT100" s="78">
        <v>52</v>
      </c>
      <c r="AU100" s="78">
        <v>32</v>
      </c>
    </row>
    <row r="101" spans="13:47">
      <c r="M101" s="5"/>
      <c r="N101" s="6"/>
      <c r="AS101" s="5">
        <f t="shared" si="13"/>
        <v>45726</v>
      </c>
      <c r="AT101" s="78">
        <v>51</v>
      </c>
      <c r="AU101" s="78">
        <v>39</v>
      </c>
    </row>
    <row r="102" spans="13:47">
      <c r="M102" s="5"/>
      <c r="N102" s="6"/>
      <c r="AS102" s="5">
        <f t="shared" si="13"/>
        <v>45733</v>
      </c>
      <c r="AT102" s="78">
        <v>44</v>
      </c>
      <c r="AU102" s="78">
        <v>43</v>
      </c>
    </row>
    <row r="103" spans="13:47">
      <c r="M103" s="5"/>
      <c r="N103" s="6"/>
      <c r="AS103" s="5">
        <f t="shared" si="13"/>
        <v>45740</v>
      </c>
      <c r="AT103" s="78">
        <v>63</v>
      </c>
      <c r="AU103" s="78">
        <v>39</v>
      </c>
    </row>
    <row r="104" spans="13:47">
      <c r="M104" s="5"/>
      <c r="N104" s="6"/>
      <c r="AS104" s="5">
        <f t="shared" si="13"/>
        <v>45747</v>
      </c>
      <c r="AT104" s="78">
        <v>72</v>
      </c>
      <c r="AU104" s="78">
        <v>41</v>
      </c>
    </row>
    <row r="105" spans="13:47">
      <c r="M105" s="5"/>
      <c r="N105" s="6"/>
      <c r="AS105" s="5">
        <f t="shared" si="13"/>
        <v>45754</v>
      </c>
      <c r="AT105" s="78">
        <v>97</v>
      </c>
      <c r="AU105" s="78">
        <v>50</v>
      </c>
    </row>
    <row r="106" spans="13:47">
      <c r="M106" s="5"/>
      <c r="N106" s="6"/>
      <c r="AS106" s="5">
        <v>45761</v>
      </c>
      <c r="AT106" s="78">
        <v>78</v>
      </c>
      <c r="AU106" s="78">
        <v>52</v>
      </c>
    </row>
    <row r="107" spans="13:47">
      <c r="M107" s="5"/>
      <c r="N107" s="6"/>
      <c r="AS107" s="5">
        <v>45768</v>
      </c>
      <c r="AT107" s="78">
        <v>77</v>
      </c>
      <c r="AU107" s="78">
        <v>54</v>
      </c>
    </row>
    <row r="108" spans="13:47">
      <c r="M108" s="5"/>
      <c r="N108" s="6"/>
      <c r="AS108" s="5">
        <f t="shared" ref="AS108:AS146" si="15">AS107+7</f>
        <v>45775</v>
      </c>
      <c r="AT108" s="78">
        <v>58</v>
      </c>
      <c r="AU108" s="78">
        <v>53</v>
      </c>
    </row>
    <row r="109" spans="13:47">
      <c r="M109" s="5"/>
      <c r="N109" s="6"/>
      <c r="AS109" s="5">
        <f t="shared" si="15"/>
        <v>45782</v>
      </c>
      <c r="AT109" s="78">
        <v>74</v>
      </c>
      <c r="AU109" s="78">
        <v>48</v>
      </c>
    </row>
    <row r="110" spans="13:47">
      <c r="M110" s="5"/>
      <c r="N110" s="6"/>
      <c r="AS110" s="5">
        <v>45789</v>
      </c>
      <c r="AT110" s="78">
        <v>65</v>
      </c>
      <c r="AU110" s="78">
        <v>49</v>
      </c>
    </row>
    <row r="111" spans="13:47">
      <c r="M111" s="5"/>
      <c r="N111" s="6"/>
      <c r="AS111" s="5">
        <v>45796</v>
      </c>
      <c r="AT111" s="78">
        <v>91</v>
      </c>
      <c r="AU111" s="78">
        <v>49</v>
      </c>
    </row>
    <row r="112" spans="13:47">
      <c r="M112" s="5"/>
      <c r="N112" s="6"/>
      <c r="AS112" s="5">
        <f t="shared" si="15"/>
        <v>45803</v>
      </c>
      <c r="AT112" s="78">
        <v>89</v>
      </c>
      <c r="AU112" s="78">
        <v>48</v>
      </c>
    </row>
    <row r="113" spans="13:47">
      <c r="M113" s="5"/>
      <c r="N113" s="6"/>
      <c r="AS113" s="5">
        <f t="shared" si="15"/>
        <v>45810</v>
      </c>
      <c r="AT113" s="78">
        <v>127</v>
      </c>
      <c r="AU113" s="78">
        <v>49</v>
      </c>
    </row>
    <row r="114" spans="13:47">
      <c r="M114" s="5"/>
      <c r="N114" s="6"/>
      <c r="AS114" s="5">
        <f t="shared" si="15"/>
        <v>45817</v>
      </c>
      <c r="AT114" s="78">
        <v>88</v>
      </c>
      <c r="AU114" s="78">
        <v>49</v>
      </c>
    </row>
    <row r="115" spans="13:47">
      <c r="M115" s="5"/>
      <c r="N115" s="6"/>
      <c r="AS115" s="5">
        <f t="shared" si="15"/>
        <v>45824</v>
      </c>
      <c r="AT115" s="78">
        <v>97</v>
      </c>
      <c r="AU115" s="78">
        <v>45</v>
      </c>
    </row>
    <row r="116" spans="13:47">
      <c r="M116" s="5"/>
      <c r="N116" s="6"/>
      <c r="AS116" s="5">
        <f t="shared" si="15"/>
        <v>45831</v>
      </c>
      <c r="AT116" s="78">
        <v>98</v>
      </c>
      <c r="AU116" s="78">
        <v>48</v>
      </c>
    </row>
    <row r="117" spans="13:47">
      <c r="M117" s="5"/>
      <c r="N117" s="6"/>
      <c r="AS117" s="5">
        <f t="shared" si="15"/>
        <v>45838</v>
      </c>
      <c r="AT117" s="78">
        <v>55</v>
      </c>
      <c r="AU117" s="78">
        <v>55</v>
      </c>
    </row>
    <row r="118" spans="13:47">
      <c r="M118" s="5"/>
      <c r="N118" s="6"/>
      <c r="AS118" s="5">
        <f t="shared" si="15"/>
        <v>45845</v>
      </c>
      <c r="AT118" s="78">
        <v>35</v>
      </c>
      <c r="AU118" s="78">
        <v>57</v>
      </c>
    </row>
    <row r="119" spans="13:47">
      <c r="M119" s="5"/>
      <c r="N119" s="6"/>
      <c r="AS119" s="5">
        <f t="shared" si="15"/>
        <v>45852</v>
      </c>
      <c r="AT119" s="78">
        <v>18</v>
      </c>
      <c r="AU119" s="78">
        <v>59</v>
      </c>
    </row>
    <row r="120" spans="13:47">
      <c r="M120" s="5"/>
      <c r="N120" s="6"/>
      <c r="AS120" s="5">
        <f t="shared" si="15"/>
        <v>45859</v>
      </c>
      <c r="AT120" s="78">
        <v>24</v>
      </c>
      <c r="AU120" s="78">
        <v>63</v>
      </c>
    </row>
    <row r="121" spans="13:47">
      <c r="M121" s="5"/>
      <c r="N121" s="6"/>
      <c r="AS121" s="5">
        <f t="shared" si="15"/>
        <v>45866</v>
      </c>
      <c r="AT121" s="78">
        <v>40</v>
      </c>
      <c r="AU121" s="78">
        <v>64</v>
      </c>
    </row>
    <row r="122" spans="13:47">
      <c r="M122" s="5"/>
      <c r="N122" s="6"/>
      <c r="AS122" s="5">
        <f t="shared" si="15"/>
        <v>45873</v>
      </c>
      <c r="AT122" s="78">
        <v>40</v>
      </c>
      <c r="AU122" s="78">
        <v>54</v>
      </c>
    </row>
    <row r="123" spans="13:47">
      <c r="M123" s="5"/>
      <c r="N123" s="6"/>
      <c r="AS123" s="5">
        <f t="shared" si="15"/>
        <v>45880</v>
      </c>
      <c r="AT123" s="78">
        <v>28</v>
      </c>
      <c r="AU123" s="78">
        <v>56</v>
      </c>
    </row>
    <row r="124" spans="13:47">
      <c r="M124" s="5"/>
      <c r="N124" s="6"/>
      <c r="AS124" s="5">
        <f t="shared" si="15"/>
        <v>45887</v>
      </c>
      <c r="AT124" s="78"/>
      <c r="AU124" s="78"/>
    </row>
    <row r="125" spans="13:47">
      <c r="M125" s="5"/>
      <c r="N125" s="6"/>
      <c r="AS125" s="5">
        <f t="shared" si="15"/>
        <v>45894</v>
      </c>
      <c r="AT125" s="78"/>
      <c r="AU125" s="78"/>
    </row>
    <row r="126" spans="13:47">
      <c r="M126" s="5"/>
      <c r="N126" s="6"/>
      <c r="AS126" s="5">
        <f t="shared" si="15"/>
        <v>45901</v>
      </c>
      <c r="AT126" s="78"/>
      <c r="AU126" s="78"/>
    </row>
    <row r="127" spans="13:47">
      <c r="M127" s="5"/>
      <c r="N127" s="6"/>
      <c r="AS127" s="5">
        <f t="shared" si="15"/>
        <v>45908</v>
      </c>
      <c r="AT127" s="78"/>
      <c r="AU127" s="78"/>
    </row>
    <row r="128" spans="13:47">
      <c r="M128" s="5"/>
      <c r="N128" s="6"/>
      <c r="AS128" s="5">
        <f t="shared" si="15"/>
        <v>45915</v>
      </c>
      <c r="AT128" s="78"/>
      <c r="AU128" s="78"/>
    </row>
    <row r="129" spans="13:47">
      <c r="M129" s="5"/>
      <c r="N129" s="6"/>
      <c r="AS129" s="5">
        <f t="shared" si="15"/>
        <v>45922</v>
      </c>
      <c r="AT129" s="78"/>
      <c r="AU129" s="78"/>
    </row>
    <row r="130" spans="13:47">
      <c r="M130" s="5"/>
      <c r="N130" s="6"/>
      <c r="AS130" s="5">
        <f t="shared" si="15"/>
        <v>45929</v>
      </c>
      <c r="AT130" s="78"/>
      <c r="AU130" s="78"/>
    </row>
    <row r="131" spans="13:47">
      <c r="M131" s="5"/>
      <c r="N131" s="6"/>
      <c r="AS131" s="5">
        <f t="shared" si="15"/>
        <v>45936</v>
      </c>
      <c r="AT131" s="78"/>
      <c r="AU131" s="78"/>
    </row>
    <row r="132" spans="13:47">
      <c r="M132" s="5"/>
      <c r="N132" s="6"/>
      <c r="AS132" s="5">
        <f t="shared" si="15"/>
        <v>45943</v>
      </c>
      <c r="AT132" s="78"/>
      <c r="AU132" s="78"/>
    </row>
    <row r="133" spans="13:47">
      <c r="M133" s="5"/>
      <c r="N133" s="6"/>
      <c r="AS133" s="5">
        <f t="shared" si="15"/>
        <v>45950</v>
      </c>
      <c r="AT133" s="78"/>
      <c r="AU133" s="78"/>
    </row>
    <row r="134" spans="13:47">
      <c r="M134" s="5"/>
      <c r="N134" s="6"/>
      <c r="AS134" s="5">
        <f t="shared" si="15"/>
        <v>45957</v>
      </c>
      <c r="AT134" s="78"/>
      <c r="AU134" s="78"/>
    </row>
    <row r="135" spans="13:47">
      <c r="M135" s="5"/>
      <c r="N135" s="6"/>
      <c r="AS135" s="5">
        <f t="shared" si="15"/>
        <v>45964</v>
      </c>
      <c r="AT135" s="78"/>
      <c r="AU135" s="78"/>
    </row>
    <row r="136" spans="13:47">
      <c r="M136" s="5"/>
      <c r="N136" s="6"/>
      <c r="AS136" s="5">
        <f t="shared" si="15"/>
        <v>45971</v>
      </c>
      <c r="AT136" s="78"/>
      <c r="AU136" s="78"/>
    </row>
    <row r="137" spans="13:47">
      <c r="M137" s="5"/>
      <c r="N137" s="6"/>
      <c r="AS137" s="5">
        <f t="shared" si="15"/>
        <v>45978</v>
      </c>
      <c r="AT137" s="78"/>
      <c r="AU137" s="78"/>
    </row>
    <row r="138" spans="13:47">
      <c r="M138" s="5"/>
      <c r="N138" s="6"/>
      <c r="AS138" s="5">
        <f t="shared" si="15"/>
        <v>45985</v>
      </c>
      <c r="AT138" s="78"/>
      <c r="AU138" s="78"/>
    </row>
    <row r="139" spans="13:47">
      <c r="M139" s="5"/>
      <c r="N139" s="6"/>
      <c r="AS139" s="5">
        <f t="shared" si="15"/>
        <v>45992</v>
      </c>
      <c r="AT139" s="78"/>
      <c r="AU139" s="78"/>
    </row>
    <row r="140" spans="13:47">
      <c r="M140" s="5"/>
      <c r="N140" s="6"/>
      <c r="AS140" s="5">
        <f t="shared" si="15"/>
        <v>45999</v>
      </c>
      <c r="AT140" s="78"/>
      <c r="AU140" s="78"/>
    </row>
    <row r="141" spans="13:47">
      <c r="M141" s="5"/>
      <c r="N141" s="6"/>
      <c r="AS141" s="5">
        <f t="shared" si="15"/>
        <v>46006</v>
      </c>
      <c r="AT141" s="78"/>
      <c r="AU141" s="78"/>
    </row>
    <row r="142" spans="13:47">
      <c r="M142" s="5"/>
      <c r="N142" s="6"/>
      <c r="AS142" s="5">
        <f t="shared" si="15"/>
        <v>46013</v>
      </c>
      <c r="AT142" s="78"/>
      <c r="AU142" s="78"/>
    </row>
    <row r="143" spans="13:47">
      <c r="M143" s="5"/>
      <c r="N143" s="6"/>
      <c r="AS143" s="5">
        <f t="shared" si="15"/>
        <v>46020</v>
      </c>
      <c r="AT143" s="78"/>
      <c r="AU143" s="78"/>
    </row>
    <row r="144" spans="13:47">
      <c r="M144" s="5"/>
      <c r="N144" s="6"/>
      <c r="AS144" s="5">
        <f t="shared" si="15"/>
        <v>46027</v>
      </c>
      <c r="AT144" s="78"/>
      <c r="AU144" s="78"/>
    </row>
    <row r="145" spans="13:47">
      <c r="M145" s="5"/>
      <c r="N145" s="6"/>
      <c r="AS145" s="5">
        <f t="shared" si="15"/>
        <v>46034</v>
      </c>
      <c r="AT145" s="78"/>
      <c r="AU145" s="78"/>
    </row>
    <row r="146" spans="13:47">
      <c r="M146" s="5"/>
      <c r="N146" s="6"/>
      <c r="AS146" s="5">
        <f t="shared" si="15"/>
        <v>46041</v>
      </c>
      <c r="AT146" s="78"/>
      <c r="AU146" s="78"/>
    </row>
    <row r="147" spans="13:47">
      <c r="M147" s="5"/>
      <c r="N147" s="6"/>
      <c r="AS147" s="5"/>
      <c r="AT147" s="78"/>
      <c r="AU147" s="78"/>
    </row>
    <row r="148" spans="13:47">
      <c r="M148" s="5"/>
      <c r="N148" s="6"/>
      <c r="AS148" s="5"/>
      <c r="AT148" s="78"/>
      <c r="AU148" s="78"/>
    </row>
    <row r="149" spans="13:47">
      <c r="M149" s="5"/>
      <c r="N149" s="6"/>
      <c r="AS149" s="5"/>
      <c r="AT149" s="78"/>
      <c r="AU149" s="78"/>
    </row>
    <row r="150" spans="13:47">
      <c r="M150" s="5"/>
      <c r="N150" s="6"/>
      <c r="AS150" s="5"/>
      <c r="AT150" s="78"/>
      <c r="AU150" s="78"/>
    </row>
    <row r="151" spans="13:47">
      <c r="M151" s="5"/>
      <c r="N151" s="6"/>
      <c r="AS151" s="5"/>
      <c r="AT151" s="78"/>
      <c r="AU151" s="78"/>
    </row>
    <row r="152" spans="13:47">
      <c r="M152" s="5"/>
      <c r="N152" s="6"/>
      <c r="AS152" s="5"/>
      <c r="AT152" s="78"/>
      <c r="AU152" s="78"/>
    </row>
    <row r="153" spans="13:47">
      <c r="M153" s="5"/>
      <c r="N153" s="6"/>
      <c r="AS153" s="5"/>
      <c r="AT153" s="78"/>
      <c r="AU153" s="78"/>
    </row>
    <row r="154" spans="13:47">
      <c r="M154" s="5"/>
      <c r="N154" s="6"/>
      <c r="AS154" s="5"/>
      <c r="AT154" s="78"/>
      <c r="AU154" s="78"/>
    </row>
    <row r="155" spans="13:47">
      <c r="M155" s="5"/>
      <c r="N155" s="6"/>
      <c r="AS155" s="5"/>
      <c r="AT155" s="78"/>
      <c r="AU155" s="78"/>
    </row>
    <row r="156" spans="13:47">
      <c r="M156" s="5"/>
      <c r="N156" s="6"/>
      <c r="AS156" s="5"/>
      <c r="AT156" s="78"/>
      <c r="AU156" s="78"/>
    </row>
    <row r="157" spans="13:47">
      <c r="M157" s="5"/>
      <c r="N157" s="6"/>
      <c r="AS157" s="5"/>
      <c r="AT157" s="78"/>
      <c r="AU157" s="78"/>
    </row>
    <row r="158" spans="13:47">
      <c r="M158" s="5"/>
      <c r="N158" s="6"/>
      <c r="AS158" s="5"/>
      <c r="AT158" s="78"/>
      <c r="AU158" s="78"/>
    </row>
    <row r="159" spans="13:47">
      <c r="M159" s="5"/>
      <c r="N159" s="6"/>
      <c r="AS159" s="5"/>
      <c r="AT159" s="78"/>
      <c r="AU159" s="78"/>
    </row>
    <row r="160" spans="13:47">
      <c r="M160" s="5"/>
      <c r="N160" s="6"/>
      <c r="AS160" s="5"/>
      <c r="AT160" s="78"/>
      <c r="AU160" s="78"/>
    </row>
    <row r="161" spans="13:47">
      <c r="M161" s="5"/>
      <c r="N161" s="6"/>
      <c r="AS161" s="5"/>
      <c r="AT161" s="78"/>
      <c r="AU161" s="78"/>
    </row>
    <row r="162" spans="13:47">
      <c r="M162" s="5"/>
      <c r="N162" s="6"/>
      <c r="AS162" s="5"/>
      <c r="AT162" s="78"/>
      <c r="AU162" s="78"/>
    </row>
    <row r="163" spans="13:47">
      <c r="M163" s="5"/>
      <c r="N163" s="6"/>
      <c r="AS163" s="5"/>
      <c r="AT163" s="78"/>
      <c r="AU163" s="78"/>
    </row>
    <row r="164" spans="13:47">
      <c r="M164" s="5"/>
      <c r="N164" s="6"/>
      <c r="AS164" s="5"/>
      <c r="AT164" s="78"/>
      <c r="AU164" s="78"/>
    </row>
    <row r="165" spans="13:47">
      <c r="M165" s="5"/>
      <c r="N165" s="6"/>
      <c r="AS165" s="5"/>
      <c r="AT165" s="78"/>
      <c r="AU165" s="78"/>
    </row>
    <row r="166" spans="13:47">
      <c r="M166" s="5"/>
      <c r="N166" s="6"/>
      <c r="AS166" s="5"/>
      <c r="AT166" s="78"/>
      <c r="AU166" s="78"/>
    </row>
    <row r="167" spans="13:47">
      <c r="M167" s="5"/>
      <c r="N167" s="6"/>
      <c r="AS167" s="5"/>
      <c r="AT167" s="78"/>
      <c r="AU167" s="78"/>
    </row>
    <row r="168" spans="13:47">
      <c r="M168" s="5"/>
      <c r="N168" s="6"/>
      <c r="AS168" s="5"/>
      <c r="AT168" s="78"/>
      <c r="AU168" s="78"/>
    </row>
    <row r="169" spans="13:47">
      <c r="M169" s="5"/>
      <c r="N169" s="6"/>
      <c r="AS169" s="5"/>
      <c r="AT169" s="78"/>
      <c r="AU169" s="78"/>
    </row>
    <row r="170" spans="13:47">
      <c r="M170" s="5"/>
      <c r="N170" s="6"/>
      <c r="AS170" s="5"/>
      <c r="AT170" s="78"/>
      <c r="AU170" s="78"/>
    </row>
    <row r="171" spans="13:47">
      <c r="M171" s="5"/>
      <c r="N171" s="6"/>
      <c r="AS171" s="5"/>
      <c r="AT171" s="78"/>
      <c r="AU171" s="78"/>
    </row>
    <row r="172" spans="13:47">
      <c r="M172" s="5"/>
      <c r="N172" s="6"/>
      <c r="AS172" s="5"/>
      <c r="AT172" s="78"/>
      <c r="AU172" s="78"/>
    </row>
    <row r="173" spans="13:47">
      <c r="M173" s="5"/>
      <c r="N173" s="6"/>
      <c r="AS173" s="5"/>
      <c r="AT173" s="78"/>
      <c r="AU173" s="78"/>
    </row>
    <row r="174" spans="13:47">
      <c r="M174" s="5"/>
      <c r="N174" s="6"/>
      <c r="AS174" s="5"/>
      <c r="AT174" s="78"/>
      <c r="AU174" s="78"/>
    </row>
    <row r="175" spans="13:47">
      <c r="M175" s="5"/>
      <c r="N175" s="6"/>
      <c r="AS175" s="5"/>
      <c r="AT175" s="78"/>
      <c r="AU175" s="78"/>
    </row>
    <row r="176" spans="13:47">
      <c r="M176" s="5"/>
      <c r="N176" s="6"/>
      <c r="AS176" s="5"/>
      <c r="AT176" s="78"/>
      <c r="AU176" s="78"/>
    </row>
    <row r="177" spans="13:47">
      <c r="M177" s="5"/>
      <c r="N177" s="6"/>
      <c r="AS177" s="5"/>
      <c r="AT177" s="78"/>
      <c r="AU177" s="78"/>
    </row>
    <row r="178" spans="13:47">
      <c r="M178" s="5"/>
      <c r="N178" s="6"/>
      <c r="AS178" s="5"/>
      <c r="AT178" s="78"/>
      <c r="AU178" s="78"/>
    </row>
    <row r="179" spans="13:47">
      <c r="M179" s="5"/>
      <c r="N179" s="6"/>
      <c r="AS179" s="5"/>
      <c r="AT179" s="78"/>
      <c r="AU179" s="78"/>
    </row>
    <row r="180" spans="13:47">
      <c r="M180" s="5"/>
      <c r="N180" s="6"/>
      <c r="AS180" s="5"/>
      <c r="AT180" s="78"/>
      <c r="AU180" s="78"/>
    </row>
    <row r="181" spans="13:47">
      <c r="M181" s="5"/>
      <c r="N181" s="6"/>
      <c r="AS181" s="5"/>
      <c r="AT181" s="78"/>
      <c r="AU181" s="78"/>
    </row>
    <row r="182" spans="13:47">
      <c r="M182" s="5"/>
      <c r="N182" s="6"/>
      <c r="AS182" s="5"/>
      <c r="AT182" s="78"/>
      <c r="AU182" s="78"/>
    </row>
    <row r="183" spans="13:47">
      <c r="M183" s="5"/>
      <c r="N183" s="6"/>
      <c r="AS183" s="5"/>
      <c r="AT183" s="78"/>
      <c r="AU183" s="78"/>
    </row>
    <row r="184" spans="13:47">
      <c r="M184" s="5"/>
      <c r="N184" s="6"/>
      <c r="AS184" s="5"/>
      <c r="AT184" s="78"/>
      <c r="AU184" s="78"/>
    </row>
    <row r="185" spans="13:47">
      <c r="M185" s="5"/>
      <c r="N185" s="6"/>
      <c r="AS185" s="5"/>
      <c r="AT185" s="78"/>
      <c r="AU185" s="78"/>
    </row>
    <row r="186" spans="13:47">
      <c r="M186" s="5"/>
      <c r="N186" s="6"/>
      <c r="AS186" s="5"/>
      <c r="AT186" s="78"/>
      <c r="AU186" s="78"/>
    </row>
    <row r="187" spans="13:47">
      <c r="M187" s="5"/>
      <c r="N187" s="6"/>
      <c r="AS187" s="5"/>
      <c r="AT187" s="78"/>
      <c r="AU187" s="78"/>
    </row>
    <row r="188" spans="13:47">
      <c r="M188" s="5"/>
      <c r="N188" s="6"/>
      <c r="AS188" s="5"/>
      <c r="AT188" s="78"/>
      <c r="AU188" s="78"/>
    </row>
    <row r="189" spans="13:47">
      <c r="M189" s="5"/>
      <c r="N189" s="6"/>
      <c r="AS189" s="5"/>
      <c r="AT189" s="78"/>
      <c r="AU189" s="78"/>
    </row>
    <row r="190" spans="13:47">
      <c r="M190" s="5"/>
      <c r="N190" s="6"/>
      <c r="AS190" s="5"/>
      <c r="AT190" s="78"/>
      <c r="AU190" s="78"/>
    </row>
    <row r="191" spans="13:47">
      <c r="M191" s="5"/>
      <c r="N191" s="6"/>
      <c r="AS191" s="5"/>
      <c r="AT191" s="78"/>
      <c r="AU191" s="78"/>
    </row>
    <row r="192" spans="13:47">
      <c r="M192" s="5"/>
      <c r="N192" s="6"/>
      <c r="AS192" s="5"/>
      <c r="AT192" s="78"/>
      <c r="AU192" s="78"/>
    </row>
    <row r="193" spans="13:47">
      <c r="M193" s="5"/>
      <c r="N193" s="6"/>
      <c r="AS193" s="5"/>
      <c r="AT193" s="78"/>
      <c r="AU193" s="78"/>
    </row>
    <row r="194" spans="13:47">
      <c r="M194" s="5"/>
      <c r="N194" s="6"/>
      <c r="AT194" s="78"/>
      <c r="AU194" s="78"/>
    </row>
    <row r="195" spans="13:47">
      <c r="M195" s="5"/>
      <c r="N195" s="6"/>
      <c r="AT195" s="78"/>
      <c r="AU195" s="78"/>
    </row>
    <row r="196" spans="13:47">
      <c r="M196" s="5"/>
      <c r="N196" s="6"/>
    </row>
    <row r="197" spans="13:47">
      <c r="M197" s="5"/>
      <c r="N197" s="6"/>
    </row>
    <row r="198" spans="13:47">
      <c r="M198" s="5"/>
      <c r="N198" s="6"/>
    </row>
    <row r="199" spans="13:47">
      <c r="M199" s="5"/>
      <c r="N199" s="6"/>
    </row>
    <row r="200" spans="13:47">
      <c r="M200" s="5"/>
      <c r="N200" s="6"/>
    </row>
    <row r="201" spans="13:47">
      <c r="M201" s="5"/>
      <c r="N201" s="6"/>
    </row>
    <row r="202" spans="13:47">
      <c r="M202" s="5"/>
      <c r="N202" s="6"/>
    </row>
    <row r="203" spans="13:47">
      <c r="M203" s="5"/>
      <c r="N203" s="6"/>
    </row>
    <row r="204" spans="13:47">
      <c r="M204" s="5"/>
      <c r="N204" s="6"/>
    </row>
    <row r="205" spans="13:47">
      <c r="M205" s="5"/>
      <c r="N205" s="6"/>
    </row>
    <row r="206" spans="13:47">
      <c r="M206" s="5"/>
      <c r="N206" s="6"/>
    </row>
    <row r="207" spans="13:47">
      <c r="M207" s="5"/>
      <c r="N207" s="6"/>
    </row>
    <row r="208" spans="13:47">
      <c r="M208" s="5"/>
      <c r="N208" s="6"/>
    </row>
    <row r="209" spans="13:14">
      <c r="M209" s="5"/>
      <c r="N209" s="6"/>
    </row>
    <row r="210" spans="13:14">
      <c r="M210" s="5"/>
      <c r="N210" s="6"/>
    </row>
    <row r="211" spans="13:14">
      <c r="M211" s="5"/>
      <c r="N211" s="6"/>
    </row>
    <row r="212" spans="13:14">
      <c r="M212" s="5"/>
      <c r="N212" s="6"/>
    </row>
    <row r="213" spans="13:14">
      <c r="M213" s="5"/>
      <c r="N213" s="6"/>
    </row>
    <row r="214" spans="13:14">
      <c r="M214" s="5"/>
      <c r="N214" s="6"/>
    </row>
    <row r="215" spans="13:14">
      <c r="M215" s="5"/>
      <c r="N215" s="6"/>
    </row>
    <row r="216" spans="13:14">
      <c r="M216" s="5"/>
      <c r="N216" s="6"/>
    </row>
    <row r="217" spans="13:14">
      <c r="M217" s="5"/>
      <c r="N217" s="6"/>
    </row>
    <row r="218" spans="13:14">
      <c r="M218" s="5"/>
      <c r="N218" s="6"/>
    </row>
    <row r="219" spans="13:14">
      <c r="M219" s="5"/>
      <c r="N219" s="6"/>
    </row>
    <row r="220" spans="13:14">
      <c r="M220" s="5"/>
      <c r="N220" s="6"/>
    </row>
    <row r="221" spans="13:14">
      <c r="M221" s="5"/>
      <c r="N221" s="6"/>
    </row>
    <row r="222" spans="13:14">
      <c r="M222" s="5"/>
      <c r="N222" s="6"/>
    </row>
    <row r="223" spans="13:14">
      <c r="M223" s="5"/>
      <c r="N223" s="6"/>
    </row>
    <row r="224" spans="13:14">
      <c r="M224" s="5"/>
      <c r="N224" s="6"/>
    </row>
    <row r="225" spans="13:14">
      <c r="M225" s="5"/>
      <c r="N225" s="6"/>
    </row>
    <row r="226" spans="13:14">
      <c r="M226" s="5"/>
      <c r="N226" s="6"/>
    </row>
    <row r="227" spans="13:14">
      <c r="M227" s="5"/>
      <c r="N227" s="6"/>
    </row>
    <row r="228" spans="13:14">
      <c r="M228" s="5"/>
      <c r="N228" s="6"/>
    </row>
    <row r="229" spans="13:14">
      <c r="M229" s="5"/>
      <c r="N229" s="6"/>
    </row>
    <row r="230" spans="13:14">
      <c r="M230" s="5"/>
      <c r="N230" s="6"/>
    </row>
    <row r="231" spans="13:14">
      <c r="M231" s="5"/>
      <c r="N231" s="6"/>
    </row>
    <row r="232" spans="13:14">
      <c r="M232" s="5"/>
      <c r="N232" s="6"/>
    </row>
    <row r="233" spans="13:14">
      <c r="M233" s="5"/>
      <c r="N233" s="6"/>
    </row>
    <row r="234" spans="13:14">
      <c r="M234" s="5"/>
      <c r="N234" s="6"/>
    </row>
    <row r="235" spans="13:14">
      <c r="M235" s="5"/>
      <c r="N235" s="6"/>
    </row>
    <row r="236" spans="13:14">
      <c r="M236" s="5"/>
      <c r="N236" s="6"/>
    </row>
    <row r="237" spans="13:14">
      <c r="M237" s="5"/>
      <c r="N237" s="6"/>
    </row>
    <row r="238" spans="13:14">
      <c r="M238" s="5"/>
      <c r="N238" s="6"/>
    </row>
    <row r="239" spans="13:14">
      <c r="M239" s="5"/>
      <c r="N239" s="6"/>
    </row>
    <row r="240" spans="13:14">
      <c r="M240" s="5"/>
      <c r="N240" s="6"/>
    </row>
    <row r="241" spans="13:14">
      <c r="M241" s="5"/>
      <c r="N241" s="6"/>
    </row>
    <row r="242" spans="13:14">
      <c r="M242" s="5"/>
      <c r="N242" s="6"/>
    </row>
    <row r="243" spans="13:14">
      <c r="M243" s="5"/>
      <c r="N243" s="6"/>
    </row>
    <row r="244" spans="13:14">
      <c r="M244" s="5"/>
      <c r="N244" s="6"/>
    </row>
    <row r="245" spans="13:14">
      <c r="M245" s="5"/>
      <c r="N245" s="6"/>
    </row>
    <row r="246" spans="13:14">
      <c r="M246" s="5"/>
      <c r="N246" s="6"/>
    </row>
    <row r="247" spans="13:14">
      <c r="M247" s="5"/>
      <c r="N247" s="6"/>
    </row>
    <row r="248" spans="13:14">
      <c r="M248" s="5"/>
      <c r="N248" s="6"/>
    </row>
    <row r="249" spans="13:14">
      <c r="M249" s="5"/>
      <c r="N249" s="6"/>
    </row>
    <row r="250" spans="13:14">
      <c r="M250" s="5"/>
      <c r="N250" s="6"/>
    </row>
    <row r="251" spans="13:14">
      <c r="M251" s="5"/>
      <c r="N251" s="6"/>
    </row>
    <row r="252" spans="13:14">
      <c r="M252" s="5"/>
      <c r="N252" s="6"/>
    </row>
    <row r="253" spans="13:14">
      <c r="M253" s="5"/>
      <c r="N253" s="6"/>
    </row>
    <row r="254" spans="13:14">
      <c r="M254" s="5"/>
      <c r="N254" s="6"/>
    </row>
    <row r="255" spans="13:14">
      <c r="M255" s="5"/>
      <c r="N255" s="6"/>
    </row>
    <row r="256" spans="13:14">
      <c r="M256" s="5"/>
      <c r="N256" s="6"/>
    </row>
    <row r="257" spans="13:14">
      <c r="M257" s="5"/>
      <c r="N257" s="6"/>
    </row>
    <row r="258" spans="13:14">
      <c r="M258" s="5"/>
      <c r="N258" s="6"/>
    </row>
    <row r="259" spans="13:14">
      <c r="M259" s="5"/>
      <c r="N259" s="6"/>
    </row>
    <row r="260" spans="13:14">
      <c r="M260" s="5"/>
      <c r="N260" s="6"/>
    </row>
    <row r="261" spans="13:14">
      <c r="M261" s="5"/>
      <c r="N261" s="6"/>
    </row>
    <row r="262" spans="13:14">
      <c r="M262" s="5"/>
      <c r="N262" s="6"/>
    </row>
  </sheetData>
  <mergeCells count="32">
    <mergeCell ref="AS1:AU1"/>
    <mergeCell ref="A2:B2"/>
    <mergeCell ref="A3:B3"/>
    <mergeCell ref="A4:B4"/>
    <mergeCell ref="AO1:AQ1"/>
    <mergeCell ref="AI1:AN1"/>
    <mergeCell ref="AD1:AG1"/>
    <mergeCell ref="J1:K1"/>
    <mergeCell ref="A5:B5"/>
    <mergeCell ref="Z2:AB2"/>
    <mergeCell ref="M1:N1"/>
    <mergeCell ref="P1:Q1"/>
    <mergeCell ref="S1:U1"/>
    <mergeCell ref="W1:X1"/>
    <mergeCell ref="A1:C1"/>
    <mergeCell ref="Z1:AB1"/>
    <mergeCell ref="F1:G1"/>
    <mergeCell ref="H1:I1"/>
    <mergeCell ref="A12:B12"/>
    <mergeCell ref="A21:B21"/>
    <mergeCell ref="A13:B13"/>
    <mergeCell ref="A14:B14"/>
    <mergeCell ref="A16:B16"/>
    <mergeCell ref="A17:B17"/>
    <mergeCell ref="A18:B18"/>
    <mergeCell ref="A19:B19"/>
    <mergeCell ref="A20:B20"/>
    <mergeCell ref="A6:B6"/>
    <mergeCell ref="A8:B8"/>
    <mergeCell ref="A9:B9"/>
    <mergeCell ref="A10:B10"/>
    <mergeCell ref="A11:B11"/>
  </mergeCells>
  <pageMargins left="0.7" right="0.7" top="0.75" bottom="0.75" header="0.3" footer="0.3"/>
  <pageSetup scale="1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E37D5-73F1-434B-A037-DD3D01F3E33C}">
  <dimension ref="B27:D34"/>
  <sheetViews>
    <sheetView view="pageBreakPreview" topLeftCell="V6" zoomScale="130" zoomScaleNormal="150" zoomScaleSheetLayoutView="130" workbookViewId="0">
      <selection activeCell="V6" sqref="V6"/>
    </sheetView>
  </sheetViews>
  <sheetFormatPr defaultColWidth="9.140625" defaultRowHeight="14.25"/>
  <cols>
    <col min="1" max="16384" width="9.140625" style="1"/>
  </cols>
  <sheetData>
    <row r="27" spans="2:2" ht="41.25" customHeight="1">
      <c r="B27" s="3" t="str">
        <f>INPUT!C3</f>
        <v>COLONY WOODS</v>
      </c>
    </row>
    <row r="28" spans="2:2">
      <c r="B28" s="82" t="str">
        <f>INPUT!C4&amp;" | "&amp;INPUT!C5&amp;" "&amp;"Units"</f>
        <v>BIRMINGHAM, AL | 414 Units</v>
      </c>
    </row>
    <row r="32" spans="2:2" ht="24.75">
      <c r="B32" s="83" t="s">
        <v>88</v>
      </c>
    </row>
    <row r="33" spans="2:4">
      <c r="B33" s="104">
        <f>INPUT!C2</f>
        <v>45880</v>
      </c>
      <c r="C33" s="104"/>
      <c r="D33" s="104"/>
    </row>
    <row r="34" spans="2:4">
      <c r="B34" s="84" t="str">
        <f>"*For the week ending "&amp;TEXT(INPUT!C6,"mm/dd/yyyy")</f>
        <v>*For the week ending 08/10/2025</v>
      </c>
    </row>
  </sheetData>
  <mergeCells count="1">
    <mergeCell ref="B33:D33"/>
  </mergeCells>
  <printOptions horizontalCentered="1"/>
  <pageMargins left="0" right="0" top="0" bottom="0"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7397-8EB5-4747-8B16-1B259AE13A83}">
  <dimension ref="B4:T33"/>
  <sheetViews>
    <sheetView view="pageBreakPreview" topLeftCell="C1" zoomScale="80" zoomScaleNormal="100" zoomScaleSheetLayoutView="80" workbookViewId="0">
      <selection activeCell="F25" sqref="F25"/>
    </sheetView>
  </sheetViews>
  <sheetFormatPr defaultColWidth="9.140625" defaultRowHeight="14.25"/>
  <cols>
    <col min="1" max="1" width="2.42578125" style="1" customWidth="1"/>
    <col min="2" max="2" width="37.85546875" style="1" customWidth="1"/>
    <col min="3" max="3" width="9.140625" style="1"/>
    <col min="4" max="4" width="4.85546875" style="1" customWidth="1"/>
    <col min="5" max="5" width="37.85546875" style="1" customWidth="1"/>
    <col min="6" max="6" width="10.140625" style="1" bestFit="1" customWidth="1"/>
    <col min="7" max="7" width="4.85546875" style="1" customWidth="1"/>
    <col min="8" max="8" width="12.85546875" style="1" customWidth="1"/>
    <col min="9" max="12" width="14.85546875" style="1" customWidth="1"/>
    <col min="13" max="14" width="2.42578125" style="1" customWidth="1"/>
    <col min="15" max="15" width="12.5703125" style="1" customWidth="1"/>
    <col min="16" max="16" width="23.140625" style="1" bestFit="1" customWidth="1"/>
    <col min="17" max="17" width="12.28515625" style="1" bestFit="1" customWidth="1"/>
    <col min="18" max="18" width="19.5703125" style="1" bestFit="1" customWidth="1"/>
    <col min="19" max="19" width="12.7109375" style="1" bestFit="1" customWidth="1"/>
    <col min="20" max="20" width="13.140625" style="1" bestFit="1" customWidth="1"/>
    <col min="21" max="16384" width="9.140625" style="1"/>
  </cols>
  <sheetData>
    <row r="4" spans="15:20" ht="18" customHeight="1"/>
    <row r="5" spans="15:20" ht="21.75" customHeight="1">
      <c r="O5" s="15" t="s">
        <v>83</v>
      </c>
      <c r="P5" s="15" t="s">
        <v>84</v>
      </c>
      <c r="Q5" s="15" t="s">
        <v>85</v>
      </c>
      <c r="R5" s="15" t="s">
        <v>86</v>
      </c>
      <c r="S5" s="15" t="s">
        <v>87</v>
      </c>
      <c r="T5" s="15" t="s">
        <v>89</v>
      </c>
    </row>
    <row r="6" spans="15:20" ht="21.75" customHeight="1">
      <c r="O6" s="21">
        <f>INPUT!A32</f>
        <v>45809</v>
      </c>
      <c r="P6" s="16">
        <f>INPUT!B32</f>
        <v>32</v>
      </c>
      <c r="Q6" s="16">
        <f>INPUT!C32</f>
        <v>19</v>
      </c>
      <c r="R6" s="16">
        <f>INPUT!D32</f>
        <v>0</v>
      </c>
      <c r="S6" s="16">
        <f>INPUT!E32</f>
        <v>15</v>
      </c>
      <c r="T6" s="17">
        <f>S6/P6</f>
        <v>0.46875</v>
      </c>
    </row>
    <row r="7" spans="15:20" ht="21.75" customHeight="1">
      <c r="O7" s="21">
        <f>INPUT!A33</f>
        <v>45839</v>
      </c>
      <c r="P7" s="16">
        <f>INPUT!B33</f>
        <v>27</v>
      </c>
      <c r="Q7" s="16">
        <f>INPUT!C33</f>
        <v>23</v>
      </c>
      <c r="R7" s="16">
        <f>INPUT!D33</f>
        <v>0</v>
      </c>
      <c r="S7" s="16">
        <f>INPUT!E33</f>
        <v>25</v>
      </c>
      <c r="T7" s="17">
        <f t="shared" ref="T7:T19" si="0">S7/P7</f>
        <v>0.92592592592592593</v>
      </c>
    </row>
    <row r="8" spans="15:20" ht="21.75" customHeight="1">
      <c r="O8" s="21">
        <f>INPUT!A34</f>
        <v>45870</v>
      </c>
      <c r="P8" s="16">
        <f>INPUT!B34</f>
        <v>36</v>
      </c>
      <c r="Q8" s="16">
        <f>INPUT!C34</f>
        <v>6</v>
      </c>
      <c r="R8" s="16">
        <f>INPUT!D34</f>
        <v>28</v>
      </c>
      <c r="S8" s="16">
        <f>INPUT!E34</f>
        <v>1</v>
      </c>
      <c r="T8" s="17">
        <f t="shared" si="0"/>
        <v>2.7777777777777776E-2</v>
      </c>
    </row>
    <row r="9" spans="15:20" ht="21.75" customHeight="1">
      <c r="O9" s="21">
        <f>INPUT!A35</f>
        <v>45901</v>
      </c>
      <c r="P9" s="16">
        <f>INPUT!B35</f>
        <v>29</v>
      </c>
      <c r="Q9" s="16">
        <f>INPUT!C35</f>
        <v>0</v>
      </c>
      <c r="R9" s="16">
        <f>INPUT!D35</f>
        <v>7</v>
      </c>
      <c r="S9" s="16">
        <f>INPUT!E35</f>
        <v>0</v>
      </c>
      <c r="T9" s="17">
        <f t="shared" si="0"/>
        <v>0</v>
      </c>
    </row>
    <row r="10" spans="15:20" ht="21.75" customHeight="1">
      <c r="O10" s="21">
        <f>INPUT!A36</f>
        <v>45931</v>
      </c>
      <c r="P10" s="16">
        <f>INPUT!B36</f>
        <v>20</v>
      </c>
      <c r="Q10" s="16">
        <f>INPUT!C36</f>
        <v>0</v>
      </c>
      <c r="R10" s="16">
        <f>INPUT!D36</f>
        <v>1</v>
      </c>
      <c r="S10" s="16">
        <f>INPUT!E36</f>
        <v>0</v>
      </c>
      <c r="T10" s="17">
        <f t="shared" si="0"/>
        <v>0</v>
      </c>
    </row>
    <row r="11" spans="15:20" ht="21.75" customHeight="1">
      <c r="O11" s="21">
        <f>INPUT!A37</f>
        <v>45962</v>
      </c>
      <c r="P11" s="16">
        <f>INPUT!B37</f>
        <v>20</v>
      </c>
      <c r="Q11" s="16">
        <f>INPUT!C37</f>
        <v>0</v>
      </c>
      <c r="R11" s="16">
        <f>INPUT!D37</f>
        <v>1</v>
      </c>
      <c r="S11" s="16">
        <f>INPUT!E37</f>
        <v>0</v>
      </c>
      <c r="T11" s="17">
        <f t="shared" si="0"/>
        <v>0</v>
      </c>
    </row>
    <row r="12" spans="15:20" ht="21.75" customHeight="1">
      <c r="O12" s="21">
        <f>INPUT!A38</f>
        <v>45992</v>
      </c>
      <c r="P12" s="16">
        <f>INPUT!B38</f>
        <v>11</v>
      </c>
      <c r="Q12" s="16">
        <f>INPUT!C38</f>
        <v>0</v>
      </c>
      <c r="R12" s="16">
        <f>INPUT!D38</f>
        <v>0</v>
      </c>
      <c r="S12" s="16">
        <f>INPUT!E38</f>
        <v>0</v>
      </c>
      <c r="T12" s="17">
        <f t="shared" si="0"/>
        <v>0</v>
      </c>
    </row>
    <row r="13" spans="15:20" ht="21.75" customHeight="1">
      <c r="O13" s="21">
        <f>INPUT!A39</f>
        <v>46023</v>
      </c>
      <c r="P13" s="16">
        <f>INPUT!B39</f>
        <v>19</v>
      </c>
      <c r="Q13" s="16">
        <f>INPUT!C39</f>
        <v>0</v>
      </c>
      <c r="R13" s="16">
        <f>INPUT!D39</f>
        <v>0</v>
      </c>
      <c r="S13" s="16">
        <f>INPUT!E39</f>
        <v>0</v>
      </c>
      <c r="T13" s="17">
        <f t="shared" si="0"/>
        <v>0</v>
      </c>
    </row>
    <row r="14" spans="15:20" ht="21.75" customHeight="1">
      <c r="O14" s="21">
        <f>INPUT!A40</f>
        <v>46054</v>
      </c>
      <c r="P14" s="16">
        <f>INPUT!B40</f>
        <v>39</v>
      </c>
      <c r="Q14" s="16">
        <f>INPUT!C40</f>
        <v>0</v>
      </c>
      <c r="R14" s="16">
        <f>INPUT!D40</f>
        <v>0</v>
      </c>
      <c r="S14" s="16">
        <f>INPUT!E40</f>
        <v>0</v>
      </c>
      <c r="T14" s="17">
        <f t="shared" si="0"/>
        <v>0</v>
      </c>
    </row>
    <row r="15" spans="15:20" ht="21.75" customHeight="1">
      <c r="O15" s="21">
        <f>INPUT!A41</f>
        <v>46082</v>
      </c>
      <c r="P15" s="16">
        <f>INPUT!B41</f>
        <v>37</v>
      </c>
      <c r="Q15" s="16">
        <f>INPUT!C41</f>
        <v>0</v>
      </c>
      <c r="R15" s="16">
        <f>INPUT!D41</f>
        <v>0</v>
      </c>
      <c r="S15" s="16">
        <f>INPUT!E41</f>
        <v>0</v>
      </c>
      <c r="T15" s="17">
        <f t="shared" si="0"/>
        <v>0</v>
      </c>
    </row>
    <row r="16" spans="15:20" ht="21.75" customHeight="1">
      <c r="O16" s="21">
        <f>INPUT!A42</f>
        <v>46113</v>
      </c>
      <c r="P16" s="16">
        <f>INPUT!B42</f>
        <v>34</v>
      </c>
      <c r="Q16" s="16">
        <f>INPUT!C42</f>
        <v>0</v>
      </c>
      <c r="R16" s="16">
        <f>INPUT!D42</f>
        <v>3</v>
      </c>
      <c r="S16" s="16">
        <f>INPUT!E42</f>
        <v>0</v>
      </c>
      <c r="T16" s="17">
        <f t="shared" si="0"/>
        <v>0</v>
      </c>
    </row>
    <row r="17" spans="2:20" ht="21.75" customHeight="1">
      <c r="O17" s="21">
        <f>INPUT!A43</f>
        <v>46143</v>
      </c>
      <c r="P17" s="16">
        <f>INPUT!B43</f>
        <v>42</v>
      </c>
      <c r="Q17" s="16">
        <f>INPUT!C43</f>
        <v>0</v>
      </c>
      <c r="R17" s="16">
        <f>INPUT!D43</f>
        <v>2</v>
      </c>
      <c r="S17" s="16">
        <f>INPUT!E43</f>
        <v>0</v>
      </c>
      <c r="T17" s="17">
        <f t="shared" si="0"/>
        <v>0</v>
      </c>
    </row>
    <row r="18" spans="2:20" ht="21.75" customHeight="1">
      <c r="O18" s="21">
        <f>INPUT!A44</f>
        <v>46174</v>
      </c>
      <c r="P18" s="16">
        <f>INPUT!B44</f>
        <v>29</v>
      </c>
      <c r="Q18" s="16">
        <f>INPUT!C44</f>
        <v>0</v>
      </c>
      <c r="R18" s="16">
        <f>INPUT!D44</f>
        <v>3</v>
      </c>
      <c r="S18" s="16">
        <f>INPUT!E44</f>
        <v>0</v>
      </c>
      <c r="T18" s="17">
        <f t="shared" si="0"/>
        <v>0</v>
      </c>
    </row>
    <row r="19" spans="2:20" ht="21.75" customHeight="1">
      <c r="O19" s="18" t="s">
        <v>90</v>
      </c>
      <c r="P19" s="19">
        <f>SUM(P6:P18)</f>
        <v>375</v>
      </c>
      <c r="Q19" s="19">
        <f>SUM(Q6:Q18)</f>
        <v>48</v>
      </c>
      <c r="R19" s="19">
        <f>SUM(R6:R18)</f>
        <v>45</v>
      </c>
      <c r="S19" s="19">
        <f>SUM(S6:S18)</f>
        <v>41</v>
      </c>
      <c r="T19" s="20">
        <f t="shared" si="0"/>
        <v>0.10933333333333334</v>
      </c>
    </row>
    <row r="20" spans="2:20">
      <c r="O20" s="13"/>
    </row>
    <row r="21" spans="2:20">
      <c r="O21" s="13"/>
    </row>
    <row r="22" spans="2:20">
      <c r="O22" s="13"/>
    </row>
    <row r="24" spans="2:20" s="4" customFormat="1" ht="22.5" customHeight="1">
      <c r="H24" s="105" t="s">
        <v>13</v>
      </c>
      <c r="I24" s="105" t="s">
        <v>81</v>
      </c>
      <c r="J24" s="105" t="s">
        <v>82</v>
      </c>
      <c r="K24" s="105" t="s">
        <v>91</v>
      </c>
      <c r="L24" s="105" t="s">
        <v>92</v>
      </c>
    </row>
    <row r="25" spans="2:20" s="4" customFormat="1" ht="22.5" customHeight="1">
      <c r="B25" s="22" t="s">
        <v>93</v>
      </c>
      <c r="C25" s="23">
        <f>C26/UNITS</f>
        <v>0.90338164251207731</v>
      </c>
      <c r="D25" s="24"/>
      <c r="E25" s="22" t="s">
        <v>94</v>
      </c>
      <c r="F25" s="25">
        <f>(UNITS-C28+C29)/UNITS</f>
        <v>0.9468599033816425</v>
      </c>
      <c r="H25" s="105"/>
      <c r="I25" s="105"/>
      <c r="J25" s="105"/>
      <c r="K25" s="105"/>
      <c r="L25" s="105"/>
    </row>
    <row r="26" spans="2:20" s="4" customFormat="1" ht="22.5" customHeight="1">
      <c r="B26" s="9" t="s">
        <v>46</v>
      </c>
      <c r="C26" s="10">
        <f>INPUT!C8</f>
        <v>374</v>
      </c>
      <c r="D26" s="8"/>
      <c r="E26" s="9" t="s">
        <v>69</v>
      </c>
      <c r="F26" s="10">
        <f>INPUT!C16</f>
        <v>70</v>
      </c>
      <c r="H26" s="11">
        <f>INPUT!A24</f>
        <v>45880</v>
      </c>
      <c r="I26" s="10">
        <f>INPUT!B24</f>
        <v>5</v>
      </c>
      <c r="J26" s="10">
        <f>INPUT!C24</f>
        <v>8</v>
      </c>
      <c r="K26" s="10">
        <f>C26+I26-J26</f>
        <v>371</v>
      </c>
      <c r="L26" s="12">
        <f>K26/UNITS</f>
        <v>0.89613526570048307</v>
      </c>
    </row>
    <row r="27" spans="2:20" s="4" customFormat="1" ht="22.5" customHeight="1">
      <c r="B27" s="9" t="s">
        <v>49</v>
      </c>
      <c r="C27" s="10">
        <f>INPUT!C9</f>
        <v>1</v>
      </c>
      <c r="D27" s="8"/>
      <c r="E27" s="9" t="s">
        <v>72</v>
      </c>
      <c r="F27" s="10">
        <f>INPUT!C17</f>
        <v>9</v>
      </c>
      <c r="H27" s="11">
        <f>INPUT!A25</f>
        <v>45887</v>
      </c>
      <c r="I27" s="10">
        <f>INPUT!B25</f>
        <v>4</v>
      </c>
      <c r="J27" s="10">
        <f>INPUT!C25</f>
        <v>2</v>
      </c>
      <c r="K27" s="10">
        <f>K26+I27-J27</f>
        <v>373</v>
      </c>
      <c r="L27" s="12">
        <f t="shared" ref="L27:L31" si="1">K27/UNITS</f>
        <v>0.90096618357487923</v>
      </c>
    </row>
    <row r="28" spans="2:20" s="4" customFormat="1" ht="22.5" customHeight="1">
      <c r="B28" s="9" t="s">
        <v>52</v>
      </c>
      <c r="C28" s="10">
        <f>INPUT!C10</f>
        <v>40</v>
      </c>
      <c r="D28" s="8"/>
      <c r="E28" s="9" t="s">
        <v>75</v>
      </c>
      <c r="F28" s="10">
        <f>INPUT!C18</f>
        <v>7</v>
      </c>
      <c r="H28" s="11">
        <f>INPUT!A26</f>
        <v>45894</v>
      </c>
      <c r="I28" s="10">
        <f>INPUT!B26</f>
        <v>5</v>
      </c>
      <c r="J28" s="10">
        <f>INPUT!C26</f>
        <v>3</v>
      </c>
      <c r="K28" s="10">
        <f t="shared" ref="K28:K31" si="2">K27+I28-J28</f>
        <v>375</v>
      </c>
      <c r="L28" s="12">
        <f t="shared" si="1"/>
        <v>0.90579710144927539</v>
      </c>
    </row>
    <row r="29" spans="2:20" s="4" customFormat="1" ht="22.5" customHeight="1">
      <c r="B29" s="9" t="s">
        <v>55</v>
      </c>
      <c r="C29" s="10">
        <f>INPUT!C11</f>
        <v>18</v>
      </c>
      <c r="D29" s="8"/>
      <c r="E29" s="9" t="s">
        <v>78</v>
      </c>
      <c r="F29" s="10">
        <f>INPUT!C19</f>
        <v>3</v>
      </c>
      <c r="H29" s="11">
        <f>INPUT!A27</f>
        <v>45901</v>
      </c>
      <c r="I29" s="10">
        <f>INPUT!B27</f>
        <v>0</v>
      </c>
      <c r="J29" s="10">
        <f>INPUT!C27</f>
        <v>1</v>
      </c>
      <c r="K29" s="10">
        <f t="shared" si="2"/>
        <v>374</v>
      </c>
      <c r="L29" s="12">
        <f t="shared" si="1"/>
        <v>0.90338164251207731</v>
      </c>
    </row>
    <row r="30" spans="2:20" s="4" customFormat="1" ht="22.5" customHeight="1">
      <c r="B30" s="9" t="s">
        <v>58</v>
      </c>
      <c r="C30" s="10">
        <f>INPUT!C12</f>
        <v>28</v>
      </c>
      <c r="D30" s="8"/>
      <c r="E30" s="9" t="s">
        <v>79</v>
      </c>
      <c r="F30" s="10">
        <f>INPUT!C20</f>
        <v>0</v>
      </c>
      <c r="H30" s="11">
        <f>INPUT!A28</f>
        <v>45908</v>
      </c>
      <c r="I30" s="10">
        <f>INPUT!B28</f>
        <v>1</v>
      </c>
      <c r="J30" s="10">
        <f>INPUT!C28</f>
        <v>2</v>
      </c>
      <c r="K30" s="10">
        <f t="shared" si="2"/>
        <v>373</v>
      </c>
      <c r="L30" s="12">
        <f t="shared" si="1"/>
        <v>0.90096618357487923</v>
      </c>
    </row>
    <row r="31" spans="2:20" s="4" customFormat="1" ht="22.5" customHeight="1">
      <c r="B31" s="9" t="s">
        <v>61</v>
      </c>
      <c r="C31" s="10">
        <f>INPUT!C13</f>
        <v>13</v>
      </c>
      <c r="D31" s="8"/>
      <c r="E31" s="22" t="s">
        <v>95</v>
      </c>
      <c r="F31" s="25"/>
      <c r="H31" s="11">
        <f>INPUT!A29</f>
        <v>45915</v>
      </c>
      <c r="I31" s="10">
        <f>INPUT!B29</f>
        <v>0</v>
      </c>
      <c r="J31" s="10">
        <f>INPUT!C29</f>
        <v>1</v>
      </c>
      <c r="K31" s="10">
        <f t="shared" si="2"/>
        <v>372</v>
      </c>
      <c r="L31" s="12">
        <f t="shared" si="1"/>
        <v>0.89855072463768115</v>
      </c>
    </row>
    <row r="32" spans="2:20" s="4" customFormat="1" ht="22.5" customHeight="1">
      <c r="B32" s="9" t="s">
        <v>64</v>
      </c>
      <c r="C32" s="10">
        <f>INPUT!C14</f>
        <v>7</v>
      </c>
      <c r="D32" s="8"/>
      <c r="E32" s="9" t="s">
        <v>96</v>
      </c>
      <c r="F32" s="10">
        <f>VLOOKUP(DATE,INPUT!$AS$3:$AU$246,2,FALSE)</f>
        <v>28</v>
      </c>
      <c r="H32" s="8"/>
      <c r="I32" s="8"/>
      <c r="J32" s="8"/>
      <c r="K32" s="8"/>
      <c r="L32" s="8"/>
    </row>
    <row r="33" spans="2:12" s="4" customFormat="1" ht="22.5" customHeight="1">
      <c r="B33" s="9" t="s">
        <v>97</v>
      </c>
      <c r="C33" s="10">
        <f>C28-C29+C30-C32</f>
        <v>43</v>
      </c>
      <c r="D33" s="8"/>
      <c r="E33" s="9" t="s">
        <v>65</v>
      </c>
      <c r="F33" s="10">
        <f>VLOOKUP(DATE,INPUT!$AS$3:$AU$246,3,FALSE)</f>
        <v>56</v>
      </c>
      <c r="H33" s="4" t="str">
        <f>"*For the week ending "&amp;TEXT(INPUT!C6,"mm/dd/yyyy")</f>
        <v>*For the week ending 08/10/2025</v>
      </c>
      <c r="J33" s="8"/>
      <c r="K33" s="8"/>
      <c r="L33" s="8"/>
    </row>
  </sheetData>
  <mergeCells count="5">
    <mergeCell ref="L24:L25"/>
    <mergeCell ref="H24:H25"/>
    <mergeCell ref="I24:I25"/>
    <mergeCell ref="J24:J25"/>
    <mergeCell ref="K24:K25"/>
  </mergeCells>
  <printOptions horizontalCentered="1"/>
  <pageMargins left="0.7" right="0.7" top="0.75" bottom="0.5" header="0.3" footer="0.3"/>
  <pageSetup scale="67" orientation="landscape" r:id="rId1"/>
  <headerFooter scaleWithDoc="0">
    <oddFooter>&amp;R&amp;G</oddFooter>
  </headerFooter>
  <colBreaks count="1" manualBreakCount="1">
    <brk id="13" max="33" man="1"/>
  </col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734A-133F-402B-AE5C-936BBD46A08E}">
  <dimension ref="B3:M43"/>
  <sheetViews>
    <sheetView view="pageBreakPreview" zoomScale="70" zoomScaleNormal="100" zoomScaleSheetLayoutView="70" workbookViewId="0">
      <selection activeCell="AF30" sqref="AF30"/>
    </sheetView>
  </sheetViews>
  <sheetFormatPr defaultColWidth="9.140625" defaultRowHeight="14.25"/>
  <cols>
    <col min="1" max="1" width="2.42578125" style="1" customWidth="1"/>
    <col min="2" max="2" width="37.85546875" style="1" customWidth="1"/>
    <col min="3" max="4" width="16.28515625" style="26" customWidth="1"/>
    <col min="5" max="5" width="16.28515625" style="45" customWidth="1"/>
    <col min="6" max="6" width="2.7109375" style="1" customWidth="1"/>
    <col min="7" max="8" width="16.28515625" style="26" customWidth="1"/>
    <col min="9" max="9" width="16.28515625" style="14" customWidth="1"/>
    <col min="10" max="10" width="2.7109375" style="1" customWidth="1"/>
    <col min="11" max="12" width="16.28515625" style="26" customWidth="1"/>
    <col min="13" max="13" width="16.28515625" style="1" customWidth="1"/>
    <col min="14" max="15" width="2.42578125" style="1" customWidth="1"/>
    <col min="16" max="16" width="12.5703125" style="1" customWidth="1"/>
    <col min="17" max="17" width="23.140625" style="1" bestFit="1" customWidth="1"/>
    <col min="18" max="18" width="12.28515625" style="1" bestFit="1" customWidth="1"/>
    <col min="19" max="19" width="19.5703125" style="1" bestFit="1" customWidth="1"/>
    <col min="20" max="20" width="12.7109375" style="1" bestFit="1" customWidth="1"/>
    <col min="21" max="21" width="13.140625" style="1" bestFit="1" customWidth="1"/>
    <col min="22" max="16384" width="9.140625" style="1"/>
  </cols>
  <sheetData>
    <row r="3" spans="2:13" ht="20.25" customHeight="1"/>
    <row r="4" spans="2:13" ht="27.75" customHeight="1">
      <c r="C4" s="1"/>
      <c r="D4" s="1"/>
      <c r="E4" s="1"/>
      <c r="G4" s="1"/>
      <c r="H4" s="1"/>
      <c r="I4" s="1"/>
      <c r="K4" s="1"/>
      <c r="L4" s="1"/>
    </row>
    <row r="5" spans="2:13" ht="27.75" customHeight="1">
      <c r="C5" s="106" t="str">
        <f>INPUT!$F$1</f>
        <v>JUNE</v>
      </c>
      <c r="D5" s="106"/>
      <c r="E5" s="106"/>
      <c r="F5" s="14"/>
      <c r="G5" s="106" t="str">
        <f>INPUT!$H$1</f>
        <v>MAY</v>
      </c>
      <c r="H5" s="106"/>
      <c r="I5" s="106"/>
      <c r="K5" s="106" t="str">
        <f>INPUT!$J$1</f>
        <v>APRIL</v>
      </c>
      <c r="L5" s="106"/>
      <c r="M5" s="106"/>
    </row>
    <row r="6" spans="2:13" ht="19.5" customHeight="1">
      <c r="C6" s="1"/>
      <c r="D6" s="1"/>
      <c r="G6" s="1"/>
      <c r="H6" s="1"/>
      <c r="K6" s="1"/>
      <c r="L6" s="1"/>
    </row>
    <row r="7" spans="2:13" ht="22.5" customHeight="1">
      <c r="B7" s="50" t="s">
        <v>7</v>
      </c>
      <c r="C7" s="53" t="s">
        <v>14</v>
      </c>
      <c r="D7" s="53" t="s">
        <v>15</v>
      </c>
      <c r="E7" s="54" t="s">
        <v>98</v>
      </c>
      <c r="F7" s="92"/>
      <c r="G7" s="55" t="s">
        <v>14</v>
      </c>
      <c r="H7" s="55" t="s">
        <v>15</v>
      </c>
      <c r="I7" s="56" t="s">
        <v>98</v>
      </c>
      <c r="J7" s="92"/>
      <c r="K7" s="55" t="s">
        <v>14</v>
      </c>
      <c r="L7" s="55" t="s">
        <v>15</v>
      </c>
      <c r="M7" s="56" t="s">
        <v>98</v>
      </c>
    </row>
    <row r="8" spans="2:13" ht="22.5" customHeight="1">
      <c r="B8" s="51" t="s">
        <v>31</v>
      </c>
      <c r="C8" s="57">
        <f>INPUT!F3</f>
        <v>432964.99</v>
      </c>
      <c r="D8" s="57">
        <f>INPUT!G3</f>
        <v>455640.92</v>
      </c>
      <c r="E8" s="58">
        <f>IFERROR(C8/D8-1,"NA")</f>
        <v>-4.976710607993684E-2</v>
      </c>
      <c r="F8" s="59"/>
      <c r="G8" s="60">
        <f>INPUT!H3</f>
        <v>431056.02</v>
      </c>
      <c r="H8" s="60">
        <f>INPUT!I3</f>
        <v>454450.31</v>
      </c>
      <c r="I8" s="61">
        <f>IFERROR(G8/H8-1,"NA")</f>
        <v>-5.1478213316654919E-2</v>
      </c>
      <c r="J8" s="59"/>
      <c r="K8" s="60">
        <f>INPUT!J3</f>
        <v>443902.76</v>
      </c>
      <c r="L8" s="60">
        <f>INPUT!K3</f>
        <v>450694.77</v>
      </c>
      <c r="M8" s="61">
        <f>IFERROR(K8/L8-1,"NA")</f>
        <v>-1.5070088343825283E-2</v>
      </c>
    </row>
    <row r="9" spans="2:13" ht="22.5" customHeight="1">
      <c r="B9" s="51" t="s">
        <v>35</v>
      </c>
      <c r="C9" s="57">
        <f>INPUT!F4</f>
        <v>67476.37</v>
      </c>
      <c r="D9" s="57">
        <f>INPUT!G4</f>
        <v>76150</v>
      </c>
      <c r="E9" s="58">
        <f t="shared" ref="E9:E10" si="0">IFERROR(C9/D9-1,"NA")</f>
        <v>-0.11390190413657264</v>
      </c>
      <c r="F9" s="59"/>
      <c r="G9" s="60">
        <f>INPUT!H4</f>
        <v>92018.27</v>
      </c>
      <c r="H9" s="60">
        <f>INPUT!I4</f>
        <v>76150</v>
      </c>
      <c r="I9" s="61">
        <f t="shared" ref="I9:I10" si="1">IFERROR(G9/H9-1,"NA")</f>
        <v>0.20838174655285635</v>
      </c>
      <c r="J9" s="59"/>
      <c r="K9" s="60">
        <f>INPUT!J4</f>
        <v>72246.399999999994</v>
      </c>
      <c r="L9" s="60">
        <f>INPUT!K4</f>
        <v>46150</v>
      </c>
      <c r="M9" s="61">
        <f t="shared" ref="M9:M10" si="2">IFERROR(K9/L9-1,"NA")</f>
        <v>0.56546912242686886</v>
      </c>
    </row>
    <row r="10" spans="2:13" ht="22.5" customHeight="1">
      <c r="B10" s="52" t="s">
        <v>40</v>
      </c>
      <c r="C10" s="62">
        <f>SUM(C8:C9)</f>
        <v>500441.36</v>
      </c>
      <c r="D10" s="62">
        <f>SUM(D8:D9)</f>
        <v>531790.91999999993</v>
      </c>
      <c r="E10" s="63">
        <f t="shared" si="0"/>
        <v>-5.8950912512759635E-2</v>
      </c>
      <c r="F10" s="64"/>
      <c r="G10" s="65">
        <f>SUM(G8:G9)</f>
        <v>523074.29000000004</v>
      </c>
      <c r="H10" s="65">
        <f>SUM(H8:H9)</f>
        <v>530600.31000000006</v>
      </c>
      <c r="I10" s="66">
        <f t="shared" si="1"/>
        <v>-1.418397211264355E-2</v>
      </c>
      <c r="J10" s="64"/>
      <c r="K10" s="65">
        <f>SUM(K8:K9)</f>
        <v>516149.16000000003</v>
      </c>
      <c r="L10" s="65">
        <f>SUM(L8:L9)</f>
        <v>496844.77</v>
      </c>
      <c r="M10" s="66">
        <f t="shared" si="2"/>
        <v>3.8853966400813622E-2</v>
      </c>
    </row>
    <row r="11" spans="2:13" ht="22.5" customHeight="1">
      <c r="B11" s="51"/>
      <c r="C11" s="57"/>
      <c r="D11" s="57"/>
      <c r="E11" s="58"/>
      <c r="F11" s="59"/>
      <c r="G11" s="60"/>
      <c r="H11" s="60"/>
      <c r="I11" s="67"/>
      <c r="J11" s="59"/>
      <c r="K11" s="60"/>
      <c r="L11" s="60"/>
      <c r="M11" s="67"/>
    </row>
    <row r="12" spans="2:13" ht="22.5" customHeight="1">
      <c r="B12" s="50" t="s">
        <v>44</v>
      </c>
      <c r="C12" s="53" t="s">
        <v>14</v>
      </c>
      <c r="D12" s="53" t="s">
        <v>15</v>
      </c>
      <c r="E12" s="54" t="s">
        <v>98</v>
      </c>
      <c r="F12" s="64"/>
      <c r="G12" s="55" t="s">
        <v>14</v>
      </c>
      <c r="H12" s="55" t="s">
        <v>15</v>
      </c>
      <c r="I12" s="56" t="s">
        <v>98</v>
      </c>
      <c r="J12" s="64"/>
      <c r="K12" s="55" t="s">
        <v>14</v>
      </c>
      <c r="L12" s="55" t="s">
        <v>15</v>
      </c>
      <c r="M12" s="56" t="s">
        <v>98</v>
      </c>
    </row>
    <row r="13" spans="2:13" ht="22.5" customHeight="1">
      <c r="B13" s="51" t="s">
        <v>47</v>
      </c>
      <c r="C13" s="57">
        <f>INPUT!F8</f>
        <v>50553.88</v>
      </c>
      <c r="D13" s="57">
        <f>INPUT!G8</f>
        <v>45832.59</v>
      </c>
      <c r="E13" s="58">
        <f>IFERROR(C13/D13-1,"NA")</f>
        <v>0.10301163429777804</v>
      </c>
      <c r="F13" s="59"/>
      <c r="G13" s="60">
        <f>INPUT!H8</f>
        <v>57022.12</v>
      </c>
      <c r="H13" s="60">
        <f>INPUT!I8</f>
        <v>45832.59</v>
      </c>
      <c r="I13" s="61">
        <f>IFERROR(G13/H13-1,"NA")</f>
        <v>0.2441391594932778</v>
      </c>
      <c r="J13" s="59"/>
      <c r="K13" s="60">
        <f>INPUT!J8</f>
        <v>45461.599999999999</v>
      </c>
      <c r="L13" s="60">
        <f>INPUT!K8</f>
        <v>45832.59</v>
      </c>
      <c r="M13" s="61">
        <f>IFERROR(K13/L13-1,"NA")</f>
        <v>-8.0944585501276922E-3</v>
      </c>
    </row>
    <row r="14" spans="2:13" ht="22.5" customHeight="1">
      <c r="B14" s="51" t="s">
        <v>50</v>
      </c>
      <c r="C14" s="57">
        <f>INPUT!F9</f>
        <v>12748.76</v>
      </c>
      <c r="D14" s="57">
        <f>INPUT!G9</f>
        <v>13261.02</v>
      </c>
      <c r="E14" s="58">
        <f t="shared" ref="E14:E21" si="3">IFERROR(C14/D14-1,"NA")</f>
        <v>-3.8629004405392631E-2</v>
      </c>
      <c r="F14" s="59"/>
      <c r="G14" s="60">
        <f>INPUT!H9</f>
        <v>12573.18</v>
      </c>
      <c r="H14" s="60">
        <f>INPUT!I9</f>
        <v>13231.26</v>
      </c>
      <c r="I14" s="61">
        <f t="shared" ref="I14:I22" si="4">IFERROR(G14/H14-1,"NA")</f>
        <v>-4.9736759764376193E-2</v>
      </c>
      <c r="J14" s="59"/>
      <c r="K14" s="60">
        <f>INPUT!J9</f>
        <v>12648.76</v>
      </c>
      <c r="L14" s="60">
        <f>INPUT!K9</f>
        <v>13137.37</v>
      </c>
      <c r="M14" s="61">
        <f t="shared" ref="M14:M21" si="5">IFERROR(K14/L14-1,"NA")</f>
        <v>-3.7192375642917885E-2</v>
      </c>
    </row>
    <row r="15" spans="2:13" ht="22.5" customHeight="1">
      <c r="B15" s="51" t="s">
        <v>53</v>
      </c>
      <c r="C15" s="57">
        <f>INPUT!F10</f>
        <v>14916.89</v>
      </c>
      <c r="D15" s="57">
        <f>INPUT!G10</f>
        <v>15691.05</v>
      </c>
      <c r="E15" s="58">
        <f t="shared" si="3"/>
        <v>-4.9337679760118047E-2</v>
      </c>
      <c r="F15" s="59"/>
      <c r="G15" s="60">
        <f>INPUT!H10</f>
        <v>16823.21</v>
      </c>
      <c r="H15" s="60">
        <f>INPUT!I10</f>
        <v>15691.05</v>
      </c>
      <c r="I15" s="61">
        <f t="shared" si="4"/>
        <v>7.2153233849869824E-2</v>
      </c>
      <c r="J15" s="59"/>
      <c r="K15" s="60">
        <f>INPUT!J10</f>
        <v>9739.85</v>
      </c>
      <c r="L15" s="60">
        <f>INPUT!K10</f>
        <v>15691.05</v>
      </c>
      <c r="M15" s="61">
        <f t="shared" si="5"/>
        <v>-0.3792735349132148</v>
      </c>
    </row>
    <row r="16" spans="2:13" ht="22.5" customHeight="1">
      <c r="B16" s="51" t="s">
        <v>56</v>
      </c>
      <c r="C16" s="57">
        <f>INPUT!F11</f>
        <v>66799.009999999995</v>
      </c>
      <c r="D16" s="57">
        <f>INPUT!G11</f>
        <v>58369.83</v>
      </c>
      <c r="E16" s="58">
        <f t="shared" si="3"/>
        <v>0.1444098775000715</v>
      </c>
      <c r="F16" s="59"/>
      <c r="G16" s="60">
        <f>INPUT!H11</f>
        <v>62016.97</v>
      </c>
      <c r="H16" s="60">
        <f>INPUT!I11</f>
        <v>58369.83</v>
      </c>
      <c r="I16" s="61">
        <f t="shared" si="4"/>
        <v>6.2483306872745725E-2</v>
      </c>
      <c r="J16" s="59"/>
      <c r="K16" s="60">
        <f>INPUT!J11</f>
        <v>58725.24</v>
      </c>
      <c r="L16" s="60">
        <f>INPUT!K11</f>
        <v>58369.83</v>
      </c>
      <c r="M16" s="61">
        <f t="shared" si="5"/>
        <v>6.0889332725484469E-3</v>
      </c>
    </row>
    <row r="17" spans="2:13" ht="22.5" customHeight="1">
      <c r="B17" s="51" t="s">
        <v>59</v>
      </c>
      <c r="C17" s="57">
        <f>INPUT!F12</f>
        <v>21325.25</v>
      </c>
      <c r="D17" s="57">
        <f>INPUT!G12</f>
        <v>13654.17</v>
      </c>
      <c r="E17" s="58">
        <f t="shared" si="3"/>
        <v>0.56181225222770781</v>
      </c>
      <c r="F17" s="59"/>
      <c r="G17" s="60">
        <f>INPUT!H12</f>
        <v>21687.75</v>
      </c>
      <c r="H17" s="60">
        <f>INPUT!I12</f>
        <v>13654.17</v>
      </c>
      <c r="I17" s="61">
        <f t="shared" si="4"/>
        <v>0.58836091831286708</v>
      </c>
      <c r="J17" s="59"/>
      <c r="K17" s="60">
        <f>INPUT!J12</f>
        <v>10636.64</v>
      </c>
      <c r="L17" s="60">
        <f>INPUT!K12</f>
        <v>13654.17</v>
      </c>
      <c r="M17" s="61">
        <f t="shared" si="5"/>
        <v>-0.22099695550882992</v>
      </c>
    </row>
    <row r="18" spans="2:13" ht="22.5" customHeight="1">
      <c r="B18" s="51" t="s">
        <v>62</v>
      </c>
      <c r="C18" s="57">
        <f>INPUT!F13</f>
        <v>6876.66</v>
      </c>
      <c r="D18" s="57">
        <f>INPUT!G13</f>
        <v>7625</v>
      </c>
      <c r="E18" s="58">
        <f t="shared" si="3"/>
        <v>-9.814295081967217E-2</v>
      </c>
      <c r="F18" s="59"/>
      <c r="G18" s="60">
        <f>INPUT!H13</f>
        <v>7421.67</v>
      </c>
      <c r="H18" s="60">
        <f>INPUT!I13</f>
        <v>6625</v>
      </c>
      <c r="I18" s="61">
        <f t="shared" si="4"/>
        <v>0.12025207547169803</v>
      </c>
      <c r="J18" s="59"/>
      <c r="K18" s="60">
        <f>INPUT!J13</f>
        <v>5856.66</v>
      </c>
      <c r="L18" s="60">
        <f>INPUT!K13</f>
        <v>6625</v>
      </c>
      <c r="M18" s="61">
        <f t="shared" si="5"/>
        <v>-0.11597584905660374</v>
      </c>
    </row>
    <row r="19" spans="2:13" ht="22.5" customHeight="1">
      <c r="B19" s="51" t="s">
        <v>65</v>
      </c>
      <c r="C19" s="57">
        <f>INPUT!F14</f>
        <v>21062.04</v>
      </c>
      <c r="D19" s="57">
        <f>INPUT!G14</f>
        <v>17625</v>
      </c>
      <c r="E19" s="58">
        <f t="shared" si="3"/>
        <v>0.19500936170212779</v>
      </c>
      <c r="F19" s="59"/>
      <c r="G19" s="60">
        <f>INPUT!H14</f>
        <v>21719.4</v>
      </c>
      <c r="H19" s="60">
        <f>INPUT!I14</f>
        <v>17625</v>
      </c>
      <c r="I19" s="61">
        <f t="shared" si="4"/>
        <v>0.23230638297872352</v>
      </c>
      <c r="J19" s="59"/>
      <c r="K19" s="60">
        <f>INPUT!J14</f>
        <v>8169.68</v>
      </c>
      <c r="L19" s="60">
        <f>INPUT!K14</f>
        <v>17625</v>
      </c>
      <c r="M19" s="61">
        <f t="shared" si="5"/>
        <v>-0.53647205673758869</v>
      </c>
    </row>
    <row r="20" spans="2:13" ht="22.5" customHeight="1">
      <c r="B20" s="51" t="s">
        <v>67</v>
      </c>
      <c r="C20" s="57">
        <f>INPUT!F15</f>
        <v>3395.54</v>
      </c>
      <c r="D20" s="57">
        <f>INPUT!G15</f>
        <v>750</v>
      </c>
      <c r="E20" s="58">
        <f t="shared" si="3"/>
        <v>3.5273866666666667</v>
      </c>
      <c r="F20" s="59"/>
      <c r="G20" s="60">
        <f>INPUT!H15</f>
        <v>0</v>
      </c>
      <c r="H20" s="60">
        <f>INPUT!I15</f>
        <v>750</v>
      </c>
      <c r="I20" s="61">
        <f t="shared" si="4"/>
        <v>-1</v>
      </c>
      <c r="J20" s="59"/>
      <c r="K20" s="60">
        <f>INPUT!J15</f>
        <v>1749.11</v>
      </c>
      <c r="L20" s="60">
        <f>INPUT!K15</f>
        <v>750</v>
      </c>
      <c r="M20" s="61">
        <f t="shared" si="5"/>
        <v>1.3321466666666666</v>
      </c>
    </row>
    <row r="21" spans="2:13" ht="22.5" customHeight="1">
      <c r="B21" s="51" t="s">
        <v>70</v>
      </c>
      <c r="C21" s="57">
        <f>INPUT!F16</f>
        <v>6640.62</v>
      </c>
      <c r="D21" s="57">
        <f>INPUT!G16</f>
        <v>6750</v>
      </c>
      <c r="E21" s="58">
        <f t="shared" si="3"/>
        <v>-1.6204444444444466E-2</v>
      </c>
      <c r="F21" s="59"/>
      <c r="G21" s="60">
        <f>INPUT!H16</f>
        <v>6548</v>
      </c>
      <c r="H21" s="60">
        <f>INPUT!I16</f>
        <v>6750</v>
      </c>
      <c r="I21" s="61">
        <f t="shared" si="4"/>
        <v>-2.9925925925925911E-2</v>
      </c>
      <c r="J21" s="59"/>
      <c r="K21" s="60">
        <f>INPUT!J16</f>
        <v>5823.12</v>
      </c>
      <c r="L21" s="60">
        <f>INPUT!K16</f>
        <v>6750</v>
      </c>
      <c r="M21" s="61">
        <f t="shared" si="5"/>
        <v>-0.13731555555555552</v>
      </c>
    </row>
    <row r="22" spans="2:13" s="4" customFormat="1" ht="22.5" customHeight="1">
      <c r="B22" s="51" t="s">
        <v>73</v>
      </c>
      <c r="C22" s="57">
        <f>INPUT!F17</f>
        <v>80148.160000000003</v>
      </c>
      <c r="D22" s="57">
        <f>INPUT!G17</f>
        <v>88799.89</v>
      </c>
      <c r="E22" s="58">
        <f t="shared" ref="E22:E23" si="6">IFERROR(C22/D22-1,"NA")</f>
        <v>-9.7429512581603372E-2</v>
      </c>
      <c r="F22" s="59"/>
      <c r="G22" s="60">
        <f>INPUT!H17</f>
        <v>66782.539999999994</v>
      </c>
      <c r="H22" s="60">
        <f>INPUT!I17</f>
        <v>88799.89</v>
      </c>
      <c r="I22" s="61">
        <f t="shared" si="4"/>
        <v>-0.24794343776777206</v>
      </c>
      <c r="J22" s="59"/>
      <c r="K22" s="60">
        <f>INPUT!J17</f>
        <v>88569.23</v>
      </c>
      <c r="L22" s="60">
        <f>INPUT!K17</f>
        <v>88799.89</v>
      </c>
      <c r="M22" s="61">
        <f t="shared" ref="M22:M23" si="7">IFERROR(K22/L22-1,"NA")</f>
        <v>-2.5975257401783525E-3</v>
      </c>
    </row>
    <row r="23" spans="2:13" s="4" customFormat="1" ht="22.5" customHeight="1">
      <c r="B23" s="52" t="s">
        <v>76</v>
      </c>
      <c r="C23" s="62">
        <f>SUM(C13:C22)</f>
        <v>284466.81</v>
      </c>
      <c r="D23" s="62">
        <f>SUM(D13:D22)</f>
        <v>268358.55</v>
      </c>
      <c r="E23" s="63">
        <f t="shared" si="6"/>
        <v>6.0025141736680387E-2</v>
      </c>
      <c r="F23" s="64"/>
      <c r="G23" s="65">
        <f>SUM(G13:G22)</f>
        <v>272594.84000000003</v>
      </c>
      <c r="H23" s="65">
        <f>SUM(H13:H22)</f>
        <v>267328.78999999998</v>
      </c>
      <c r="I23" s="66">
        <f t="shared" ref="I23" si="8">IFERROR(G23/H23-1,"NA")</f>
        <v>1.9698776177455635E-2</v>
      </c>
      <c r="J23" s="64"/>
      <c r="K23" s="65">
        <f>SUM(K13:K22)</f>
        <v>247379.89</v>
      </c>
      <c r="L23" s="65">
        <f>SUM(L13:L22)</f>
        <v>267234.90000000002</v>
      </c>
      <c r="M23" s="66">
        <f t="shared" si="7"/>
        <v>-7.4297967817826271E-2</v>
      </c>
    </row>
    <row r="24" spans="2:13" s="4" customFormat="1" ht="22.5" customHeight="1">
      <c r="B24" s="51"/>
      <c r="C24" s="57"/>
      <c r="D24" s="57"/>
      <c r="E24" s="58"/>
      <c r="F24" s="59"/>
      <c r="G24" s="60"/>
      <c r="H24" s="60"/>
      <c r="I24" s="67"/>
      <c r="J24" s="59"/>
      <c r="K24" s="60"/>
      <c r="L24" s="60"/>
      <c r="M24" s="67"/>
    </row>
    <row r="25" spans="2:13" s="4" customFormat="1" ht="22.5" customHeight="1">
      <c r="B25" s="50" t="s">
        <v>99</v>
      </c>
      <c r="C25" s="53" t="s">
        <v>14</v>
      </c>
      <c r="D25" s="53" t="s">
        <v>15</v>
      </c>
      <c r="E25" s="54" t="s">
        <v>98</v>
      </c>
      <c r="F25" s="64"/>
      <c r="G25" s="55" t="s">
        <v>14</v>
      </c>
      <c r="H25" s="55" t="s">
        <v>15</v>
      </c>
      <c r="I25" s="56" t="s">
        <v>98</v>
      </c>
      <c r="J25" s="64"/>
      <c r="K25" s="55" t="s">
        <v>14</v>
      </c>
      <c r="L25" s="55" t="s">
        <v>15</v>
      </c>
      <c r="M25" s="56" t="s">
        <v>98</v>
      </c>
    </row>
    <row r="26" spans="2:13" s="4" customFormat="1" ht="22.5" customHeight="1">
      <c r="B26" s="52" t="s">
        <v>80</v>
      </c>
      <c r="C26" s="62">
        <f>C10-C23</f>
        <v>215974.55</v>
      </c>
      <c r="D26" s="62">
        <f>D10-D23</f>
        <v>263432.36999999994</v>
      </c>
      <c r="E26" s="63">
        <f t="shared" ref="E26" si="9">IFERROR(C26/D26-1,"NA")</f>
        <v>-0.18015181657440182</v>
      </c>
      <c r="F26" s="64"/>
      <c r="G26" s="65">
        <f>G10-G23</f>
        <v>250479.45</v>
      </c>
      <c r="H26" s="65">
        <f>H10-H23</f>
        <v>263271.52000000008</v>
      </c>
      <c r="I26" s="66">
        <f t="shared" ref="I26" si="10">IFERROR(G26/H26-1,"NA")</f>
        <v>-4.8588886484949301E-2</v>
      </c>
      <c r="J26" s="64"/>
      <c r="K26" s="65">
        <f>K10-K23</f>
        <v>268769.27</v>
      </c>
      <c r="L26" s="65">
        <f>L10-L23</f>
        <v>229609.87</v>
      </c>
      <c r="M26" s="66">
        <f t="shared" ref="M26" si="11">IFERROR(K26/L26-1,"NA")</f>
        <v>0.17054754658412552</v>
      </c>
    </row>
    <row r="27" spans="2:13" s="4" customFormat="1" ht="22.5" customHeight="1">
      <c r="B27" s="51"/>
      <c r="C27" s="26"/>
      <c r="D27" s="26"/>
      <c r="E27" s="45"/>
      <c r="F27" s="1"/>
      <c r="G27" s="26"/>
      <c r="H27" s="26"/>
      <c r="I27" s="14"/>
      <c r="J27" s="1"/>
      <c r="K27" s="26"/>
      <c r="L27" s="26"/>
      <c r="M27" s="1"/>
    </row>
    <row r="28" spans="2:13" s="4" customFormat="1" ht="22.5" customHeight="1">
      <c r="B28" s="1"/>
      <c r="C28" s="26"/>
      <c r="D28" s="26"/>
      <c r="E28" s="45"/>
      <c r="F28" s="1"/>
      <c r="G28" s="26"/>
      <c r="H28" s="26"/>
      <c r="I28" s="14"/>
      <c r="J28" s="1"/>
      <c r="K28" s="26"/>
      <c r="L28" s="26"/>
      <c r="M28" s="1"/>
    </row>
    <row r="29" spans="2:13" s="4" customFormat="1" ht="22.5" customHeight="1">
      <c r="B29" s="1"/>
      <c r="C29" s="26"/>
      <c r="D29" s="26"/>
      <c r="E29" s="45"/>
      <c r="F29" s="1"/>
      <c r="G29" s="26"/>
      <c r="H29" s="26"/>
      <c r="I29" s="14"/>
      <c r="J29" s="1"/>
      <c r="K29" s="26"/>
      <c r="L29" s="26"/>
      <c r="M29" s="1"/>
    </row>
    <row r="30" spans="2:13" s="4" customFormat="1" ht="22.5" customHeight="1">
      <c r="B30" s="1"/>
      <c r="C30" s="26"/>
      <c r="D30" s="26"/>
      <c r="E30" s="45"/>
      <c r="F30" s="1"/>
      <c r="G30" s="26"/>
      <c r="H30" s="26"/>
      <c r="I30" s="14"/>
      <c r="J30" s="1"/>
      <c r="K30" s="26"/>
      <c r="L30" s="26"/>
      <c r="M30" s="1"/>
    </row>
    <row r="31" spans="2:13" s="4" customFormat="1" ht="22.5" customHeight="1">
      <c r="B31" s="1"/>
      <c r="C31" s="26"/>
      <c r="D31" s="26"/>
      <c r="E31" s="45"/>
      <c r="F31" s="1"/>
      <c r="G31" s="26"/>
      <c r="H31" s="26"/>
      <c r="I31" s="14"/>
      <c r="J31" s="1"/>
      <c r="K31" s="26"/>
      <c r="L31" s="26"/>
      <c r="M31" s="1"/>
    </row>
    <row r="32" spans="2:13" ht="22.5" customHeight="1"/>
    <row r="33" ht="22.5" customHeight="1"/>
    <row r="34" ht="22.5" customHeight="1"/>
    <row r="35" ht="22.5" customHeight="1"/>
    <row r="36" ht="22.5" customHeight="1"/>
    <row r="37" ht="22.5" customHeight="1"/>
    <row r="38" ht="22.5" customHeight="1"/>
    <row r="39" ht="22.5" customHeight="1"/>
    <row r="40" ht="22.5" customHeight="1"/>
    <row r="41" ht="22.5" customHeight="1"/>
    <row r="42" ht="22.5" customHeight="1"/>
    <row r="43" ht="22.5" customHeight="1"/>
  </sheetData>
  <mergeCells count="3">
    <mergeCell ref="C5:E5"/>
    <mergeCell ref="G5:I5"/>
    <mergeCell ref="K5:M5"/>
  </mergeCells>
  <printOptions horizontalCentered="1"/>
  <pageMargins left="0.7" right="0.7" top="0.75" bottom="0.75" header="0.3" footer="0.3"/>
  <pageSetup scale="57" orientation="landscape" r:id="rId1"/>
  <headerFooter scaleWithDoc="0">
    <oddFooter>&amp;R&amp;G</oddFooter>
  </headerFooter>
  <colBreaks count="1" manualBreakCount="1">
    <brk id="14" max="38" man="1"/>
  </col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01298-BFD4-41B2-BE6A-D7AFCA6FAC48}">
  <dimension ref="B3:Y51"/>
  <sheetViews>
    <sheetView view="pageBreakPreview" zoomScale="80" zoomScaleNormal="100" zoomScaleSheetLayoutView="80" workbookViewId="0">
      <selection activeCell="W33" sqref="W33"/>
    </sheetView>
  </sheetViews>
  <sheetFormatPr defaultColWidth="9.140625" defaultRowHeight="14.25"/>
  <cols>
    <col min="1" max="1" width="2.42578125" style="1" customWidth="1"/>
    <col min="2" max="3" width="23.28515625" style="26" customWidth="1"/>
    <col min="4" max="4" width="18.28515625" style="1" customWidth="1"/>
    <col min="5" max="5" width="3.85546875" style="1" customWidth="1"/>
    <col min="6" max="7" width="23.28515625" style="26" customWidth="1"/>
    <col min="8" max="8" width="18.28515625" style="14" customWidth="1"/>
    <col min="9" max="9" width="3.85546875" style="1" customWidth="1"/>
    <col min="10" max="11" width="23.28515625" style="26" customWidth="1"/>
    <col min="12" max="12" width="18.28515625" style="26" customWidth="1"/>
    <col min="13" max="14" width="2.42578125" style="1" customWidth="1"/>
    <col min="15" max="16" width="23.28515625" style="1" customWidth="1"/>
    <col min="17" max="17" width="18.28515625" style="1" customWidth="1"/>
    <col min="18" max="18" width="3.85546875" style="1" customWidth="1"/>
    <col min="19" max="20" width="23.28515625" style="1" customWidth="1"/>
    <col min="21" max="21" width="18.28515625" style="1" customWidth="1"/>
    <col min="22" max="22" width="3.85546875" style="1" customWidth="1"/>
    <col min="23" max="24" width="23.28515625" style="1" customWidth="1"/>
    <col min="25" max="25" width="18.28515625" style="1" customWidth="1"/>
    <col min="26" max="26" width="3.5703125" style="1" customWidth="1"/>
    <col min="27" max="16384" width="9.140625" style="1"/>
  </cols>
  <sheetData>
    <row r="3" spans="2:12" ht="20.25" customHeight="1"/>
    <row r="4" spans="2:12" ht="20.25" customHeight="1"/>
    <row r="5" spans="2:12" ht="27.75" customHeight="1">
      <c r="B5" s="107" t="s">
        <v>100</v>
      </c>
      <c r="C5" s="107"/>
      <c r="D5" s="107"/>
      <c r="E5" s="107"/>
      <c r="F5" s="107"/>
      <c r="G5" s="107"/>
      <c r="H5" s="107"/>
      <c r="I5" s="107"/>
      <c r="J5" s="107"/>
      <c r="K5" s="107"/>
      <c r="L5" s="107"/>
    </row>
    <row r="6" spans="2:12" ht="27.75" customHeight="1">
      <c r="B6" s="91"/>
      <c r="C6" s="91"/>
      <c r="D6" s="91"/>
      <c r="E6" s="91"/>
      <c r="F6" s="91"/>
      <c r="G6" s="91"/>
      <c r="H6" s="91"/>
      <c r="I6" s="91"/>
      <c r="J6" s="91"/>
      <c r="K6" s="91"/>
      <c r="L6" s="91"/>
    </row>
    <row r="7" spans="2:12" ht="19.5" customHeight="1">
      <c r="B7" s="1"/>
      <c r="C7" s="1"/>
      <c r="F7" s="1"/>
      <c r="G7" s="1"/>
      <c r="H7" s="1"/>
      <c r="J7" s="1"/>
      <c r="K7" s="1"/>
      <c r="L7" s="1"/>
    </row>
    <row r="8" spans="2:12" ht="22.5" customHeight="1">
      <c r="B8" s="1"/>
      <c r="C8" s="1"/>
      <c r="F8" s="1"/>
      <c r="G8" s="1"/>
      <c r="H8" s="1"/>
      <c r="J8" s="1"/>
      <c r="K8" s="1"/>
      <c r="L8" s="1"/>
    </row>
    <row r="9" spans="2:12" ht="22.5" customHeight="1">
      <c r="B9" s="1"/>
      <c r="C9" s="1"/>
      <c r="F9" s="1"/>
      <c r="G9" s="1"/>
      <c r="H9" s="1"/>
      <c r="J9" s="1"/>
      <c r="K9" s="1"/>
      <c r="L9" s="1"/>
    </row>
    <row r="10" spans="2:12" ht="22.5" customHeight="1">
      <c r="B10" s="1"/>
      <c r="C10" s="1"/>
      <c r="F10" s="1"/>
      <c r="G10" s="1"/>
      <c r="H10" s="1"/>
      <c r="J10" s="1"/>
      <c r="K10" s="1"/>
      <c r="L10" s="1"/>
    </row>
    <row r="11" spans="2:12" ht="22.5" customHeight="1">
      <c r="B11" s="1"/>
      <c r="C11" s="1"/>
      <c r="F11" s="1"/>
      <c r="G11" s="1"/>
      <c r="H11" s="1"/>
      <c r="J11" s="1"/>
      <c r="K11" s="1"/>
      <c r="L11" s="1"/>
    </row>
    <row r="12" spans="2:12" ht="22.5" customHeight="1">
      <c r="B12" s="1"/>
      <c r="C12" s="1"/>
      <c r="F12" s="1"/>
      <c r="G12" s="1"/>
      <c r="H12" s="1"/>
      <c r="J12" s="1"/>
      <c r="K12" s="1"/>
      <c r="L12" s="1"/>
    </row>
    <row r="13" spans="2:12" ht="22.5" customHeight="1">
      <c r="B13" s="1"/>
      <c r="C13" s="1"/>
      <c r="F13" s="1"/>
      <c r="G13" s="1"/>
      <c r="H13" s="1"/>
      <c r="J13" s="1"/>
      <c r="K13" s="1"/>
      <c r="L13" s="1"/>
    </row>
    <row r="14" spans="2:12" ht="22.5" customHeight="1">
      <c r="B14" s="1"/>
      <c r="C14" s="1"/>
      <c r="F14" s="1"/>
      <c r="G14" s="1"/>
      <c r="H14" s="1"/>
      <c r="J14" s="1"/>
      <c r="K14" s="1"/>
      <c r="L14" s="1"/>
    </row>
    <row r="15" spans="2:12" ht="22.5" customHeight="1">
      <c r="B15" s="1"/>
      <c r="C15" s="1"/>
      <c r="F15" s="1"/>
      <c r="G15" s="1"/>
      <c r="H15" s="1"/>
      <c r="J15" s="1"/>
      <c r="K15" s="1"/>
      <c r="L15" s="1"/>
    </row>
    <row r="16" spans="2:12" ht="22.5" customHeight="1">
      <c r="B16" s="1"/>
      <c r="C16" s="1"/>
      <c r="F16" s="1"/>
      <c r="G16" s="1"/>
      <c r="H16" s="1"/>
      <c r="J16" s="1"/>
      <c r="K16" s="1"/>
      <c r="L16" s="1"/>
    </row>
    <row r="17" spans="2:25" ht="22.5" customHeight="1">
      <c r="B17" s="1"/>
      <c r="C17" s="1"/>
      <c r="F17" s="1"/>
      <c r="G17" s="1"/>
      <c r="H17" s="1"/>
      <c r="J17" s="1"/>
      <c r="K17" s="1"/>
      <c r="L17" s="1"/>
    </row>
    <row r="18" spans="2:25" ht="22.5" customHeight="1">
      <c r="B18" s="1"/>
      <c r="C18" s="1"/>
      <c r="F18" s="1"/>
      <c r="G18" s="1"/>
      <c r="H18" s="1"/>
      <c r="J18" s="1"/>
      <c r="K18" s="1"/>
      <c r="L18" s="1"/>
    </row>
    <row r="19" spans="2:25" ht="22.5" customHeight="1">
      <c r="B19" s="1"/>
      <c r="C19" s="1"/>
      <c r="F19" s="1"/>
      <c r="G19" s="1"/>
      <c r="H19" s="1"/>
      <c r="J19" s="1"/>
      <c r="K19" s="1"/>
      <c r="L19" s="1"/>
    </row>
    <row r="20" spans="2:25" ht="22.5" customHeight="1">
      <c r="B20" s="1"/>
      <c r="C20" s="1"/>
      <c r="F20" s="1"/>
      <c r="G20" s="1"/>
      <c r="H20" s="1"/>
      <c r="J20" s="1"/>
      <c r="K20" s="1"/>
      <c r="L20" s="1"/>
    </row>
    <row r="21" spans="2:25" ht="22.5" customHeight="1">
      <c r="B21" s="1"/>
      <c r="C21" s="1"/>
      <c r="F21" s="1"/>
      <c r="G21" s="1"/>
      <c r="H21" s="1"/>
      <c r="J21" s="1"/>
      <c r="K21" s="1"/>
      <c r="L21" s="1"/>
    </row>
    <row r="22" spans="2:25" ht="22.5" customHeight="1">
      <c r="B22" s="1"/>
      <c r="C22" s="1"/>
      <c r="F22" s="1"/>
      <c r="G22" s="1"/>
      <c r="H22" s="1"/>
      <c r="J22" s="1"/>
      <c r="K22" s="1"/>
      <c r="L22" s="1"/>
    </row>
    <row r="23" spans="2:25" s="4" customFormat="1" ht="22.5" customHeight="1">
      <c r="B23" s="1"/>
      <c r="C23" s="1"/>
      <c r="D23" s="1"/>
      <c r="E23" s="1"/>
      <c r="F23" s="1"/>
      <c r="G23" s="1"/>
      <c r="H23" s="1"/>
      <c r="I23" s="1"/>
      <c r="J23" s="1"/>
      <c r="K23" s="1"/>
      <c r="L23" s="1"/>
      <c r="M23" s="1"/>
      <c r="N23" s="1"/>
      <c r="O23" s="1"/>
    </row>
    <row r="24" spans="2:25" s="4" customFormat="1" ht="22.5" customHeight="1">
      <c r="B24" s="1"/>
      <c r="C24" s="1"/>
      <c r="D24" s="1"/>
      <c r="E24" s="1"/>
      <c r="F24" s="1"/>
      <c r="G24" s="1"/>
      <c r="H24" s="1"/>
      <c r="I24" s="1"/>
      <c r="J24" s="1"/>
      <c r="K24" s="1"/>
      <c r="L24" s="1"/>
      <c r="M24" s="1"/>
      <c r="N24" s="1"/>
      <c r="O24" s="1"/>
    </row>
    <row r="25" spans="2:25" s="4" customFormat="1" ht="22.5" customHeight="1">
      <c r="B25" s="1"/>
      <c r="C25" s="1"/>
      <c r="D25" s="1"/>
      <c r="E25" s="1"/>
      <c r="F25" s="1"/>
      <c r="G25" s="1"/>
      <c r="H25" s="1"/>
      <c r="I25" s="1"/>
      <c r="J25" s="1"/>
      <c r="K25" s="1"/>
      <c r="L25" s="1"/>
      <c r="M25" s="1"/>
      <c r="N25" s="1"/>
      <c r="O25" s="1"/>
    </row>
    <row r="26" spans="2:25" s="4" customFormat="1" ht="22.5" customHeight="1">
      <c r="B26" s="1"/>
      <c r="C26" s="1"/>
      <c r="D26" s="1"/>
      <c r="E26" s="1"/>
      <c r="F26" s="1"/>
      <c r="G26" s="1"/>
      <c r="H26" s="1"/>
      <c r="I26" s="1"/>
      <c r="J26" s="1"/>
      <c r="K26" s="1"/>
      <c r="L26" s="1"/>
      <c r="M26" s="1"/>
      <c r="N26" s="1"/>
      <c r="O26" s="1"/>
    </row>
    <row r="27" spans="2:25" s="4" customFormat="1" ht="22.5" customHeight="1">
      <c r="B27" s="1"/>
      <c r="C27" s="1"/>
      <c r="D27" s="1"/>
      <c r="E27" s="1"/>
      <c r="F27" s="1"/>
      <c r="G27" s="1"/>
      <c r="H27" s="1"/>
      <c r="I27" s="1"/>
      <c r="J27" s="1"/>
      <c r="K27" s="1"/>
      <c r="L27" s="1"/>
      <c r="M27" s="1"/>
      <c r="N27" s="1"/>
      <c r="O27" s="1"/>
    </row>
    <row r="28" spans="2:25" s="4" customFormat="1" ht="22.5" customHeight="1">
      <c r="B28" s="1"/>
      <c r="C28" s="1"/>
      <c r="D28" s="1"/>
      <c r="E28" s="1"/>
      <c r="F28" s="1"/>
      <c r="G28" s="1"/>
      <c r="H28" s="1"/>
      <c r="I28" s="1"/>
      <c r="J28" s="1"/>
      <c r="K28" s="1"/>
      <c r="L28" s="1"/>
      <c r="M28" s="1"/>
      <c r="N28" s="1"/>
      <c r="O28" s="1"/>
    </row>
    <row r="29" spans="2:25" s="4" customFormat="1" ht="22.5" customHeight="1">
      <c r="B29" s="1"/>
      <c r="C29" s="1"/>
      <c r="D29" s="1"/>
      <c r="E29" s="1"/>
      <c r="F29" s="1"/>
      <c r="G29" s="1"/>
      <c r="H29" s="1"/>
      <c r="I29" s="1"/>
      <c r="J29" s="1"/>
      <c r="K29" s="1"/>
      <c r="L29" s="1"/>
      <c r="M29" s="1"/>
      <c r="N29" s="1"/>
      <c r="O29" s="1"/>
    </row>
    <row r="30" spans="2:25" s="4" customFormat="1" ht="22.5" customHeight="1">
      <c r="B30" s="1"/>
      <c r="C30" s="1"/>
      <c r="D30" s="1"/>
      <c r="E30" s="1"/>
      <c r="F30" s="1"/>
      <c r="G30" s="1"/>
      <c r="H30" s="1"/>
      <c r="I30" s="1"/>
      <c r="J30" s="1"/>
      <c r="K30" s="1"/>
      <c r="L30" s="1"/>
      <c r="M30" s="1"/>
      <c r="N30" s="1"/>
      <c r="O30" s="1"/>
    </row>
    <row r="31" spans="2:25" s="4" customFormat="1" ht="22.5" customHeight="1">
      <c r="B31" s="1"/>
      <c r="C31" s="1"/>
      <c r="D31" s="1"/>
      <c r="E31" s="1"/>
      <c r="F31" s="1"/>
      <c r="G31" s="1"/>
      <c r="H31" s="1"/>
      <c r="I31" s="1"/>
      <c r="J31" s="1"/>
      <c r="K31" s="1"/>
      <c r="L31" s="1"/>
      <c r="M31" s="1"/>
      <c r="N31" s="1"/>
      <c r="O31" s="1"/>
    </row>
    <row r="32" spans="2:25" s="4" customFormat="1" ht="35.25" customHeight="1">
      <c r="B32" s="93" t="s">
        <v>101</v>
      </c>
      <c r="C32" s="93" t="s">
        <v>102</v>
      </c>
      <c r="D32" s="93" t="s">
        <v>98</v>
      </c>
      <c r="E32" s="1"/>
      <c r="F32" s="31" t="s">
        <v>103</v>
      </c>
      <c r="G32" s="31" t="s">
        <v>102</v>
      </c>
      <c r="H32" s="31" t="s">
        <v>98</v>
      </c>
      <c r="I32" s="1"/>
      <c r="J32" s="93" t="s">
        <v>103</v>
      </c>
      <c r="K32" s="93" t="s">
        <v>102</v>
      </c>
      <c r="L32" s="93" t="s">
        <v>98</v>
      </c>
      <c r="M32" s="1"/>
      <c r="N32" s="1"/>
      <c r="O32" s="93" t="s">
        <v>104</v>
      </c>
      <c r="P32" s="93" t="s">
        <v>102</v>
      </c>
      <c r="Q32" s="93" t="s">
        <v>98</v>
      </c>
      <c r="R32" s="1"/>
      <c r="S32" s="31" t="s">
        <v>105</v>
      </c>
      <c r="T32" s="31" t="s">
        <v>102</v>
      </c>
      <c r="U32" s="31" t="s">
        <v>98</v>
      </c>
      <c r="V32" s="1"/>
      <c r="W32" s="93" t="s">
        <v>105</v>
      </c>
      <c r="X32" s="93" t="s">
        <v>102</v>
      </c>
      <c r="Y32" s="93" t="s">
        <v>98</v>
      </c>
    </row>
    <row r="33" spans="2:25" s="4" customFormat="1" ht="41.25" customHeight="1">
      <c r="B33" s="29">
        <f>INPUT!$AE$15</f>
        <v>527236.32999999996</v>
      </c>
      <c r="C33" s="29">
        <f>AVERAGE(INPUT!$AE$3:$AE$15)</f>
        <v>524713.34946153848</v>
      </c>
      <c r="D33" s="94">
        <f>B33/C33-1</f>
        <v>4.8083025542433599E-3</v>
      </c>
      <c r="E33" s="1"/>
      <c r="F33" s="29">
        <f>INPUT!$AF$15</f>
        <v>458225.04999999993</v>
      </c>
      <c r="G33" s="29">
        <f>AVERAGE(INPUT!$AF$3:$AF$15)</f>
        <v>506931.02484615386</v>
      </c>
      <c r="H33" s="94">
        <f>F33/G33-1</f>
        <v>-9.608008280995517E-2</v>
      </c>
      <c r="I33" s="1"/>
      <c r="J33" s="94">
        <f>INPUT!$AF$15/INPUT!$AE$15</f>
        <v>0.86910750251220348</v>
      </c>
      <c r="K33" s="94">
        <f>SUM(INPUT!$AF$3:$AF$15)/SUM(INPUT!$AE$3:$AE$15)</f>
        <v>0.96611040173909635</v>
      </c>
      <c r="L33" s="94">
        <f>J33/K33-1</f>
        <v>-0.10040560483799554</v>
      </c>
      <c r="M33" s="1"/>
      <c r="N33" s="1"/>
      <c r="O33" s="29">
        <f>INPUT!$AE$15</f>
        <v>527236.32999999996</v>
      </c>
      <c r="P33" s="29">
        <f>AVERAGE(INPUT!$AE$3:$AE$15)</f>
        <v>524713.34946153848</v>
      </c>
      <c r="Q33" s="94">
        <f>O33/P33-1</f>
        <v>4.8083025542433599E-3</v>
      </c>
      <c r="R33" s="1"/>
      <c r="S33" s="29">
        <f>INPUT!$AF$15</f>
        <v>458225.04999999993</v>
      </c>
      <c r="T33" s="29">
        <f>AVERAGE(INPUT!$AF$3:$AF$15)</f>
        <v>506931.02484615386</v>
      </c>
      <c r="U33" s="94">
        <f>S33/T33-1</f>
        <v>-9.608008280995517E-2</v>
      </c>
      <c r="V33" s="1"/>
      <c r="W33" s="94">
        <f>INPUT!$AF$15/INPUT!$AE$15</f>
        <v>0.86910750251220348</v>
      </c>
      <c r="X33" s="94">
        <f>SUM(INPUT!$AF$3:$AF$15)/SUM(INPUT!$AE$3:$AE$15)</f>
        <v>0.96611040173909635</v>
      </c>
      <c r="Y33" s="94">
        <f>W33/X33-1</f>
        <v>-0.10040560483799554</v>
      </c>
    </row>
    <row r="34" spans="2:25" s="4" customFormat="1" ht="22.5" customHeight="1">
      <c r="B34" s="1"/>
      <c r="C34" s="1"/>
      <c r="D34" s="1"/>
      <c r="E34" s="1"/>
      <c r="F34" s="1"/>
      <c r="G34" s="1"/>
      <c r="H34" s="1"/>
      <c r="I34" s="1"/>
      <c r="J34" s="1"/>
      <c r="K34" s="1"/>
      <c r="L34" s="1"/>
      <c r="M34" s="1"/>
      <c r="N34" s="1"/>
      <c r="O34" s="1"/>
    </row>
    <row r="35" spans="2:25" s="4" customFormat="1" ht="22.5" customHeight="1">
      <c r="B35" s="1"/>
      <c r="C35" s="1"/>
      <c r="D35" s="1"/>
      <c r="E35" s="1"/>
      <c r="F35" s="1"/>
      <c r="G35" s="1"/>
      <c r="H35" s="1"/>
      <c r="I35" s="1"/>
      <c r="J35" s="1"/>
      <c r="K35" s="1"/>
      <c r="L35" s="1"/>
      <c r="M35" s="1"/>
      <c r="N35" s="1"/>
      <c r="O35" s="1"/>
    </row>
    <row r="36" spans="2:25" s="4" customFormat="1" ht="22.5" customHeight="1">
      <c r="B36" s="1"/>
      <c r="C36" s="1"/>
      <c r="D36" s="1"/>
      <c r="E36" s="1"/>
      <c r="F36" s="1"/>
      <c r="G36" s="1"/>
      <c r="H36" s="1"/>
      <c r="I36" s="1"/>
      <c r="J36" s="1"/>
      <c r="K36" s="1"/>
      <c r="L36" s="1"/>
      <c r="M36" s="1"/>
      <c r="N36" s="1"/>
      <c r="O36" s="1"/>
    </row>
    <row r="37" spans="2:25" s="4" customFormat="1" ht="22.5" customHeight="1">
      <c r="B37" s="1"/>
      <c r="C37" s="1"/>
      <c r="D37" s="1"/>
      <c r="E37" s="1"/>
      <c r="F37" s="1"/>
      <c r="G37" s="1"/>
      <c r="H37" s="1"/>
      <c r="I37" s="1"/>
      <c r="J37" s="1"/>
      <c r="K37" s="1"/>
      <c r="L37" s="1"/>
      <c r="M37" s="1"/>
      <c r="N37" s="1"/>
      <c r="O37" s="1"/>
    </row>
    <row r="38" spans="2:25" s="4" customFormat="1" ht="22.5" customHeight="1">
      <c r="B38" s="1"/>
      <c r="C38" s="1"/>
      <c r="D38" s="1"/>
      <c r="E38" s="1"/>
      <c r="F38" s="1"/>
      <c r="G38" s="1"/>
      <c r="H38" s="1"/>
      <c r="I38" s="1"/>
      <c r="J38" s="1"/>
      <c r="K38" s="1"/>
      <c r="L38" s="1"/>
      <c r="M38" s="1"/>
      <c r="N38" s="1"/>
      <c r="O38" s="1"/>
    </row>
    <row r="39" spans="2:25" s="4" customFormat="1" ht="22.5" customHeight="1">
      <c r="B39" s="1"/>
      <c r="C39" s="1"/>
      <c r="D39" s="1"/>
      <c r="E39" s="1"/>
      <c r="F39" s="1"/>
      <c r="G39" s="1"/>
      <c r="H39" s="1"/>
      <c r="I39" s="1"/>
      <c r="J39" s="1"/>
      <c r="K39" s="1"/>
      <c r="L39" s="1"/>
      <c r="M39" s="1"/>
      <c r="N39" s="1"/>
      <c r="O39" s="1"/>
    </row>
    <row r="40" spans="2:25" ht="22.5" customHeight="1">
      <c r="B40" s="1"/>
      <c r="C40" s="1"/>
      <c r="F40" s="1"/>
      <c r="G40" s="1"/>
      <c r="H40" s="1"/>
      <c r="J40" s="1"/>
      <c r="K40" s="1"/>
      <c r="L40" s="1"/>
    </row>
    <row r="41" spans="2:25" ht="22.5" customHeight="1">
      <c r="B41" s="1"/>
      <c r="C41" s="1"/>
      <c r="F41" s="1"/>
      <c r="G41" s="1"/>
      <c r="H41" s="1"/>
      <c r="J41" s="1"/>
      <c r="K41" s="1"/>
      <c r="L41" s="1"/>
    </row>
    <row r="42" spans="2:25" ht="22.5" customHeight="1">
      <c r="B42" s="1"/>
      <c r="C42" s="1"/>
      <c r="F42" s="1"/>
      <c r="G42" s="1"/>
      <c r="H42" s="1"/>
      <c r="J42" s="1"/>
      <c r="K42" s="1"/>
      <c r="L42" s="1"/>
    </row>
    <row r="43" spans="2:25" ht="22.5" customHeight="1">
      <c r="B43" s="1"/>
      <c r="C43" s="1"/>
      <c r="F43" s="1"/>
      <c r="G43" s="1"/>
      <c r="H43" s="1"/>
      <c r="J43" s="1"/>
      <c r="K43" s="1"/>
      <c r="L43" s="1"/>
    </row>
    <row r="44" spans="2:25" ht="22.5" customHeight="1"/>
    <row r="45" spans="2:25" ht="22.5" customHeight="1"/>
    <row r="46" spans="2:25" ht="22.5" customHeight="1"/>
    <row r="47" spans="2:25" ht="22.5" customHeight="1"/>
    <row r="48" spans="2:25" ht="22.5" customHeight="1"/>
    <row r="49" ht="22.5" customHeight="1"/>
    <row r="50" ht="22.5" customHeight="1"/>
    <row r="51" ht="22.5" customHeight="1"/>
  </sheetData>
  <mergeCells count="1">
    <mergeCell ref="B5:L5"/>
  </mergeCells>
  <printOptions horizontalCentered="1"/>
  <pageMargins left="0.7" right="0.7" top="0.75" bottom="0.75" header="0.3" footer="0.3"/>
  <pageSetup scale="55" orientation="landscape" r:id="rId1"/>
  <headerFooter scaleWithDoc="0">
    <oddFooter>&amp;R&amp;G</oddFooter>
  </headerFooter>
  <colBreaks count="2" manualBreakCount="2">
    <brk id="13" max="38" man="1"/>
    <brk id="26" max="38" man="1"/>
  </col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F6B2-1DD2-4BB4-9498-4A40E48C4337}">
  <dimension ref="B3:AB71"/>
  <sheetViews>
    <sheetView view="pageBreakPreview" topLeftCell="A15" zoomScale="70" zoomScaleNormal="100" zoomScaleSheetLayoutView="70" workbookViewId="0">
      <selection activeCell="K44" sqref="K44:K45"/>
    </sheetView>
  </sheetViews>
  <sheetFormatPr defaultColWidth="9.140625" defaultRowHeight="14.25"/>
  <cols>
    <col min="1" max="1" width="2.5703125" style="1" customWidth="1"/>
    <col min="2" max="2" width="21.5703125" style="26" bestFit="1" customWidth="1"/>
    <col min="3" max="3" width="7" style="38" customWidth="1"/>
    <col min="4" max="4" width="10" style="38" customWidth="1"/>
    <col min="5" max="5" width="7.85546875" style="38" customWidth="1"/>
    <col min="6" max="6" width="14.5703125" style="26" bestFit="1" customWidth="1"/>
    <col min="7" max="7" width="14" style="26" customWidth="1"/>
    <col min="8" max="8" width="11.85546875" style="1" customWidth="1"/>
    <col min="9" max="9" width="2.42578125" style="1" customWidth="1"/>
    <col min="10" max="10" width="20.85546875" style="26" customWidth="1"/>
    <col min="11" max="11" width="17" style="14" customWidth="1"/>
    <col min="12" max="12" width="17" style="1" customWidth="1"/>
    <col min="13" max="15" width="17" style="26" customWidth="1"/>
    <col min="16" max="17" width="2.5703125" style="1" customWidth="1"/>
    <col min="18" max="19" width="12.140625" style="1" customWidth="1"/>
    <col min="20" max="20" width="10.85546875" style="1" customWidth="1"/>
    <col min="21" max="23" width="41.28515625" style="1" customWidth="1"/>
    <col min="24" max="26" width="12.140625" style="1" customWidth="1"/>
    <col min="27" max="27" width="2.5703125" style="1" customWidth="1"/>
    <col min="28" max="29" width="24.140625" style="1" customWidth="1"/>
    <col min="30" max="30" width="3.5703125" style="1" customWidth="1"/>
    <col min="31" max="16384" width="9.140625" style="1"/>
  </cols>
  <sheetData>
    <row r="3" spans="2:28" ht="20.25" customHeight="1"/>
    <row r="4" spans="2:28" ht="20.25" customHeight="1"/>
    <row r="5" spans="2:28" ht="27.75" customHeight="1">
      <c r="B5" s="90" t="s">
        <v>21</v>
      </c>
      <c r="C5" s="90" t="s">
        <v>106</v>
      </c>
      <c r="D5" s="90" t="s">
        <v>107</v>
      </c>
      <c r="E5" s="90" t="s">
        <v>24</v>
      </c>
      <c r="F5" s="90" t="s">
        <v>25</v>
      </c>
      <c r="G5" s="90" t="s">
        <v>26</v>
      </c>
      <c r="H5" s="90" t="s">
        <v>108</v>
      </c>
      <c r="I5" s="32"/>
      <c r="J5" s="112" t="s">
        <v>109</v>
      </c>
      <c r="K5" s="112"/>
      <c r="L5" s="112"/>
      <c r="M5" s="112"/>
      <c r="N5" s="112"/>
      <c r="O5" s="112"/>
      <c r="R5" s="112" t="s">
        <v>110</v>
      </c>
      <c r="S5" s="112"/>
      <c r="T5" s="112"/>
      <c r="U5" s="112"/>
      <c r="V5" s="112"/>
      <c r="W5" s="112"/>
      <c r="X5" s="112"/>
      <c r="Y5" s="112"/>
      <c r="Z5" s="112"/>
      <c r="AA5" s="32"/>
      <c r="AB5" s="32"/>
    </row>
    <row r="6" spans="2:28" ht="8.25" customHeight="1">
      <c r="B6" s="40"/>
      <c r="C6" s="40"/>
      <c r="D6" s="40"/>
      <c r="E6" s="40"/>
      <c r="F6" s="40"/>
      <c r="G6" s="40"/>
      <c r="H6" s="40"/>
      <c r="I6" s="32"/>
      <c r="J6" s="92"/>
      <c r="K6" s="92"/>
      <c r="L6" s="92"/>
      <c r="M6" s="92"/>
      <c r="N6" s="92"/>
      <c r="O6" s="92"/>
      <c r="R6" s="92"/>
      <c r="S6" s="92"/>
      <c r="T6" s="92"/>
      <c r="U6" s="92"/>
      <c r="V6" s="92"/>
      <c r="W6" s="92"/>
      <c r="X6" s="92"/>
      <c r="Y6" s="92"/>
      <c r="Z6" s="92"/>
      <c r="AA6" s="32"/>
      <c r="AB6" s="32"/>
    </row>
    <row r="7" spans="2:28" ht="27.75" customHeight="1">
      <c r="B7" s="80" t="s">
        <v>111</v>
      </c>
      <c r="C7" s="90">
        <f>SUM(C9:C48)</f>
        <v>414</v>
      </c>
      <c r="D7" s="90">
        <f>SUM(D9:D48)</f>
        <v>40</v>
      </c>
      <c r="E7" s="90">
        <f>SUMPRODUCT($E$9:$E$48,$C$9:$C$48)/$C$7</f>
        <v>1088.0096618357488</v>
      </c>
      <c r="F7" s="72">
        <f>SUMPRODUCT($F$9:$F$48,$C$9:$C$48)/$C$7</f>
        <v>1247.8140096618358</v>
      </c>
      <c r="G7" s="72">
        <f>SUMPRODUCT(INPUT!$AN$3:$AN$42,INPUT!$AK$3:$AK$42)/(UNITS-D7)</f>
        <v>1212.9803743315508</v>
      </c>
      <c r="H7" s="73">
        <f>IFERROR((G7-F7)/G7,"")</f>
        <v>-2.8717394005225456E-2</v>
      </c>
      <c r="I7" s="32"/>
      <c r="J7" s="92"/>
      <c r="K7" s="92"/>
      <c r="L7" s="92"/>
      <c r="M7" s="92"/>
      <c r="N7" s="92"/>
      <c r="O7" s="92"/>
      <c r="R7" s="92"/>
      <c r="S7" s="92"/>
      <c r="T7" s="92"/>
      <c r="U7" s="92"/>
      <c r="V7" s="92"/>
      <c r="W7" s="92"/>
      <c r="X7" s="92"/>
      <c r="Y7" s="92"/>
      <c r="Z7" s="92"/>
      <c r="AA7" s="32"/>
      <c r="AB7" s="32"/>
    </row>
    <row r="8" spans="2:28" ht="6.75" customHeight="1">
      <c r="B8" s="91"/>
      <c r="C8" s="91"/>
      <c r="D8" s="91"/>
      <c r="E8" s="91"/>
      <c r="F8" s="91"/>
      <c r="G8" s="91"/>
      <c r="H8" s="91"/>
      <c r="I8" s="91"/>
      <c r="J8" s="91"/>
      <c r="K8" s="91"/>
      <c r="L8" s="91"/>
      <c r="M8" s="91"/>
      <c r="N8" s="91"/>
      <c r="O8" s="91"/>
    </row>
    <row r="9" spans="2:28" ht="18" customHeight="1">
      <c r="B9" s="41" t="str">
        <f>IF(INPUT!AI3="","",INPUT!AI3)</f>
        <v>1x1</v>
      </c>
      <c r="C9" s="42">
        <f>IF(INPUT!AJ3="","",INPUT!AJ3)</f>
        <v>47</v>
      </c>
      <c r="D9" s="42">
        <f>IF(INPUT!AK3="","",INPUT!AJ3-INPUT!AK3)</f>
        <v>4</v>
      </c>
      <c r="E9" s="42">
        <f>IF(INPUT!AL3="","",INPUT!AL3)</f>
        <v>784</v>
      </c>
      <c r="F9" s="43">
        <f>IF(INPUT!AM3="","",INPUT!AM3)</f>
        <v>1035</v>
      </c>
      <c r="G9" s="43">
        <f>IF(INPUT!AN3="","",INPUT!AN3)</f>
        <v>1009.58</v>
      </c>
      <c r="H9" s="94">
        <f>IFERROR((G9-F9)/G9,"")</f>
        <v>-2.5178787218447234E-2</v>
      </c>
      <c r="I9" s="91"/>
      <c r="J9" s="91"/>
      <c r="K9" s="91"/>
      <c r="L9" s="91"/>
      <c r="M9" s="91"/>
      <c r="N9" s="91"/>
      <c r="O9" s="91"/>
    </row>
    <row r="10" spans="2:28" ht="18" customHeight="1">
      <c r="B10" s="41" t="str">
        <f>IF(INPUT!AI4="","",INPUT!AI4)</f>
        <v>1x1 P. Reno</v>
      </c>
      <c r="C10" s="42">
        <f>IF(INPUT!AJ4="","",INPUT!AJ4)</f>
        <v>36</v>
      </c>
      <c r="D10" s="42">
        <f>IF(INPUT!AK4="","",INPUT!AJ4-INPUT!AK4)</f>
        <v>6</v>
      </c>
      <c r="E10" s="42">
        <f>IF(INPUT!AL4="","",INPUT!AL4)</f>
        <v>784</v>
      </c>
      <c r="F10" s="43">
        <f>IF(INPUT!AM4="","",INPUT!AM4)</f>
        <v>1055</v>
      </c>
      <c r="G10" s="43">
        <f>IF(INPUT!AN4="","",INPUT!AN4)</f>
        <v>1035.46</v>
      </c>
      <c r="H10" s="94">
        <f t="shared" ref="H10:H48" si="0">IFERROR((G10-F10)/G10,"")</f>
        <v>-1.8870840013134223E-2</v>
      </c>
      <c r="I10" s="91"/>
      <c r="J10" s="91"/>
      <c r="K10" s="91"/>
      <c r="L10" s="91"/>
      <c r="M10" s="91"/>
      <c r="N10" s="91"/>
      <c r="O10" s="91"/>
    </row>
    <row r="11" spans="2:28" ht="18" customHeight="1">
      <c r="B11" s="41" t="str">
        <f>IF(INPUT!AI5="","",INPUT!AI5)</f>
        <v>1x1 Reno</v>
      </c>
      <c r="C11" s="42">
        <f>IF(INPUT!AJ5="","",INPUT!AJ5)</f>
        <v>20</v>
      </c>
      <c r="D11" s="42">
        <f>IF(INPUT!AK5="","",INPUT!AJ5-INPUT!AK5)</f>
        <v>1</v>
      </c>
      <c r="E11" s="42">
        <f>IF(INPUT!AL5="","",INPUT!AL5)</f>
        <v>784</v>
      </c>
      <c r="F11" s="43">
        <f>IF(INPUT!AM5="","",INPUT!AM5)</f>
        <v>1105</v>
      </c>
      <c r="G11" s="43">
        <f>IF(INPUT!AN5="","",INPUT!AN5)</f>
        <v>1074.94</v>
      </c>
      <c r="H11" s="94">
        <f t="shared" si="0"/>
        <v>-2.7964351498688245E-2</v>
      </c>
      <c r="I11" s="91"/>
      <c r="J11" s="91"/>
      <c r="K11" s="91"/>
      <c r="L11" s="91"/>
      <c r="M11" s="91"/>
      <c r="N11" s="91"/>
      <c r="O11" s="91"/>
    </row>
    <row r="12" spans="2:28" ht="18" customHeight="1">
      <c r="B12" s="41" t="str">
        <f>IF(INPUT!AI6="","",INPUT!AI6)</f>
        <v>1x1 Upgrade</v>
      </c>
      <c r="C12" s="42">
        <f>IF(INPUT!AJ6="","",INPUT!AJ6)</f>
        <v>7</v>
      </c>
      <c r="D12" s="42">
        <f>IF(INPUT!AK6="","",INPUT!AJ6-INPUT!AK6)</f>
        <v>0</v>
      </c>
      <c r="E12" s="42">
        <f>IF(INPUT!AL6="","",INPUT!AL6)</f>
        <v>784</v>
      </c>
      <c r="F12" s="43">
        <f>IF(INPUT!AM6="","",INPUT!AM6)</f>
        <v>1290</v>
      </c>
      <c r="G12" s="43">
        <f>IF(INPUT!AN6="","",INPUT!AN6)</f>
        <v>1239.8499999999999</v>
      </c>
      <c r="H12" s="94">
        <f t="shared" si="0"/>
        <v>-4.0448441343711006E-2</v>
      </c>
      <c r="I12" s="91"/>
      <c r="J12" s="91"/>
      <c r="K12" s="91"/>
      <c r="L12" s="91"/>
      <c r="M12" s="91"/>
      <c r="N12" s="91"/>
      <c r="O12" s="91"/>
    </row>
    <row r="13" spans="2:28" ht="18" customHeight="1">
      <c r="B13" s="41" t="str">
        <f>IF(INPUT!AI7="","",INPUT!AI7)</f>
        <v xml:space="preserve">2x1 </v>
      </c>
      <c r="C13" s="42">
        <f>IF(INPUT!AJ7="","",INPUT!AJ7)</f>
        <v>35</v>
      </c>
      <c r="D13" s="42">
        <f>IF(INPUT!AK7="","",INPUT!AJ7-INPUT!AK7)</f>
        <v>1</v>
      </c>
      <c r="E13" s="42">
        <f>IF(INPUT!AL7="","",INPUT!AL7)</f>
        <v>978</v>
      </c>
      <c r="F13" s="43">
        <f>IF(INPUT!AM7="","",INPUT!AM7)</f>
        <v>1125</v>
      </c>
      <c r="G13" s="43">
        <f>IF(INPUT!AN7="","",INPUT!AN7)</f>
        <v>1107.24</v>
      </c>
      <c r="H13" s="94">
        <f t="shared" si="0"/>
        <v>-1.6039882952205476E-2</v>
      </c>
      <c r="I13" s="91"/>
      <c r="J13" s="91"/>
      <c r="K13" s="91"/>
      <c r="L13" s="91"/>
      <c r="M13" s="91"/>
      <c r="N13" s="91"/>
      <c r="O13" s="91"/>
    </row>
    <row r="14" spans="2:28" ht="18" customHeight="1">
      <c r="B14" s="41" t="str">
        <f>IF(INPUT!AI8="","",INPUT!AI8)</f>
        <v>2x1 P. Reno</v>
      </c>
      <c r="C14" s="42">
        <f>IF(INPUT!AJ8="","",INPUT!AJ8)</f>
        <v>41</v>
      </c>
      <c r="D14" s="42">
        <f>IF(INPUT!AK8="","",INPUT!AJ8-INPUT!AK8)</f>
        <v>6</v>
      </c>
      <c r="E14" s="42">
        <f>IF(INPUT!AL8="","",INPUT!AL8)</f>
        <v>978</v>
      </c>
      <c r="F14" s="43">
        <f>IF(INPUT!AM8="","",INPUT!AM8)</f>
        <v>1200</v>
      </c>
      <c r="G14" s="43">
        <f>IF(INPUT!AN8="","",INPUT!AN8)</f>
        <v>1165.5999999999999</v>
      </c>
      <c r="H14" s="94">
        <f t="shared" si="0"/>
        <v>-2.9512697323267067E-2</v>
      </c>
      <c r="I14" s="91"/>
      <c r="J14" s="91"/>
      <c r="K14" s="91"/>
      <c r="L14" s="91"/>
      <c r="M14" s="91"/>
      <c r="N14" s="91"/>
      <c r="O14" s="91"/>
    </row>
    <row r="15" spans="2:28" ht="18" customHeight="1">
      <c r="B15" s="41" t="str">
        <f>IF(INPUT!AI9="","",INPUT!AI9)</f>
        <v>2x1 Reno</v>
      </c>
      <c r="C15" s="42">
        <f>IF(INPUT!AJ9="","",INPUT!AJ9)</f>
        <v>18</v>
      </c>
      <c r="D15" s="42">
        <f>IF(INPUT!AK9="","",INPUT!AJ9-INPUT!AK9)</f>
        <v>2</v>
      </c>
      <c r="E15" s="42">
        <f>IF(INPUT!AL9="","",INPUT!AL9)</f>
        <v>978</v>
      </c>
      <c r="F15" s="43">
        <f>IF(INPUT!AM9="","",INPUT!AM9)</f>
        <v>1275</v>
      </c>
      <c r="G15" s="43">
        <f>IF(INPUT!AN9="","",INPUT!AN9)</f>
        <v>1233.32</v>
      </c>
      <c r="H15" s="94">
        <f t="shared" si="0"/>
        <v>-3.379495994551298E-2</v>
      </c>
      <c r="I15" s="91"/>
      <c r="J15" s="91"/>
      <c r="K15" s="91"/>
      <c r="L15" s="91"/>
      <c r="M15" s="91"/>
      <c r="N15" s="91"/>
      <c r="O15" s="91"/>
    </row>
    <row r="16" spans="2:28" ht="18" customHeight="1">
      <c r="B16" s="41" t="str">
        <f>IF(INPUT!AI10="","",INPUT!AI10)</f>
        <v>2x1 Upgrade</v>
      </c>
      <c r="C16" s="42">
        <f>IF(INPUT!AJ10="","",INPUT!AJ10)</f>
        <v>1</v>
      </c>
      <c r="D16" s="42">
        <f>IF(INPUT!AK10="","",INPUT!AJ10-INPUT!AK10)</f>
        <v>0</v>
      </c>
      <c r="E16" s="42">
        <f>IF(INPUT!AL10="","",INPUT!AL10)</f>
        <v>978</v>
      </c>
      <c r="F16" s="43">
        <f>IF(INPUT!AM10="","",INPUT!AM10)</f>
        <v>1475</v>
      </c>
      <c r="G16" s="43">
        <f>IF(INPUT!AN10="","",INPUT!AN10)</f>
        <v>1470</v>
      </c>
      <c r="H16" s="94">
        <f t="shared" si="0"/>
        <v>-3.4013605442176869E-3</v>
      </c>
      <c r="I16" s="91"/>
      <c r="J16" s="91"/>
      <c r="K16" s="91"/>
      <c r="L16" s="91"/>
      <c r="M16" s="91"/>
      <c r="N16" s="91"/>
      <c r="O16" s="91"/>
    </row>
    <row r="17" spans="2:15" ht="18" customHeight="1">
      <c r="B17" s="41" t="str">
        <f>IF(INPUT!AI11="","",INPUT!AI11)</f>
        <v>2x2</v>
      </c>
      <c r="C17" s="42">
        <f>IF(INPUT!AJ11="","",INPUT!AJ11)</f>
        <v>45</v>
      </c>
      <c r="D17" s="42">
        <f>IF(INPUT!AK11="","",INPUT!AJ11-INPUT!AK11)</f>
        <v>4</v>
      </c>
      <c r="E17" s="42">
        <f>IF(INPUT!AL11="","",INPUT!AL11)</f>
        <v>1224</v>
      </c>
      <c r="F17" s="43">
        <f>IF(INPUT!AM11="","",INPUT!AM11)</f>
        <v>1224</v>
      </c>
      <c r="G17" s="43">
        <f>IF(INPUT!AN11="","",INPUT!AN11)</f>
        <v>1195.4100000000001</v>
      </c>
      <c r="H17" s="94">
        <f t="shared" si="0"/>
        <v>-2.3916480538058001E-2</v>
      </c>
      <c r="I17" s="91"/>
      <c r="J17" s="91"/>
      <c r="K17" s="91"/>
      <c r="L17" s="91"/>
      <c r="M17" s="91"/>
      <c r="N17" s="91"/>
      <c r="O17" s="91"/>
    </row>
    <row r="18" spans="2:15" ht="18" customHeight="1">
      <c r="B18" s="41" t="str">
        <f>IF(INPUT!AI12="","",INPUT!AI12)</f>
        <v>2x2 P. Reno</v>
      </c>
      <c r="C18" s="42">
        <f>IF(INPUT!AJ12="","",INPUT!AJ12)</f>
        <v>47</v>
      </c>
      <c r="D18" s="42">
        <f>IF(INPUT!AK12="","",INPUT!AJ12-INPUT!AK12)</f>
        <v>6</v>
      </c>
      <c r="E18" s="42">
        <f>IF(INPUT!AL12="","",INPUT!AL12)</f>
        <v>1224</v>
      </c>
      <c r="F18" s="43">
        <f>IF(INPUT!AM12="","",INPUT!AM12)</f>
        <v>1300</v>
      </c>
      <c r="G18" s="43">
        <f>IF(INPUT!AN12="","",INPUT!AN12)</f>
        <v>1265.75</v>
      </c>
      <c r="H18" s="94">
        <f t="shared" si="0"/>
        <v>-2.7059055895714005E-2</v>
      </c>
      <c r="I18" s="91"/>
      <c r="J18" s="91"/>
      <c r="K18" s="91"/>
      <c r="L18" s="91"/>
      <c r="M18" s="91"/>
      <c r="N18" s="91"/>
      <c r="O18" s="91"/>
    </row>
    <row r="19" spans="2:15" ht="18" customHeight="1">
      <c r="B19" s="41" t="str">
        <f>IF(INPUT!AI13="","",INPUT!AI13)</f>
        <v>2x2 Reno</v>
      </c>
      <c r="C19" s="42">
        <f>IF(INPUT!AJ13="","",INPUT!AJ13)</f>
        <v>37</v>
      </c>
      <c r="D19" s="42">
        <f>IF(INPUT!AK13="","",INPUT!AJ13-INPUT!AK13)</f>
        <v>0</v>
      </c>
      <c r="E19" s="42">
        <f>IF(INPUT!AL13="","",INPUT!AL13)</f>
        <v>1224</v>
      </c>
      <c r="F19" s="43">
        <f>IF(INPUT!AM13="","",INPUT!AM13)</f>
        <v>1375</v>
      </c>
      <c r="G19" s="43">
        <f>IF(INPUT!AN13="","",INPUT!AN13)</f>
        <v>1346.19</v>
      </c>
      <c r="H19" s="94">
        <f t="shared" si="0"/>
        <v>-2.1401139512253059E-2</v>
      </c>
      <c r="I19" s="91"/>
      <c r="J19" s="91"/>
      <c r="K19" s="91"/>
      <c r="L19" s="91"/>
      <c r="M19" s="91"/>
      <c r="N19" s="91"/>
      <c r="O19" s="91"/>
    </row>
    <row r="20" spans="2:15" ht="18" customHeight="1">
      <c r="B20" s="41" t="str">
        <f>IF(INPUT!AI14="","",INPUT!AI14)</f>
        <v>2x2 Upgrade</v>
      </c>
      <c r="C20" s="42">
        <f>IF(INPUT!AJ14="","",INPUT!AJ14)</f>
        <v>10</v>
      </c>
      <c r="D20" s="42">
        <f>IF(INPUT!AK14="","",INPUT!AJ14-INPUT!AK14)</f>
        <v>0</v>
      </c>
      <c r="E20" s="42">
        <f>IF(INPUT!AL14="","",INPUT!AL14)</f>
        <v>1224</v>
      </c>
      <c r="F20" s="43">
        <f>IF(INPUT!AM14="","",INPUT!AM14)</f>
        <v>1550</v>
      </c>
      <c r="G20" s="43">
        <f>IF(INPUT!AN14="","",INPUT!AN14)</f>
        <v>1484.6</v>
      </c>
      <c r="H20" s="94">
        <f t="shared" si="0"/>
        <v>-4.4052269971709614E-2</v>
      </c>
      <c r="I20" s="91"/>
      <c r="J20" s="91"/>
      <c r="K20" s="91"/>
      <c r="L20" s="91"/>
      <c r="M20" s="91"/>
      <c r="N20" s="91"/>
      <c r="O20" s="91"/>
    </row>
    <row r="21" spans="2:15" ht="18" customHeight="1">
      <c r="B21" s="41" t="str">
        <f>IF(INPUT!AI15="","",INPUT!AI15)</f>
        <v>3x2</v>
      </c>
      <c r="C21" s="42">
        <f>IF(INPUT!AJ15="","",INPUT!AJ15)</f>
        <v>23</v>
      </c>
      <c r="D21" s="42">
        <f>IF(INPUT!AK15="","",INPUT!AJ15-INPUT!AK15)</f>
        <v>3</v>
      </c>
      <c r="E21" s="42">
        <f>IF(INPUT!AL15="","",INPUT!AL15)</f>
        <v>1445</v>
      </c>
      <c r="F21" s="43">
        <f>IF(INPUT!AM15="","",INPUT!AM15)</f>
        <v>1425</v>
      </c>
      <c r="G21" s="43">
        <f>IF(INPUT!AN15="","",INPUT!AN15)</f>
        <v>1394.05</v>
      </c>
      <c r="H21" s="94">
        <f t="shared" si="0"/>
        <v>-2.2201499228865568E-2</v>
      </c>
      <c r="I21" s="91"/>
      <c r="J21" s="91"/>
      <c r="K21" s="91"/>
      <c r="L21" s="91"/>
      <c r="M21" s="91"/>
      <c r="N21" s="91"/>
      <c r="O21" s="91"/>
    </row>
    <row r="22" spans="2:15" ht="18" customHeight="1">
      <c r="B22" s="41" t="str">
        <f>IF(INPUT!AI16="","",INPUT!AI16)</f>
        <v>3x2 P. Reno</v>
      </c>
      <c r="C22" s="42">
        <f>IF(INPUT!AJ16="","",INPUT!AJ16)</f>
        <v>28</v>
      </c>
      <c r="D22" s="42">
        <f>IF(INPUT!AK16="","",INPUT!AJ16-INPUT!AK16)</f>
        <v>6</v>
      </c>
      <c r="E22" s="42">
        <f>IF(INPUT!AL16="","",INPUT!AL16)</f>
        <v>1445</v>
      </c>
      <c r="F22" s="43">
        <f>IF(INPUT!AM16="","",INPUT!AM16)</f>
        <v>1470</v>
      </c>
      <c r="G22" s="43">
        <f>IF(INPUT!AN16="","",INPUT!AN16)</f>
        <v>1429.18</v>
      </c>
      <c r="H22" s="94">
        <f t="shared" si="0"/>
        <v>-2.8561832659287099E-2</v>
      </c>
      <c r="I22" s="91"/>
      <c r="J22" s="91"/>
      <c r="K22" s="91"/>
      <c r="L22" s="91"/>
      <c r="M22" s="91"/>
      <c r="N22" s="91"/>
      <c r="O22" s="91"/>
    </row>
    <row r="23" spans="2:15" ht="18" customHeight="1">
      <c r="B23" s="41" t="str">
        <f>IF(INPUT!AI17="","",INPUT!AI17)</f>
        <v>3x2 Reno</v>
      </c>
      <c r="C23" s="42">
        <f>IF(INPUT!AJ17="","",INPUT!AJ17)</f>
        <v>16</v>
      </c>
      <c r="D23" s="42">
        <f>IF(INPUT!AK17="","",INPUT!AJ17-INPUT!AK17)</f>
        <v>0</v>
      </c>
      <c r="E23" s="42">
        <f>IF(INPUT!AL17="","",INPUT!AL17)</f>
        <v>1445</v>
      </c>
      <c r="F23" s="43">
        <f>IF(INPUT!AM17="","",INPUT!AM17)</f>
        <v>1525</v>
      </c>
      <c r="G23" s="43">
        <f>IF(INPUT!AN17="","",INPUT!AN17)</f>
        <v>1402.83</v>
      </c>
      <c r="H23" s="94">
        <f t="shared" si="0"/>
        <v>-8.7088243051545861E-2</v>
      </c>
      <c r="J23" s="1"/>
      <c r="K23" s="1"/>
      <c r="M23" s="1"/>
      <c r="N23" s="1"/>
      <c r="O23" s="1"/>
    </row>
    <row r="24" spans="2:15" ht="18" customHeight="1">
      <c r="B24" s="41" t="str">
        <f>IF(INPUT!AI18="","",INPUT!AI18)</f>
        <v>3x2 Upgrade</v>
      </c>
      <c r="C24" s="42">
        <f>IF(INPUT!AJ18="","",INPUT!AJ18)</f>
        <v>3</v>
      </c>
      <c r="D24" s="42">
        <f>IF(INPUT!AK18="","",INPUT!AJ18-INPUT!AK18)</f>
        <v>1</v>
      </c>
      <c r="E24" s="42">
        <f>IF(INPUT!AL18="","",INPUT!AL18)</f>
        <v>1445</v>
      </c>
      <c r="F24" s="43">
        <f>IF(INPUT!AM18="","",INPUT!AM18)</f>
        <v>1650</v>
      </c>
      <c r="G24" s="43">
        <f>IF(INPUT!AN18="","",INPUT!AN18)</f>
        <v>1550</v>
      </c>
      <c r="H24" s="94">
        <f t="shared" si="0"/>
        <v>-6.4516129032258063E-2</v>
      </c>
      <c r="J24" s="1"/>
      <c r="K24" s="1"/>
      <c r="M24" s="1"/>
      <c r="N24" s="1"/>
      <c r="O24" s="1"/>
    </row>
    <row r="25" spans="2:15" ht="18" customHeight="1">
      <c r="B25" s="41" t="str">
        <f>IF(INPUT!AI19="","",INPUT!AI19)</f>
        <v/>
      </c>
      <c r="C25" s="42" t="str">
        <f>IF(INPUT!AJ19="","",INPUT!AJ19)</f>
        <v/>
      </c>
      <c r="D25" s="42" t="str">
        <f>IF(INPUT!AK19="","",INPUT!AJ19-INPUT!AK19)</f>
        <v/>
      </c>
      <c r="E25" s="42" t="str">
        <f>IF(INPUT!AL19="","",INPUT!AL19)</f>
        <v/>
      </c>
      <c r="F25" s="43" t="str">
        <f>IF(INPUT!AM19="","",INPUT!AM19)</f>
        <v/>
      </c>
      <c r="G25" s="43" t="str">
        <f>IF(INPUT!AN19="","",INPUT!AN19)</f>
        <v/>
      </c>
      <c r="H25" s="94" t="str">
        <f t="shared" si="0"/>
        <v/>
      </c>
      <c r="J25" s="1"/>
      <c r="K25" s="1"/>
      <c r="M25" s="1"/>
      <c r="N25" s="1"/>
      <c r="O25" s="1"/>
    </row>
    <row r="26" spans="2:15" ht="18" customHeight="1">
      <c r="B26" s="41" t="str">
        <f>IF(INPUT!AI20="","",INPUT!AI20)</f>
        <v/>
      </c>
      <c r="C26" s="42" t="str">
        <f>IF(INPUT!AJ20="","",INPUT!AJ20)</f>
        <v/>
      </c>
      <c r="D26" s="42" t="str">
        <f>IF(INPUT!AK20="","",INPUT!AJ20-INPUT!AK20)</f>
        <v/>
      </c>
      <c r="E26" s="42" t="str">
        <f>IF(INPUT!AL20="","",INPUT!AL20)</f>
        <v/>
      </c>
      <c r="F26" s="43" t="str">
        <f>IF(INPUT!AM20="","",INPUT!AM20)</f>
        <v/>
      </c>
      <c r="G26" s="43" t="str">
        <f>IF(INPUT!AN20="","",INPUT!AN20)</f>
        <v/>
      </c>
      <c r="H26" s="94" t="str">
        <f t="shared" si="0"/>
        <v/>
      </c>
      <c r="J26" s="1"/>
      <c r="K26" s="1"/>
      <c r="M26" s="1"/>
      <c r="N26" s="1"/>
      <c r="O26" s="1"/>
    </row>
    <row r="27" spans="2:15" ht="18" customHeight="1">
      <c r="B27" s="41" t="str">
        <f>IF(INPUT!AI21="","",INPUT!AI21)</f>
        <v/>
      </c>
      <c r="C27" s="42" t="str">
        <f>IF(INPUT!AJ21="","",INPUT!AJ21)</f>
        <v/>
      </c>
      <c r="D27" s="42" t="str">
        <f>IF(INPUT!AK21="","",INPUT!AJ21-INPUT!AK21)</f>
        <v/>
      </c>
      <c r="E27" s="42" t="str">
        <f>IF(INPUT!AL21="","",INPUT!AL21)</f>
        <v/>
      </c>
      <c r="F27" s="43" t="str">
        <f>IF(INPUT!AM21="","",INPUT!AM21)</f>
        <v/>
      </c>
      <c r="G27" s="43" t="str">
        <f>IF(INPUT!AN21="","",INPUT!AN21)</f>
        <v/>
      </c>
      <c r="H27" s="94" t="str">
        <f t="shared" si="0"/>
        <v/>
      </c>
      <c r="J27" s="1"/>
      <c r="K27" s="1"/>
      <c r="M27" s="1"/>
      <c r="N27" s="1"/>
      <c r="O27" s="1"/>
    </row>
    <row r="28" spans="2:15" ht="18" customHeight="1">
      <c r="B28" s="41" t="str">
        <f>IF(INPUT!AI22="","",INPUT!AI22)</f>
        <v/>
      </c>
      <c r="C28" s="42" t="str">
        <f>IF(INPUT!AJ22="","",INPUT!AJ22)</f>
        <v/>
      </c>
      <c r="D28" s="42" t="str">
        <f>IF(INPUT!AK22="","",INPUT!AJ22-INPUT!AK22)</f>
        <v/>
      </c>
      <c r="E28" s="42" t="str">
        <f>IF(INPUT!AL22="","",INPUT!AL22)</f>
        <v/>
      </c>
      <c r="F28" s="43" t="str">
        <f>IF(INPUT!AM22="","",INPUT!AM22)</f>
        <v/>
      </c>
      <c r="G28" s="43" t="str">
        <f>IF(INPUT!AN22="","",INPUT!AN22)</f>
        <v/>
      </c>
      <c r="H28" s="94" t="str">
        <f t="shared" si="0"/>
        <v/>
      </c>
      <c r="J28" s="1"/>
      <c r="K28" s="1"/>
      <c r="M28" s="1"/>
      <c r="N28" s="1"/>
      <c r="O28" s="1"/>
    </row>
    <row r="29" spans="2:15" ht="18" customHeight="1">
      <c r="B29" s="41" t="str">
        <f>IF(INPUT!AI23="","",INPUT!AI23)</f>
        <v/>
      </c>
      <c r="C29" s="42" t="str">
        <f>IF(INPUT!AJ23="","",INPUT!AJ23)</f>
        <v/>
      </c>
      <c r="D29" s="42" t="str">
        <f>IF(INPUT!AK23="","",INPUT!AJ23-INPUT!AK23)</f>
        <v/>
      </c>
      <c r="E29" s="42" t="str">
        <f>IF(INPUT!AL23="","",INPUT!AL23)</f>
        <v/>
      </c>
      <c r="F29" s="43" t="str">
        <f>IF(INPUT!AM23="","",INPUT!AM23)</f>
        <v/>
      </c>
      <c r="G29" s="43" t="str">
        <f>IF(INPUT!AN23="","",INPUT!AN23)</f>
        <v/>
      </c>
      <c r="H29" s="94" t="str">
        <f t="shared" si="0"/>
        <v/>
      </c>
      <c r="J29" s="1"/>
      <c r="K29" s="1"/>
      <c r="M29" s="1"/>
      <c r="N29" s="1"/>
      <c r="O29" s="1"/>
    </row>
    <row r="30" spans="2:15" ht="18" customHeight="1">
      <c r="B30" s="41" t="str">
        <f>IF(INPUT!AI24="","",INPUT!AI24)</f>
        <v/>
      </c>
      <c r="C30" s="42" t="str">
        <f>IF(INPUT!AJ24="","",INPUT!AJ24)</f>
        <v/>
      </c>
      <c r="D30" s="42" t="str">
        <f>IF(INPUT!AK24="","",INPUT!AJ24-INPUT!AK24)</f>
        <v/>
      </c>
      <c r="E30" s="42" t="str">
        <f>IF(INPUT!AL24="","",INPUT!AL24)</f>
        <v/>
      </c>
      <c r="F30" s="43" t="str">
        <f>IF(INPUT!AM24="","",INPUT!AM24)</f>
        <v/>
      </c>
      <c r="G30" s="43" t="str">
        <f>IF(INPUT!AN24="","",INPUT!AN24)</f>
        <v/>
      </c>
      <c r="H30" s="94" t="str">
        <f t="shared" si="0"/>
        <v/>
      </c>
      <c r="J30" s="1"/>
      <c r="K30" s="1"/>
      <c r="M30" s="1"/>
      <c r="N30" s="1"/>
      <c r="O30" s="1"/>
    </row>
    <row r="31" spans="2:15" ht="18" customHeight="1">
      <c r="B31" s="41" t="str">
        <f>IF(INPUT!AI25="","",INPUT!AI25)</f>
        <v/>
      </c>
      <c r="C31" s="42" t="str">
        <f>IF(INPUT!AJ25="","",INPUT!AJ25)</f>
        <v/>
      </c>
      <c r="D31" s="42" t="str">
        <f>IF(INPUT!AK25="","",INPUT!AJ25-INPUT!AK25)</f>
        <v/>
      </c>
      <c r="E31" s="42" t="str">
        <f>IF(INPUT!AL25="","",INPUT!AL25)</f>
        <v/>
      </c>
      <c r="F31" s="43" t="str">
        <f>IF(INPUT!AM25="","",INPUT!AM25)</f>
        <v/>
      </c>
      <c r="G31" s="43" t="str">
        <f>IF(INPUT!AN25="","",INPUT!AN25)</f>
        <v/>
      </c>
      <c r="H31" s="94" t="str">
        <f t="shared" si="0"/>
        <v/>
      </c>
      <c r="J31" s="1"/>
      <c r="K31" s="1"/>
      <c r="M31" s="1"/>
      <c r="N31" s="1"/>
      <c r="O31" s="1"/>
    </row>
    <row r="32" spans="2:15" ht="18" customHeight="1">
      <c r="B32" s="41" t="str">
        <f>IF(INPUT!AI26="","",INPUT!AI26)</f>
        <v/>
      </c>
      <c r="C32" s="42" t="str">
        <f>IF(INPUT!AJ26="","",INPUT!AJ26)</f>
        <v/>
      </c>
      <c r="D32" s="42" t="str">
        <f>IF(INPUT!AK26="","",INPUT!AJ26-INPUT!AK26)</f>
        <v/>
      </c>
      <c r="E32" s="42" t="str">
        <f>IF(INPUT!AL26="","",INPUT!AL26)</f>
        <v/>
      </c>
      <c r="F32" s="43" t="str">
        <f>IF(INPUT!AM26="","",INPUT!AM26)</f>
        <v/>
      </c>
      <c r="G32" s="43" t="str">
        <f>IF(INPUT!AN26="","",INPUT!AN26)</f>
        <v/>
      </c>
      <c r="H32" s="94" t="str">
        <f t="shared" si="0"/>
        <v/>
      </c>
      <c r="J32" s="1"/>
      <c r="K32" s="1"/>
      <c r="M32" s="1"/>
      <c r="N32" s="1"/>
      <c r="O32" s="1"/>
    </row>
    <row r="33" spans="2:23" ht="18" customHeight="1">
      <c r="B33" s="41" t="str">
        <f>IF(INPUT!AI27="","",INPUT!AI27)</f>
        <v/>
      </c>
      <c r="C33" s="42" t="str">
        <f>IF(INPUT!AJ27="","",INPUT!AJ27)</f>
        <v/>
      </c>
      <c r="D33" s="42" t="str">
        <f>IF(INPUT!AK27="","",INPUT!AJ27-INPUT!AK27)</f>
        <v/>
      </c>
      <c r="E33" s="42" t="str">
        <f>IF(INPUT!AL27="","",INPUT!AL27)</f>
        <v/>
      </c>
      <c r="F33" s="43" t="str">
        <f>IF(INPUT!AM27="","",INPUT!AM27)</f>
        <v/>
      </c>
      <c r="G33" s="43" t="str">
        <f>IF(INPUT!AN27="","",INPUT!AN27)</f>
        <v/>
      </c>
      <c r="H33" s="94" t="str">
        <f t="shared" si="0"/>
        <v/>
      </c>
      <c r="J33" s="1"/>
      <c r="K33" s="1"/>
      <c r="M33" s="1"/>
      <c r="N33" s="1"/>
      <c r="O33" s="1"/>
    </row>
    <row r="34" spans="2:23" ht="18" customHeight="1">
      <c r="B34" s="41" t="str">
        <f>IF(INPUT!AI28="","",INPUT!AI28)</f>
        <v/>
      </c>
      <c r="C34" s="42" t="str">
        <f>IF(INPUT!AJ28="","",INPUT!AJ28)</f>
        <v/>
      </c>
      <c r="D34" s="42" t="str">
        <f>IF(INPUT!AK28="","",INPUT!AJ28-INPUT!AK28)</f>
        <v/>
      </c>
      <c r="E34" s="42" t="str">
        <f>IF(INPUT!AL28="","",INPUT!AL28)</f>
        <v/>
      </c>
      <c r="F34" s="43" t="str">
        <f>IF(INPUT!AM28="","",INPUT!AM28)</f>
        <v/>
      </c>
      <c r="G34" s="43" t="str">
        <f>IF(INPUT!AN28="","",INPUT!AN28)</f>
        <v/>
      </c>
      <c r="H34" s="94" t="str">
        <f t="shared" si="0"/>
        <v/>
      </c>
      <c r="J34" s="1"/>
      <c r="K34" s="1"/>
      <c r="M34" s="1"/>
      <c r="N34" s="1"/>
      <c r="O34" s="1"/>
    </row>
    <row r="35" spans="2:23" ht="18" customHeight="1">
      <c r="B35" s="41" t="str">
        <f>IF(INPUT!AI29="","",INPUT!AI29)</f>
        <v/>
      </c>
      <c r="C35" s="42" t="str">
        <f>IF(INPUT!AJ29="","",INPUT!AJ29)</f>
        <v/>
      </c>
      <c r="D35" s="42" t="str">
        <f>IF(INPUT!AK29="","",INPUT!AJ29-INPUT!AK29)</f>
        <v/>
      </c>
      <c r="E35" s="42" t="str">
        <f>IF(INPUT!AL29="","",INPUT!AL29)</f>
        <v/>
      </c>
      <c r="F35" s="43" t="str">
        <f>IF(INPUT!AM29="","",INPUT!AM29)</f>
        <v/>
      </c>
      <c r="G35" s="43" t="str">
        <f>IF(INPUT!AN29="","",INPUT!AN29)</f>
        <v/>
      </c>
      <c r="H35" s="94" t="str">
        <f t="shared" si="0"/>
        <v/>
      </c>
      <c r="J35" s="1"/>
      <c r="K35" s="1"/>
      <c r="M35" s="1"/>
      <c r="N35" s="1"/>
      <c r="O35" s="1"/>
    </row>
    <row r="36" spans="2:23" ht="18" customHeight="1">
      <c r="B36" s="41" t="str">
        <f>IF(INPUT!AI30="","",INPUT!AI30)</f>
        <v/>
      </c>
      <c r="C36" s="42" t="str">
        <f>IF(INPUT!AJ30="","",INPUT!AJ30)</f>
        <v/>
      </c>
      <c r="D36" s="42" t="str">
        <f>IF(INPUT!AK30="","",INPUT!AJ30-INPUT!AK30)</f>
        <v/>
      </c>
      <c r="E36" s="42" t="str">
        <f>IF(INPUT!AL30="","",INPUT!AL30)</f>
        <v/>
      </c>
      <c r="F36" s="43" t="str">
        <f>IF(INPUT!AM30="","",INPUT!AM30)</f>
        <v/>
      </c>
      <c r="G36" s="43" t="str">
        <f>IF(INPUT!AN30="","",INPUT!AN30)</f>
        <v/>
      </c>
      <c r="H36" s="94" t="str">
        <f t="shared" si="0"/>
        <v/>
      </c>
      <c r="J36" s="1"/>
      <c r="K36" s="1"/>
      <c r="M36" s="1"/>
      <c r="N36" s="1"/>
      <c r="O36" s="1"/>
    </row>
    <row r="37" spans="2:23" ht="18" customHeight="1">
      <c r="B37" s="41" t="str">
        <f>IF(INPUT!AI31="","",INPUT!AI31)</f>
        <v/>
      </c>
      <c r="C37" s="42" t="str">
        <f>IF(INPUT!AJ31="","",INPUT!AJ31)</f>
        <v/>
      </c>
      <c r="D37" s="42" t="str">
        <f>IF(INPUT!AK31="","",INPUT!AJ31-INPUT!AK31)</f>
        <v/>
      </c>
      <c r="E37" s="42" t="str">
        <f>IF(INPUT!AL31="","",INPUT!AL31)</f>
        <v/>
      </c>
      <c r="F37" s="43" t="str">
        <f>IF(INPUT!AM31="","",INPUT!AM31)</f>
        <v/>
      </c>
      <c r="G37" s="43" t="str">
        <f>IF(INPUT!AN31="","",INPUT!AN31)</f>
        <v/>
      </c>
      <c r="H37" s="94" t="str">
        <f t="shared" si="0"/>
        <v/>
      </c>
      <c r="J37" s="1"/>
      <c r="K37" s="1"/>
      <c r="M37" s="1"/>
      <c r="N37" s="1"/>
      <c r="O37" s="1"/>
    </row>
    <row r="38" spans="2:23" ht="18" customHeight="1">
      <c r="B38" s="41" t="str">
        <f>IF(INPUT!AI32="","",INPUT!AI32)</f>
        <v/>
      </c>
      <c r="C38" s="42" t="str">
        <f>IF(INPUT!AJ32="","",INPUT!AJ32)</f>
        <v/>
      </c>
      <c r="D38" s="42" t="str">
        <f>IF(INPUT!AK32="","",INPUT!AJ32-INPUT!AK32)</f>
        <v/>
      </c>
      <c r="E38" s="42" t="str">
        <f>IF(INPUT!AL32="","",INPUT!AL32)</f>
        <v/>
      </c>
      <c r="F38" s="43" t="str">
        <f>IF(INPUT!AM32="","",INPUT!AM32)</f>
        <v/>
      </c>
      <c r="G38" s="43" t="str">
        <f>IF(INPUT!AN32="","",INPUT!AN32)</f>
        <v/>
      </c>
      <c r="H38" s="94" t="str">
        <f t="shared" si="0"/>
        <v/>
      </c>
      <c r="J38" s="1"/>
      <c r="K38" s="1"/>
      <c r="M38" s="1"/>
      <c r="N38" s="1"/>
      <c r="O38" s="1"/>
    </row>
    <row r="39" spans="2:23" ht="18" customHeight="1">
      <c r="B39" s="41" t="str">
        <f>IF(INPUT!AI33="","",INPUT!AI33)</f>
        <v/>
      </c>
      <c r="C39" s="42" t="str">
        <f>IF(INPUT!AJ33="","",INPUT!AJ33)</f>
        <v/>
      </c>
      <c r="D39" s="42" t="str">
        <f>IF(INPUT!AK33="","",INPUT!AJ33-INPUT!AK33)</f>
        <v/>
      </c>
      <c r="E39" s="42" t="str">
        <f>IF(INPUT!AL33="","",INPUT!AL33)</f>
        <v/>
      </c>
      <c r="F39" s="43" t="str">
        <f>IF(INPUT!AM33="","",INPUT!AM33)</f>
        <v/>
      </c>
      <c r="G39" s="43" t="str">
        <f>IF(INPUT!AN33="","",INPUT!AN33)</f>
        <v/>
      </c>
      <c r="H39" s="94" t="str">
        <f t="shared" si="0"/>
        <v/>
      </c>
      <c r="J39" s="1"/>
      <c r="K39" s="1"/>
      <c r="M39" s="1"/>
      <c r="N39" s="1"/>
      <c r="O39" s="1"/>
    </row>
    <row r="40" spans="2:23" ht="18" customHeight="1">
      <c r="B40" s="41" t="str">
        <f>IF(INPUT!AI34="","",INPUT!AI34)</f>
        <v/>
      </c>
      <c r="C40" s="42" t="str">
        <f>IF(INPUT!AJ34="","",INPUT!AJ34)</f>
        <v/>
      </c>
      <c r="D40" s="42" t="str">
        <f>IF(INPUT!AK34="","",INPUT!AJ34-INPUT!AK34)</f>
        <v/>
      </c>
      <c r="E40" s="42" t="str">
        <f>IF(INPUT!AL34="","",INPUT!AL34)</f>
        <v/>
      </c>
      <c r="F40" s="43" t="str">
        <f>IF(INPUT!AM34="","",INPUT!AM34)</f>
        <v/>
      </c>
      <c r="G40" s="43" t="str">
        <f>IF(INPUT!AN34="","",INPUT!AN34)</f>
        <v/>
      </c>
      <c r="H40" s="94" t="str">
        <f t="shared" si="0"/>
        <v/>
      </c>
      <c r="J40" s="1"/>
      <c r="K40" s="1"/>
      <c r="M40" s="1"/>
      <c r="N40" s="1"/>
      <c r="O40" s="1"/>
    </row>
    <row r="41" spans="2:23" ht="18" customHeight="1">
      <c r="B41" s="41" t="str">
        <f>IF(INPUT!AI35="","",INPUT!AI35)</f>
        <v/>
      </c>
      <c r="C41" s="42" t="str">
        <f>IF(INPUT!AJ35="","",INPUT!AJ35)</f>
        <v/>
      </c>
      <c r="D41" s="42" t="str">
        <f>IF(INPUT!AK35="","",INPUT!AJ35-INPUT!AK35)</f>
        <v/>
      </c>
      <c r="E41" s="42" t="str">
        <f>IF(INPUT!AL35="","",INPUT!AL35)</f>
        <v/>
      </c>
      <c r="F41" s="43" t="str">
        <f>IF(INPUT!AM35="","",INPUT!AM35)</f>
        <v/>
      </c>
      <c r="G41" s="43" t="str">
        <f>IF(INPUT!AN35="","",INPUT!AN35)</f>
        <v/>
      </c>
      <c r="H41" s="94" t="str">
        <f t="shared" si="0"/>
        <v/>
      </c>
      <c r="J41" s="1"/>
      <c r="K41" s="1"/>
      <c r="M41" s="1"/>
      <c r="N41" s="1"/>
      <c r="O41" s="1"/>
      <c r="U41" s="113" t="s">
        <v>13</v>
      </c>
      <c r="V41" s="113" t="s">
        <v>112</v>
      </c>
      <c r="W41" s="113" t="s">
        <v>113</v>
      </c>
    </row>
    <row r="42" spans="2:23" ht="18" customHeight="1">
      <c r="B42" s="41" t="str">
        <f>IF(INPUT!AI36="","",INPUT!AI36)</f>
        <v/>
      </c>
      <c r="C42" s="42" t="str">
        <f>IF(INPUT!AJ36="","",INPUT!AJ36)</f>
        <v/>
      </c>
      <c r="D42" s="42" t="str">
        <f>IF(INPUT!AK36="","",INPUT!AJ36-INPUT!AK36)</f>
        <v/>
      </c>
      <c r="E42" s="42" t="str">
        <f>IF(INPUT!AL36="","",INPUT!AL36)</f>
        <v/>
      </c>
      <c r="F42" s="43" t="str">
        <f>IF(INPUT!AM36="","",INPUT!AM36)</f>
        <v/>
      </c>
      <c r="G42" s="43" t="str">
        <f>IF(INPUT!AN36="","",INPUT!AN36)</f>
        <v/>
      </c>
      <c r="H42" s="94" t="str">
        <f t="shared" si="0"/>
        <v/>
      </c>
      <c r="J42" s="113"/>
      <c r="K42" s="105" t="s">
        <v>16</v>
      </c>
      <c r="L42" s="105" t="s">
        <v>114</v>
      </c>
      <c r="M42" s="105" t="s">
        <v>115</v>
      </c>
      <c r="N42" s="105" t="s">
        <v>116</v>
      </c>
      <c r="O42" s="105" t="s">
        <v>117</v>
      </c>
      <c r="U42" s="113"/>
      <c r="V42" s="113"/>
      <c r="W42" s="113"/>
    </row>
    <row r="43" spans="2:23" s="4" customFormat="1" ht="18" customHeight="1">
      <c r="B43" s="41" t="str">
        <f>IF(INPUT!AI37="","",INPUT!AI37)</f>
        <v/>
      </c>
      <c r="C43" s="42" t="str">
        <f>IF(INPUT!AJ37="","",INPUT!AJ37)</f>
        <v/>
      </c>
      <c r="D43" s="42" t="str">
        <f>IF(INPUT!AK37="","",INPUT!AJ37-INPUT!AK37)</f>
        <v/>
      </c>
      <c r="E43" s="42" t="str">
        <f>IF(INPUT!AL37="","",INPUT!AL37)</f>
        <v/>
      </c>
      <c r="F43" s="43" t="str">
        <f>IF(INPUT!AM37="","",INPUT!AM37)</f>
        <v/>
      </c>
      <c r="G43" s="43" t="str">
        <f>IF(INPUT!AN37="","",INPUT!AN37)</f>
        <v/>
      </c>
      <c r="H43" s="94" t="str">
        <f t="shared" si="0"/>
        <v/>
      </c>
      <c r="I43" s="1"/>
      <c r="J43" s="113"/>
      <c r="K43" s="105"/>
      <c r="L43" s="105"/>
      <c r="M43" s="105"/>
      <c r="N43" s="105"/>
      <c r="O43" s="105"/>
      <c r="P43" s="1"/>
      <c r="Q43" s="1"/>
      <c r="R43" s="1"/>
      <c r="U43" s="113"/>
      <c r="V43" s="113"/>
      <c r="W43" s="113"/>
    </row>
    <row r="44" spans="2:23" s="4" customFormat="1" ht="18" customHeight="1">
      <c r="B44" s="41" t="str">
        <f>IF(INPUT!AI38="","",INPUT!AI38)</f>
        <v/>
      </c>
      <c r="C44" s="42" t="str">
        <f>IF(INPUT!AJ38="","",INPUT!AJ38)</f>
        <v/>
      </c>
      <c r="D44" s="42" t="str">
        <f>IF(INPUT!AK38="","",INPUT!AJ38-INPUT!AK38)</f>
        <v/>
      </c>
      <c r="E44" s="42" t="str">
        <f>IF(INPUT!AL38="","",INPUT!AL38)</f>
        <v/>
      </c>
      <c r="F44" s="43" t="str">
        <f>IF(INPUT!AM38="","",INPUT!AM38)</f>
        <v/>
      </c>
      <c r="G44" s="43" t="str">
        <f>IF(INPUT!AN38="","",INPUT!AN38)</f>
        <v/>
      </c>
      <c r="H44" s="94" t="str">
        <f t="shared" si="0"/>
        <v/>
      </c>
      <c r="I44" s="1"/>
      <c r="J44" s="108" t="s">
        <v>118</v>
      </c>
      <c r="K44" s="109">
        <f>F7</f>
        <v>1247.8140096618358</v>
      </c>
      <c r="L44" s="108">
        <f>($K$44/INPUT!$AP$13)-1</f>
        <v>3.213359274223393E-6</v>
      </c>
      <c r="M44" s="108">
        <f>($K$44/INPUT!$AP$12)-1</f>
        <v>3.213359274223393E-6</v>
      </c>
      <c r="N44" s="108">
        <f>($K$44/INPUT!$AP$9)-1</f>
        <v>3.213359274223393E-6</v>
      </c>
      <c r="O44" s="108">
        <f>($K$44/INPUT!$AP$3)-1</f>
        <v>1.3444771747507245E-2</v>
      </c>
      <c r="P44" s="1"/>
      <c r="Q44" s="1"/>
      <c r="R44" s="1"/>
      <c r="U44" s="110">
        <f>INPUT!Z3</f>
        <v>45854</v>
      </c>
      <c r="V44" s="111">
        <f>INPUT!AA3</f>
        <v>636213.81999999995</v>
      </c>
      <c r="W44" s="111">
        <f>INPUT!AB3</f>
        <v>220776.07999999996</v>
      </c>
    </row>
    <row r="45" spans="2:23" s="4" customFormat="1" ht="18" customHeight="1">
      <c r="B45" s="41" t="str">
        <f>IF(INPUT!AI39="","",INPUT!AI39)</f>
        <v/>
      </c>
      <c r="C45" s="42" t="str">
        <f>IF(INPUT!AJ39="","",INPUT!AJ39)</f>
        <v/>
      </c>
      <c r="D45" s="42" t="str">
        <f>IF(INPUT!AK39="","",INPUT!AJ39-INPUT!AK39)</f>
        <v/>
      </c>
      <c r="E45" s="42" t="str">
        <f>IF(INPUT!AL39="","",INPUT!AL39)</f>
        <v/>
      </c>
      <c r="F45" s="43" t="str">
        <f>IF(INPUT!AM39="","",INPUT!AM39)</f>
        <v/>
      </c>
      <c r="G45" s="43" t="str">
        <f>IF(INPUT!AN39="","",INPUT!AN39)</f>
        <v/>
      </c>
      <c r="H45" s="94" t="str">
        <f t="shared" si="0"/>
        <v/>
      </c>
      <c r="I45" s="1"/>
      <c r="J45" s="108"/>
      <c r="K45" s="109"/>
      <c r="L45" s="108"/>
      <c r="M45" s="108"/>
      <c r="N45" s="108"/>
      <c r="O45" s="108"/>
      <c r="P45" s="1"/>
      <c r="Q45" s="1"/>
      <c r="R45" s="1"/>
      <c r="U45" s="110"/>
      <c r="V45" s="111"/>
      <c r="W45" s="111"/>
    </row>
    <row r="46" spans="2:23" s="4" customFormat="1" ht="18" customHeight="1">
      <c r="B46" s="41" t="str">
        <f>IF(INPUT!AI40="","",INPUT!AI40)</f>
        <v/>
      </c>
      <c r="C46" s="42" t="str">
        <f>IF(INPUT!AJ40="","",INPUT!AJ40)</f>
        <v/>
      </c>
      <c r="D46" s="42" t="str">
        <f>IF(INPUT!AK40="","",INPUT!AJ40-INPUT!AK40)</f>
        <v/>
      </c>
      <c r="E46" s="42" t="str">
        <f>IF(INPUT!AL40="","",INPUT!AL40)</f>
        <v/>
      </c>
      <c r="F46" s="43" t="str">
        <f>IF(INPUT!AM40="","",INPUT!AM40)</f>
        <v/>
      </c>
      <c r="G46" s="43" t="str">
        <f>IF(INPUT!AN40="","",INPUT!AN40)</f>
        <v/>
      </c>
      <c r="H46" s="94" t="str">
        <f t="shared" si="0"/>
        <v/>
      </c>
      <c r="I46" s="1"/>
      <c r="J46" s="108" t="s">
        <v>119</v>
      </c>
      <c r="K46" s="109">
        <f>G7</f>
        <v>1212.9803743315508</v>
      </c>
      <c r="L46" s="108">
        <f>($K$46/INPUT!$AQ$13)-1</f>
        <v>3.391878707192264E-3</v>
      </c>
      <c r="M46" s="108">
        <f>($K$46/INPUT!$AQ$12)-1</f>
        <v>8.6232230993845693E-3</v>
      </c>
      <c r="N46" s="108">
        <f>($K$46/INPUT!$AQ$9)-1</f>
        <v>1.1432266571790306E-2</v>
      </c>
      <c r="O46" s="108">
        <f>($K$46/INPUT!$AQ$3)-1</f>
        <v>1.5029350413843234E-2</v>
      </c>
      <c r="P46" s="1"/>
      <c r="Q46" s="1"/>
      <c r="R46" s="1"/>
      <c r="U46" s="110"/>
      <c r="V46" s="111"/>
      <c r="W46" s="111"/>
    </row>
    <row r="47" spans="2:23" s="4" customFormat="1" ht="18" customHeight="1">
      <c r="B47" s="41" t="str">
        <f>IF(INPUT!AI41="","",INPUT!AI41)</f>
        <v/>
      </c>
      <c r="C47" s="42" t="str">
        <f>IF(INPUT!AJ41="","",INPUT!AJ41)</f>
        <v/>
      </c>
      <c r="D47" s="42" t="str">
        <f>IF(INPUT!AK41="","",INPUT!AJ41-INPUT!AK41)</f>
        <v/>
      </c>
      <c r="E47" s="42" t="str">
        <f>IF(INPUT!AL41="","",INPUT!AL41)</f>
        <v/>
      </c>
      <c r="F47" s="43" t="str">
        <f>IF(INPUT!AM41="","",INPUT!AM41)</f>
        <v/>
      </c>
      <c r="G47" s="43" t="str">
        <f>IF(INPUT!AN41="","",INPUT!AN41)</f>
        <v/>
      </c>
      <c r="H47" s="94" t="str">
        <f t="shared" si="0"/>
        <v/>
      </c>
      <c r="I47" s="1"/>
      <c r="J47" s="108"/>
      <c r="K47" s="109"/>
      <c r="L47" s="108"/>
      <c r="M47" s="108"/>
      <c r="N47" s="108"/>
      <c r="O47" s="108"/>
      <c r="P47" s="1"/>
      <c r="Q47" s="1"/>
      <c r="R47" s="1"/>
    </row>
    <row r="48" spans="2:23" s="4" customFormat="1" ht="18" customHeight="1">
      <c r="B48" s="41" t="str">
        <f>IF(INPUT!AI42="","",INPUT!AI42)</f>
        <v/>
      </c>
      <c r="C48" s="42" t="str">
        <f>IF(INPUT!AJ42="","",INPUT!AJ42)</f>
        <v/>
      </c>
      <c r="D48" s="42" t="str">
        <f>IF(INPUT!AK42="","",INPUT!AJ42-INPUT!AK42)</f>
        <v/>
      </c>
      <c r="E48" s="42" t="str">
        <f>IF(INPUT!AL42="","",INPUT!AL42)</f>
        <v/>
      </c>
      <c r="F48" s="43" t="str">
        <f>IF(INPUT!AM42="","",INPUT!AM42)</f>
        <v/>
      </c>
      <c r="G48" s="43" t="str">
        <f>IF(INPUT!AN42="","",INPUT!AN42)</f>
        <v/>
      </c>
      <c r="H48" s="94" t="str">
        <f t="shared" si="0"/>
        <v/>
      </c>
      <c r="I48" s="1"/>
      <c r="J48" s="1"/>
      <c r="K48" s="1"/>
      <c r="L48" s="1"/>
      <c r="M48" s="1"/>
      <c r="N48" s="1"/>
      <c r="O48" s="1"/>
      <c r="P48" s="1"/>
      <c r="Q48" s="1"/>
      <c r="R48" s="1"/>
    </row>
    <row r="49" spans="2:18" s="4" customFormat="1" ht="18" customHeight="1">
      <c r="B49" s="33"/>
      <c r="C49" s="14"/>
      <c r="D49" s="39"/>
      <c r="E49" s="14"/>
      <c r="F49" s="26"/>
      <c r="G49" s="26"/>
      <c r="H49" s="34"/>
      <c r="I49" s="1"/>
      <c r="J49" s="1"/>
      <c r="K49" s="1"/>
      <c r="L49" s="1"/>
      <c r="M49" s="1"/>
      <c r="N49" s="1"/>
      <c r="O49" s="1"/>
      <c r="P49" s="1"/>
      <c r="Q49" s="1"/>
      <c r="R49" s="1"/>
    </row>
    <row r="50" spans="2:18" s="4" customFormat="1" ht="22.5" customHeight="1">
      <c r="B50" s="33"/>
      <c r="C50" s="14"/>
      <c r="D50" s="39"/>
      <c r="E50" s="14"/>
      <c r="F50" s="26"/>
      <c r="G50" s="26"/>
      <c r="H50" s="34"/>
      <c r="I50" s="1"/>
      <c r="J50" s="1"/>
      <c r="K50" s="1"/>
      <c r="L50" s="1"/>
      <c r="M50" s="1"/>
      <c r="N50" s="1"/>
      <c r="O50" s="1"/>
      <c r="P50" s="1"/>
      <c r="Q50" s="1"/>
      <c r="R50" s="1"/>
    </row>
    <row r="51" spans="2:18" s="4" customFormat="1" ht="22.5" customHeight="1">
      <c r="B51" s="33"/>
      <c r="C51" s="14"/>
      <c r="D51" s="14"/>
      <c r="E51" s="14"/>
      <c r="F51" s="26"/>
      <c r="G51" s="26"/>
      <c r="H51" s="34"/>
      <c r="I51" s="1"/>
      <c r="J51" s="1"/>
      <c r="K51" s="1"/>
      <c r="L51" s="1"/>
      <c r="M51" s="1"/>
      <c r="N51" s="1"/>
      <c r="O51" s="1"/>
      <c r="P51" s="1"/>
      <c r="Q51" s="1"/>
      <c r="R51" s="1"/>
    </row>
    <row r="52" spans="2:18" s="4" customFormat="1" ht="35.25" customHeight="1">
      <c r="B52" s="33"/>
      <c r="C52" s="14"/>
      <c r="D52" s="14"/>
      <c r="E52" s="14"/>
      <c r="F52" s="1"/>
      <c r="G52" s="1"/>
      <c r="H52" s="34"/>
      <c r="I52" s="1"/>
      <c r="P52" s="1"/>
      <c r="Q52" s="1"/>
    </row>
    <row r="53" spans="2:18" s="4" customFormat="1" ht="41.25" customHeight="1">
      <c r="B53" s="33"/>
      <c r="C53" s="14"/>
      <c r="D53" s="14"/>
      <c r="E53" s="14"/>
      <c r="F53" s="1"/>
      <c r="G53" s="1"/>
      <c r="H53" s="34"/>
      <c r="I53" s="1"/>
      <c r="P53" s="1"/>
      <c r="Q53" s="1"/>
    </row>
    <row r="54" spans="2:18" s="4" customFormat="1" ht="41.25" customHeight="1">
      <c r="B54" s="33"/>
      <c r="C54" s="14"/>
      <c r="D54" s="14"/>
      <c r="E54" s="14"/>
      <c r="F54" s="1"/>
      <c r="G54" s="1"/>
      <c r="H54" s="34"/>
      <c r="I54" s="1"/>
      <c r="P54" s="1"/>
      <c r="Q54" s="1"/>
      <c r="R54" s="1"/>
    </row>
    <row r="55" spans="2:18" s="4" customFormat="1" ht="22.5" customHeight="1">
      <c r="B55" s="33"/>
      <c r="C55" s="14"/>
      <c r="D55" s="14"/>
      <c r="E55" s="14"/>
      <c r="F55" s="1"/>
      <c r="G55" s="1"/>
      <c r="H55" s="34"/>
      <c r="I55" s="1"/>
      <c r="J55" s="1"/>
      <c r="K55" s="1"/>
      <c r="L55" s="1"/>
      <c r="M55" s="1"/>
      <c r="N55" s="1"/>
      <c r="O55" s="1"/>
      <c r="P55" s="1"/>
      <c r="Q55" s="1"/>
      <c r="R55" s="1"/>
    </row>
    <row r="56" spans="2:18" s="4" customFormat="1" ht="22.5" customHeight="1">
      <c r="B56" s="33"/>
      <c r="C56" s="14"/>
      <c r="D56" s="14"/>
      <c r="E56" s="14"/>
      <c r="F56" s="1"/>
      <c r="G56" s="1"/>
      <c r="H56" s="1"/>
      <c r="I56" s="1"/>
      <c r="J56" s="1"/>
      <c r="K56" s="1"/>
      <c r="L56" s="1"/>
      <c r="M56" s="1"/>
      <c r="N56" s="1"/>
      <c r="O56" s="1"/>
      <c r="P56" s="1"/>
      <c r="Q56" s="1"/>
      <c r="R56" s="1"/>
    </row>
    <row r="57" spans="2:18" s="4" customFormat="1" ht="22.5" customHeight="1">
      <c r="B57" s="33"/>
      <c r="C57" s="14"/>
      <c r="D57" s="14"/>
      <c r="E57" s="14"/>
      <c r="F57" s="1"/>
      <c r="G57" s="1"/>
      <c r="H57" s="1"/>
      <c r="I57" s="1"/>
      <c r="J57" s="1"/>
      <c r="K57" s="1"/>
      <c r="L57" s="1"/>
      <c r="M57" s="1"/>
      <c r="N57" s="1"/>
      <c r="O57" s="1"/>
      <c r="P57" s="1"/>
      <c r="Q57" s="1"/>
      <c r="R57" s="1"/>
    </row>
    <row r="58" spans="2:18" s="4" customFormat="1" ht="22.5" customHeight="1">
      <c r="B58" s="33"/>
      <c r="C58" s="14"/>
      <c r="D58" s="14"/>
      <c r="E58" s="14"/>
      <c r="F58" s="1"/>
      <c r="G58" s="1"/>
      <c r="H58" s="1"/>
      <c r="I58" s="1"/>
      <c r="J58" s="1"/>
      <c r="K58" s="1"/>
      <c r="L58" s="1"/>
      <c r="M58" s="1"/>
      <c r="N58" s="1"/>
      <c r="O58" s="1"/>
      <c r="P58" s="1"/>
      <c r="Q58" s="1"/>
      <c r="R58" s="1"/>
    </row>
    <row r="59" spans="2:18" s="4" customFormat="1" ht="22.5" customHeight="1">
      <c r="B59" s="33"/>
      <c r="C59" s="14"/>
      <c r="D59" s="14"/>
      <c r="E59" s="14"/>
      <c r="F59" s="1"/>
      <c r="G59" s="1"/>
      <c r="H59" s="1"/>
      <c r="I59" s="1"/>
      <c r="J59" s="1"/>
      <c r="K59" s="1"/>
      <c r="L59" s="1"/>
      <c r="M59" s="1"/>
      <c r="N59" s="1"/>
      <c r="O59" s="1"/>
      <c r="P59" s="1"/>
      <c r="Q59" s="1"/>
      <c r="R59" s="1"/>
    </row>
    <row r="60" spans="2:18" ht="22.5" customHeight="1">
      <c r="B60" s="33"/>
      <c r="C60" s="14"/>
      <c r="D60" s="14"/>
      <c r="E60" s="14"/>
      <c r="F60" s="1"/>
      <c r="G60" s="1"/>
      <c r="J60" s="1"/>
      <c r="K60" s="1"/>
      <c r="M60" s="1"/>
      <c r="N60" s="1"/>
      <c r="O60" s="1"/>
    </row>
    <row r="61" spans="2:18" ht="22.5" customHeight="1">
      <c r="B61" s="1"/>
      <c r="C61" s="14"/>
      <c r="D61" s="14"/>
      <c r="E61" s="14"/>
      <c r="F61" s="1"/>
      <c r="G61" s="1"/>
      <c r="J61" s="1"/>
      <c r="K61" s="1"/>
      <c r="M61" s="1"/>
      <c r="N61" s="1"/>
      <c r="O61" s="1"/>
    </row>
    <row r="62" spans="2:18" ht="22.5" customHeight="1">
      <c r="B62" s="1"/>
      <c r="C62" s="14"/>
      <c r="D62" s="14"/>
      <c r="E62" s="14"/>
      <c r="F62" s="1"/>
      <c r="G62" s="1"/>
      <c r="J62" s="1"/>
      <c r="K62" s="1"/>
      <c r="M62" s="1"/>
      <c r="N62" s="1"/>
      <c r="O62" s="1"/>
    </row>
    <row r="63" spans="2:18" ht="22.5" customHeight="1">
      <c r="B63" s="1"/>
      <c r="C63" s="14"/>
      <c r="D63" s="14"/>
      <c r="E63" s="14"/>
      <c r="F63" s="1"/>
      <c r="G63" s="1"/>
      <c r="J63" s="1"/>
      <c r="K63" s="1"/>
      <c r="M63" s="1"/>
      <c r="N63" s="1"/>
      <c r="O63" s="1"/>
    </row>
    <row r="64" spans="2:18" ht="22.5" customHeight="1"/>
    <row r="65" ht="22.5" customHeight="1"/>
    <row r="66" ht="22.5" customHeight="1"/>
    <row r="67" ht="22.5" customHeight="1"/>
    <row r="68" ht="22.5" customHeight="1"/>
    <row r="69" ht="22.5" customHeight="1"/>
    <row r="70" ht="22.5" customHeight="1"/>
    <row r="71" ht="22.5" customHeight="1"/>
  </sheetData>
  <mergeCells count="26">
    <mergeCell ref="R5:Z5"/>
    <mergeCell ref="J5:O5"/>
    <mergeCell ref="J42:J43"/>
    <mergeCell ref="K42:K43"/>
    <mergeCell ref="L42:L43"/>
    <mergeCell ref="M42:M43"/>
    <mergeCell ref="N42:N43"/>
    <mergeCell ref="O42:O43"/>
    <mergeCell ref="U41:U43"/>
    <mergeCell ref="V41:V43"/>
    <mergeCell ref="W41:W43"/>
    <mergeCell ref="U44:U46"/>
    <mergeCell ref="V44:V46"/>
    <mergeCell ref="W44:W46"/>
    <mergeCell ref="M44:M45"/>
    <mergeCell ref="M46:M47"/>
    <mergeCell ref="N44:N45"/>
    <mergeCell ref="O44:O45"/>
    <mergeCell ref="N46:N47"/>
    <mergeCell ref="O46:O47"/>
    <mergeCell ref="J44:J45"/>
    <mergeCell ref="J46:J47"/>
    <mergeCell ref="K44:K45"/>
    <mergeCell ref="K46:K47"/>
    <mergeCell ref="L44:L45"/>
    <mergeCell ref="L46:L47"/>
  </mergeCells>
  <printOptions horizontalCentered="1"/>
  <pageMargins left="0.7" right="0.7" top="0.75" bottom="0.75" header="0.3" footer="0.3"/>
  <pageSetup scale="53" orientation="landscape" r:id="rId1"/>
  <headerFooter scaleWithDoc="0">
    <oddFooter>&amp;R&amp;G</oddFooter>
  </headerFooter>
  <colBreaks count="2" manualBreakCount="2">
    <brk id="16" max="48" man="1"/>
    <brk id="30" max="38" man="1"/>
  </col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Steven O'Brien</dc:creator>
  <cp:keywords/>
  <dc:description/>
  <cp:lastModifiedBy>Carter Rathore</cp:lastModifiedBy>
  <cp:revision/>
  <dcterms:created xsi:type="dcterms:W3CDTF">2022-01-05T17:54:52Z</dcterms:created>
  <dcterms:modified xsi:type="dcterms:W3CDTF">2025-08-11T16:29:03Z</dcterms:modified>
  <cp:category/>
  <cp:contentStatus/>
</cp:coreProperties>
</file>