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am.dms.mas.gov.sg/sites/IDRepo/Shared Documents/ID Projects/RBC 2 YE18 Parallel Run/Issued Package/"/>
    </mc:Choice>
  </mc:AlternateContent>
  <bookViews>
    <workbookView xWindow="0" yWindow="150" windowWidth="15360" windowHeight="7035" activeTab="1"/>
  </bookViews>
  <sheets>
    <sheet name="Cover Page" sheetId="16" r:id="rId1"/>
    <sheet name="Change Log" sheetId="14" r:id="rId2"/>
    <sheet name="Instructions" sheetId="8" r:id="rId3"/>
    <sheet name="Scenario" sheetId="17" r:id="rId4"/>
    <sheet name="Predictability Test" sheetId="12" r:id="rId5"/>
    <sheet name="MA" sheetId="5" r:id="rId6"/>
    <sheet name="Spreads for Def and DG" sheetId="10" r:id="rId7"/>
    <sheet name="Adj for reallocation" sheetId="15" r:id="rId8"/>
    <sheet name="Corr_matrix" sheetId="11" r:id="rId9"/>
    <sheet name="Lists" sheetId="13" state="hidden" r:id="rId10"/>
  </sheets>
  <externalReferences>
    <externalReference r:id="rId11"/>
  </externalReferences>
  <definedNames>
    <definedName name="_ftn1" localSheetId="2">Instructions!$E$112</definedName>
    <definedName name="_ftnref1" localSheetId="2">Instructions!$E$109</definedName>
    <definedName name="Fund">Lists!$C$4:$C$5</definedName>
    <definedName name="Scenario_List">[1]Lists!$B$4:$B$5</definedName>
    <definedName name="SIF_OIF">Lists!$B$4:$B$5</definedName>
  </definedNames>
  <calcPr calcId="162913"/>
</workbook>
</file>

<file path=xl/calcChain.xml><?xml version="1.0" encoding="utf-8"?>
<calcChain xmlns="http://schemas.openxmlformats.org/spreadsheetml/2006/main">
  <c r="D12" i="15" l="1"/>
  <c r="C10" i="15" l="1"/>
  <c r="C9" i="15"/>
  <c r="B3" i="12" l="1"/>
  <c r="G45" i="5" l="1"/>
  <c r="P8" i="5"/>
  <c r="P9" i="5"/>
  <c r="P10" i="5"/>
  <c r="P11" i="5"/>
  <c r="P12" i="5"/>
  <c r="P13" i="5"/>
  <c r="P14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G47" i="5" l="1"/>
  <c r="Q8" i="5" s="1"/>
  <c r="Q123" i="5" l="1"/>
  <c r="Q115" i="5"/>
  <c r="Q107" i="5"/>
  <c r="Q99" i="5"/>
  <c r="Q91" i="5"/>
  <c r="Q75" i="5"/>
  <c r="Q67" i="5"/>
  <c r="Q59" i="5"/>
  <c r="Q51" i="5"/>
  <c r="Q39" i="5"/>
  <c r="Q27" i="5"/>
  <c r="Q19" i="5"/>
  <c r="Q11" i="5"/>
  <c r="Q126" i="5"/>
  <c r="Q122" i="5"/>
  <c r="Q118" i="5"/>
  <c r="Q114" i="5"/>
  <c r="Q110" i="5"/>
  <c r="Q106" i="5"/>
  <c r="Q102" i="5"/>
  <c r="Q98" i="5"/>
  <c r="Q94" i="5"/>
  <c r="Q90" i="5"/>
  <c r="Q86" i="5"/>
  <c r="Q82" i="5"/>
  <c r="Q78" i="5"/>
  <c r="Q74" i="5"/>
  <c r="Q70" i="5"/>
  <c r="Q66" i="5"/>
  <c r="Q62" i="5"/>
  <c r="Q58" i="5"/>
  <c r="Q54" i="5"/>
  <c r="Q50" i="5"/>
  <c r="Q46" i="5"/>
  <c r="Q42" i="5"/>
  <c r="Q38" i="5"/>
  <c r="Q34" i="5"/>
  <c r="Q30" i="5"/>
  <c r="Q26" i="5"/>
  <c r="Q22" i="5"/>
  <c r="Q14" i="5"/>
  <c r="Q10" i="5"/>
  <c r="Q119" i="5"/>
  <c r="Q111" i="5"/>
  <c r="Q103" i="5"/>
  <c r="Q95" i="5"/>
  <c r="Q87" i="5"/>
  <c r="Q83" i="5"/>
  <c r="Q79" i="5"/>
  <c r="Q71" i="5"/>
  <c r="Q63" i="5"/>
  <c r="Q55" i="5"/>
  <c r="Q47" i="5"/>
  <c r="Q43" i="5"/>
  <c r="Q35" i="5"/>
  <c r="Q31" i="5"/>
  <c r="Q23" i="5"/>
  <c r="Q125" i="5"/>
  <c r="Q121" i="5"/>
  <c r="Q117" i="5"/>
  <c r="Q113" i="5"/>
  <c r="Q109" i="5"/>
  <c r="Q105" i="5"/>
  <c r="Q101" i="5"/>
  <c r="Q97" i="5"/>
  <c r="Q93" i="5"/>
  <c r="Q89" i="5"/>
  <c r="Q85" i="5"/>
  <c r="Q81" i="5"/>
  <c r="Q77" i="5"/>
  <c r="Q73" i="5"/>
  <c r="Q69" i="5"/>
  <c r="Q65" i="5"/>
  <c r="Q61" i="5"/>
  <c r="Q57" i="5"/>
  <c r="Q53" i="5"/>
  <c r="Q49" i="5"/>
  <c r="Q45" i="5"/>
  <c r="Q41" i="5"/>
  <c r="Q37" i="5"/>
  <c r="Q33" i="5"/>
  <c r="Q29" i="5"/>
  <c r="Q25" i="5"/>
  <c r="Q21" i="5"/>
  <c r="Q13" i="5"/>
  <c r="Q9" i="5"/>
  <c r="Q124" i="5"/>
  <c r="Q120" i="5"/>
  <c r="Q116" i="5"/>
  <c r="Q112" i="5"/>
  <c r="Q108" i="5"/>
  <c r="Q104" i="5"/>
  <c r="Q100" i="5"/>
  <c r="Q96" i="5"/>
  <c r="Q92" i="5"/>
  <c r="Q88" i="5"/>
  <c r="Q84" i="5"/>
  <c r="Q80" i="5"/>
  <c r="Q76" i="5"/>
  <c r="Q72" i="5"/>
  <c r="Q68" i="5"/>
  <c r="Q64" i="5"/>
  <c r="Q60" i="5"/>
  <c r="Q56" i="5"/>
  <c r="Q52" i="5"/>
  <c r="Q48" i="5"/>
  <c r="Q44" i="5"/>
  <c r="Q40" i="5"/>
  <c r="Q36" i="5"/>
  <c r="Q32" i="5"/>
  <c r="Q28" i="5"/>
  <c r="Q24" i="5"/>
  <c r="Q20" i="5"/>
  <c r="Q12" i="5"/>
  <c r="G46" i="5"/>
  <c r="AR126" i="5"/>
  <c r="AR125" i="5"/>
  <c r="AR124" i="5"/>
  <c r="AR123" i="5"/>
  <c r="AR122" i="5"/>
  <c r="AR121" i="5"/>
  <c r="AR120" i="5"/>
  <c r="AR119" i="5"/>
  <c r="AR118" i="5"/>
  <c r="AR117" i="5"/>
  <c r="AR116" i="5"/>
  <c r="AR115" i="5"/>
  <c r="AR114" i="5"/>
  <c r="AR113" i="5"/>
  <c r="AR112" i="5"/>
  <c r="AR111" i="5"/>
  <c r="AR110" i="5"/>
  <c r="AR109" i="5"/>
  <c r="AR108" i="5"/>
  <c r="AR107" i="5"/>
  <c r="AR106" i="5"/>
  <c r="AR105" i="5"/>
  <c r="AR104" i="5"/>
  <c r="AR103" i="5"/>
  <c r="AR102" i="5"/>
  <c r="AR101" i="5"/>
  <c r="AR100" i="5"/>
  <c r="AR99" i="5"/>
  <c r="AR98" i="5"/>
  <c r="AR97" i="5"/>
  <c r="AR96" i="5"/>
  <c r="AR95" i="5"/>
  <c r="AR94" i="5"/>
  <c r="AR93" i="5"/>
  <c r="AR92" i="5"/>
  <c r="AR91" i="5"/>
  <c r="AR90" i="5"/>
  <c r="AR89" i="5"/>
  <c r="AR88" i="5"/>
  <c r="AR87" i="5"/>
  <c r="AR86" i="5"/>
  <c r="AR85" i="5"/>
  <c r="AR84" i="5"/>
  <c r="AR83" i="5"/>
  <c r="AR82" i="5"/>
  <c r="AR81" i="5"/>
  <c r="AR80" i="5"/>
  <c r="AR79" i="5"/>
  <c r="AR78" i="5"/>
  <c r="AR77" i="5"/>
  <c r="AR76" i="5"/>
  <c r="AR75" i="5"/>
  <c r="AR74" i="5"/>
  <c r="AR73" i="5"/>
  <c r="AR72" i="5"/>
  <c r="AR71" i="5"/>
  <c r="AR70" i="5"/>
  <c r="AR69" i="5"/>
  <c r="AR68" i="5"/>
  <c r="AR67" i="5"/>
  <c r="AR66" i="5"/>
  <c r="AR65" i="5"/>
  <c r="AR64" i="5"/>
  <c r="AR63" i="5"/>
  <c r="AR62" i="5"/>
  <c r="AR61" i="5"/>
  <c r="AR60" i="5"/>
  <c r="AR59" i="5"/>
  <c r="AR58" i="5"/>
  <c r="AR57" i="5"/>
  <c r="AR56" i="5"/>
  <c r="AR55" i="5"/>
  <c r="AR54" i="5"/>
  <c r="AR53" i="5"/>
  <c r="AR52" i="5"/>
  <c r="AR51" i="5"/>
  <c r="AR50" i="5"/>
  <c r="AR49" i="5"/>
  <c r="AR48" i="5"/>
  <c r="AR47" i="5"/>
  <c r="AR46" i="5"/>
  <c r="AR45" i="5"/>
  <c r="AR44" i="5"/>
  <c r="AR43" i="5"/>
  <c r="AR42" i="5"/>
  <c r="AR41" i="5"/>
  <c r="AR40" i="5"/>
  <c r="AR39" i="5"/>
  <c r="AR38" i="5"/>
  <c r="AR37" i="5"/>
  <c r="AR36" i="5"/>
  <c r="AR35" i="5"/>
  <c r="AR34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11" i="5"/>
  <c r="AR10" i="5"/>
  <c r="AR9" i="5"/>
  <c r="AR8" i="5"/>
  <c r="AR7" i="5"/>
  <c r="AS7" i="5"/>
  <c r="AS126" i="5"/>
  <c r="AS125" i="5"/>
  <c r="AS124" i="5"/>
  <c r="AS123" i="5"/>
  <c r="AS122" i="5"/>
  <c r="AS121" i="5"/>
  <c r="AS120" i="5"/>
  <c r="AS119" i="5"/>
  <c r="AS118" i="5"/>
  <c r="AS117" i="5"/>
  <c r="AS116" i="5"/>
  <c r="AS115" i="5"/>
  <c r="AS114" i="5"/>
  <c r="AS113" i="5"/>
  <c r="AS112" i="5"/>
  <c r="AS111" i="5"/>
  <c r="AS110" i="5"/>
  <c r="AS109" i="5"/>
  <c r="AS108" i="5"/>
  <c r="AS107" i="5"/>
  <c r="AS106" i="5"/>
  <c r="AS105" i="5"/>
  <c r="AS104" i="5"/>
  <c r="AS103" i="5"/>
  <c r="AS102" i="5"/>
  <c r="AS101" i="5"/>
  <c r="AS100" i="5"/>
  <c r="AS99" i="5"/>
  <c r="AS98" i="5"/>
  <c r="AS97" i="5"/>
  <c r="AS96" i="5"/>
  <c r="AS95" i="5"/>
  <c r="AS94" i="5"/>
  <c r="AS93" i="5"/>
  <c r="AS92" i="5"/>
  <c r="AS91" i="5"/>
  <c r="AS90" i="5"/>
  <c r="AS89" i="5"/>
  <c r="AS88" i="5"/>
  <c r="AS87" i="5"/>
  <c r="AS86" i="5"/>
  <c r="AS85" i="5"/>
  <c r="AS84" i="5"/>
  <c r="AS83" i="5"/>
  <c r="AS82" i="5"/>
  <c r="AS81" i="5"/>
  <c r="AS80" i="5"/>
  <c r="AS79" i="5"/>
  <c r="AS78" i="5"/>
  <c r="AS77" i="5"/>
  <c r="AS76" i="5"/>
  <c r="AS75" i="5"/>
  <c r="AS74" i="5"/>
  <c r="AS73" i="5"/>
  <c r="AS72" i="5"/>
  <c r="AS71" i="5"/>
  <c r="AS70" i="5"/>
  <c r="AS69" i="5"/>
  <c r="AS68" i="5"/>
  <c r="AS67" i="5"/>
  <c r="AS66" i="5"/>
  <c r="AS65" i="5"/>
  <c r="AS64" i="5"/>
  <c r="AS63" i="5"/>
  <c r="AS62" i="5"/>
  <c r="AS61" i="5"/>
  <c r="AS60" i="5"/>
  <c r="AS59" i="5"/>
  <c r="AS58" i="5"/>
  <c r="AS57" i="5"/>
  <c r="AS56" i="5"/>
  <c r="AS55" i="5"/>
  <c r="AS54" i="5"/>
  <c r="AS53" i="5"/>
  <c r="AS52" i="5"/>
  <c r="AS51" i="5"/>
  <c r="AS50" i="5"/>
  <c r="AS49" i="5"/>
  <c r="AS48" i="5"/>
  <c r="AS47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I26" i="10" l="1"/>
  <c r="I22" i="10"/>
  <c r="I18" i="10"/>
  <c r="I14" i="10"/>
  <c r="G33" i="5"/>
  <c r="S27" i="10"/>
  <c r="V2" i="5" l="1"/>
  <c r="U2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M2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0" i="5"/>
  <c r="N9" i="5"/>
  <c r="N8" i="5"/>
  <c r="N7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36" i="5"/>
  <c r="AJ35" i="5"/>
  <c r="AJ34" i="5"/>
  <c r="AJ33" i="5"/>
  <c r="AJ32" i="5"/>
  <c r="AJ31" i="5"/>
  <c r="AJ30" i="5"/>
  <c r="AJ29" i="5"/>
  <c r="AJ28" i="5"/>
  <c r="AJ27" i="5"/>
  <c r="AJ2" i="5"/>
  <c r="AJ26" i="5" s="1"/>
  <c r="G4" i="5"/>
  <c r="P7" i="5" l="1"/>
  <c r="Q7" i="5"/>
  <c r="P18" i="5"/>
  <c r="Q18" i="5"/>
  <c r="P17" i="5"/>
  <c r="Q17" i="5"/>
  <c r="P16" i="5"/>
  <c r="Q16" i="5"/>
  <c r="P15" i="5"/>
  <c r="Q15" i="5"/>
  <c r="AJ11" i="5"/>
  <c r="AJ15" i="5"/>
  <c r="AJ19" i="5"/>
  <c r="AJ7" i="5"/>
  <c r="AJ23" i="5"/>
  <c r="AJ8" i="5"/>
  <c r="AJ12" i="5"/>
  <c r="AJ16" i="5"/>
  <c r="AJ20" i="5"/>
  <c r="AJ24" i="5"/>
  <c r="AJ9" i="5"/>
  <c r="AJ13" i="5"/>
  <c r="AJ17" i="5"/>
  <c r="AJ21" i="5"/>
  <c r="AJ25" i="5"/>
  <c r="AJ10" i="5"/>
  <c r="AJ14" i="5"/>
  <c r="AJ18" i="5"/>
  <c r="AJ22" i="5"/>
  <c r="L11" i="5" l="1"/>
  <c r="AA6" i="5"/>
  <c r="AC35" i="5"/>
  <c r="AC34" i="5"/>
  <c r="AD28" i="5"/>
  <c r="L2" i="5" l="1"/>
  <c r="C11" i="15" s="1"/>
  <c r="C12" i="15" s="1"/>
  <c r="N11" i="5"/>
  <c r="AC33" i="5"/>
  <c r="AD30" i="5"/>
  <c r="AD27" i="5"/>
  <c r="AC36" i="5"/>
  <c r="AD33" i="5"/>
  <c r="AD34" i="5"/>
  <c r="AD35" i="5"/>
  <c r="AD36" i="5"/>
  <c r="AD31" i="5"/>
  <c r="AD29" i="5"/>
  <c r="AD32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2" i="5"/>
  <c r="AC23" i="5"/>
  <c r="AC24" i="5"/>
  <c r="AC25" i="5"/>
  <c r="AC26" i="5"/>
  <c r="AC27" i="5"/>
  <c r="AC28" i="5"/>
  <c r="AC29" i="5"/>
  <c r="AC30" i="5"/>
  <c r="AC31" i="5"/>
  <c r="AC32" i="5"/>
  <c r="AC7" i="5"/>
  <c r="AC21" i="5" l="1"/>
  <c r="AC8" i="5"/>
  <c r="T2" i="5"/>
  <c r="AD26" i="5" l="1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S6" i="5"/>
  <c r="T6" i="5" s="1"/>
  <c r="T1" i="5" s="1"/>
  <c r="W6" i="5"/>
  <c r="D15" i="12" l="1"/>
  <c r="C15" i="12"/>
  <c r="A2" i="5" l="1"/>
  <c r="A1" i="5"/>
  <c r="W2" i="5" l="1"/>
  <c r="S2" i="5"/>
  <c r="K2" i="5"/>
  <c r="N2" i="5"/>
  <c r="G42" i="5" l="1"/>
  <c r="G41" i="5"/>
  <c r="C5" i="5"/>
  <c r="A1" i="12"/>
  <c r="AG5" i="5" l="1"/>
  <c r="G5" i="5"/>
  <c r="G15" i="5"/>
  <c r="G14" i="5"/>
  <c r="S1" i="5"/>
  <c r="E5" i="5"/>
  <c r="E4" i="5"/>
  <c r="C4" i="5"/>
  <c r="I12" i="11"/>
  <c r="H12" i="11"/>
  <c r="G12" i="11"/>
  <c r="F12" i="11"/>
  <c r="E12" i="11"/>
  <c r="D12" i="11"/>
  <c r="K6" i="11"/>
  <c r="K7" i="11"/>
  <c r="K8" i="11"/>
  <c r="K9" i="11"/>
  <c r="K10" i="11"/>
  <c r="K5" i="11"/>
  <c r="K12" i="11" s="1"/>
  <c r="L10" i="10"/>
  <c r="L9" i="10"/>
  <c r="M20" i="10" s="1"/>
  <c r="G10" i="10"/>
  <c r="H10" i="10" s="1"/>
  <c r="I10" i="10" s="1"/>
  <c r="G9" i="10"/>
  <c r="H9" i="10" s="1"/>
  <c r="I9" i="10" s="1"/>
  <c r="G8" i="10"/>
  <c r="H8" i="10" s="1"/>
  <c r="I8" i="10" s="1"/>
  <c r="K27" i="10"/>
  <c r="G7" i="10"/>
  <c r="H7" i="10" s="1"/>
  <c r="I7" i="10" s="1"/>
  <c r="G26" i="10"/>
  <c r="G22" i="10"/>
  <c r="G18" i="10"/>
  <c r="H23" i="12"/>
  <c r="H15" i="12" s="1"/>
  <c r="AF23" i="12"/>
  <c r="AF15" i="12" s="1"/>
  <c r="AB23" i="12"/>
  <c r="AB15" i="12" s="1"/>
  <c r="X23" i="12"/>
  <c r="X15" i="12" s="1"/>
  <c r="T23" i="12"/>
  <c r="T15" i="12" s="1"/>
  <c r="P23" i="12"/>
  <c r="P15" i="12" s="1"/>
  <c r="L23" i="12"/>
  <c r="L15" i="12" s="1"/>
  <c r="G14" i="10"/>
  <c r="H14" i="10" s="1"/>
  <c r="G25" i="10"/>
  <c r="H25" i="10" s="1"/>
  <c r="I25" i="10" s="1"/>
  <c r="G24" i="10"/>
  <c r="H24" i="10" s="1"/>
  <c r="I24" i="10" s="1"/>
  <c r="G23" i="10"/>
  <c r="H23" i="10" s="1"/>
  <c r="I23" i="10" s="1"/>
  <c r="G21" i="10"/>
  <c r="H21" i="10" s="1"/>
  <c r="I21" i="10" s="1"/>
  <c r="G20" i="10"/>
  <c r="H20" i="10" s="1"/>
  <c r="I20" i="10" s="1"/>
  <c r="G19" i="10"/>
  <c r="H19" i="10" s="1"/>
  <c r="I19" i="10" s="1"/>
  <c r="G17" i="10"/>
  <c r="H17" i="10" s="1"/>
  <c r="I17" i="10" s="1"/>
  <c r="G16" i="10"/>
  <c r="H16" i="10" s="1"/>
  <c r="I16" i="10" s="1"/>
  <c r="G15" i="10"/>
  <c r="H15" i="10" s="1"/>
  <c r="I15" i="10" s="1"/>
  <c r="G13" i="10"/>
  <c r="H13" i="10" s="1"/>
  <c r="I13" i="10" s="1"/>
  <c r="G12" i="10"/>
  <c r="H12" i="10" s="1"/>
  <c r="I12" i="10" s="1"/>
  <c r="G11" i="10"/>
  <c r="H11" i="10" s="1"/>
  <c r="L26" i="10"/>
  <c r="M26" i="10" s="1"/>
  <c r="L25" i="10"/>
  <c r="M25" i="10"/>
  <c r="L24" i="10"/>
  <c r="L23" i="10"/>
  <c r="L22" i="10"/>
  <c r="L21" i="10"/>
  <c r="M24" i="10" s="1"/>
  <c r="L20" i="10"/>
  <c r="L19" i="10"/>
  <c r="M18" i="10" s="1"/>
  <c r="M14" i="10"/>
  <c r="M22" i="10"/>
  <c r="M23" i="10"/>
  <c r="M19" i="10"/>
  <c r="M13" i="10"/>
  <c r="AG38" i="5" l="1"/>
  <c r="AG42" i="5"/>
  <c r="AG46" i="5"/>
  <c r="AG50" i="5"/>
  <c r="AG54" i="5"/>
  <c r="AG58" i="5"/>
  <c r="AG62" i="5"/>
  <c r="AG66" i="5"/>
  <c r="AG70" i="5"/>
  <c r="AG74" i="5"/>
  <c r="AG78" i="5"/>
  <c r="AG82" i="5"/>
  <c r="AG86" i="5"/>
  <c r="AG90" i="5"/>
  <c r="AG94" i="5"/>
  <c r="AG98" i="5"/>
  <c r="AG102" i="5"/>
  <c r="AG106" i="5"/>
  <c r="AG37" i="5"/>
  <c r="AG45" i="5"/>
  <c r="AG53" i="5"/>
  <c r="AG61" i="5"/>
  <c r="AG69" i="5"/>
  <c r="AG77" i="5"/>
  <c r="AG85" i="5"/>
  <c r="AG93" i="5"/>
  <c r="AG101" i="5"/>
  <c r="AG39" i="5"/>
  <c r="AG43" i="5"/>
  <c r="AG47" i="5"/>
  <c r="AG51" i="5"/>
  <c r="AG55" i="5"/>
  <c r="AG59" i="5"/>
  <c r="AG63" i="5"/>
  <c r="AG67" i="5"/>
  <c r="AG71" i="5"/>
  <c r="AG75" i="5"/>
  <c r="AG79" i="5"/>
  <c r="AG83" i="5"/>
  <c r="AG87" i="5"/>
  <c r="AG91" i="5"/>
  <c r="AG95" i="5"/>
  <c r="AG99" i="5"/>
  <c r="AG103" i="5"/>
  <c r="AG41" i="5"/>
  <c r="AG49" i="5"/>
  <c r="AG57" i="5"/>
  <c r="AG65" i="5"/>
  <c r="AG73" i="5"/>
  <c r="AG81" i="5"/>
  <c r="AG89" i="5"/>
  <c r="AG97" i="5"/>
  <c r="AG105" i="5"/>
  <c r="AG40" i="5"/>
  <c r="AG44" i="5"/>
  <c r="AG48" i="5"/>
  <c r="AG52" i="5"/>
  <c r="AG56" i="5"/>
  <c r="AG60" i="5"/>
  <c r="AG64" i="5"/>
  <c r="AG68" i="5"/>
  <c r="AG72" i="5"/>
  <c r="AG76" i="5"/>
  <c r="AG80" i="5"/>
  <c r="AG84" i="5"/>
  <c r="AG88" i="5"/>
  <c r="AG92" i="5"/>
  <c r="AG96" i="5"/>
  <c r="AG100" i="5"/>
  <c r="AG104" i="5"/>
  <c r="AG8" i="5"/>
  <c r="AG12" i="5"/>
  <c r="AG16" i="5"/>
  <c r="AG20" i="5"/>
  <c r="AG24" i="5"/>
  <c r="AG28" i="5"/>
  <c r="AG32" i="5"/>
  <c r="AG36" i="5"/>
  <c r="AG10" i="5"/>
  <c r="AG14" i="5"/>
  <c r="AG18" i="5"/>
  <c r="AG22" i="5"/>
  <c r="AG26" i="5"/>
  <c r="AG30" i="5"/>
  <c r="AG34" i="5"/>
  <c r="AG11" i="5"/>
  <c r="AG15" i="5"/>
  <c r="AG19" i="5"/>
  <c r="AG23" i="5"/>
  <c r="AG27" i="5"/>
  <c r="AG31" i="5"/>
  <c r="AG35" i="5"/>
  <c r="AG7" i="5"/>
  <c r="AU7" i="5" s="1"/>
  <c r="AG9" i="5"/>
  <c r="AG13" i="5"/>
  <c r="AG17" i="5"/>
  <c r="AG21" i="5"/>
  <c r="AG25" i="5"/>
  <c r="AG29" i="5"/>
  <c r="AG33" i="5"/>
  <c r="M15" i="10"/>
  <c r="M17" i="10"/>
  <c r="M10" i="10"/>
  <c r="H22" i="10"/>
  <c r="M7" i="10"/>
  <c r="M8" i="10"/>
  <c r="M11" i="10"/>
  <c r="H26" i="10"/>
  <c r="I11" i="10"/>
  <c r="H18" i="10"/>
  <c r="M16" i="10"/>
  <c r="M21" i="10"/>
  <c r="M12" i="10"/>
  <c r="M9" i="10"/>
  <c r="AH23" i="12"/>
  <c r="AH15" i="12" s="1"/>
  <c r="AL23" i="12"/>
  <c r="AL15" i="12" s="1"/>
  <c r="W1" i="5"/>
  <c r="G25" i="5" s="1"/>
  <c r="AJ23" i="12"/>
  <c r="AJ15" i="12" s="1"/>
  <c r="AK23" i="12"/>
  <c r="AK15" i="12" s="1"/>
  <c r="AG23" i="12"/>
  <c r="AG15" i="12" s="1"/>
  <c r="G24" i="5"/>
  <c r="N6" i="5" s="1"/>
  <c r="AI23" i="12"/>
  <c r="AI15" i="12" s="1"/>
  <c r="I27" i="10"/>
  <c r="AU8" i="5" l="1"/>
  <c r="AV7" i="5"/>
  <c r="X7" i="5"/>
  <c r="O7" i="5"/>
  <c r="AA7" i="5"/>
  <c r="K6" i="5"/>
  <c r="D27" i="10"/>
  <c r="H27" i="10"/>
  <c r="G27" i="5" s="1"/>
  <c r="M27" i="10"/>
  <c r="N1" i="5"/>
  <c r="AM15" i="12"/>
  <c r="AN15" i="12" s="1"/>
  <c r="B15" i="12" s="1"/>
  <c r="AU9" i="5" l="1"/>
  <c r="AV8" i="5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AL7" i="5"/>
  <c r="X8" i="5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AM7" i="5"/>
  <c r="AN7" i="5"/>
  <c r="AA8" i="5"/>
  <c r="G28" i="5"/>
  <c r="K1" i="5"/>
  <c r="G26" i="5" s="1"/>
  <c r="AU10" i="5" l="1"/>
  <c r="AV9" i="5"/>
  <c r="AL8" i="5"/>
  <c r="G29" i="5"/>
  <c r="AM8" i="5"/>
  <c r="AA9" i="5"/>
  <c r="AN8" i="5"/>
  <c r="AL9" i="5"/>
  <c r="AM9" i="5"/>
  <c r="G16" i="5"/>
  <c r="G18" i="5" s="1"/>
  <c r="AU11" i="5" l="1"/>
  <c r="AV10" i="5"/>
  <c r="AL10" i="5"/>
  <c r="AM10" i="5"/>
  <c r="AA10" i="5"/>
  <c r="AN9" i="5"/>
  <c r="AU12" i="5" l="1"/>
  <c r="AV11" i="5"/>
  <c r="AM11" i="5"/>
  <c r="AL11" i="5"/>
  <c r="AA11" i="5"/>
  <c r="AN10" i="5"/>
  <c r="AU13" i="5" l="1"/>
  <c r="AV12" i="5"/>
  <c r="AL12" i="5"/>
  <c r="AA12" i="5"/>
  <c r="AN11" i="5"/>
  <c r="AM12" i="5"/>
  <c r="AU14" i="5" l="1"/>
  <c r="AV13" i="5"/>
  <c r="AA13" i="5"/>
  <c r="AN12" i="5"/>
  <c r="AM13" i="5"/>
  <c r="AL13" i="5"/>
  <c r="AU15" i="5" l="1"/>
  <c r="AV14" i="5"/>
  <c r="AM14" i="5"/>
  <c r="AL14" i="5"/>
  <c r="AA14" i="5"/>
  <c r="AN13" i="5"/>
  <c r="AU16" i="5" l="1"/>
  <c r="AV15" i="5"/>
  <c r="AL15" i="5"/>
  <c r="AA15" i="5"/>
  <c r="AN14" i="5"/>
  <c r="AM15" i="5"/>
  <c r="AU17" i="5" l="1"/>
  <c r="AV16" i="5"/>
  <c r="AA16" i="5"/>
  <c r="AN15" i="5"/>
  <c r="AM16" i="5"/>
  <c r="AL16" i="5"/>
  <c r="AU18" i="5" l="1"/>
  <c r="AV17" i="5"/>
  <c r="AM17" i="5"/>
  <c r="AL17" i="5"/>
  <c r="AA17" i="5"/>
  <c r="AN16" i="5"/>
  <c r="AU19" i="5" l="1"/>
  <c r="AV18" i="5"/>
  <c r="AL18" i="5"/>
  <c r="AA18" i="5"/>
  <c r="AN17" i="5"/>
  <c r="AM18" i="5"/>
  <c r="AU20" i="5" l="1"/>
  <c r="AV19" i="5"/>
  <c r="AN18" i="5"/>
  <c r="AA19" i="5"/>
  <c r="AM19" i="5"/>
  <c r="AL19" i="5"/>
  <c r="AU21" i="5" l="1"/>
  <c r="AV20" i="5"/>
  <c r="AM20" i="5"/>
  <c r="AA20" i="5"/>
  <c r="AN19" i="5"/>
  <c r="AL20" i="5"/>
  <c r="AU22" i="5" l="1"/>
  <c r="AV21" i="5"/>
  <c r="AA21" i="5"/>
  <c r="AN20" i="5"/>
  <c r="AL21" i="5"/>
  <c r="AM21" i="5"/>
  <c r="AU23" i="5" l="1"/>
  <c r="AV22" i="5"/>
  <c r="AL22" i="5"/>
  <c r="AM22" i="5"/>
  <c r="AA22" i="5"/>
  <c r="AN21" i="5"/>
  <c r="AU24" i="5" l="1"/>
  <c r="AV23" i="5"/>
  <c r="AM23" i="5"/>
  <c r="AN22" i="5"/>
  <c r="AA23" i="5"/>
  <c r="AL23" i="5"/>
  <c r="AU25" i="5" l="1"/>
  <c r="AV24" i="5"/>
  <c r="AA24" i="5"/>
  <c r="AN23" i="5"/>
  <c r="AM24" i="5"/>
  <c r="AL24" i="5"/>
  <c r="AU26" i="5" l="1"/>
  <c r="AV25" i="5"/>
  <c r="AM25" i="5"/>
  <c r="AL25" i="5"/>
  <c r="AA25" i="5"/>
  <c r="AN24" i="5"/>
  <c r="AU27" i="5" l="1"/>
  <c r="AV26" i="5"/>
  <c r="AL26" i="5"/>
  <c r="AA26" i="5"/>
  <c r="AN25" i="5"/>
  <c r="AM26" i="5"/>
  <c r="AU28" i="5" l="1"/>
  <c r="AV27" i="5"/>
  <c r="AA27" i="5"/>
  <c r="AN26" i="5"/>
  <c r="AM27" i="5"/>
  <c r="AL27" i="5"/>
  <c r="AU29" i="5" l="1"/>
  <c r="AV28" i="5"/>
  <c r="AM28" i="5"/>
  <c r="AL28" i="5"/>
  <c r="AA28" i="5"/>
  <c r="AN27" i="5"/>
  <c r="AU30" i="5" l="1"/>
  <c r="AV29" i="5"/>
  <c r="AL29" i="5"/>
  <c r="AA29" i="5"/>
  <c r="AN28" i="5"/>
  <c r="AM29" i="5"/>
  <c r="AU31" i="5" l="1"/>
  <c r="AV30" i="5"/>
  <c r="AA30" i="5"/>
  <c r="AN29" i="5"/>
  <c r="AL30" i="5"/>
  <c r="AM30" i="5"/>
  <c r="AU32" i="5" l="1"/>
  <c r="AV31" i="5"/>
  <c r="AL31" i="5"/>
  <c r="AM31" i="5"/>
  <c r="AA31" i="5"/>
  <c r="AN30" i="5"/>
  <c r="AU33" i="5" l="1"/>
  <c r="AV32" i="5"/>
  <c r="AM32" i="5"/>
  <c r="AA32" i="5"/>
  <c r="AN31" i="5"/>
  <c r="AL32" i="5"/>
  <c r="AU34" i="5" l="1"/>
  <c r="AV33" i="5"/>
  <c r="AA33" i="5"/>
  <c r="AN32" i="5"/>
  <c r="AL33" i="5"/>
  <c r="AM33" i="5"/>
  <c r="AU35" i="5" l="1"/>
  <c r="AV34" i="5"/>
  <c r="AL34" i="5"/>
  <c r="AM34" i="5"/>
  <c r="AA34" i="5"/>
  <c r="AN33" i="5"/>
  <c r="AU36" i="5" l="1"/>
  <c r="AV35" i="5"/>
  <c r="AM35" i="5"/>
  <c r="AA35" i="5"/>
  <c r="AN34" i="5"/>
  <c r="AL35" i="5"/>
  <c r="AU37" i="5" l="1"/>
  <c r="AV36" i="5"/>
  <c r="AA36" i="5"/>
  <c r="AN35" i="5"/>
  <c r="AL36" i="5"/>
  <c r="AM36" i="5"/>
  <c r="AU38" i="5" l="1"/>
  <c r="AV37" i="5"/>
  <c r="AL37" i="5"/>
  <c r="AM37" i="5"/>
  <c r="AA37" i="5"/>
  <c r="AN36" i="5"/>
  <c r="AU39" i="5" l="1"/>
  <c r="AV38" i="5"/>
  <c r="AM38" i="5"/>
  <c r="AA38" i="5"/>
  <c r="AN37" i="5"/>
  <c r="AL38" i="5"/>
  <c r="AU40" i="5" l="1"/>
  <c r="AV39" i="5"/>
  <c r="AA39" i="5"/>
  <c r="AN38" i="5"/>
  <c r="AL39" i="5"/>
  <c r="AM39" i="5"/>
  <c r="AU41" i="5" l="1"/>
  <c r="AV40" i="5"/>
  <c r="AL40" i="5"/>
  <c r="AM40" i="5"/>
  <c r="AA40" i="5"/>
  <c r="AN39" i="5"/>
  <c r="AU42" i="5" l="1"/>
  <c r="AV41" i="5"/>
  <c r="AM41" i="5"/>
  <c r="AA41" i="5"/>
  <c r="AN40" i="5"/>
  <c r="AL41" i="5"/>
  <c r="AU43" i="5" l="1"/>
  <c r="AV42" i="5"/>
  <c r="AA42" i="5"/>
  <c r="AN41" i="5"/>
  <c r="AL42" i="5"/>
  <c r="AM42" i="5"/>
  <c r="AU44" i="5" l="1"/>
  <c r="AV43" i="5"/>
  <c r="AL43" i="5"/>
  <c r="AM43" i="5"/>
  <c r="AA43" i="5"/>
  <c r="AN42" i="5"/>
  <c r="AU45" i="5" l="1"/>
  <c r="AV44" i="5"/>
  <c r="AM44" i="5"/>
  <c r="AA44" i="5"/>
  <c r="AN43" i="5"/>
  <c r="AL44" i="5"/>
  <c r="AU46" i="5" l="1"/>
  <c r="AV45" i="5"/>
  <c r="AN44" i="5"/>
  <c r="AA45" i="5"/>
  <c r="AL45" i="5"/>
  <c r="AM45" i="5"/>
  <c r="AU47" i="5" l="1"/>
  <c r="AV46" i="5"/>
  <c r="AL46" i="5"/>
  <c r="AM46" i="5"/>
  <c r="AA46" i="5"/>
  <c r="AN45" i="5"/>
  <c r="AU48" i="5" l="1"/>
  <c r="AV47" i="5"/>
  <c r="AM47" i="5"/>
  <c r="AL47" i="5"/>
  <c r="AA47" i="5"/>
  <c r="AN46" i="5"/>
  <c r="AU49" i="5" l="1"/>
  <c r="AV48" i="5"/>
  <c r="AL48" i="5"/>
  <c r="AM48" i="5"/>
  <c r="AA48" i="5"/>
  <c r="AN47" i="5"/>
  <c r="AU50" i="5" l="1"/>
  <c r="AV49" i="5"/>
  <c r="AM49" i="5"/>
  <c r="AA49" i="5"/>
  <c r="AN48" i="5"/>
  <c r="AL49" i="5"/>
  <c r="AU51" i="5" l="1"/>
  <c r="AV50" i="5"/>
  <c r="AA50" i="5"/>
  <c r="AN49" i="5"/>
  <c r="AL50" i="5"/>
  <c r="AM50" i="5"/>
  <c r="AU52" i="5" l="1"/>
  <c r="AV51" i="5"/>
  <c r="AL51" i="5"/>
  <c r="AM51" i="5"/>
  <c r="AA51" i="5"/>
  <c r="AN50" i="5"/>
  <c r="AU53" i="5" l="1"/>
  <c r="AV52" i="5"/>
  <c r="AM52" i="5"/>
  <c r="AA52" i="5"/>
  <c r="AN51" i="5"/>
  <c r="AL52" i="5"/>
  <c r="AU54" i="5" l="1"/>
  <c r="AV53" i="5"/>
  <c r="AA53" i="5"/>
  <c r="AN52" i="5"/>
  <c r="AM53" i="5"/>
  <c r="AL53" i="5"/>
  <c r="AU55" i="5" l="1"/>
  <c r="AV54" i="5"/>
  <c r="AM54" i="5"/>
  <c r="AL54" i="5"/>
  <c r="AA54" i="5"/>
  <c r="AN53" i="5"/>
  <c r="AU56" i="5" l="1"/>
  <c r="AV55" i="5"/>
  <c r="AL55" i="5"/>
  <c r="AN54" i="5"/>
  <c r="AA55" i="5"/>
  <c r="AM55" i="5"/>
  <c r="AU57" i="5" l="1"/>
  <c r="AV56" i="5"/>
  <c r="AA56" i="5"/>
  <c r="AN55" i="5"/>
  <c r="AM56" i="5"/>
  <c r="AL56" i="5"/>
  <c r="AU58" i="5" l="1"/>
  <c r="AV57" i="5"/>
  <c r="AM57" i="5"/>
  <c r="AL57" i="5"/>
  <c r="AA57" i="5"/>
  <c r="AN56" i="5"/>
  <c r="AU59" i="5" l="1"/>
  <c r="AV58" i="5"/>
  <c r="AL58" i="5"/>
  <c r="AA58" i="5"/>
  <c r="AN57" i="5"/>
  <c r="AM58" i="5"/>
  <c r="AU60" i="5" l="1"/>
  <c r="AV59" i="5"/>
  <c r="AA59" i="5"/>
  <c r="AN58" i="5"/>
  <c r="AM59" i="5"/>
  <c r="AL59" i="5"/>
  <c r="AU61" i="5" l="1"/>
  <c r="AV60" i="5"/>
  <c r="AM60" i="5"/>
  <c r="AL60" i="5"/>
  <c r="AA60" i="5"/>
  <c r="AN59" i="5"/>
  <c r="AU62" i="5" l="1"/>
  <c r="AV61" i="5"/>
  <c r="AL61" i="5"/>
  <c r="AA61" i="5"/>
  <c r="AN60" i="5"/>
  <c r="AM61" i="5"/>
  <c r="AU63" i="5" l="1"/>
  <c r="AV62" i="5"/>
  <c r="AA62" i="5"/>
  <c r="AN61" i="5"/>
  <c r="AM62" i="5"/>
  <c r="AL62" i="5"/>
  <c r="AU64" i="5" l="1"/>
  <c r="AV63" i="5"/>
  <c r="AM63" i="5"/>
  <c r="AL63" i="5"/>
  <c r="AA63" i="5"/>
  <c r="AN62" i="5"/>
  <c r="AU65" i="5" l="1"/>
  <c r="AV64" i="5"/>
  <c r="AL64" i="5"/>
  <c r="AA64" i="5"/>
  <c r="AN63" i="5"/>
  <c r="AM64" i="5"/>
  <c r="AU66" i="5" l="1"/>
  <c r="AV65" i="5"/>
  <c r="AA65" i="5"/>
  <c r="AN64" i="5"/>
  <c r="AM65" i="5"/>
  <c r="AL65" i="5"/>
  <c r="AU67" i="5" l="1"/>
  <c r="AV66" i="5"/>
  <c r="AM66" i="5"/>
  <c r="AL66" i="5"/>
  <c r="AA66" i="5"/>
  <c r="AN65" i="5"/>
  <c r="AU68" i="5" l="1"/>
  <c r="AV67" i="5"/>
  <c r="AL67" i="5"/>
  <c r="AA67" i="5"/>
  <c r="AN66" i="5"/>
  <c r="AM67" i="5"/>
  <c r="AU69" i="5" l="1"/>
  <c r="AV68" i="5"/>
  <c r="AA68" i="5"/>
  <c r="AN67" i="5"/>
  <c r="AM68" i="5"/>
  <c r="AL68" i="5"/>
  <c r="AU70" i="5" l="1"/>
  <c r="AV69" i="5"/>
  <c r="AM69" i="5"/>
  <c r="AL69" i="5"/>
  <c r="AA69" i="5"/>
  <c r="AN68" i="5"/>
  <c r="AU71" i="5" l="1"/>
  <c r="AV70" i="5"/>
  <c r="AL70" i="5"/>
  <c r="AN69" i="5"/>
  <c r="AA70" i="5"/>
  <c r="AM70" i="5"/>
  <c r="AU72" i="5" l="1"/>
  <c r="AV71" i="5"/>
  <c r="AA71" i="5"/>
  <c r="AN70" i="5"/>
  <c r="AM71" i="5"/>
  <c r="AL71" i="5"/>
  <c r="AU73" i="5" l="1"/>
  <c r="AV72" i="5"/>
  <c r="AM72" i="5"/>
  <c r="AL72" i="5"/>
  <c r="AA72" i="5"/>
  <c r="AN71" i="5"/>
  <c r="AU74" i="5" l="1"/>
  <c r="AV73" i="5"/>
  <c r="AL73" i="5"/>
  <c r="AA73" i="5"/>
  <c r="AN72" i="5"/>
  <c r="AM73" i="5"/>
  <c r="AU75" i="5" l="1"/>
  <c r="AV74" i="5"/>
  <c r="AA74" i="5"/>
  <c r="AN73" i="5"/>
  <c r="AM74" i="5"/>
  <c r="AL74" i="5"/>
  <c r="AU76" i="5" l="1"/>
  <c r="AV75" i="5"/>
  <c r="AM75" i="5"/>
  <c r="AL75" i="5"/>
  <c r="AA75" i="5"/>
  <c r="AN74" i="5"/>
  <c r="AU77" i="5" l="1"/>
  <c r="AV76" i="5"/>
  <c r="AL76" i="5"/>
  <c r="AN75" i="5"/>
  <c r="AA76" i="5"/>
  <c r="AM76" i="5"/>
  <c r="AU78" i="5" l="1"/>
  <c r="AV77" i="5"/>
  <c r="AA77" i="5"/>
  <c r="AN76" i="5"/>
  <c r="AM77" i="5"/>
  <c r="AL77" i="5"/>
  <c r="AU79" i="5" l="1"/>
  <c r="AV78" i="5"/>
  <c r="AM78" i="5"/>
  <c r="AL78" i="5"/>
  <c r="AA78" i="5"/>
  <c r="AN77" i="5"/>
  <c r="AU80" i="5" l="1"/>
  <c r="AV79" i="5"/>
  <c r="AL79" i="5"/>
  <c r="AA79" i="5"/>
  <c r="AN78" i="5"/>
  <c r="AM79" i="5"/>
  <c r="AU81" i="5" l="1"/>
  <c r="AV80" i="5"/>
  <c r="AA80" i="5"/>
  <c r="AN79" i="5"/>
  <c r="AM80" i="5"/>
  <c r="AL80" i="5"/>
  <c r="AU82" i="5" l="1"/>
  <c r="AV81" i="5"/>
  <c r="AM81" i="5"/>
  <c r="AL81" i="5"/>
  <c r="AA81" i="5"/>
  <c r="AN80" i="5"/>
  <c r="AU83" i="5" l="1"/>
  <c r="AV82" i="5"/>
  <c r="AL82" i="5"/>
  <c r="AA82" i="5"/>
  <c r="AN81" i="5"/>
  <c r="AM82" i="5"/>
  <c r="AU84" i="5" l="1"/>
  <c r="AV83" i="5"/>
  <c r="AA83" i="5"/>
  <c r="AN82" i="5"/>
  <c r="AM83" i="5"/>
  <c r="AL83" i="5"/>
  <c r="AU85" i="5" l="1"/>
  <c r="AV84" i="5"/>
  <c r="AM84" i="5"/>
  <c r="AL84" i="5"/>
  <c r="AA84" i="5"/>
  <c r="AN83" i="5"/>
  <c r="AU86" i="5" l="1"/>
  <c r="AV85" i="5"/>
  <c r="AL85" i="5"/>
  <c r="AA85" i="5"/>
  <c r="AN84" i="5"/>
  <c r="AM85" i="5"/>
  <c r="AU87" i="5" l="1"/>
  <c r="AV86" i="5"/>
  <c r="AA86" i="5"/>
  <c r="AN85" i="5"/>
  <c r="AM86" i="5"/>
  <c r="AL86" i="5"/>
  <c r="AU88" i="5" l="1"/>
  <c r="AV87" i="5"/>
  <c r="AM87" i="5"/>
  <c r="AL87" i="5"/>
  <c r="AA87" i="5"/>
  <c r="AN86" i="5"/>
  <c r="AU89" i="5" l="1"/>
  <c r="AV88" i="5"/>
  <c r="AL88" i="5"/>
  <c r="AA88" i="5"/>
  <c r="AN87" i="5"/>
  <c r="AM88" i="5"/>
  <c r="AU90" i="5" l="1"/>
  <c r="AV89" i="5"/>
  <c r="AA89" i="5"/>
  <c r="AN88" i="5"/>
  <c r="AM89" i="5"/>
  <c r="AL89" i="5"/>
  <c r="AU91" i="5" l="1"/>
  <c r="AV90" i="5"/>
  <c r="AM90" i="5"/>
  <c r="AL90" i="5"/>
  <c r="AA90" i="5"/>
  <c r="AN89" i="5"/>
  <c r="AU92" i="5" l="1"/>
  <c r="AV91" i="5"/>
  <c r="AL91" i="5"/>
  <c r="AA91" i="5"/>
  <c r="AN90" i="5"/>
  <c r="AM91" i="5"/>
  <c r="AU93" i="5" l="1"/>
  <c r="AV92" i="5"/>
  <c r="AA92" i="5"/>
  <c r="AN91" i="5"/>
  <c r="AM92" i="5"/>
  <c r="AL92" i="5"/>
  <c r="AU94" i="5" l="1"/>
  <c r="AV93" i="5"/>
  <c r="AM93" i="5"/>
  <c r="AL93" i="5"/>
  <c r="AA93" i="5"/>
  <c r="AN92" i="5"/>
  <c r="AU95" i="5" l="1"/>
  <c r="AV94" i="5"/>
  <c r="AL94" i="5"/>
  <c r="AA94" i="5"/>
  <c r="AN93" i="5"/>
  <c r="AM94" i="5"/>
  <c r="AU96" i="5" l="1"/>
  <c r="AV95" i="5"/>
  <c r="AA95" i="5"/>
  <c r="AN94" i="5"/>
  <c r="AM95" i="5"/>
  <c r="AL95" i="5"/>
  <c r="AU97" i="5" l="1"/>
  <c r="AV96" i="5"/>
  <c r="AM96" i="5"/>
  <c r="AL96" i="5"/>
  <c r="AA96" i="5"/>
  <c r="AN95" i="5"/>
  <c r="AU98" i="5" l="1"/>
  <c r="AV97" i="5"/>
  <c r="AL97" i="5"/>
  <c r="AA97" i="5"/>
  <c r="AN96" i="5"/>
  <c r="AM97" i="5"/>
  <c r="AU99" i="5" l="1"/>
  <c r="AV98" i="5"/>
  <c r="AA98" i="5"/>
  <c r="AN97" i="5"/>
  <c r="AM98" i="5"/>
  <c r="AL98" i="5"/>
  <c r="AU100" i="5" l="1"/>
  <c r="AV99" i="5"/>
  <c r="AM99" i="5"/>
  <c r="AL99" i="5"/>
  <c r="AA99" i="5"/>
  <c r="AN98" i="5"/>
  <c r="AU101" i="5" l="1"/>
  <c r="AV100" i="5"/>
  <c r="AL100" i="5"/>
  <c r="AA100" i="5"/>
  <c r="AN99" i="5"/>
  <c r="AM100" i="5"/>
  <c r="AU102" i="5" l="1"/>
  <c r="AV101" i="5"/>
  <c r="AA101" i="5"/>
  <c r="AN100" i="5"/>
  <c r="AM101" i="5"/>
  <c r="AL101" i="5"/>
  <c r="AU103" i="5" l="1"/>
  <c r="AV102" i="5"/>
  <c r="AM102" i="5"/>
  <c r="AL102" i="5"/>
  <c r="AA102" i="5"/>
  <c r="AN101" i="5"/>
  <c r="AU104" i="5" l="1"/>
  <c r="AV103" i="5"/>
  <c r="AL103" i="5"/>
  <c r="AA103" i="5"/>
  <c r="AN102" i="5"/>
  <c r="AM103" i="5"/>
  <c r="AU105" i="5" l="1"/>
  <c r="AV104" i="5"/>
  <c r="AA104" i="5"/>
  <c r="AN103" i="5"/>
  <c r="AM104" i="5"/>
  <c r="AL104" i="5"/>
  <c r="AU106" i="5" l="1"/>
  <c r="AV105" i="5"/>
  <c r="AM105" i="5"/>
  <c r="AL105" i="5"/>
  <c r="AA105" i="5"/>
  <c r="AN104" i="5"/>
  <c r="AU107" i="5" l="1"/>
  <c r="AV106" i="5"/>
  <c r="AL106" i="5"/>
  <c r="AA106" i="5"/>
  <c r="AN105" i="5"/>
  <c r="AM106" i="5"/>
  <c r="AU108" i="5" l="1"/>
  <c r="AV107" i="5"/>
  <c r="AA107" i="5"/>
  <c r="AN106" i="5"/>
  <c r="AU109" i="5" l="1"/>
  <c r="AV108" i="5"/>
  <c r="AA108" i="5"/>
  <c r="AU110" i="5" l="1"/>
  <c r="AV109" i="5"/>
  <c r="AA109" i="5"/>
  <c r="AU111" i="5" l="1"/>
  <c r="AV110" i="5"/>
  <c r="AA110" i="5"/>
  <c r="AU112" i="5" l="1"/>
  <c r="AV111" i="5"/>
  <c r="AA111" i="5"/>
  <c r="AU113" i="5" l="1"/>
  <c r="AV112" i="5"/>
  <c r="AA112" i="5"/>
  <c r="AU114" i="5" l="1"/>
  <c r="AV113" i="5"/>
  <c r="AA113" i="5"/>
  <c r="AU115" i="5" l="1"/>
  <c r="AV114" i="5"/>
  <c r="AA114" i="5"/>
  <c r="AU116" i="5" l="1"/>
  <c r="AV115" i="5"/>
  <c r="AA115" i="5"/>
  <c r="AU117" i="5" l="1"/>
  <c r="AV116" i="5"/>
  <c r="AA116" i="5"/>
  <c r="AU118" i="5" l="1"/>
  <c r="AV117" i="5"/>
  <c r="AA117" i="5"/>
  <c r="AU119" i="5" l="1"/>
  <c r="AV118" i="5"/>
  <c r="AA118" i="5"/>
  <c r="AU120" i="5" l="1"/>
  <c r="AV119" i="5"/>
  <c r="AA119" i="5"/>
  <c r="AU121" i="5" l="1"/>
  <c r="AV120" i="5"/>
  <c r="AA120" i="5"/>
  <c r="AU122" i="5" l="1"/>
  <c r="AV121" i="5"/>
  <c r="AA121" i="5"/>
  <c r="AU123" i="5" l="1"/>
  <c r="AV122" i="5"/>
  <c r="AA122" i="5"/>
  <c r="AU124" i="5" l="1"/>
  <c r="AV123" i="5"/>
  <c r="AA123" i="5"/>
  <c r="AU125" i="5" l="1"/>
  <c r="AV124" i="5"/>
  <c r="AA124" i="5"/>
  <c r="AU126" i="5" l="1"/>
  <c r="AV126" i="5" s="1"/>
  <c r="AV125" i="5"/>
  <c r="AA125" i="5"/>
  <c r="Q6" i="5" l="1"/>
  <c r="Q1" i="5" s="1"/>
  <c r="P6" i="5"/>
  <c r="P1" i="5" s="1"/>
  <c r="G30" i="5" s="1"/>
  <c r="G31" i="5" s="1"/>
  <c r="G32" i="5" s="1"/>
  <c r="AM2" i="5"/>
  <c r="G39" i="5" s="1"/>
  <c r="AL2" i="5"/>
  <c r="G38" i="5" s="1"/>
  <c r="AA126" i="5"/>
  <c r="G34" i="5" l="1"/>
  <c r="G35" i="5"/>
  <c r="Q6" i="10" s="1"/>
  <c r="AN2" i="5"/>
  <c r="G40" i="5" s="1"/>
</calcChain>
</file>

<file path=xl/comments1.xml><?xml version="1.0" encoding="utf-8"?>
<comments xmlns="http://schemas.openxmlformats.org/spreadsheetml/2006/main">
  <authors>
    <author>Gilbert CHIN (MAS)</author>
    <author>MAS</author>
  </authors>
  <commentList>
    <comment ref="AG3" authorId="0" shapeId="0">
      <text>
        <r>
          <rPr>
            <b/>
            <sz val="8"/>
            <color indexed="81"/>
            <rFont val="Tahoma"/>
            <family val="2"/>
          </rPr>
          <t>MAS:</t>
        </r>
        <r>
          <rPr>
            <sz val="8"/>
            <color indexed="81"/>
            <rFont val="Tahoma"/>
            <family val="2"/>
          </rPr>
          <t xml:space="preserve">
Where the MA portfolio comprises both SGD and USD products, a weighted average forward rates should be used</t>
        </r>
      </text>
    </comment>
    <comment ref="T4" authorId="1" shapeId="0">
      <text>
        <r>
          <rPr>
            <b/>
            <sz val="8"/>
            <color indexed="81"/>
            <rFont val="Tahoma"/>
            <family val="2"/>
          </rPr>
          <t>MAS:</t>
        </r>
        <r>
          <rPr>
            <sz val="8"/>
            <color indexed="81"/>
            <rFont val="Tahoma"/>
            <family val="2"/>
          </rPr>
          <t xml:space="preserve">
Where there are assets meeting guaranteed benefits that are denominated in a different currency from liabilities, and where no currency swap has been put in place</t>
        </r>
      </text>
    </comment>
  </commentList>
</comments>
</file>

<file path=xl/comments2.xml><?xml version="1.0" encoding="utf-8"?>
<comments xmlns="http://schemas.openxmlformats.org/spreadsheetml/2006/main">
  <authors>
    <author>Gilbert</author>
    <author>mas_raymondchan</author>
  </authors>
  <commentList>
    <comment ref="D6" authorId="0" shapeId="0">
      <text>
        <r>
          <rPr>
            <b/>
            <sz val="8"/>
            <color indexed="81"/>
            <rFont val="Tahoma"/>
            <family val="2"/>
          </rPr>
          <t>MAS:</t>
        </r>
        <r>
          <rPr>
            <sz val="8"/>
            <color indexed="81"/>
            <rFont val="Tahoma"/>
            <family val="2"/>
          </rPr>
          <t xml:space="preserve">
These are sample values only
Actual values to be filled by insurer</t>
        </r>
      </text>
    </comment>
    <comment ref="K6" authorId="0" shapeId="0">
      <text>
        <r>
          <rPr>
            <b/>
            <sz val="8"/>
            <color indexed="81"/>
            <rFont val="Tahoma"/>
            <family val="2"/>
          </rPr>
          <t>MAS:</t>
        </r>
        <r>
          <rPr>
            <sz val="8"/>
            <color indexed="81"/>
            <rFont val="Tahoma"/>
            <family val="2"/>
          </rPr>
          <t xml:space="preserve">
These are sample values only
Actual values to be filled by insurer
</t>
        </r>
      </text>
    </comment>
    <comment ref="Q6" authorId="1" shapeId="0">
      <text>
        <r>
          <rPr>
            <b/>
            <sz val="8"/>
            <color indexed="81"/>
            <rFont val="Tahoma"/>
            <family val="2"/>
          </rPr>
          <t>MAS:</t>
        </r>
        <r>
          <rPr>
            <sz val="8"/>
            <color indexed="81"/>
            <rFont val="Tahoma"/>
            <family val="2"/>
          </rPr>
          <t xml:space="preserve">
This is MA' to be used in the calculation of C2 credit spread risk requirement as defined in the QIS specifications</t>
        </r>
      </text>
    </comment>
    <comment ref="S6" authorId="1" shapeId="0">
      <text>
        <r>
          <rPr>
            <b/>
            <sz val="8"/>
            <color indexed="81"/>
            <rFont val="Tahoma"/>
            <family val="2"/>
          </rPr>
          <t>MAS:</t>
        </r>
        <r>
          <rPr>
            <sz val="8"/>
            <color indexed="81"/>
            <rFont val="Tahoma"/>
            <family val="2"/>
          </rPr>
          <t xml:space="preserve">
This is the floor for the MA</t>
        </r>
      </text>
    </comment>
  </commentList>
</comments>
</file>

<file path=xl/sharedStrings.xml><?xml version="1.0" encoding="utf-8"?>
<sst xmlns="http://schemas.openxmlformats.org/spreadsheetml/2006/main" count="805" uniqueCount="366">
  <si>
    <t>Year</t>
  </si>
  <si>
    <t>AAA</t>
  </si>
  <si>
    <t>AA</t>
  </si>
  <si>
    <t>A</t>
  </si>
  <si>
    <t>BBB</t>
  </si>
  <si>
    <t>Rating</t>
  </si>
  <si>
    <t>Proportion of assets</t>
  </si>
  <si>
    <t>Duration</t>
  </si>
  <si>
    <t>Results</t>
  </si>
  <si>
    <t>% Change</t>
  </si>
  <si>
    <t>Reference Data for Matching Adjustment</t>
  </si>
  <si>
    <t>Note: Figures below in bps</t>
  </si>
  <si>
    <t>USD and SGD Currencies</t>
  </si>
  <si>
    <t>Maturity</t>
  </si>
  <si>
    <t>Cost of Default</t>
  </si>
  <si>
    <t>Cost of Downgrade</t>
  </si>
  <si>
    <t>Spread for Default and Downgrade</t>
  </si>
  <si>
    <t>[0, 5]</t>
  </si>
  <si>
    <t>PV</t>
  </si>
  <si>
    <t>Mortality</t>
  </si>
  <si>
    <t>Other insured events</t>
  </si>
  <si>
    <t>Dread Disease</t>
  </si>
  <si>
    <t>Please fill in the following:</t>
  </si>
  <si>
    <t>Note: All shocks are to be applied relative to Base</t>
  </si>
  <si>
    <t>Base</t>
  </si>
  <si>
    <t>After Disability shock</t>
  </si>
  <si>
    <t>After Dread Disease shock</t>
  </si>
  <si>
    <t>After Other insured events shock</t>
  </si>
  <si>
    <t>After Lapse shock</t>
  </si>
  <si>
    <t>Policy Liabilities</t>
  </si>
  <si>
    <t>Present Value Statistics</t>
  </si>
  <si>
    <t>Product Name</t>
  </si>
  <si>
    <t>Benefits</t>
  </si>
  <si>
    <t>Expenses</t>
  </si>
  <si>
    <t>Premiums</t>
  </si>
  <si>
    <t>e.g. Product A</t>
  </si>
  <si>
    <t>(a)</t>
  </si>
  <si>
    <t>(b)</t>
  </si>
  <si>
    <t xml:space="preserve">(c) </t>
  </si>
  <si>
    <t>(d)</t>
  </si>
  <si>
    <t xml:space="preserve">(e) </t>
  </si>
  <si>
    <t xml:space="preserve">Eligible assets are to be explicitly identified and managed separately from the other assets in the insurance fund to ensure that they are not exposed to the </t>
  </si>
  <si>
    <t xml:space="preserve">CSadj i </t>
  </si>
  <si>
    <r>
      <t>F</t>
    </r>
    <r>
      <rPr>
        <b/>
        <vertAlign val="subscript"/>
        <sz val="12"/>
        <rFont val="Times New Roman"/>
        <family val="1"/>
      </rPr>
      <t>i</t>
    </r>
  </si>
  <si>
    <t xml:space="preserve">∑ Wi * Fi * CSadj i </t>
  </si>
  <si>
    <t>Weight, Wi</t>
  </si>
  <si>
    <t>[5.001, 10]</t>
  </si>
  <si>
    <t>[10.001, 15]</t>
  </si>
  <si>
    <t>&gt;15</t>
  </si>
  <si>
    <t>Policy liabilty for eligible products where MA is applicable</t>
  </si>
  <si>
    <t>Control</t>
  </si>
  <si>
    <t>Do not modify the factors in the columns below</t>
  </si>
  <si>
    <t>Do not modify</t>
  </si>
  <si>
    <t>Do not modify the  factors  in  the columns below</t>
  </si>
  <si>
    <t>Government</t>
  </si>
  <si>
    <t>This section contains lists used in drop-down boxes - PLEASE DO NOT MODIFY THIS WORKSHEET</t>
  </si>
  <si>
    <t>Fund</t>
  </si>
  <si>
    <t>PLEASE DO NOT MODIFY THIS SHEET</t>
  </si>
  <si>
    <t>Longevity</t>
  </si>
  <si>
    <t>Disability</t>
  </si>
  <si>
    <t>Lapse</t>
  </si>
  <si>
    <t>PAD</t>
  </si>
  <si>
    <t>Negative Reserve</t>
  </si>
  <si>
    <t>After Longevity shock</t>
  </si>
  <si>
    <t>After Mortality shock</t>
  </si>
  <si>
    <t>Totals</t>
  </si>
  <si>
    <t>Please extend the formulas below to as many rows as necessary to accommodate the relevant products</t>
  </si>
  <si>
    <t>In the present value statistics below, out-flows (e.g. benefits and expenses) should be provided as positive numbers while in-flows (e.g. premiums) should be provided as negative numbers</t>
  </si>
  <si>
    <t>Status</t>
  </si>
  <si>
    <t>SIF/OIF</t>
  </si>
  <si>
    <t>SIF</t>
  </si>
  <si>
    <t>OIF</t>
  </si>
  <si>
    <t>NP</t>
  </si>
  <si>
    <t>Par</t>
  </si>
  <si>
    <t>NAME OF INSURER:</t>
  </si>
  <si>
    <t>SIF/OIF [Please Select]:</t>
  </si>
  <si>
    <t>FUND [Please Select]:</t>
  </si>
  <si>
    <t>SCENARIO:</t>
  </si>
  <si>
    <t>BASIS:</t>
  </si>
  <si>
    <t>CURRENCY:</t>
  </si>
  <si>
    <t>Before any C1 shocks, before application of PAD, and before zerorisation of negative reserves</t>
  </si>
  <si>
    <t>Components of Minimum Condition Liability - Present Value Statistics</t>
  </si>
  <si>
    <t>Source: tab Predictability Test</t>
  </si>
  <si>
    <t>YTM/Yield to First Call</t>
  </si>
  <si>
    <t>Must be 100%</t>
  </si>
  <si>
    <t>Average Yield</t>
  </si>
  <si>
    <t>Adjusted Yield1</t>
  </si>
  <si>
    <t>Adjusted Yield2</t>
  </si>
  <si>
    <t>Before BBB Adj</t>
  </si>
  <si>
    <t>After BBB Adj</t>
  </si>
  <si>
    <t>Adjustment to YTM from BBB rated bonds</t>
  </si>
  <si>
    <t xml:space="preserve">SIF/OIF:  </t>
  </si>
  <si>
    <t xml:space="preserve">FUND:  </t>
  </si>
  <si>
    <t>This should be "pass"</t>
  </si>
  <si>
    <t>Value of SGD denominated bonds supporting MA portfolio, at reporting date</t>
  </si>
  <si>
    <t>Value of USD denominated bonds supporting MA portfolio, at reporting date</t>
  </si>
  <si>
    <t>Asset cash flows can be re-allocated to later years to meet cash flow deficiencies</t>
  </si>
  <si>
    <t>Mismatch within tolerance?</t>
  </si>
  <si>
    <r>
      <t xml:space="preserve">The matching adjustment ("MA") is calculated at the MA porfolio level </t>
    </r>
    <r>
      <rPr>
        <b/>
        <sz val="11"/>
        <rFont val="Calibri"/>
        <family val="2"/>
      </rPr>
      <t xml:space="preserve">and will be applicable for valuation of all eligible products of the respective insurance fund. </t>
    </r>
  </si>
  <si>
    <r>
      <t xml:space="preserve">The </t>
    </r>
    <r>
      <rPr>
        <sz val="11"/>
        <rFont val="Calibri"/>
        <family val="2"/>
      </rPr>
      <t>foundation of the MA concept is the ability of the identified asset portfolio to sufficiently and effectively match the guaranteed cash flows of the products.</t>
    </r>
  </si>
  <si>
    <t>CURRENCY</t>
  </si>
  <si>
    <t>BASIS</t>
  </si>
  <si>
    <t>SCENARIO</t>
  </si>
  <si>
    <t>e.g. Product B</t>
  </si>
  <si>
    <t>e.g. Product C</t>
  </si>
  <si>
    <t>e.g. Product D</t>
  </si>
  <si>
    <t>e.g. Product E</t>
  </si>
  <si>
    <t>Total CFs</t>
  </si>
  <si>
    <t>IRR</t>
  </si>
  <si>
    <t>IRR of reallocated liability cash flows</t>
  </si>
  <si>
    <t>Cash flows should be net of reinsurance.</t>
  </si>
  <si>
    <t xml:space="preserve">(f) </t>
  </si>
  <si>
    <t>Step 3: Identify The eligible assets</t>
  </si>
  <si>
    <r>
      <t>Step 4</t>
    </r>
    <r>
      <rPr>
        <b/>
        <sz val="10"/>
        <rFont val="Calibri"/>
        <family val="2"/>
      </rPr>
      <t>: Meet the cash flow matching requirements</t>
    </r>
  </si>
  <si>
    <t>Step 5: Calculate the matching adjustment</t>
  </si>
  <si>
    <t>Asset yield based on reallocated cash flows</t>
  </si>
  <si>
    <t>PLEASE SUBMIT A SEPARATE WORKBOOK FOR EACH MATCHING ADJUSTMENT PORTFOLIO OF PRODUCTS</t>
  </si>
  <si>
    <t xml:space="preserve"> R_CF_Products</t>
  </si>
  <si>
    <t>O_CF_Products</t>
  </si>
  <si>
    <t>O_CF_Assets</t>
  </si>
  <si>
    <t>R_CF_Assets</t>
  </si>
  <si>
    <t>Original</t>
  </si>
  <si>
    <t>Liability cash flow</t>
  </si>
  <si>
    <t>Reallocated</t>
  </si>
  <si>
    <t>Asset cash flow</t>
  </si>
  <si>
    <t>Cash in Fund</t>
  </si>
  <si>
    <t xml:space="preserve">Cash-flow </t>
  </si>
  <si>
    <t>shortfall</t>
  </si>
  <si>
    <t>::</t>
  </si>
  <si>
    <t>Step 1: Applicability and eligibility</t>
  </si>
  <si>
    <t>Step 2: Select products</t>
  </si>
  <si>
    <t>Step 3: Identify the eligible assets</t>
  </si>
  <si>
    <t>Mismatch tolerance</t>
  </si>
  <si>
    <t>Step 4: Meet the cash flow matching requirements</t>
  </si>
  <si>
    <t>Base: Before any C1 shocks, before application of PAD, and before zerorisation of negative reserves</t>
  </si>
  <si>
    <t>Cash supporting MA portfolio, at reporting date</t>
  </si>
  <si>
    <t>DESCRIPTION OF MA PORTFOLIO:</t>
  </si>
  <si>
    <t>&lt;== pls provide a brief description of the products that the MA portfolio covers</t>
  </si>
  <si>
    <t>Cumulative changes in this workbook</t>
  </si>
  <si>
    <t>Tab</t>
  </si>
  <si>
    <t>Change</t>
  </si>
  <si>
    <t>After Haircut</t>
  </si>
  <si>
    <t>O_CF_Assets2</t>
  </si>
  <si>
    <t>Adjustment to YTM from default and downgrade</t>
  </si>
  <si>
    <t>Source: tab Spreads for Def and DG</t>
  </si>
  <si>
    <t>Check on haircut for currency mismatch (no increase in cash flows)</t>
  </si>
  <si>
    <t>Check on haircut for currency mismatch (reduction in cash flows &lt;= 12%)</t>
  </si>
  <si>
    <t>Reallocated and After Haircut</t>
  </si>
  <si>
    <t>Date</t>
  </si>
  <si>
    <t>Excess cash flows</t>
  </si>
  <si>
    <t>E_CF_Assets</t>
  </si>
  <si>
    <t>Forward</t>
  </si>
  <si>
    <t>Rates</t>
  </si>
  <si>
    <t>CF_Assets_Accum</t>
  </si>
  <si>
    <t>CF_Products_Accum</t>
  </si>
  <si>
    <t>Accumulated 
Carry Forwards</t>
  </si>
  <si>
    <t>Error</t>
  </si>
  <si>
    <t>Check</t>
  </si>
  <si>
    <t>The MA portfolio as a whole should meet the following predictability threshold:</t>
  </si>
  <si>
    <t>A portfolio of assets should be identified with cash flows supporting the products selected.</t>
  </si>
  <si>
    <t xml:space="preserve">risk of forced sale as a result of being required to support liabilities not subject to the MA. </t>
  </si>
  <si>
    <r>
      <t>The MA is a parallel upward adjustment applied to the risk free discount rate used</t>
    </r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in valuing the guaranteed liabilities for the selected products. </t>
    </r>
  </si>
  <si>
    <t xml:space="preserve">The C1, C2 (other than the C2 credit spread requirement as specified below) and operational risk requirements as well as any negative reserves </t>
  </si>
  <si>
    <r>
      <t>For portfolios where the MA is applied, a modified MA (i.e. MA’)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is to be added to MA in valuing the guaranteed liabilites when determining the C2 </t>
    </r>
  </si>
  <si>
    <r>
      <t>credit spread risk requirement</t>
    </r>
    <r>
      <rPr>
        <b/>
        <vertAlign val="superscript"/>
        <sz val="11"/>
        <rFont val="Calibri"/>
        <family val="2"/>
      </rPr>
      <t>3</t>
    </r>
    <r>
      <rPr>
        <b/>
        <sz val="11"/>
        <rFont val="Calibri"/>
        <family val="2"/>
      </rPr>
      <t>.</t>
    </r>
  </si>
  <si>
    <t xml:space="preserve">   3. Recognition of MA’ should likewise be consistent with the MA that is already present before the application of the credit spread adjustment, i.e. recognised in full up to the LLP, </t>
  </si>
  <si>
    <t>All</t>
  </si>
  <si>
    <t>PREMIUM TYPE [Please Select]:</t>
  </si>
  <si>
    <t>Prem Type</t>
  </si>
  <si>
    <t>Single_Paid Up</t>
  </si>
  <si>
    <t>Premium Paying</t>
  </si>
  <si>
    <t>Accumulated liability cash flow carryforwards do not turn positive</t>
  </si>
  <si>
    <t>Cash reallocation does not exceed accumulated amounts</t>
  </si>
  <si>
    <t>Total cash-flow shortfall within LLP</t>
  </si>
  <si>
    <t>Currency</t>
  </si>
  <si>
    <t>SGD</t>
  </si>
  <si>
    <t>USD</t>
  </si>
  <si>
    <t>LLP:</t>
  </si>
  <si>
    <t>Liabilty Cash Flows within LLP</t>
  </si>
  <si>
    <t>SGD and USD</t>
  </si>
  <si>
    <t>#</t>
  </si>
  <si>
    <t>basis. Positive cash flows denotes outflows e.g. benefits paid.</t>
  </si>
  <si>
    <t>there are asset cash flows denominated in a different currency from liabilities, and where no currency swap has been put in place.</t>
  </si>
  <si>
    <t>Reallocated Out</t>
  </si>
  <si>
    <t>CF_Products_Out</t>
  </si>
  <si>
    <t>CF_Products_In</t>
  </si>
  <si>
    <t>Reallocated In</t>
  </si>
  <si>
    <t>CF_Assets_In</t>
  </si>
  <si>
    <t>CF_Assets_Out</t>
  </si>
  <si>
    <t xml:space="preserve">risk-free implied forward rates. As a control, this column should not contain positive numbers in any year, as only unutilised premium income can be </t>
  </si>
  <si>
    <t>accumulated.</t>
  </si>
  <si>
    <t>Rates for SGD and USD below are from the Discounting Workbook</t>
  </si>
  <si>
    <t>R_Cash</t>
  </si>
  <si>
    <t>Unallocated</t>
  </si>
  <si>
    <t>U_Cash Balance</t>
  </si>
  <si>
    <t>(g)</t>
  </si>
  <si>
    <t xml:space="preserve">The extent of cash flow mismatch is calculated as the sum of cash flow deficits divided by the total reallocated liability cash flows over the LLP. </t>
  </si>
  <si>
    <r>
      <t xml:space="preserve">Any mismatch should not exceed </t>
    </r>
    <r>
      <rPr>
        <b/>
        <sz val="11"/>
        <rFont val="Calibri"/>
        <family val="2"/>
        <scheme val="minor"/>
      </rPr>
      <t>15%,</t>
    </r>
    <r>
      <rPr>
        <sz val="11"/>
        <rFont val="Calibri"/>
        <family val="2"/>
        <scheme val="minor"/>
      </rPr>
      <t xml:space="preserve"> otherwise additional assets must be included, or certain products must be excluded.</t>
    </r>
  </si>
  <si>
    <r>
      <t xml:space="preserve">Cell </t>
    </r>
    <r>
      <rPr>
        <sz val="11"/>
        <color rgb="FF0000FF"/>
        <rFont val="Calibri"/>
        <family val="2"/>
        <scheme val="minor"/>
      </rPr>
      <t>B15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checks whether the MA portfolio meets the predictability criteria.</t>
    </r>
  </si>
  <si>
    <r>
      <t xml:space="preserve">The liability cash flows from all </t>
    </r>
    <r>
      <rPr>
        <sz val="11"/>
        <rFont val="Calibri"/>
        <family val="2"/>
      </rPr>
      <t>eligible products from Step 2 (</t>
    </r>
    <r>
      <rPr>
        <sz val="11"/>
        <color rgb="FF0000FF"/>
        <rFont val="Calibri"/>
        <family val="2"/>
      </rPr>
      <t>O_CF_Products</t>
    </r>
    <r>
      <rPr>
        <sz val="11"/>
        <rFont val="Calibri"/>
        <family val="2"/>
      </rPr>
      <t xml:space="preserve">) </t>
    </r>
    <r>
      <rPr>
        <u/>
        <sz val="11"/>
        <rFont val="Calibri"/>
        <family val="2"/>
      </rPr>
      <t>excluding PAD</t>
    </r>
    <r>
      <rPr>
        <sz val="11"/>
        <rFont val="Calibri"/>
        <family val="2"/>
      </rPr>
      <t xml:space="preserve"> should be projected to the final cash flow on a yearly</t>
    </r>
  </si>
  <si>
    <r>
      <t xml:space="preserve">The net reallocated liability cash flows is shown in </t>
    </r>
    <r>
      <rPr>
        <sz val="11"/>
        <color rgb="FF0000FF"/>
        <rFont val="Calibri"/>
        <family val="2"/>
        <scheme val="minor"/>
      </rPr>
      <t>R_CF_Products</t>
    </r>
    <r>
      <rPr>
        <sz val="11"/>
        <rFont val="Calibri"/>
        <family val="2"/>
        <scheme val="minor"/>
      </rPr>
      <t>.</t>
    </r>
  </si>
  <si>
    <r>
      <t>The cash flows from the block of identified assets from Step 3 (</t>
    </r>
    <r>
      <rPr>
        <sz val="11"/>
        <color rgb="FF0000FF"/>
        <rFont val="Calibri"/>
        <family val="2"/>
        <scheme val="minor"/>
      </rPr>
      <t>O_CF_Assets</t>
    </r>
    <r>
      <rPr>
        <sz val="11"/>
        <rFont val="Calibri"/>
        <family val="2"/>
        <scheme val="minor"/>
      </rPr>
      <t xml:space="preserve">) should be projected to the final cash flow on a yearly basis. </t>
    </r>
  </si>
  <si>
    <r>
      <t>Positive cash flows denote inflows e.g. coupons received. A further adjustment to the cash flows (</t>
    </r>
    <r>
      <rPr>
        <sz val="11"/>
        <color rgb="FF0000FF"/>
        <rFont val="Calibri"/>
        <family val="2"/>
        <scheme val="minor"/>
      </rPr>
      <t>O_CF_Assets2</t>
    </r>
    <r>
      <rPr>
        <sz val="11"/>
        <rFont val="Calibri"/>
        <family val="2"/>
        <scheme val="minor"/>
      </rPr>
      <t xml:space="preserve">) are made to reflect any haircuts where </t>
    </r>
  </si>
  <si>
    <r>
      <t xml:space="preserve">The net reallocated asset cash flows is shown in </t>
    </r>
    <r>
      <rPr>
        <sz val="11"/>
        <color rgb="FF0000FF"/>
        <rFont val="Calibri"/>
        <family val="2"/>
        <scheme val="minor"/>
      </rPr>
      <t>R_CF_Assets</t>
    </r>
    <r>
      <rPr>
        <sz val="11"/>
        <rFont val="Calibri"/>
        <family val="2"/>
        <scheme val="minor"/>
      </rPr>
      <t>.</t>
    </r>
  </si>
  <si>
    <r>
      <t xml:space="preserve">Cash supporting the MA portfolio at the reporting date can be used to meet any cash flows deficits from </t>
    </r>
    <r>
      <rPr>
        <sz val="11"/>
        <color rgb="FF0000FF"/>
        <rFont val="Calibri"/>
        <family val="2"/>
        <scheme val="minor"/>
      </rPr>
      <t>R_CF_Assets</t>
    </r>
    <r>
      <rPr>
        <sz val="11"/>
        <rFont val="Calibri"/>
        <family val="2"/>
        <scheme val="minor"/>
      </rPr>
      <t xml:space="preserve"> - </t>
    </r>
    <r>
      <rPr>
        <sz val="11"/>
        <color rgb="FF0000FF"/>
        <rFont val="Calibri"/>
        <family val="2"/>
        <scheme val="minor"/>
      </rPr>
      <t>R_CF_Liabilities</t>
    </r>
    <r>
      <rPr>
        <sz val="11"/>
        <rFont val="Calibri"/>
        <family val="2"/>
        <scheme val="minor"/>
      </rPr>
      <t>. For this purpose,</t>
    </r>
  </si>
  <si>
    <r>
      <t xml:space="preserve">For each projection year within the LLP, the net cash flow (based on reallocated cash flows) is calculated as </t>
    </r>
    <r>
      <rPr>
        <sz val="11"/>
        <color rgb="FF0000FF"/>
        <rFont val="Calibri"/>
        <family val="2"/>
        <scheme val="minor"/>
      </rPr>
      <t>R_Cash</t>
    </r>
    <r>
      <rPr>
        <sz val="11"/>
        <rFont val="Calibri"/>
        <family val="2"/>
        <scheme val="minor"/>
      </rPr>
      <t xml:space="preserve"> + </t>
    </r>
    <r>
      <rPr>
        <sz val="11"/>
        <color rgb="FF0000FF"/>
        <rFont val="Calibri"/>
        <family val="2"/>
        <scheme val="minor"/>
      </rPr>
      <t>R_CF_Assets</t>
    </r>
    <r>
      <rPr>
        <sz val="11"/>
        <rFont val="Calibri"/>
        <family val="2"/>
        <scheme val="minor"/>
      </rPr>
      <t xml:space="preserve"> - </t>
    </r>
    <r>
      <rPr>
        <sz val="11"/>
        <color rgb="FF0000FF"/>
        <rFont val="Calibri"/>
        <family val="2"/>
        <scheme val="minor"/>
      </rPr>
      <t>R_CF_Products</t>
    </r>
    <r>
      <rPr>
        <sz val="11"/>
        <rFont val="Calibri"/>
        <family val="2"/>
        <scheme val="minor"/>
      </rPr>
      <t xml:space="preserve">. </t>
    </r>
  </si>
  <si>
    <r>
      <t>The IRRs of the reallocated asset cash flows (</t>
    </r>
    <r>
      <rPr>
        <sz val="11"/>
        <color rgb="FF0000FF"/>
        <rFont val="Calibri"/>
        <family val="2"/>
        <scheme val="minor"/>
      </rPr>
      <t>R_CF_Assets</t>
    </r>
    <r>
      <rPr>
        <sz val="11"/>
        <rFont val="Calibri"/>
        <family val="2"/>
        <scheme val="minor"/>
      </rPr>
      <t>) and reallocated liability cash flows (</t>
    </r>
    <r>
      <rPr>
        <sz val="11"/>
        <color rgb="FF0000FF"/>
        <rFont val="Calibri"/>
        <family val="2"/>
        <scheme val="minor"/>
      </rPr>
      <t>R_CF_Products</t>
    </r>
    <r>
      <rPr>
        <sz val="11"/>
        <rFont val="Calibri"/>
        <family val="2"/>
        <scheme val="minor"/>
      </rPr>
      <t>) will be used to  calculate the MA.</t>
    </r>
  </si>
  <si>
    <t>All input cells are highlighted in blue</t>
  </si>
  <si>
    <t>For this purpose, tab "MA" should be completed:</t>
  </si>
  <si>
    <t>Controls</t>
  </si>
  <si>
    <r>
      <t>Please ensure all control indicators are "</t>
    </r>
    <r>
      <rPr>
        <b/>
        <sz val="11"/>
        <color rgb="FF0000FF"/>
        <rFont val="Calibri"/>
        <family val="2"/>
        <scheme val="minor"/>
      </rPr>
      <t>PASS</t>
    </r>
    <r>
      <rPr>
        <sz val="11"/>
        <rFont val="Calibri"/>
        <family val="2"/>
        <scheme val="minor"/>
      </rPr>
      <t>"</t>
    </r>
  </si>
  <si>
    <t>Net liability cash flow reallocation does not exceed accumulated amounts</t>
  </si>
  <si>
    <t>Net asset cash flow reallocation does not exceed accumulated amounts</t>
  </si>
  <si>
    <t xml:space="preserve">The predictability threshold looks at the Change in Liabilities/ Present Value of Benefits and Expenses. </t>
  </si>
  <si>
    <t xml:space="preserve">is allowed to be negative. </t>
  </si>
  <si>
    <t xml:space="preserve">based on risk-free rates, and is allowed to be negative. </t>
  </si>
  <si>
    <t xml:space="preserve">The Liabilities should be net of reinsurance ceded. </t>
  </si>
  <si>
    <t xml:space="preserve">   </t>
  </si>
  <si>
    <t xml:space="preserve">Products included into the MA portfolio should be shown in the tab "Predictability Test". </t>
  </si>
  <si>
    <r>
      <t>The Liabilities for</t>
    </r>
    <r>
      <rPr>
        <u/>
        <sz val="11"/>
        <rFont val="Calibri"/>
        <family val="2"/>
        <scheme val="minor"/>
      </rPr>
      <t xml:space="preserve"> non-participating products</t>
    </r>
    <r>
      <rPr>
        <sz val="11"/>
        <rFont val="Calibri"/>
        <family val="2"/>
        <scheme val="minor"/>
      </rPr>
      <t xml:space="preserve"> are the sum of the liabilities corresponding to the products, before application of PAD, based on risk-free rates, and </t>
    </r>
  </si>
  <si>
    <r>
      <t xml:space="preserve">The Liabilities for </t>
    </r>
    <r>
      <rPr>
        <u/>
        <sz val="11"/>
        <rFont val="Calibri"/>
        <family val="2"/>
        <scheme val="minor"/>
      </rPr>
      <t>participating products</t>
    </r>
    <r>
      <rPr>
        <sz val="11"/>
        <rFont val="Calibri"/>
        <family val="2"/>
        <scheme val="minor"/>
      </rPr>
      <t xml:space="preserve"> are based on guaranteed benefits, i.e. the sum of the minimum condition liability (MCL), before the application of the PAD, </t>
    </r>
  </si>
  <si>
    <r>
      <t xml:space="preserve">a) For </t>
    </r>
    <r>
      <rPr>
        <b/>
        <sz val="11"/>
        <rFont val="Calibri"/>
        <family val="2"/>
        <scheme val="minor"/>
      </rPr>
      <t>single premium and/or fully paid-up business</t>
    </r>
    <r>
      <rPr>
        <sz val="11"/>
        <rFont val="Calibri"/>
        <family val="2"/>
        <scheme val="minor"/>
      </rPr>
      <t xml:space="preserve">: threshold of not more than </t>
    </r>
    <r>
      <rPr>
        <b/>
        <sz val="11"/>
        <rFont val="Calibri"/>
        <family val="2"/>
        <scheme val="minor"/>
      </rPr>
      <t>15%</t>
    </r>
  </si>
  <si>
    <r>
      <t xml:space="preserve">b) For </t>
    </r>
    <r>
      <rPr>
        <b/>
        <sz val="11"/>
        <rFont val="Calibri"/>
        <family val="2"/>
        <scheme val="minor"/>
      </rPr>
      <t>other business</t>
    </r>
    <r>
      <rPr>
        <sz val="11"/>
        <rFont val="Calibri"/>
        <family val="2"/>
        <scheme val="minor"/>
      </rPr>
      <t xml:space="preserve">: threshold of not more than </t>
    </r>
    <r>
      <rPr>
        <b/>
        <sz val="11"/>
        <rFont val="Calibri"/>
        <family val="2"/>
        <scheme val="minor"/>
      </rPr>
      <t>10%</t>
    </r>
  </si>
  <si>
    <t>Liabilities</t>
  </si>
  <si>
    <t>Adj Liabilities</t>
  </si>
  <si>
    <t>PV Benefits</t>
  </si>
  <si>
    <t>PV Expenses</t>
  </si>
  <si>
    <t>Change in Liabilities/ PV of Benefits + Expense</t>
  </si>
  <si>
    <t>Change in Liabilities</t>
  </si>
  <si>
    <t>Pre diversification increase in Liabilities</t>
  </si>
  <si>
    <t>Post Diversfication Increase in Liabilities</t>
  </si>
  <si>
    <t>Applicable IP</t>
  </si>
  <si>
    <t>Applicable IP floor</t>
  </si>
  <si>
    <t>MA</t>
  </si>
  <si>
    <t>Apr 2019</t>
  </si>
  <si>
    <t>Spreads for Def and DG</t>
  </si>
  <si>
    <t>Added column for calculating IP applicable to the MA portfolio</t>
  </si>
  <si>
    <t>Removed cap on adjusted yield for BBB rating</t>
  </si>
  <si>
    <t>Instructions</t>
  </si>
  <si>
    <r>
      <t xml:space="preserve">The amount of </t>
    </r>
    <r>
      <rPr>
        <u/>
        <sz val="11"/>
        <color rgb="FFFF0000"/>
        <rFont val="Calibri"/>
        <family val="2"/>
        <scheme val="minor"/>
      </rPr>
      <t>excess</t>
    </r>
    <r>
      <rPr>
        <sz val="11"/>
        <rFont val="Calibri"/>
        <family val="2"/>
        <scheme val="minor"/>
      </rPr>
      <t xml:space="preserve"> premium income for a given projection year that is to be reallocated out should be provided in </t>
    </r>
    <r>
      <rPr>
        <sz val="11"/>
        <color rgb="FF0000FF"/>
        <rFont val="Calibri"/>
        <family val="2"/>
        <scheme val="minor"/>
      </rPr>
      <t>CF_Products_Out</t>
    </r>
    <r>
      <rPr>
        <sz val="11"/>
        <rFont val="Calibri"/>
        <family val="2"/>
        <scheme val="minor"/>
      </rPr>
      <t xml:space="preserve">. Premium income </t>
    </r>
  </si>
  <si>
    <t>allocated out should have a negative sign.</t>
  </si>
  <si>
    <r>
      <t xml:space="preserve">The net amount of </t>
    </r>
    <r>
      <rPr>
        <u/>
        <sz val="11"/>
        <color rgb="FFFF0000"/>
        <rFont val="Calibri"/>
        <family val="2"/>
        <scheme val="minor"/>
      </rPr>
      <t>excess</t>
    </r>
    <r>
      <rPr>
        <sz val="11"/>
        <rFont val="Calibri"/>
        <family val="2"/>
        <scheme val="minor"/>
      </rPr>
      <t xml:space="preserve"> premium income allocated (i.e. </t>
    </r>
    <r>
      <rPr>
        <sz val="11"/>
        <color rgb="FF0000FF"/>
        <rFont val="Calibri"/>
        <family val="2"/>
        <scheme val="minor"/>
      </rPr>
      <t>CF_Products_Out</t>
    </r>
    <r>
      <rPr>
        <sz val="11"/>
        <rFont val="Calibri"/>
        <family val="2"/>
        <scheme val="minor"/>
      </rPr>
      <t xml:space="preserve"> - </t>
    </r>
    <r>
      <rPr>
        <sz val="11"/>
        <color rgb="FF0000FF"/>
        <rFont val="Calibri"/>
        <family val="2"/>
        <scheme val="minor"/>
      </rPr>
      <t>CF_Products_In</t>
    </r>
    <r>
      <rPr>
        <sz val="11"/>
        <rFont val="Calibri"/>
        <family val="2"/>
        <scheme val="minor"/>
      </rPr>
      <t xml:space="preserve">) is accumulated under </t>
    </r>
    <r>
      <rPr>
        <sz val="11"/>
        <color rgb="FF0000FF"/>
        <rFont val="Calibri"/>
        <family val="2"/>
        <scheme val="minor"/>
      </rPr>
      <t>CF_Products_Accum</t>
    </r>
    <r>
      <rPr>
        <sz val="11"/>
        <rFont val="Calibri"/>
        <family val="2"/>
        <scheme val="minor"/>
      </rPr>
      <t xml:space="preserve"> based on the relevant </t>
    </r>
  </si>
  <si>
    <t>before being carried forward to subsequent years.</t>
  </si>
  <si>
    <r>
      <rPr>
        <u/>
        <sz val="11"/>
        <color rgb="FFFF0000"/>
        <rFont val="Calibri"/>
        <family val="2"/>
        <scheme val="minor"/>
      </rPr>
      <t>Excess</t>
    </r>
    <r>
      <rPr>
        <sz val="11"/>
        <rFont val="Calibri"/>
        <family val="2"/>
        <scheme val="minor"/>
      </rPr>
      <t xml:space="preserve"> premium income </t>
    </r>
    <r>
      <rPr>
        <sz val="11"/>
        <color rgb="FFFF0000"/>
        <rFont val="Calibri"/>
        <family val="2"/>
        <scheme val="minor"/>
      </rPr>
      <t>accumulated</t>
    </r>
    <r>
      <rPr>
        <sz val="11"/>
        <rFont val="Calibri"/>
        <family val="2"/>
        <scheme val="minor"/>
      </rPr>
      <t xml:space="preserve"> from previous years can be reallocated back into liability cash flows in the current year and can be provided in </t>
    </r>
    <r>
      <rPr>
        <sz val="11"/>
        <color rgb="FF0000FF"/>
        <rFont val="Calibri"/>
        <family val="2"/>
        <scheme val="minor"/>
      </rPr>
      <t/>
    </r>
  </si>
  <si>
    <r>
      <rPr>
        <sz val="11"/>
        <color rgb="FF0000FF"/>
        <rFont val="Calibri"/>
        <family val="2"/>
        <scheme val="minor"/>
      </rPr>
      <t>CF_Products_In</t>
    </r>
    <r>
      <rPr>
        <sz val="11"/>
        <rFont val="Calibri"/>
        <family val="2"/>
        <scheme val="minor"/>
      </rPr>
      <t>. Excess premium income allocated in should have a negative sign.</t>
    </r>
  </si>
  <si>
    <t>The MA is applied to the risk free discount rate in the liability calculations for the selected products in the Forms submitted for the parallel run.</t>
  </si>
  <si>
    <r>
      <t xml:space="preserve">   2. The derivation of </t>
    </r>
    <r>
      <rPr>
        <b/>
        <sz val="9"/>
        <color theme="7" tint="-0.499984740745262"/>
        <rFont val="Calibri"/>
        <family val="2"/>
        <scheme val="minor"/>
      </rPr>
      <t xml:space="preserve">MA' </t>
    </r>
    <r>
      <rPr>
        <sz val="9"/>
        <color theme="7" tint="-0.499984740745262"/>
        <rFont val="Calibri"/>
        <family val="2"/>
        <scheme val="minor"/>
      </rPr>
      <t>as described in Technical Specifications for the parallel run is shown in tab "Spreads for Def and DG" .</t>
    </r>
  </si>
  <si>
    <t xml:space="preserve">   and tapers after the LLP depending on the Basis for which the C2 credit spread risk requirement is calculated.</t>
  </si>
  <si>
    <t>Amount by which IP exceeds MA (before floor)</t>
  </si>
  <si>
    <t>Deducted from MA' the amount by which the IP is above the unfloored MA</t>
  </si>
  <si>
    <t>Additional Data</t>
  </si>
  <si>
    <t>Longest asset cash flow</t>
  </si>
  <si>
    <t>Determination  of</t>
  </si>
  <si>
    <t>longest asset 
cash flow</t>
  </si>
  <si>
    <t>longest liability
cash flow</t>
  </si>
  <si>
    <t>Longest liability cash flow</t>
  </si>
  <si>
    <t>Number of years of liability cash flows to be considered in IRR</t>
  </si>
  <si>
    <t xml:space="preserve"> R_CF_Products2</t>
  </si>
  <si>
    <t>Accumulation</t>
  </si>
  <si>
    <t>factor</t>
  </si>
  <si>
    <t>Discounting</t>
  </si>
  <si>
    <t>on O_CF_Products</t>
  </si>
  <si>
    <t>on O_CF_Assets</t>
  </si>
  <si>
    <t>risk-free implied forward rates. As a control, this column should not contain negative numbers in any year, as this indicates a deficit.</t>
  </si>
  <si>
    <r>
      <t xml:space="preserve">The MA is the spread of the asset yield over the </t>
    </r>
    <r>
      <rPr>
        <b/>
        <sz val="11"/>
        <rFont val="Calibri"/>
        <family val="2"/>
      </rPr>
      <t>average risk-free liability discount rate, less the spreads for default and downgrade.</t>
    </r>
  </si>
  <si>
    <t>recognised as regulatory adjustment, should include the impact of MA.</t>
  </si>
  <si>
    <t>MA’ should be calculated based on a percentage of the credit spread adjustment applicable to the assets within the MA portfolio.</t>
  </si>
  <si>
    <t>adjustment.</t>
  </si>
  <si>
    <r>
      <t xml:space="preserve">flow, and at least up to the LLP. The change in IRR between the these two sets of reallocated liability cash flows (i.e. </t>
    </r>
    <r>
      <rPr>
        <u/>
        <sz val="11"/>
        <color rgb="FF0000FF"/>
        <rFont val="Calibri"/>
        <family val="2"/>
        <scheme val="minor"/>
      </rPr>
      <t>R_CF_Products</t>
    </r>
    <r>
      <rPr>
        <u/>
        <sz val="11"/>
        <color rgb="FFFF0000"/>
        <rFont val="Calibri"/>
        <family val="2"/>
        <scheme val="minor"/>
      </rPr>
      <t xml:space="preserve"> and </t>
    </r>
    <r>
      <rPr>
        <u/>
        <sz val="11"/>
        <color rgb="FF0000FF"/>
        <rFont val="Calibri"/>
        <family val="2"/>
        <scheme val="minor"/>
      </rPr>
      <t>R_CF_Products2</t>
    </r>
    <r>
      <rPr>
        <u/>
        <sz val="11"/>
        <color rgb="FFFF0000"/>
        <rFont val="Calibri"/>
        <family val="2"/>
        <scheme val="minor"/>
      </rPr>
      <t>) is the</t>
    </r>
  </si>
  <si>
    <t>Adjustment for term of liability cash flows</t>
  </si>
  <si>
    <t>MA after IP floor</t>
  </si>
  <si>
    <t xml:space="preserve">(a) </t>
  </si>
  <si>
    <t>(c)</t>
  </si>
  <si>
    <t>The MA will be floored at the level of IP  that would have been applicable to the MA portfolio. This calculation is done by the workbook.</t>
  </si>
  <si>
    <t xml:space="preserve">Where the floor as specified above is operational (i.e. when the unfloored MA is lower than the corresponding IP), the ability of the MA portfolio to mitigate </t>
  </si>
  <si>
    <t xml:space="preserve">credit spread widening is reduced. Hence the modified MA (i.e. MA’) that is used to determine the C2 credit spread risk requirement will be reduced by the </t>
  </si>
  <si>
    <t>difference between the unfloored MA and the corresponding IP, subject to MA’ being non-negative.</t>
  </si>
  <si>
    <t>Instructions for Completing the Workbook</t>
  </si>
  <si>
    <t>PLEASE INPUT INTO CELLS IN BLUE BELOW</t>
  </si>
  <si>
    <t>Adjustment to MA due to reallocation of asset cash flow and excess premium income</t>
  </si>
  <si>
    <t>1)</t>
  </si>
  <si>
    <t>Name of insurer:</t>
  </si>
  <si>
    <t>2)</t>
  </si>
  <si>
    <t>Co Code:</t>
  </si>
  <si>
    <t>3)</t>
  </si>
  <si>
    <t>4)</t>
  </si>
  <si>
    <t>5)</t>
  </si>
  <si>
    <t>Name of contact person:</t>
  </si>
  <si>
    <t>Email of contact person:</t>
  </si>
  <si>
    <t>Contact phone number:</t>
  </si>
  <si>
    <t>MONETARY AUTHORITY OF SINGAPORE
RBC 2 MATCHING ADJUSTMENT (MA) WORKBOOK</t>
  </si>
  <si>
    <t>Cover Page</t>
  </si>
  <si>
    <t>New tab added</t>
  </si>
  <si>
    <t>Total notional assets</t>
  </si>
  <si>
    <t>% 
spread earned</t>
  </si>
  <si>
    <t>b) Reallocated asset cash flows</t>
  </si>
  <si>
    <t>c) Reallocated excess premium income</t>
  </si>
  <si>
    <t xml:space="preserve">The purpose of this tab is to reflect the risk that excess asset cash flows and excess premium income that is reallocated to </t>
  </si>
  <si>
    <t xml:space="preserve">meet future benefit and expense payments could only be invested in eligible assets that earn less than the full spread of the </t>
  </si>
  <si>
    <t>MA portfolio.</t>
  </si>
  <si>
    <t xml:space="preserve">It is assumed that the excess asset cash flows and excess premium income that are reallocated will only earn 75% of the </t>
  </si>
  <si>
    <t>spread in the MA portfolio.</t>
  </si>
  <si>
    <t>Value</t>
  </si>
  <si>
    <t>a) Elligible assets supporting MA portfolio, at reporting date</t>
  </si>
  <si>
    <t>Intermediate MA (before adj for term of liability, reallocation, and IP Floor)</t>
  </si>
  <si>
    <t>Intermediate MA (before realloc of excess assets and prem, and IP Floor)</t>
  </si>
  <si>
    <t>Intermediate MA (after realloc of excess assets and prem, and before IP Floor)</t>
  </si>
  <si>
    <r>
      <t>reallocated liability cash flows is floored at the IRR of the original liability cash flows (</t>
    </r>
    <r>
      <rPr>
        <u/>
        <sz val="11"/>
        <color rgb="FF0000FF"/>
        <rFont val="Calibri"/>
        <family val="2"/>
        <scheme val="minor"/>
      </rPr>
      <t>O_CF_Products</t>
    </r>
    <r>
      <rPr>
        <u/>
        <sz val="11"/>
        <color rgb="FFFF0000"/>
        <rFont val="Calibri"/>
        <family val="2"/>
        <scheme val="minor"/>
      </rPr>
      <t>).</t>
    </r>
  </si>
  <si>
    <r>
      <t>The IRR arising from the reallocated asset cash flows is capped at the IRR of the original asset cash flows (</t>
    </r>
    <r>
      <rPr>
        <u/>
        <sz val="11"/>
        <color rgb="FF0000FF"/>
        <rFont val="Calibri"/>
        <family val="2"/>
        <scheme val="minor"/>
      </rPr>
      <t>O_CF_Assets</t>
    </r>
    <r>
      <rPr>
        <u/>
        <sz val="11"/>
        <color rgb="FFFF0000"/>
        <rFont val="Calibri"/>
        <family val="2"/>
        <scheme val="minor"/>
      </rPr>
      <t xml:space="preserve">). Similarly, the IRR arising from the </t>
    </r>
  </si>
  <si>
    <r>
      <t>For this purpose a revised set of reallocated liability cash flows is determined (</t>
    </r>
    <r>
      <rPr>
        <u/>
        <sz val="11"/>
        <color rgb="FF0000FF"/>
        <rFont val="Calibri"/>
        <family val="2"/>
        <scheme val="minor"/>
      </rPr>
      <t>R_CF_Products2</t>
    </r>
    <r>
      <rPr>
        <u/>
        <sz val="11"/>
        <color rgb="FFFF0000"/>
        <rFont val="Calibri"/>
        <family val="2"/>
        <scheme val="minor"/>
      </rPr>
      <t xml:space="preserve">), which does not extend beyond the longest asset cash </t>
    </r>
  </si>
  <si>
    <t>A cap has been applied to the term in which the IRR for the reallocated liability cash flows is calculated by the term of the original asset cash flows.</t>
  </si>
  <si>
    <t xml:space="preserve">and expense payments could only be invested in eligible assets that earn less than the full spread of the MA portfolio. </t>
  </si>
  <si>
    <t>This is reflected in tab "Adj for reallocation"</t>
  </si>
  <si>
    <t>Adj for reallocation</t>
  </si>
  <si>
    <t>Scenario:</t>
  </si>
  <si>
    <t>Summary Table</t>
  </si>
  <si>
    <t>Scenario</t>
  </si>
  <si>
    <t>How the workbook should be named 
in the submission to MAS</t>
  </si>
  <si>
    <t>Credit Spread Widening</t>
  </si>
  <si>
    <t>Insurer to take note of how the workbook should be named for each scenario in its submission to MAS:</t>
  </si>
  <si>
    <t>Please choose the scenario from the drop-down list:</t>
  </si>
  <si>
    <t>ALL AMOUNTS ARE TO BE SHOWN IN THOUSANDS ('000) OF SINGAPORE DOLLARS (SGD).</t>
  </si>
  <si>
    <t>Application of credit spread widening scenario</t>
  </si>
  <si>
    <t xml:space="preserve">Under the credit spread widening scenario, the yields of assets sensitive to credit spread widening should be increased, which will lead to a higher MA under the </t>
  </si>
  <si>
    <t>in the table in tab "Spreads for Def and DG".</t>
  </si>
  <si>
    <t>The MA for SGD and USD corporate bonds in the MA portfolio should be increased by 150 bps. This adjustment should be added to the column "YTM/Yield to First Call"</t>
  </si>
  <si>
    <t>Added instructions on recalculating the MA under the credit spread widening scenario</t>
  </si>
  <si>
    <t>This section contains additional instructions on recalculating the MA under the credit spread widening scenario.</t>
  </si>
  <si>
    <t>credit spread widening scenario.</t>
  </si>
  <si>
    <t>SEPARATE WORKBOOKS SHOULD BE SUBMITTED FOR THE BASE AND CREDIT SPREAD WIDENING SCENARIOS</t>
  </si>
  <si>
    <t>Where</t>
  </si>
  <si>
    <t>&lt;PAR TYPE&gt;: Par or NP</t>
  </si>
  <si>
    <t>&lt;FUND&gt;: SIF or OIF</t>
  </si>
  <si>
    <t>Base_MAn_&lt;PAR TYPE&gt;_&lt;FUND&gt;_RBC2_YE18</t>
  </si>
  <si>
    <t>Stress_MAn_&lt;PAR TYPE&gt;_&lt;FUND&gt;_RBC2_YE18</t>
  </si>
  <si>
    <t>n: n-th MA portfolio, n = 1, 2, 3, …</t>
  </si>
  <si>
    <r>
      <t xml:space="preserve">The eligibility criteria for MA is provided in </t>
    </r>
    <r>
      <rPr>
        <b/>
        <sz val="11"/>
        <rFont val="Calibri"/>
        <family val="2"/>
        <scheme val="minor"/>
      </rPr>
      <t>Appendix 16</t>
    </r>
    <r>
      <rPr>
        <sz val="11"/>
        <rFont val="Calibri"/>
        <family val="2"/>
        <scheme val="minor"/>
      </rPr>
      <t xml:space="preserve"> of the Technical Specifications for the RBC 2 parallel run. </t>
    </r>
  </si>
  <si>
    <r>
      <t xml:space="preserve">Assets backing guaranteed liabilities should meet the criteria specified in </t>
    </r>
    <r>
      <rPr>
        <b/>
        <sz val="11"/>
        <rFont val="Calibri"/>
        <family val="2"/>
        <scheme val="minor"/>
      </rPr>
      <t>Appendix 16</t>
    </r>
    <r>
      <rPr>
        <sz val="11"/>
        <rFont val="Calibri"/>
        <family val="2"/>
        <scheme val="minor"/>
      </rPr>
      <t xml:space="preserve"> of the Technical Specifications.</t>
    </r>
  </si>
  <si>
    <t>(e)</t>
  </si>
  <si>
    <t>MA, 
Adj for reallocation</t>
  </si>
  <si>
    <r>
      <t xml:space="preserve">Premium income from liability cash flows (within </t>
    </r>
    <r>
      <rPr>
        <sz val="11"/>
        <color rgb="FF0000FF"/>
        <rFont val="Calibri"/>
        <family val="2"/>
        <scheme val="minor"/>
      </rPr>
      <t>O_CF_Products</t>
    </r>
    <r>
      <rPr>
        <sz val="11"/>
        <rFont val="Calibri"/>
        <family val="2"/>
        <scheme val="minor"/>
      </rPr>
      <t xml:space="preserve">) in a given year can be reallocated out to meet future product cash flows. </t>
    </r>
    <r>
      <rPr>
        <b/>
        <sz val="11"/>
        <rFont val="Calibri"/>
        <family val="2"/>
        <scheme val="minor"/>
      </rPr>
      <t xml:space="preserve">Only </t>
    </r>
    <r>
      <rPr>
        <b/>
        <u/>
        <sz val="11"/>
        <color rgb="FFFF0000"/>
        <rFont val="Calibri"/>
        <family val="2"/>
        <scheme val="minor"/>
      </rPr>
      <t>excess</t>
    </r>
    <r>
      <rPr>
        <b/>
        <sz val="11"/>
        <rFont val="Calibri"/>
        <family val="2"/>
        <scheme val="minor"/>
      </rPr>
      <t xml:space="preserve"> premium </t>
    </r>
  </si>
  <si>
    <r>
      <rPr>
        <b/>
        <sz val="11"/>
        <rFont val="Calibri"/>
        <family val="2"/>
        <scheme val="minor"/>
      </rPr>
      <t xml:space="preserve">income </t>
    </r>
    <r>
      <rPr>
        <b/>
        <u/>
        <sz val="11"/>
        <color rgb="FFFF0000"/>
        <rFont val="Calibri"/>
        <family val="2"/>
        <scheme val="minor"/>
      </rPr>
      <t>(i.e. the portion not necessary to meet benefit and expense cash flows)</t>
    </r>
    <r>
      <rPr>
        <b/>
        <sz val="11"/>
        <rFont val="Calibri"/>
        <family val="2"/>
        <scheme val="minor"/>
      </rPr>
      <t xml:space="preserve"> can be reallocated, i.e. benefit and expense cash flows cannot be reallocated.</t>
    </r>
  </si>
  <si>
    <r>
      <rPr>
        <b/>
        <u/>
        <sz val="11"/>
        <color rgb="FFFF0000"/>
        <rFont val="Calibri"/>
        <family val="2"/>
        <scheme val="minor"/>
      </rPr>
      <t xml:space="preserve">The excess premium income that is accumulated under </t>
    </r>
    <r>
      <rPr>
        <b/>
        <u/>
        <sz val="11"/>
        <color rgb="FF0000FF"/>
        <rFont val="Calibri"/>
        <family val="2"/>
        <scheme val="minor"/>
      </rPr>
      <t>CF_Products_Accum</t>
    </r>
    <r>
      <rPr>
        <b/>
        <u/>
        <sz val="11"/>
        <color rgb="FFFF0000"/>
        <rFont val="Calibri"/>
        <family val="2"/>
        <scheme val="minor"/>
      </rPr>
      <t xml:space="preserve"> should be used to meet benefit and expense cash flows in the earliest years first,</t>
    </r>
  </si>
  <si>
    <r>
      <t xml:space="preserve">should have a positive sign. </t>
    </r>
    <r>
      <rPr>
        <b/>
        <u/>
        <sz val="11"/>
        <color rgb="FFFF0000"/>
        <rFont val="Calibri"/>
        <family val="2"/>
        <scheme val="minor"/>
      </rPr>
      <t>Asset cash flows in a given year can only be reallocated out if the net cash flow in (e) below is not negative.</t>
    </r>
  </si>
  <si>
    <t>rates. As a control, this column should not turn negative.</t>
  </si>
  <si>
    <r>
      <t xml:space="preserve">the cash balance at the reporting date should be allocated into future years under </t>
    </r>
    <r>
      <rPr>
        <sz val="11"/>
        <color rgb="FF0000FF"/>
        <rFont val="Calibri"/>
        <family val="2"/>
        <scheme val="minor"/>
      </rPr>
      <t>R_Cash</t>
    </r>
    <r>
      <rPr>
        <sz val="11"/>
        <rFont val="Calibri"/>
        <family val="2"/>
        <scheme val="minor"/>
      </rPr>
      <t xml:space="preserve">. </t>
    </r>
    <r>
      <rPr>
        <b/>
        <u/>
        <sz val="11"/>
        <color rgb="FFFF0000"/>
        <rFont val="Calibri"/>
        <family val="2"/>
        <scheme val="minor"/>
      </rPr>
      <t>The unallocated cash balance (U_Cash Balance) should be first used</t>
    </r>
  </si>
  <si>
    <r>
      <rPr>
        <b/>
        <u/>
        <sz val="11"/>
        <color rgb="FFFF0000"/>
        <rFont val="Calibri"/>
        <family val="2"/>
        <scheme val="minor"/>
      </rPr>
      <t>to meet the earliest deficits in net cash flows as calculated in (e) below</t>
    </r>
    <r>
      <rPr>
        <sz val="11"/>
        <rFont val="Calibri"/>
        <family val="2"/>
        <scheme val="minor"/>
      </rPr>
      <t xml:space="preserve">. </t>
    </r>
    <r>
      <rPr>
        <sz val="11"/>
        <color rgb="FF0000FF"/>
        <rFont val="Calibri"/>
        <family val="2"/>
        <scheme val="minor"/>
      </rPr>
      <t>U_Cash Balance</t>
    </r>
    <r>
      <rPr>
        <sz val="11"/>
        <rFont val="Calibri"/>
        <family val="2"/>
        <scheme val="minor"/>
      </rPr>
      <t xml:space="preserve"> can be accumulated based on the relevant risk-free implied forward </t>
    </r>
  </si>
  <si>
    <r>
      <t xml:space="preserve">Note: Updates in the Instructions tab from the 2018 impact study are shown in </t>
    </r>
    <r>
      <rPr>
        <i/>
        <u/>
        <sz val="10"/>
        <color rgb="FFFF0000"/>
        <rFont val="Arial"/>
        <family val="2"/>
      </rPr>
      <t>underlined red text</t>
    </r>
  </si>
  <si>
    <r>
      <t xml:space="preserve">Note:     1. Application of the MA </t>
    </r>
    <r>
      <rPr>
        <sz val="9"/>
        <color rgb="FFFF0000"/>
        <rFont val="Calibri"/>
        <family val="2"/>
        <scheme val="minor"/>
      </rPr>
      <t xml:space="preserve">after the LLP </t>
    </r>
    <r>
      <rPr>
        <sz val="9"/>
        <color theme="7" tint="-0.499984740745262"/>
        <rFont val="Calibri"/>
        <family val="2"/>
        <scheme val="minor"/>
      </rPr>
      <t>will vary according to the different basis used.</t>
    </r>
  </si>
  <si>
    <t>Incorporated floor on the IRR of reallocated liability cash flows</t>
  </si>
  <si>
    <t>Incorporated floor on MA based on corresponding IP</t>
  </si>
  <si>
    <t>Separate workbooks should be submitted for the base and credit spread widening scenarios</t>
  </si>
  <si>
    <t>All amounts are to be shown in thousands ('000) of Singapore dollars (SGD)</t>
  </si>
  <si>
    <t>Imposed haircut on MA spread to reflect investment risk on reallocation of asset and liabilty cash flows</t>
  </si>
  <si>
    <t>MA floored at the level of corresponding IP</t>
  </si>
  <si>
    <t>IRR of reallocated liability cash flows to be floored</t>
  </si>
  <si>
    <t>IRR of liability cash flows to take into account the term of the asset cash flows and LLP</t>
  </si>
  <si>
    <t>Updated term for calculating IRR of liability cash flows taking into account the term of the asset cash flows and LLP</t>
  </si>
  <si>
    <t>Incorporated haircut on MA spread to reflect investment risk on reallocation of asset and liabilty cash flows</t>
  </si>
  <si>
    <r>
      <t xml:space="preserve">Excess asset cash flows in a given year can be reallocated out to meet future product cash flows, and provided in </t>
    </r>
    <r>
      <rPr>
        <sz val="11"/>
        <color rgb="FF0000FF"/>
        <rFont val="Calibri"/>
        <family val="2"/>
        <scheme val="minor"/>
      </rPr>
      <t>CF_Assets_Out</t>
    </r>
    <r>
      <rPr>
        <sz val="11"/>
        <rFont val="Calibri"/>
        <family val="2"/>
        <scheme val="minor"/>
      </rPr>
      <t>. Asset cash flows allocated out</t>
    </r>
  </si>
  <si>
    <r>
      <t xml:space="preserve">Excess asset cash flows from previous years can be reallocated back into asset cash flows in the current year and can be provided in </t>
    </r>
    <r>
      <rPr>
        <sz val="11"/>
        <color rgb="FF0000FF"/>
        <rFont val="Calibri"/>
        <family val="2"/>
        <scheme val="minor"/>
      </rPr>
      <t>CF_Assets_In</t>
    </r>
    <r>
      <rPr>
        <sz val="11"/>
        <rFont val="Calibri"/>
        <family val="2"/>
        <scheme val="minor"/>
      </rPr>
      <t xml:space="preserve">. Asset cash </t>
    </r>
  </si>
  <si>
    <t>flows allocated in should have a positive sign.</t>
  </si>
  <si>
    <r>
      <t xml:space="preserve">The net amount of asset cash flows re allocated (i.e. </t>
    </r>
    <r>
      <rPr>
        <sz val="11"/>
        <color rgb="FF0000FF"/>
        <rFont val="Calibri"/>
        <family val="2"/>
        <scheme val="minor"/>
      </rPr>
      <t>CF_Assets_Out</t>
    </r>
    <r>
      <rPr>
        <sz val="11"/>
        <rFont val="Calibri"/>
        <family val="2"/>
        <scheme val="minor"/>
      </rPr>
      <t xml:space="preserve"> - </t>
    </r>
    <r>
      <rPr>
        <sz val="11"/>
        <color rgb="FF0000FF"/>
        <rFont val="Calibri"/>
        <family val="2"/>
        <scheme val="minor"/>
      </rPr>
      <t>CF_Assets_In</t>
    </r>
    <r>
      <rPr>
        <sz val="11"/>
        <rFont val="Calibri"/>
        <family val="2"/>
        <scheme val="minor"/>
      </rPr>
      <t xml:space="preserve">) is accumulated under </t>
    </r>
    <r>
      <rPr>
        <sz val="11"/>
        <color rgb="FF0000FF"/>
        <rFont val="Calibri"/>
        <family val="2"/>
        <scheme val="minor"/>
      </rPr>
      <t>CF_Assets_Accum</t>
    </r>
    <r>
      <rPr>
        <sz val="11"/>
        <rFont val="Calibri"/>
        <family val="2"/>
        <scheme val="minor"/>
      </rPr>
      <t xml:space="preserve"> based on the relevant </t>
    </r>
  </si>
  <si>
    <t xml:space="preserve">A cap is imposed on the MA calculation to reflect the risk that excess asset cash flows and excess premium income that is reallocated to meet future benefit </t>
  </si>
  <si>
    <t>Updated criteria for carrying forward excess asset cash flows, premium income and cash balance</t>
  </si>
  <si>
    <t>Updated references to 2018YE parallel run instead of 2018 impact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</si>
</sst>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0.0%"/>
    <numFmt numFmtId="165" formatCode="_-[$€-2]\ * #,##0.00_-;_-[$€-2]\ * #,##0.00\-;_-[$€-2]\ * &quot;-&quot;??_-"/>
    <numFmt numFmtId="166" formatCode="00"/>
    <numFmt numFmtId="167" formatCode="0.0"/>
    <numFmt numFmtId="168" formatCode="#\ ###\ ##0;&quot;-&quot;#\ ###\ ##0"/>
    <numFmt numFmtId="169" formatCode="_-* #,##0_-;\-* #,##0_-;_-* &quot;-&quot;??_-;_-@_-"/>
    <numFmt numFmtId="170" formatCode="0.000%"/>
    <numFmt numFmtId="171" formatCode="0.0000"/>
    <numFmt numFmtId="172" formatCode="#,##0_ ;\-#,##0\ "/>
    <numFmt numFmtId="173" formatCode="0%\ &quot;in SGD&quot;"/>
  </numFmts>
  <fonts count="104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b/>
      <sz val="8"/>
      <name val="Arial"/>
      <family val="2"/>
    </font>
    <font>
      <sz val="10"/>
      <name val="Helv"/>
    </font>
    <font>
      <sz val="8"/>
      <name val="Courier New"/>
      <family val="3"/>
    </font>
    <font>
      <sz val="9"/>
      <name val="Arial"/>
      <family val="2"/>
    </font>
    <font>
      <sz val="8"/>
      <name val="Arial"/>
      <family val="2"/>
    </font>
    <font>
      <sz val="6.5"/>
      <name val="Univers"/>
      <family val="2"/>
    </font>
    <font>
      <sz val="11"/>
      <name val="lr oSVbN"/>
      <charset val="128"/>
    </font>
    <font>
      <sz val="11"/>
      <color indexed="1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sz val="10"/>
      <color indexed="23"/>
      <name val="Calibri"/>
      <family val="2"/>
    </font>
    <font>
      <b/>
      <sz val="10"/>
      <name val="Calibri"/>
      <family val="2"/>
    </font>
    <font>
      <b/>
      <sz val="10"/>
      <color indexed="44"/>
      <name val="Calibri"/>
      <family val="2"/>
    </font>
    <font>
      <b/>
      <sz val="12"/>
      <color indexed="63"/>
      <name val="Calibri"/>
      <family val="2"/>
    </font>
    <font>
      <sz val="9"/>
      <color indexed="23"/>
      <name val="Calibri"/>
      <family val="2"/>
    </font>
    <font>
      <b/>
      <i/>
      <sz val="13"/>
      <name val="Calibri"/>
      <family val="2"/>
    </font>
    <font>
      <b/>
      <sz val="10"/>
      <color indexed="10"/>
      <name val="Calibri"/>
      <family val="2"/>
    </font>
    <font>
      <b/>
      <sz val="11"/>
      <name val="Calibri"/>
      <family val="2"/>
    </font>
    <font>
      <i/>
      <sz val="10"/>
      <name val="Calibri"/>
      <family val="2"/>
    </font>
    <font>
      <b/>
      <i/>
      <sz val="1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23"/>
      <name val="Calibri"/>
      <family val="2"/>
    </font>
    <font>
      <sz val="11"/>
      <name val="Calibri"/>
      <family val="2"/>
    </font>
    <font>
      <sz val="10"/>
      <name val="Arial "/>
    </font>
    <font>
      <b/>
      <u/>
      <sz val="12"/>
      <name val="Calibri"/>
      <family val="2"/>
    </font>
    <font>
      <u/>
      <sz val="11"/>
      <name val="Calibri"/>
      <family val="2"/>
    </font>
    <font>
      <b/>
      <vertAlign val="subscript"/>
      <sz val="12"/>
      <name val="Times New Roman"/>
      <family val="1"/>
    </font>
    <font>
      <b/>
      <vertAlign val="superscript"/>
      <sz val="11"/>
      <name val="Calibri"/>
      <family val="2"/>
    </font>
    <font>
      <b/>
      <sz val="10"/>
      <name val="Arial"/>
      <family val="2"/>
    </font>
    <font>
      <sz val="1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/>
      <name val="Calibri"/>
      <family val="2"/>
    </font>
    <font>
      <b/>
      <u/>
      <sz val="16"/>
      <color theme="1"/>
      <name val="Calibri"/>
      <family val="2"/>
      <scheme val="minor"/>
    </font>
    <font>
      <b/>
      <sz val="12"/>
      <color theme="5"/>
      <name val="Calibri"/>
      <family val="2"/>
    </font>
    <font>
      <sz val="9"/>
      <color theme="8" tint="-0.499984740745262"/>
      <name val="Calibri"/>
      <family val="2"/>
    </font>
    <font>
      <sz val="10"/>
      <color theme="8" tint="-0.499984740745262"/>
      <name val="Calibri"/>
      <family val="2"/>
    </font>
    <font>
      <b/>
      <sz val="11"/>
      <name val="Calibri"/>
      <family val="2"/>
      <scheme val="minor"/>
    </font>
    <font>
      <sz val="12"/>
      <color rgb="FFFF0000"/>
      <name val="Calibri"/>
      <family val="2"/>
    </font>
    <font>
      <i/>
      <sz val="10"/>
      <color rgb="FFFF0000"/>
      <name val="Calibri"/>
      <family val="2"/>
    </font>
    <font>
      <sz val="10"/>
      <color theme="0" tint="-0.34998626667073579"/>
      <name val="Calibri"/>
      <family val="2"/>
    </font>
    <font>
      <sz val="10"/>
      <color rgb="FF0000FF"/>
      <name val="Calibri"/>
      <family val="2"/>
    </font>
    <font>
      <sz val="10"/>
      <color theme="0" tint="-0.499984740745262"/>
      <name val="Calibri"/>
      <family val="2"/>
    </font>
    <font>
      <sz val="10"/>
      <name val="Calibri"/>
      <family val="2"/>
      <scheme val="minor"/>
    </font>
    <font>
      <b/>
      <sz val="12"/>
      <color indexed="63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2"/>
      <color rgb="FFFF0000"/>
      <name val="Calibri"/>
      <family val="2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color theme="7" tint="-0.499984740745262"/>
      <name val="Calibri"/>
      <family val="2"/>
      <scheme val="minor"/>
    </font>
    <font>
      <sz val="10"/>
      <color theme="0"/>
      <name val="Calibri"/>
      <family val="2"/>
    </font>
    <font>
      <sz val="10"/>
      <color theme="1" tint="0.34998626667073579"/>
      <name val="Calibri"/>
      <family val="2"/>
    </font>
    <font>
      <b/>
      <sz val="10"/>
      <color theme="0"/>
      <name val="Calibri"/>
      <family val="2"/>
    </font>
    <font>
      <sz val="10"/>
      <color rgb="FF0000FF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2"/>
      <color rgb="FF0000FF"/>
      <name val="Calibri"/>
      <family val="2"/>
    </font>
    <font>
      <i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0000FF"/>
      <name val="Calibri"/>
      <family val="2"/>
    </font>
    <font>
      <i/>
      <sz val="10"/>
      <color theme="1" tint="0.34998626667073579"/>
      <name val="Calibri"/>
      <family val="2"/>
    </font>
    <font>
      <b/>
      <sz val="10"/>
      <color rgb="FF0000FF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name val="Calibri"/>
      <family val="2"/>
    </font>
    <font>
      <b/>
      <sz val="9"/>
      <color theme="7" tint="-0.499984740745262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0"/>
      <color theme="6"/>
      <name val="Calibri"/>
      <family val="2"/>
    </font>
    <font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u/>
      <sz val="10"/>
      <color rgb="FFFF000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3"/>
      <name val="Calibri"/>
      <family val="2"/>
      <scheme val="minor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2"/>
      <color rgb="FFFF0000"/>
      <name val="Calibri"/>
      <family val="2"/>
    </font>
    <font>
      <b/>
      <u/>
      <sz val="11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9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4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theme="6" tint="0.3999450666829432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1">
    <xf numFmtId="0" fontId="0" fillId="0" borderId="0"/>
    <xf numFmtId="0" fontId="3" fillId="0" borderId="0"/>
    <xf numFmtId="0" fontId="18" fillId="0" borderId="0"/>
    <xf numFmtId="0" fontId="5" fillId="3" borderId="1" applyNumberFormat="0" applyAlignment="0" applyProtection="0"/>
    <xf numFmtId="0" fontId="6" fillId="3" borderId="2" applyNumberFormat="0" applyAlignment="0" applyProtection="0"/>
    <xf numFmtId="49" fontId="7" fillId="0" borderId="0">
      <alignment horizontal="left" vertical="center" wrapText="1"/>
    </xf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2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0" fontId="12" fillId="0" borderId="0"/>
    <xf numFmtId="0" fontId="13" fillId="0" borderId="0"/>
    <xf numFmtId="0" fontId="13" fillId="0" borderId="0"/>
    <xf numFmtId="0" fontId="13" fillId="0" borderId="0"/>
    <xf numFmtId="166" fontId="14" fillId="0" borderId="4" applyBorder="0">
      <alignment horizontal="center" vertical="center" wrapText="1"/>
    </xf>
    <xf numFmtId="0" fontId="44" fillId="0" borderId="0"/>
    <xf numFmtId="0" fontId="8" fillId="0" borderId="0"/>
    <xf numFmtId="0" fontId="3" fillId="0" borderId="0"/>
    <xf numFmtId="0" fontId="36" fillId="0" borderId="0"/>
    <xf numFmtId="0" fontId="8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4" borderId="0" applyNumberFormat="0" applyBorder="0">
      <alignment horizontal="right"/>
      <protection locked="0"/>
    </xf>
    <xf numFmtId="167" fontId="15" fillId="5" borderId="5" applyNumberFormat="0" applyBorder="0" applyAlignment="0">
      <alignment horizontal="right"/>
      <protection locked="0"/>
    </xf>
    <xf numFmtId="0" fontId="3" fillId="6" borderId="0" applyNumberFormat="0" applyFont="0" applyBorder="0" applyAlignment="0"/>
    <xf numFmtId="0" fontId="3" fillId="0" borderId="0" applyNumberFormat="0" applyFont="0" applyBorder="0" applyAlignment="0"/>
    <xf numFmtId="0" fontId="3" fillId="7" borderId="5" applyNumberFormat="0" applyFont="0" applyBorder="0" applyAlignment="0">
      <alignment horizontal="center" wrapText="1"/>
    </xf>
    <xf numFmtId="0" fontId="16" fillId="0" borderId="0"/>
    <xf numFmtId="168" fontId="17" fillId="0" borderId="0"/>
    <xf numFmtId="0" fontId="4" fillId="0" borderId="0"/>
    <xf numFmtId="0" fontId="3" fillId="0" borderId="0"/>
    <xf numFmtId="0" fontId="4" fillId="0" borderId="0"/>
    <xf numFmtId="0" fontId="8" fillId="0" borderId="0"/>
    <xf numFmtId="0" fontId="3" fillId="0" borderId="0"/>
    <xf numFmtId="0" fontId="19" fillId="0" borderId="0" applyNumberFormat="0" applyFill="0" applyBorder="0" applyAlignment="0" applyProtection="0"/>
  </cellStyleXfs>
  <cellXfs count="289">
    <xf numFmtId="0" fontId="0" fillId="0" borderId="0" xfId="0"/>
    <xf numFmtId="0" fontId="47" fillId="9" borderId="0" xfId="0" applyFont="1" applyFill="1" applyAlignment="1">
      <alignment vertical="top"/>
    </xf>
    <xf numFmtId="0" fontId="25" fillId="9" borderId="0" xfId="0" applyFont="1" applyFill="1"/>
    <xf numFmtId="0" fontId="26" fillId="9" borderId="0" xfId="0" applyFont="1" applyFill="1"/>
    <xf numFmtId="0" fontId="20" fillId="9" borderId="0" xfId="0" applyFont="1" applyFill="1"/>
    <xf numFmtId="0" fontId="45" fillId="9" borderId="0" xfId="0" applyFont="1" applyFill="1" applyAlignment="1">
      <alignment vertical="top"/>
    </xf>
    <xf numFmtId="0" fontId="48" fillId="9" borderId="23" xfId="0" applyFont="1" applyFill="1" applyBorder="1"/>
    <xf numFmtId="0" fontId="49" fillId="9" borderId="23" xfId="0" applyFont="1" applyFill="1" applyBorder="1"/>
    <xf numFmtId="0" fontId="50" fillId="9" borderId="23" xfId="0" applyFont="1" applyFill="1" applyBorder="1"/>
    <xf numFmtId="0" fontId="20" fillId="9" borderId="0" xfId="0" applyFont="1" applyFill="1" applyBorder="1"/>
    <xf numFmtId="0" fontId="25" fillId="9" borderId="0" xfId="0" applyFont="1" applyFill="1" applyBorder="1"/>
    <xf numFmtId="0" fontId="26" fillId="9" borderId="0" xfId="0" applyFont="1" applyFill="1" applyBorder="1"/>
    <xf numFmtId="0" fontId="0" fillId="9" borderId="0" xfId="0" applyFill="1" applyAlignment="1">
      <alignment vertical="top"/>
    </xf>
    <xf numFmtId="0" fontId="3" fillId="9" borderId="0" xfId="0" applyFont="1" applyFill="1" applyAlignment="1">
      <alignment vertical="top"/>
    </xf>
    <xf numFmtId="0" fontId="20" fillId="9" borderId="0" xfId="0" applyFont="1" applyFill="1" applyAlignment="1"/>
    <xf numFmtId="0" fontId="51" fillId="9" borderId="0" xfId="0" applyFont="1" applyFill="1" applyAlignment="1">
      <alignment vertical="top"/>
    </xf>
    <xf numFmtId="0" fontId="52" fillId="9" borderId="0" xfId="0" applyFont="1" applyFill="1"/>
    <xf numFmtId="0" fontId="20" fillId="9" borderId="6" xfId="0" applyFont="1" applyFill="1" applyBorder="1"/>
    <xf numFmtId="0" fontId="20" fillId="9" borderId="6" xfId="0" applyFont="1" applyFill="1" applyBorder="1" applyAlignment="1">
      <alignment horizontal="right"/>
    </xf>
    <xf numFmtId="0" fontId="23" fillId="9" borderId="6" xfId="0" applyFont="1" applyFill="1" applyBorder="1" applyAlignment="1">
      <alignment horizontal="right"/>
    </xf>
    <xf numFmtId="0" fontId="23" fillId="9" borderId="0" xfId="0" applyFont="1" applyFill="1"/>
    <xf numFmtId="164" fontId="20" fillId="9" borderId="0" xfId="0" applyNumberFormat="1" applyFont="1" applyFill="1"/>
    <xf numFmtId="43" fontId="20" fillId="9" borderId="0" xfId="0" applyNumberFormat="1" applyFont="1" applyFill="1"/>
    <xf numFmtId="169" fontId="20" fillId="9" borderId="0" xfId="0" applyNumberFormat="1" applyFont="1" applyFill="1"/>
    <xf numFmtId="164" fontId="24" fillId="9" borderId="0" xfId="0" applyNumberFormat="1" applyFont="1" applyFill="1" applyBorder="1"/>
    <xf numFmtId="16" fontId="53" fillId="9" borderId="0" xfId="19" applyNumberFormat="1" applyFont="1" applyFill="1"/>
    <xf numFmtId="0" fontId="20" fillId="9" borderId="0" xfId="0" applyFont="1" applyFill="1" applyAlignment="1">
      <alignment horizontal="right"/>
    </xf>
    <xf numFmtId="0" fontId="20" fillId="9" borderId="0" xfId="0" applyFont="1" applyFill="1" applyAlignment="1">
      <alignment wrapText="1"/>
    </xf>
    <xf numFmtId="43" fontId="46" fillId="9" borderId="0" xfId="6" applyFont="1" applyFill="1"/>
    <xf numFmtId="43" fontId="46" fillId="9" borderId="0" xfId="0" applyNumberFormat="1" applyFont="1" applyFill="1"/>
    <xf numFmtId="0" fontId="46" fillId="9" borderId="0" xfId="0" applyFont="1" applyFill="1"/>
    <xf numFmtId="43" fontId="20" fillId="9" borderId="0" xfId="6" applyFont="1" applyFill="1"/>
    <xf numFmtId="0" fontId="27" fillId="9" borderId="0" xfId="0" applyFont="1" applyFill="1"/>
    <xf numFmtId="0" fontId="54" fillId="9" borderId="0" xfId="0" applyFont="1" applyFill="1"/>
    <xf numFmtId="0" fontId="31" fillId="9" borderId="0" xfId="0" applyFont="1" applyFill="1"/>
    <xf numFmtId="2" fontId="20" fillId="9" borderId="0" xfId="0" applyNumberFormat="1" applyFont="1" applyFill="1"/>
    <xf numFmtId="0" fontId="23" fillId="9" borderId="7" xfId="0" applyFont="1" applyFill="1" applyBorder="1"/>
    <xf numFmtId="0" fontId="23" fillId="9" borderId="8" xfId="0" applyFont="1" applyFill="1" applyBorder="1"/>
    <xf numFmtId="0" fontId="23" fillId="9" borderId="9" xfId="0" applyFont="1" applyFill="1" applyBorder="1"/>
    <xf numFmtId="0" fontId="23" fillId="9" borderId="10" xfId="0" applyFont="1" applyFill="1" applyBorder="1"/>
    <xf numFmtId="9" fontId="20" fillId="9" borderId="0" xfId="0" applyNumberFormat="1" applyFont="1" applyFill="1"/>
    <xf numFmtId="0" fontId="30" fillId="9" borderId="0" xfId="0" applyFont="1" applyFill="1"/>
    <xf numFmtId="0" fontId="56" fillId="9" borderId="7" xfId="0" applyNumberFormat="1" applyFont="1" applyFill="1" applyBorder="1"/>
    <xf numFmtId="0" fontId="56" fillId="9" borderId="9" xfId="0" applyNumberFormat="1" applyFont="1" applyFill="1" applyBorder="1"/>
    <xf numFmtId="2" fontId="56" fillId="9" borderId="10" xfId="0" applyNumberFormat="1" applyFont="1" applyFill="1" applyBorder="1"/>
    <xf numFmtId="0" fontId="57" fillId="9" borderId="0" xfId="0" applyFont="1" applyFill="1"/>
    <xf numFmtId="0" fontId="58" fillId="9" borderId="0" xfId="0" applyFont="1" applyFill="1"/>
    <xf numFmtId="0" fontId="59" fillId="9" borderId="0" xfId="0" applyFont="1" applyFill="1"/>
    <xf numFmtId="0" fontId="59" fillId="9" borderId="0" xfId="0" applyFont="1" applyFill="1" applyAlignment="1">
      <alignment vertical="top"/>
    </xf>
    <xf numFmtId="0" fontId="59" fillId="9" borderId="0" xfId="0" applyFont="1" applyFill="1" applyAlignment="1">
      <alignment horizontal="left" vertical="top"/>
    </xf>
    <xf numFmtId="0" fontId="60" fillId="9" borderId="23" xfId="0" applyFont="1" applyFill="1" applyBorder="1"/>
    <xf numFmtId="0" fontId="34" fillId="9" borderId="0" xfId="0" applyFont="1" applyFill="1" applyBorder="1"/>
    <xf numFmtId="0" fontId="35" fillId="9" borderId="0" xfId="0" applyFont="1" applyFill="1"/>
    <xf numFmtId="0" fontId="59" fillId="9" borderId="0" xfId="0" applyFont="1" applyFill="1" applyAlignment="1">
      <alignment vertical="top" wrapText="1"/>
    </xf>
    <xf numFmtId="0" fontId="45" fillId="9" borderId="0" xfId="0" applyFont="1" applyFill="1"/>
    <xf numFmtId="0" fontId="0" fillId="9" borderId="0" xfId="0" applyFont="1" applyFill="1"/>
    <xf numFmtId="0" fontId="51" fillId="9" borderId="0" xfId="21" applyFont="1" applyFill="1"/>
    <xf numFmtId="0" fontId="59" fillId="9" borderId="0" xfId="21" applyFont="1" applyFill="1"/>
    <xf numFmtId="0" fontId="61" fillId="9" borderId="0" xfId="0" applyFont="1" applyFill="1"/>
    <xf numFmtId="0" fontId="0" fillId="9" borderId="0" xfId="0" applyFont="1" applyFill="1" applyAlignment="1">
      <alignment horizontal="center"/>
    </xf>
    <xf numFmtId="0" fontId="51" fillId="9" borderId="0" xfId="0" applyFont="1" applyFill="1"/>
    <xf numFmtId="0" fontId="3" fillId="9" borderId="0" xfId="0" applyFont="1" applyFill="1"/>
    <xf numFmtId="0" fontId="59" fillId="9" borderId="0" xfId="21" applyFont="1" applyFill="1" applyBorder="1"/>
    <xf numFmtId="0" fontId="62" fillId="9" borderId="0" xfId="21" applyFont="1" applyFill="1"/>
    <xf numFmtId="0" fontId="0" fillId="9" borderId="0" xfId="0" applyFont="1" applyFill="1" applyBorder="1" applyAlignment="1">
      <alignment horizontal="center"/>
    </xf>
    <xf numFmtId="9" fontId="63" fillId="9" borderId="0" xfId="0" applyNumberFormat="1" applyFont="1" applyFill="1" applyBorder="1"/>
    <xf numFmtId="0" fontId="64" fillId="9" borderId="0" xfId="21" applyFont="1" applyFill="1"/>
    <xf numFmtId="0" fontId="51" fillId="9" borderId="5" xfId="21" applyNumberFormat="1" applyFont="1" applyFill="1" applyBorder="1" applyAlignment="1">
      <alignment horizontal="center" vertical="center" wrapText="1"/>
    </xf>
    <xf numFmtId="0" fontId="0" fillId="9" borderId="0" xfId="0" applyFont="1" applyFill="1" applyAlignment="1">
      <alignment wrapText="1"/>
    </xf>
    <xf numFmtId="0" fontId="37" fillId="9" borderId="0" xfId="0" applyFont="1" applyFill="1"/>
    <xf numFmtId="10" fontId="20" fillId="9" borderId="0" xfId="23" applyNumberFormat="1" applyFont="1" applyFill="1"/>
    <xf numFmtId="0" fontId="20" fillId="9" borderId="0" xfId="0" applyFont="1" applyFill="1" applyAlignment="1">
      <alignment horizontal="center"/>
    </xf>
    <xf numFmtId="0" fontId="21" fillId="10" borderId="0" xfId="0" applyFont="1" applyFill="1" applyAlignment="1">
      <alignment horizontal="right" vertical="top" wrapText="1"/>
    </xf>
    <xf numFmtId="0" fontId="66" fillId="10" borderId="0" xfId="0" applyFont="1" applyFill="1" applyAlignment="1">
      <alignment horizontal="right" vertical="top" wrapText="1"/>
    </xf>
    <xf numFmtId="0" fontId="65" fillId="9" borderId="0" xfId="0" applyFont="1" applyFill="1" applyAlignment="1">
      <alignment horizontal="left" vertical="top" indent="3"/>
    </xf>
    <xf numFmtId="43" fontId="20" fillId="9" borderId="0" xfId="6" applyNumberFormat="1" applyFont="1" applyFill="1"/>
    <xf numFmtId="2" fontId="22" fillId="8" borderId="7" xfId="0" applyNumberFormat="1" applyFont="1" applyFill="1" applyBorder="1"/>
    <xf numFmtId="2" fontId="22" fillId="8" borderId="9" xfId="0" applyNumberFormat="1" applyFont="1" applyFill="1" applyBorder="1"/>
    <xf numFmtId="0" fontId="67" fillId="9" borderId="0" xfId="0" applyFont="1" applyFill="1" applyAlignment="1">
      <alignment horizontal="left" indent="1"/>
    </xf>
    <xf numFmtId="0" fontId="67" fillId="9" borderId="0" xfId="19" applyFont="1" applyFill="1" applyAlignment="1">
      <alignment horizontal="left" indent="1"/>
    </xf>
    <xf numFmtId="2" fontId="22" fillId="9" borderId="13" xfId="0" applyNumberFormat="1" applyFont="1" applyFill="1" applyBorder="1"/>
    <xf numFmtId="2" fontId="22" fillId="9" borderId="8" xfId="0" applyNumberFormat="1" applyFont="1" applyFill="1" applyBorder="1"/>
    <xf numFmtId="2" fontId="22" fillId="9" borderId="14" xfId="0" applyNumberFormat="1" applyFont="1" applyFill="1" applyBorder="1"/>
    <xf numFmtId="2" fontId="22" fillId="9" borderId="10" xfId="0" applyNumberFormat="1" applyFont="1" applyFill="1" applyBorder="1"/>
    <xf numFmtId="2" fontId="56" fillId="9" borderId="8" xfId="0" applyNumberFormat="1" applyFont="1" applyFill="1" applyBorder="1"/>
    <xf numFmtId="2" fontId="28" fillId="9" borderId="7" xfId="0" applyNumberFormat="1" applyFont="1" applyFill="1" applyBorder="1"/>
    <xf numFmtId="2" fontId="28" fillId="9" borderId="9" xfId="0" applyNumberFormat="1" applyFont="1" applyFill="1" applyBorder="1"/>
    <xf numFmtId="0" fontId="23" fillId="9" borderId="5" xfId="0" applyFont="1" applyFill="1" applyBorder="1" applyAlignment="1">
      <alignment horizontal="center" wrapText="1"/>
    </xf>
    <xf numFmtId="4" fontId="68" fillId="11" borderId="15" xfId="0" applyNumberFormat="1" applyFont="1" applyFill="1" applyBorder="1" applyAlignment="1">
      <alignment horizontal="center" vertical="center" wrapText="1"/>
    </xf>
    <xf numFmtId="0" fontId="0" fillId="8" borderId="5" xfId="0" applyFont="1" applyFill="1" applyBorder="1" applyAlignment="1">
      <alignment horizontal="center"/>
    </xf>
    <xf numFmtId="0" fontId="23" fillId="9" borderId="4" xfId="0" applyFont="1" applyFill="1" applyBorder="1" applyAlignment="1">
      <alignment wrapText="1"/>
    </xf>
    <xf numFmtId="4" fontId="68" fillId="9" borderId="0" xfId="0" applyNumberFormat="1" applyFont="1" applyFill="1" applyBorder="1" applyAlignment="1">
      <alignment horizontal="center" vertical="center" wrapText="1"/>
    </xf>
    <xf numFmtId="0" fontId="23" fillId="9" borderId="7" xfId="0" applyFont="1" applyFill="1" applyBorder="1" applyAlignment="1">
      <alignment wrapText="1"/>
    </xf>
    <xf numFmtId="0" fontId="23" fillId="9" borderId="5" xfId="0" applyFont="1" applyFill="1" applyBorder="1" applyAlignment="1">
      <alignment vertical="center" wrapText="1"/>
    </xf>
    <xf numFmtId="0" fontId="23" fillId="9" borderId="11" xfId="0" applyFont="1" applyFill="1" applyBorder="1" applyAlignment="1">
      <alignment horizontal="right" vertical="center" wrapText="1"/>
    </xf>
    <xf numFmtId="0" fontId="23" fillId="9" borderId="12" xfId="0" applyFont="1" applyFill="1" applyBorder="1" applyAlignment="1">
      <alignment horizontal="right" vertical="center" wrapText="1"/>
    </xf>
    <xf numFmtId="0" fontId="23" fillId="9" borderId="5" xfId="0" applyFont="1" applyFill="1" applyBorder="1" applyAlignment="1">
      <alignment horizontal="right" vertical="center" wrapText="1"/>
    </xf>
    <xf numFmtId="0" fontId="20" fillId="9" borderId="0" xfId="0" applyFont="1" applyFill="1" applyAlignment="1">
      <alignment vertical="center" wrapText="1"/>
    </xf>
    <xf numFmtId="0" fontId="23" fillId="9" borderId="5" xfId="0" applyFont="1" applyFill="1" applyBorder="1" applyAlignment="1">
      <alignment horizontal="center" vertical="center" wrapText="1"/>
    </xf>
    <xf numFmtId="0" fontId="51" fillId="9" borderId="9" xfId="21" applyNumberFormat="1" applyFont="1" applyFill="1" applyBorder="1" applyAlignment="1">
      <alignment horizontal="center" vertical="center" wrapText="1"/>
    </xf>
    <xf numFmtId="0" fontId="45" fillId="0" borderId="0" xfId="0" applyFont="1"/>
    <xf numFmtId="0" fontId="63" fillId="0" borderId="0" xfId="0" applyFont="1"/>
    <xf numFmtId="0" fontId="42" fillId="12" borderId="16" xfId="0" applyFont="1" applyFill="1" applyBorder="1" applyAlignment="1">
      <alignment horizontal="center" wrapText="1"/>
    </xf>
    <xf numFmtId="0" fontId="42" fillId="0" borderId="16" xfId="0" applyFont="1" applyBorder="1" applyAlignment="1">
      <alignment horizontal="center" wrapText="1"/>
    </xf>
    <xf numFmtId="0" fontId="42" fillId="0" borderId="16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top" wrapText="1"/>
    </xf>
    <xf numFmtId="0" fontId="42" fillId="12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0" fontId="0" fillId="9" borderId="0" xfId="0" applyFill="1" applyBorder="1" applyAlignment="1">
      <alignment horizontal="center"/>
    </xf>
    <xf numFmtId="3" fontId="59" fillId="9" borderId="11" xfId="21" applyNumberFormat="1" applyFont="1" applyFill="1" applyBorder="1"/>
    <xf numFmtId="3" fontId="59" fillId="9" borderId="17" xfId="21" applyNumberFormat="1" applyFont="1" applyFill="1" applyBorder="1"/>
    <xf numFmtId="3" fontId="59" fillId="9" borderId="12" xfId="21" applyNumberFormat="1" applyFont="1" applyFill="1" applyBorder="1"/>
    <xf numFmtId="3" fontId="59" fillId="9" borderId="5" xfId="21" applyNumberFormat="1" applyFont="1" applyFill="1" applyBorder="1"/>
    <xf numFmtId="0" fontId="51" fillId="9" borderId="9" xfId="21" applyNumberFormat="1" applyFont="1" applyFill="1" applyBorder="1" applyAlignment="1">
      <alignment horizontal="right" vertical="center" wrapText="1"/>
    </xf>
    <xf numFmtId="3" fontId="0" fillId="9" borderId="5" xfId="0" applyNumberFormat="1" applyFont="1" applyFill="1" applyBorder="1" applyAlignment="1"/>
    <xf numFmtId="164" fontId="43" fillId="9" borderId="5" xfId="23" applyNumberFormat="1" applyFont="1" applyFill="1" applyBorder="1" applyAlignment="1"/>
    <xf numFmtId="0" fontId="3" fillId="0" borderId="0" xfId="0" applyFont="1"/>
    <xf numFmtId="0" fontId="51" fillId="9" borderId="0" xfId="20" applyFont="1" applyFill="1" applyBorder="1" applyAlignment="1">
      <alignment horizontal="left"/>
    </xf>
    <xf numFmtId="0" fontId="41" fillId="9" borderId="0" xfId="0" applyFont="1" applyFill="1"/>
    <xf numFmtId="0" fontId="41" fillId="9" borderId="0" xfId="0" applyFont="1" applyFill="1" applyBorder="1" applyAlignment="1">
      <alignment horizontal="center"/>
    </xf>
    <xf numFmtId="0" fontId="70" fillId="9" borderId="0" xfId="0" applyFont="1" applyFill="1"/>
    <xf numFmtId="0" fontId="20" fillId="9" borderId="5" xfId="0" applyFont="1" applyFill="1" applyBorder="1" applyAlignment="1">
      <alignment horizontal="center"/>
    </xf>
    <xf numFmtId="0" fontId="20" fillId="9" borderId="0" xfId="0" quotePrefix="1" applyFont="1" applyFill="1"/>
    <xf numFmtId="0" fontId="72" fillId="9" borderId="0" xfId="0" applyFont="1" applyFill="1"/>
    <xf numFmtId="0" fontId="30" fillId="9" borderId="0" xfId="0" applyFont="1" applyFill="1" applyAlignment="1">
      <alignment horizontal="right"/>
    </xf>
    <xf numFmtId="170" fontId="20" fillId="9" borderId="0" xfId="0" applyNumberFormat="1" applyFont="1" applyFill="1" applyBorder="1"/>
    <xf numFmtId="0" fontId="76" fillId="9" borderId="0" xfId="0" applyFont="1" applyFill="1" applyAlignment="1">
      <alignment horizontal="right"/>
    </xf>
    <xf numFmtId="0" fontId="20" fillId="9" borderId="0" xfId="0" applyFont="1" applyFill="1" applyBorder="1" applyAlignment="1">
      <alignment horizontal="right"/>
    </xf>
    <xf numFmtId="0" fontId="23" fillId="9" borderId="0" xfId="0" applyFont="1" applyFill="1" applyBorder="1" applyAlignment="1">
      <alignment horizontal="right"/>
    </xf>
    <xf numFmtId="164" fontId="23" fillId="9" borderId="5" xfId="23" applyNumberFormat="1" applyFont="1" applyFill="1" applyBorder="1"/>
    <xf numFmtId="170" fontId="23" fillId="9" borderId="5" xfId="23" applyNumberFormat="1" applyFont="1" applyFill="1" applyBorder="1" applyAlignment="1"/>
    <xf numFmtId="2" fontId="20" fillId="9" borderId="5" xfId="0" applyNumberFormat="1" applyFont="1" applyFill="1" applyBorder="1"/>
    <xf numFmtId="9" fontId="20" fillId="9" borderId="5" xfId="0" applyNumberFormat="1" applyFont="1" applyFill="1" applyBorder="1"/>
    <xf numFmtId="170" fontId="56" fillId="9" borderId="7" xfId="23" applyNumberFormat="1" applyFont="1" applyFill="1" applyBorder="1"/>
    <xf numFmtId="170" fontId="56" fillId="9" borderId="9" xfId="23" applyNumberFormat="1" applyFont="1" applyFill="1" applyBorder="1"/>
    <xf numFmtId="0" fontId="50" fillId="9" borderId="0" xfId="0" applyFont="1" applyFill="1" applyBorder="1"/>
    <xf numFmtId="0" fontId="51" fillId="9" borderId="12" xfId="21" applyNumberFormat="1" applyFont="1" applyFill="1" applyBorder="1" applyAlignment="1">
      <alignment horizontal="center" vertical="center" wrapText="1"/>
    </xf>
    <xf numFmtId="0" fontId="51" fillId="9" borderId="26" xfId="21" applyNumberFormat="1" applyFont="1" applyFill="1" applyBorder="1" applyAlignment="1">
      <alignment horizontal="left" vertical="center" wrapText="1"/>
    </xf>
    <xf numFmtId="0" fontId="51" fillId="9" borderId="27" xfId="21" applyNumberFormat="1" applyFont="1" applyFill="1" applyBorder="1" applyAlignment="1">
      <alignment horizontal="left" vertical="center" wrapText="1"/>
    </xf>
    <xf numFmtId="170" fontId="20" fillId="9" borderId="0" xfId="0" applyNumberFormat="1" applyFont="1" applyFill="1"/>
    <xf numFmtId="0" fontId="77" fillId="9" borderId="0" xfId="0" applyFont="1" applyFill="1" applyAlignment="1">
      <alignment horizontal="left"/>
    </xf>
    <xf numFmtId="0" fontId="0" fillId="8" borderId="11" xfId="0" applyFont="1" applyFill="1" applyBorder="1" applyAlignment="1"/>
    <xf numFmtId="0" fontId="0" fillId="8" borderId="12" xfId="0" applyFont="1" applyFill="1" applyBorder="1" applyAlignment="1"/>
    <xf numFmtId="0" fontId="37" fillId="9" borderId="0" xfId="0" applyFont="1" applyFill="1" applyAlignment="1">
      <alignment vertical="top"/>
    </xf>
    <xf numFmtId="0" fontId="78" fillId="9" borderId="5" xfId="0" applyFont="1" applyFill="1" applyBorder="1" applyAlignment="1">
      <alignment horizontal="center"/>
    </xf>
    <xf numFmtId="3" fontId="69" fillId="8" borderId="12" xfId="0" applyNumberFormat="1" applyFont="1" applyFill="1" applyBorder="1"/>
    <xf numFmtId="3" fontId="69" fillId="8" borderId="5" xfId="0" applyNumberFormat="1" applyFont="1" applyFill="1" applyBorder="1"/>
    <xf numFmtId="3" fontId="0" fillId="8" borderId="5" xfId="0" applyNumberFormat="1" applyFont="1" applyFill="1" applyBorder="1"/>
    <xf numFmtId="0" fontId="56" fillId="9" borderId="7" xfId="0" applyFont="1" applyFill="1" applyBorder="1" applyAlignment="1">
      <alignment horizontal="center"/>
    </xf>
    <xf numFmtId="9" fontId="56" fillId="9" borderId="7" xfId="0" applyNumberFormat="1" applyFont="1" applyFill="1" applyBorder="1" applyAlignment="1">
      <alignment horizontal="center"/>
    </xf>
    <xf numFmtId="0" fontId="56" fillId="9" borderId="9" xfId="0" applyFont="1" applyFill="1" applyBorder="1" applyAlignment="1">
      <alignment horizontal="center"/>
    </xf>
    <xf numFmtId="9" fontId="56" fillId="9" borderId="9" xfId="0" applyNumberFormat="1" applyFont="1" applyFill="1" applyBorder="1" applyAlignment="1">
      <alignment horizontal="center"/>
    </xf>
    <xf numFmtId="3" fontId="46" fillId="8" borderId="0" xfId="6" applyNumberFormat="1" applyFont="1" applyFill="1"/>
    <xf numFmtId="3" fontId="20" fillId="9" borderId="0" xfId="0" applyNumberFormat="1" applyFont="1" applyFill="1" applyBorder="1" applyAlignment="1">
      <alignment horizontal="right"/>
    </xf>
    <xf numFmtId="169" fontId="20" fillId="9" borderId="0" xfId="6" applyNumberFormat="1" applyFont="1" applyFill="1"/>
    <xf numFmtId="0" fontId="41" fillId="9" borderId="0" xfId="0" applyFont="1" applyFill="1" applyAlignment="1">
      <alignment vertical="top"/>
    </xf>
    <xf numFmtId="0" fontId="8" fillId="13" borderId="0" xfId="19" applyFill="1" applyAlignment="1">
      <alignment horizontal="center" vertical="center"/>
    </xf>
    <xf numFmtId="0" fontId="8" fillId="13" borderId="0" xfId="19" applyFill="1"/>
    <xf numFmtId="0" fontId="8" fillId="14" borderId="0" xfId="19" applyFill="1"/>
    <xf numFmtId="0" fontId="41" fillId="13" borderId="0" xfId="19" applyFont="1" applyFill="1" applyAlignment="1">
      <alignment horizontal="left" vertical="center"/>
    </xf>
    <xf numFmtId="0" fontId="41" fillId="13" borderId="5" xfId="19" applyFont="1" applyFill="1" applyBorder="1" applyAlignment="1">
      <alignment horizontal="center" vertical="top"/>
    </xf>
    <xf numFmtId="0" fontId="41" fillId="13" borderId="5" xfId="19" applyFont="1" applyFill="1" applyBorder="1" applyAlignment="1">
      <alignment vertical="top"/>
    </xf>
    <xf numFmtId="0" fontId="1" fillId="13" borderId="5" xfId="19" applyFont="1" applyFill="1" applyBorder="1" applyAlignment="1">
      <alignment vertical="top" wrapText="1"/>
    </xf>
    <xf numFmtId="0" fontId="8" fillId="14" borderId="0" xfId="19" applyFill="1" applyAlignment="1">
      <alignment horizontal="center" vertical="center"/>
    </xf>
    <xf numFmtId="0" fontId="66" fillId="10" borderId="0" xfId="0" applyFont="1" applyFill="1" applyAlignment="1">
      <alignment horizontal="right" vertical="center" wrapText="1"/>
    </xf>
    <xf numFmtId="16" fontId="8" fillId="13" borderId="5" xfId="19" applyNumberFormat="1" applyFill="1" applyBorder="1" applyAlignment="1">
      <alignment horizontal="center" vertical="top"/>
    </xf>
    <xf numFmtId="1" fontId="46" fillId="8" borderId="0" xfId="6" applyNumberFormat="1" applyFont="1" applyFill="1"/>
    <xf numFmtId="172" fontId="20" fillId="9" borderId="0" xfId="6" applyNumberFormat="1" applyFont="1" applyFill="1"/>
    <xf numFmtId="3" fontId="20" fillId="9" borderId="0" xfId="6" applyNumberFormat="1" applyFont="1" applyFill="1"/>
    <xf numFmtId="0" fontId="83" fillId="9" borderId="0" xfId="0" applyFont="1" applyFill="1" applyAlignment="1">
      <alignment vertical="top"/>
    </xf>
    <xf numFmtId="0" fontId="84" fillId="9" borderId="0" xfId="0" applyFont="1" applyFill="1"/>
    <xf numFmtId="0" fontId="83" fillId="9" borderId="0" xfId="0" applyFont="1" applyFill="1" applyAlignment="1">
      <alignment horizontal="left" vertical="top" indent="3"/>
    </xf>
    <xf numFmtId="0" fontId="79" fillId="9" borderId="0" xfId="0" applyFont="1" applyFill="1" applyAlignment="1">
      <alignment vertical="center"/>
    </xf>
    <xf numFmtId="0" fontId="70" fillId="9" borderId="0" xfId="0" applyFont="1" applyFill="1" applyAlignment="1">
      <alignment vertical="center"/>
    </xf>
    <xf numFmtId="0" fontId="20" fillId="9" borderId="5" xfId="0" applyFont="1" applyFill="1" applyBorder="1" applyAlignment="1">
      <alignment horizontal="center" vertical="center"/>
    </xf>
    <xf numFmtId="0" fontId="71" fillId="9" borderId="0" xfId="20" applyFont="1" applyFill="1" applyBorder="1" applyAlignment="1">
      <alignment horizontal="left" vertical="center"/>
    </xf>
    <xf numFmtId="0" fontId="71" fillId="9" borderId="0" xfId="21" applyFont="1" applyFill="1" applyAlignment="1">
      <alignment horizontal="left" vertical="center"/>
    </xf>
    <xf numFmtId="173" fontId="20" fillId="9" borderId="0" xfId="23" applyNumberFormat="1" applyFont="1" applyFill="1"/>
    <xf numFmtId="170" fontId="20" fillId="9" borderId="0" xfId="23" applyNumberFormat="1" applyFont="1" applyFill="1"/>
    <xf numFmtId="0" fontId="20" fillId="10" borderId="0" xfId="0" applyFont="1" applyFill="1" applyAlignment="1">
      <alignment horizontal="center"/>
    </xf>
    <xf numFmtId="9" fontId="55" fillId="8" borderId="24" xfId="23" applyFont="1" applyFill="1" applyBorder="1" applyAlignment="1">
      <alignment horizontal="center"/>
    </xf>
    <xf numFmtId="9" fontId="55" fillId="8" borderId="25" xfId="23" applyFont="1" applyFill="1" applyBorder="1" applyAlignment="1">
      <alignment horizontal="center"/>
    </xf>
    <xf numFmtId="9" fontId="20" fillId="9" borderId="5" xfId="0" applyNumberFormat="1" applyFont="1" applyFill="1" applyBorder="1" applyAlignment="1">
      <alignment horizontal="center"/>
    </xf>
    <xf numFmtId="0" fontId="20" fillId="8" borderId="0" xfId="0" applyFont="1" applyFill="1"/>
    <xf numFmtId="0" fontId="51" fillId="9" borderId="11" xfId="21" applyNumberFormat="1" applyFont="1" applyFill="1" applyBorder="1" applyAlignment="1">
      <alignment horizontal="center" vertical="center"/>
    </xf>
    <xf numFmtId="0" fontId="51" fillId="9" borderId="17" xfId="21" applyNumberFormat="1" applyFont="1" applyFill="1" applyBorder="1" applyAlignment="1">
      <alignment horizontal="center" vertical="center"/>
    </xf>
    <xf numFmtId="0" fontId="51" fillId="9" borderId="5" xfId="21" applyNumberFormat="1" applyFont="1" applyFill="1" applyBorder="1" applyAlignment="1">
      <alignment horizontal="center" vertical="center" wrapText="1"/>
    </xf>
    <xf numFmtId="0" fontId="89" fillId="9" borderId="0" xfId="0" applyFont="1" applyFill="1" applyBorder="1"/>
    <xf numFmtId="0" fontId="59" fillId="9" borderId="0" xfId="0" applyFont="1" applyFill="1" applyAlignment="1">
      <alignment horizontal="left" vertical="top" indent="1"/>
    </xf>
    <xf numFmtId="0" fontId="51" fillId="9" borderId="11" xfId="21" applyNumberFormat="1" applyFont="1" applyFill="1" applyBorder="1" applyAlignment="1">
      <alignment horizontal="right" vertical="center"/>
    </xf>
    <xf numFmtId="0" fontId="51" fillId="9" borderId="17" xfId="21" applyNumberFormat="1" applyFont="1" applyFill="1" applyBorder="1" applyAlignment="1">
      <alignment horizontal="right" vertical="center"/>
    </xf>
    <xf numFmtId="0" fontId="51" fillId="9" borderId="12" xfId="21" applyNumberFormat="1" applyFont="1" applyFill="1" applyBorder="1" applyAlignment="1">
      <alignment horizontal="right" vertical="center"/>
    </xf>
    <xf numFmtId="0" fontId="51" fillId="9" borderId="5" xfId="21" applyFont="1" applyFill="1" applyBorder="1" applyAlignment="1">
      <alignment horizontal="center" vertical="center"/>
    </xf>
    <xf numFmtId="0" fontId="51" fillId="9" borderId="11" xfId="21" applyFont="1" applyFill="1" applyBorder="1"/>
    <xf numFmtId="0" fontId="41" fillId="9" borderId="0" xfId="0" applyFont="1" applyFill="1" applyAlignment="1">
      <alignment horizontal="center"/>
    </xf>
    <xf numFmtId="0" fontId="0" fillId="0" borderId="0" xfId="0" applyFill="1"/>
    <xf numFmtId="0" fontId="45" fillId="0" borderId="0" xfId="0" applyFont="1" applyFill="1"/>
    <xf numFmtId="0" fontId="1" fillId="0" borderId="0" xfId="0" applyFont="1" applyFill="1"/>
    <xf numFmtId="2" fontId="56" fillId="9" borderId="7" xfId="0" applyNumberFormat="1" applyFont="1" applyFill="1" applyBorder="1"/>
    <xf numFmtId="16" fontId="8" fillId="13" borderId="5" xfId="19" quotePrefix="1" applyNumberFormat="1" applyFill="1" applyBorder="1" applyAlignment="1">
      <alignment horizontal="center" vertical="top"/>
    </xf>
    <xf numFmtId="0" fontId="91" fillId="9" borderId="0" xfId="0" applyFont="1" applyFill="1" applyAlignment="1">
      <alignment vertical="top"/>
    </xf>
    <xf numFmtId="0" fontId="80" fillId="9" borderId="0" xfId="0" applyFont="1" applyFill="1" applyAlignment="1">
      <alignment horizontal="left" vertical="top"/>
    </xf>
    <xf numFmtId="0" fontId="91" fillId="9" borderId="0" xfId="0" applyFont="1" applyFill="1" applyAlignment="1">
      <alignment horizontal="left" vertical="top"/>
    </xf>
    <xf numFmtId="0" fontId="79" fillId="13" borderId="0" xfId="19" applyFont="1" applyFill="1" applyAlignment="1">
      <alignment horizontal="left" vertical="center"/>
    </xf>
    <xf numFmtId="0" fontId="67" fillId="9" borderId="0" xfId="0" applyFont="1" applyFill="1" applyAlignment="1">
      <alignment horizontal="center"/>
    </xf>
    <xf numFmtId="0" fontId="66" fillId="10" borderId="0" xfId="0" applyFont="1" applyFill="1" applyAlignment="1">
      <alignment horizontal="center" vertical="top" wrapText="1"/>
    </xf>
    <xf numFmtId="0" fontId="45" fillId="9" borderId="0" xfId="0" applyFont="1" applyFill="1" applyAlignment="1">
      <alignment horizontal="left" vertical="top" indent="1"/>
    </xf>
    <xf numFmtId="0" fontId="29" fillId="9" borderId="0" xfId="0" applyFont="1" applyFill="1" applyAlignment="1">
      <alignment horizontal="left" indent="1"/>
    </xf>
    <xf numFmtId="0" fontId="91" fillId="9" borderId="0" xfId="0" applyFont="1" applyFill="1" applyAlignment="1">
      <alignment horizontal="left" vertical="top" indent="1"/>
    </xf>
    <xf numFmtId="0" fontId="94" fillId="13" borderId="0" xfId="0" applyFont="1" applyFill="1"/>
    <xf numFmtId="17" fontId="94" fillId="13" borderId="0" xfId="0" applyNumberFormat="1" applyFont="1" applyFill="1"/>
    <xf numFmtId="0" fontId="0" fillId="15" borderId="0" xfId="0" applyFill="1"/>
    <xf numFmtId="0" fontId="94" fillId="16" borderId="0" xfId="0" applyFont="1" applyFill="1"/>
    <xf numFmtId="0" fontId="94" fillId="16" borderId="0" xfId="0" applyFont="1" applyFill="1" applyBorder="1" applyAlignment="1"/>
    <xf numFmtId="0" fontId="94" fillId="15" borderId="0" xfId="0" applyFont="1" applyFill="1"/>
    <xf numFmtId="0" fontId="96" fillId="9" borderId="0" xfId="0" applyFont="1" applyFill="1"/>
    <xf numFmtId="0" fontId="71" fillId="9" borderId="4" xfId="0" applyFont="1" applyFill="1" applyBorder="1"/>
    <xf numFmtId="3" fontId="57" fillId="9" borderId="28" xfId="0" applyNumberFormat="1" applyFont="1" applyFill="1" applyBorder="1"/>
    <xf numFmtId="0" fontId="71" fillId="9" borderId="7" xfId="0" applyFont="1" applyFill="1" applyBorder="1"/>
    <xf numFmtId="3" fontId="57" fillId="9" borderId="0" xfId="0" applyNumberFormat="1" applyFont="1" applyFill="1" applyBorder="1"/>
    <xf numFmtId="0" fontId="71" fillId="9" borderId="9" xfId="0" applyFont="1" applyFill="1" applyBorder="1"/>
    <xf numFmtId="3" fontId="57" fillId="9" borderId="29" xfId="0" applyNumberFormat="1" applyFont="1" applyFill="1" applyBorder="1"/>
    <xf numFmtId="9" fontId="57" fillId="9" borderId="9" xfId="23" applyNumberFormat="1" applyFont="1" applyFill="1" applyBorder="1" applyAlignment="1">
      <alignment horizontal="center"/>
    </xf>
    <xf numFmtId="0" fontId="57" fillId="9" borderId="0" xfId="0" applyFont="1" applyFill="1" applyAlignment="1">
      <alignment horizontal="left" indent="1"/>
    </xf>
    <xf numFmtId="0" fontId="71" fillId="9" borderId="5" xfId="0" applyFont="1" applyFill="1" applyBorder="1" applyAlignment="1">
      <alignment horizontal="center" wrapText="1"/>
    </xf>
    <xf numFmtId="0" fontId="71" fillId="9" borderId="5" xfId="0" applyFont="1" applyFill="1" applyBorder="1" applyAlignment="1">
      <alignment horizontal="center"/>
    </xf>
    <xf numFmtId="0" fontId="97" fillId="0" borderId="0" xfId="0" applyFont="1" applyAlignment="1">
      <alignment vertical="center"/>
    </xf>
    <xf numFmtId="0" fontId="0" fillId="13" borderId="0" xfId="0" applyFill="1"/>
    <xf numFmtId="0" fontId="41" fillId="13" borderId="0" xfId="0" applyFont="1" applyFill="1" applyAlignment="1">
      <alignment vertical="center"/>
    </xf>
    <xf numFmtId="0" fontId="97" fillId="13" borderId="0" xfId="0" applyFont="1" applyFill="1" applyAlignment="1">
      <alignment vertical="center"/>
    </xf>
    <xf numFmtId="0" fontId="41" fillId="0" borderId="0" xfId="0" applyFont="1" applyAlignment="1">
      <alignment vertical="center"/>
    </xf>
    <xf numFmtId="0" fontId="1" fillId="13" borderId="0" xfId="0" applyFont="1" applyFill="1"/>
    <xf numFmtId="0" fontId="98" fillId="13" borderId="0" xfId="0" applyFont="1" applyFill="1"/>
    <xf numFmtId="0" fontId="1" fillId="13" borderId="5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99" fillId="9" borderId="0" xfId="0" applyFont="1" applyFill="1"/>
    <xf numFmtId="0" fontId="51" fillId="9" borderId="0" xfId="0" applyFont="1" applyFill="1" applyAlignment="1">
      <alignment horizontal="left" vertical="top" indent="1"/>
    </xf>
    <xf numFmtId="0" fontId="100" fillId="9" borderId="0" xfId="0" applyFont="1" applyFill="1" applyAlignment="1">
      <alignment vertical="top"/>
    </xf>
    <xf numFmtId="0" fontId="100" fillId="9" borderId="0" xfId="0" applyFont="1" applyFill="1" applyAlignment="1">
      <alignment horizontal="left" vertical="top" indent="1"/>
    </xf>
    <xf numFmtId="1" fontId="46" fillId="9" borderId="0" xfId="6" applyNumberFormat="1" applyFont="1" applyFill="1"/>
    <xf numFmtId="9" fontId="102" fillId="9" borderId="4" xfId="0" applyNumberFormat="1" applyFont="1" applyFill="1" applyBorder="1" applyAlignment="1">
      <alignment horizontal="center"/>
    </xf>
    <xf numFmtId="9" fontId="102" fillId="9" borderId="7" xfId="0" applyNumberFormat="1" applyFont="1" applyFill="1" applyBorder="1" applyAlignment="1">
      <alignment horizontal="center"/>
    </xf>
    <xf numFmtId="9" fontId="102" fillId="9" borderId="9" xfId="0" applyNumberFormat="1" applyFont="1" applyFill="1" applyBorder="1" applyAlignment="1">
      <alignment horizontal="center"/>
    </xf>
    <xf numFmtId="0" fontId="94" fillId="13" borderId="11" xfId="0" applyFont="1" applyFill="1" applyBorder="1" applyAlignment="1">
      <alignment horizontal="left"/>
    </xf>
    <xf numFmtId="0" fontId="94" fillId="13" borderId="17" xfId="0" applyFont="1" applyFill="1" applyBorder="1" applyAlignment="1">
      <alignment horizontal="left"/>
    </xf>
    <xf numFmtId="0" fontId="94" fillId="13" borderId="12" xfId="0" applyFont="1" applyFill="1" applyBorder="1" applyAlignment="1">
      <alignment horizontal="left"/>
    </xf>
    <xf numFmtId="0" fontId="95" fillId="13" borderId="5" xfId="0" applyFont="1" applyFill="1" applyBorder="1" applyAlignment="1">
      <alignment horizontal="center" wrapText="1"/>
    </xf>
    <xf numFmtId="0" fontId="94" fillId="13" borderId="5" xfId="0" applyFont="1" applyFill="1" applyBorder="1" applyAlignment="1">
      <alignment horizontal="left"/>
    </xf>
    <xf numFmtId="0" fontId="1" fillId="13" borderId="4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left"/>
    </xf>
    <xf numFmtId="0" fontId="0" fillId="9" borderId="17" xfId="0" applyFont="1" applyFill="1" applyBorder="1" applyAlignment="1">
      <alignment horizontal="left"/>
    </xf>
    <xf numFmtId="0" fontId="0" fillId="9" borderId="12" xfId="0" applyFont="1" applyFill="1" applyBorder="1" applyAlignment="1">
      <alignment horizontal="left"/>
    </xf>
    <xf numFmtId="0" fontId="51" fillId="9" borderId="5" xfId="21" applyNumberFormat="1" applyFont="1" applyFill="1" applyBorder="1" applyAlignment="1">
      <alignment horizontal="center" vertical="center"/>
    </xf>
    <xf numFmtId="0" fontId="73" fillId="9" borderId="11" xfId="21" applyFont="1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73" fillId="9" borderId="11" xfId="0" applyFont="1" applyFill="1" applyBorder="1" applyAlignment="1">
      <alignment horizontal="center"/>
    </xf>
    <xf numFmtId="0" fontId="51" fillId="9" borderId="12" xfId="21" applyNumberFormat="1" applyFont="1" applyFill="1" applyBorder="1" applyAlignment="1">
      <alignment horizontal="center" vertical="center"/>
    </xf>
    <xf numFmtId="0" fontId="64" fillId="9" borderId="11" xfId="21" applyFont="1" applyFill="1" applyBorder="1" applyAlignment="1">
      <alignment horizontal="center"/>
    </xf>
    <xf numFmtId="0" fontId="41" fillId="9" borderId="17" xfId="0" applyFont="1" applyFill="1" applyBorder="1" applyAlignment="1">
      <alignment horizontal="center"/>
    </xf>
    <xf numFmtId="0" fontId="41" fillId="9" borderId="12" xfId="0" applyFont="1" applyFill="1" applyBorder="1" applyAlignment="1">
      <alignment horizontal="center"/>
    </xf>
    <xf numFmtId="0" fontId="0" fillId="8" borderId="11" xfId="0" applyFont="1" applyFill="1" applyBorder="1" applyAlignment="1">
      <alignment horizontal="left"/>
    </xf>
    <xf numFmtId="0" fontId="0" fillId="8" borderId="17" xfId="0" applyFont="1" applyFill="1" applyBorder="1" applyAlignment="1">
      <alignment horizontal="left"/>
    </xf>
    <xf numFmtId="0" fontId="0" fillId="8" borderId="12" xfId="0" applyFont="1" applyFill="1" applyBorder="1" applyAlignment="1">
      <alignment horizontal="left"/>
    </xf>
    <xf numFmtId="0" fontId="51" fillId="9" borderId="5" xfId="21" applyNumberFormat="1" applyFont="1" applyFill="1" applyBorder="1" applyAlignment="1">
      <alignment horizontal="center" vertical="center" wrapText="1"/>
    </xf>
    <xf numFmtId="0" fontId="51" fillId="9" borderId="11" xfId="21" applyNumberFormat="1" applyFont="1" applyFill="1" applyBorder="1" applyAlignment="1">
      <alignment horizontal="center" vertical="center"/>
    </xf>
    <xf numFmtId="0" fontId="51" fillId="9" borderId="17" xfId="21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/>
    <xf numFmtId="0" fontId="0" fillId="8" borderId="12" xfId="0" applyFont="1" applyFill="1" applyBorder="1" applyAlignment="1"/>
    <xf numFmtId="0" fontId="79" fillId="8" borderId="11" xfId="0" applyFont="1" applyFill="1" applyBorder="1" applyAlignment="1"/>
    <xf numFmtId="0" fontId="79" fillId="8" borderId="12" xfId="0" applyFont="1" applyFill="1" applyBorder="1" applyAlignment="1"/>
    <xf numFmtId="0" fontId="64" fillId="9" borderId="11" xfId="0" applyFont="1" applyFill="1" applyBorder="1" applyAlignment="1">
      <alignment horizontal="center"/>
    </xf>
    <xf numFmtId="0" fontId="23" fillId="9" borderId="11" xfId="0" applyFont="1" applyFill="1" applyBorder="1" applyAlignment="1">
      <alignment horizontal="center" vertical="center" wrapText="1"/>
    </xf>
    <xf numFmtId="0" fontId="23" fillId="9" borderId="17" xfId="0" applyFont="1" applyFill="1" applyBorder="1" applyAlignment="1">
      <alignment horizontal="center" vertical="center" wrapText="1"/>
    </xf>
    <xf numFmtId="0" fontId="23" fillId="9" borderId="12" xfId="0" applyFont="1" applyFill="1" applyBorder="1" applyAlignment="1">
      <alignment horizontal="center" vertical="center" wrapText="1"/>
    </xf>
    <xf numFmtId="0" fontId="74" fillId="0" borderId="18" xfId="0" applyFont="1" applyBorder="1" applyAlignment="1">
      <alignment horizontal="center" wrapText="1"/>
    </xf>
    <xf numFmtId="0" fontId="74" fillId="0" borderId="15" xfId="0" applyFont="1" applyBorder="1" applyAlignment="1">
      <alignment horizontal="center" wrapText="1"/>
    </xf>
    <xf numFmtId="0" fontId="75" fillId="0" borderId="18" xfId="18" applyFont="1" applyBorder="1" applyAlignment="1">
      <alignment horizontal="center" vertical="top" wrapText="1"/>
    </xf>
    <xf numFmtId="0" fontId="75" fillId="0" borderId="15" xfId="18" applyFont="1" applyBorder="1" applyAlignment="1">
      <alignment horizontal="center" vertical="top" wrapText="1"/>
    </xf>
    <xf numFmtId="0" fontId="75" fillId="0" borderId="19" xfId="18" applyFont="1" applyBorder="1" applyAlignment="1">
      <alignment horizontal="center" vertical="top" wrapText="1"/>
    </xf>
    <xf numFmtId="0" fontId="75" fillId="0" borderId="20" xfId="18" applyFont="1" applyBorder="1" applyAlignment="1">
      <alignment horizontal="center" vertical="top" wrapText="1"/>
    </xf>
    <xf numFmtId="0" fontId="75" fillId="0" borderId="0" xfId="18" applyFont="1" applyBorder="1" applyAlignment="1">
      <alignment horizontal="justify" vertical="top" wrapText="1"/>
    </xf>
    <xf numFmtId="0" fontId="75" fillId="0" borderId="21" xfId="18" applyFont="1" applyBorder="1" applyAlignment="1">
      <alignment horizontal="center" vertical="top" wrapText="1"/>
    </xf>
    <xf numFmtId="0" fontId="75" fillId="0" borderId="16" xfId="18" applyFont="1" applyBorder="1" applyAlignment="1">
      <alignment horizontal="center" vertical="top" wrapText="1"/>
    </xf>
    <xf numFmtId="0" fontId="75" fillId="0" borderId="22" xfId="18" applyFont="1" applyBorder="1" applyAlignment="1">
      <alignment horizontal="center" vertical="top" wrapText="1"/>
    </xf>
  </cellXfs>
  <cellStyles count="41">
    <cellStyle name="%" xfId="1"/>
    <cellStyle name="W_v\è`" xfId="2"/>
    <cellStyle name="Ausgabe" xfId="3"/>
    <cellStyle name="Berechnung" xfId="4"/>
    <cellStyle name="Cast" xfId="5"/>
    <cellStyle name="Comma" xfId="6" builtinId="3"/>
    <cellStyle name="Comma 2" xfId="7"/>
    <cellStyle name="Dezimal 2" xfId="8"/>
    <cellStyle name="Eingabe" xfId="9"/>
    <cellStyle name="Ergebnis" xfId="10"/>
    <cellStyle name="Erklärender Text" xfId="11"/>
    <cellStyle name="Euro" xfId="12"/>
    <cellStyle name="Header" xfId="13"/>
    <cellStyle name="Komma0 - Opmaakprofiel2" xfId="14"/>
    <cellStyle name="Komma0 - Opmaakprofiel3" xfId="15"/>
    <cellStyle name="Komma1 - Opmaakprofiel1" xfId="16"/>
    <cellStyle name="NoL" xfId="17"/>
    <cellStyle name="Normal" xfId="0" builtinId="0"/>
    <cellStyle name="Normal 10" xfId="18"/>
    <cellStyle name="Normal 2" xfId="19"/>
    <cellStyle name="Normal 2 2" xfId="20"/>
    <cellStyle name="Normal 2 2 2" xfId="21"/>
    <cellStyle name="Normale 2" xfId="22"/>
    <cellStyle name="Percent" xfId="23" builtinId="5"/>
    <cellStyle name="Percent 2" xfId="24"/>
    <cellStyle name="Prozent 2" xfId="25"/>
    <cellStyle name="Prozent 3" xfId="26"/>
    <cellStyle name="Prozent 4" xfId="27"/>
    <cellStyle name="QIS2CalcCell" xfId="28"/>
    <cellStyle name="QIS2InputCell" xfId="29"/>
    <cellStyle name="QIS2Locked" xfId="30"/>
    <cellStyle name="QIS5Area" xfId="31"/>
    <cellStyle name="QIS5Header" xfId="32"/>
    <cellStyle name="Standaard_economische indicatoren" xfId="33"/>
    <cellStyle name="Standaard2" xfId="34"/>
    <cellStyle name="Standard 2" xfId="35"/>
    <cellStyle name="Standard 3" xfId="36"/>
    <cellStyle name="Standard 4" xfId="37"/>
    <cellStyle name="Standard 5" xfId="38"/>
    <cellStyle name="Stijl 1" xfId="39"/>
    <cellStyle name="Warnender Text" xfId="4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66FFFF"/>
      <color rgb="FFFF33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sng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Graphical illustration of CF_Products and CF_Assets in an MA portfolio </a:t>
            </a:r>
          </a:p>
        </c:rich>
      </c:tx>
      <c:layout>
        <c:manualLayout>
          <c:xMode val="edge"/>
          <c:yMode val="edge"/>
          <c:x val="0.26794165045382057"/>
          <c:y val="2.52252252252252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655987907956406E-2"/>
          <c:y val="0.13783801973978535"/>
          <c:w val="0.8753774125427668"/>
          <c:h val="0.68108197989070407"/>
        </c:manualLayout>
      </c:layout>
      <c:scatterChart>
        <c:scatterStyle val="smoothMarker"/>
        <c:varyColors val="0"/>
        <c:ser>
          <c:idx val="0"/>
          <c:order val="0"/>
          <c:tx>
            <c:v>Product Cash Flows</c:v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MA!$J$7:$J$126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MA!$N$7:$N$126</c:f>
              <c:numCache>
                <c:formatCode>#,##0_ ;\-#,##0\ </c:formatCode>
                <c:ptCount val="120"/>
                <c:pt idx="0">
                  <c:v>300</c:v>
                </c:pt>
                <c:pt idx="1">
                  <c:v>500</c:v>
                </c:pt>
                <c:pt idx="2">
                  <c:v>600</c:v>
                </c:pt>
                <c:pt idx="3">
                  <c:v>650</c:v>
                </c:pt>
                <c:pt idx="4">
                  <c:v>685</c:v>
                </c:pt>
                <c:pt idx="5">
                  <c:v>670</c:v>
                </c:pt>
                <c:pt idx="6">
                  <c:v>655</c:v>
                </c:pt>
                <c:pt idx="7">
                  <c:v>640</c:v>
                </c:pt>
                <c:pt idx="8">
                  <c:v>-375</c:v>
                </c:pt>
                <c:pt idx="9">
                  <c:v>-390</c:v>
                </c:pt>
                <c:pt idx="10">
                  <c:v>-407</c:v>
                </c:pt>
                <c:pt idx="11">
                  <c:v>580</c:v>
                </c:pt>
                <c:pt idx="12">
                  <c:v>565</c:v>
                </c:pt>
                <c:pt idx="13">
                  <c:v>550</c:v>
                </c:pt>
                <c:pt idx="14">
                  <c:v>532</c:v>
                </c:pt>
                <c:pt idx="15">
                  <c:v>520</c:v>
                </c:pt>
                <c:pt idx="16">
                  <c:v>500</c:v>
                </c:pt>
                <c:pt idx="17">
                  <c:v>490</c:v>
                </c:pt>
                <c:pt idx="18">
                  <c:v>470</c:v>
                </c:pt>
                <c:pt idx="19">
                  <c:v>455</c:v>
                </c:pt>
                <c:pt idx="20">
                  <c:v>441</c:v>
                </c:pt>
                <c:pt idx="21">
                  <c:v>1100</c:v>
                </c:pt>
                <c:pt idx="22">
                  <c:v>1050</c:v>
                </c:pt>
                <c:pt idx="23">
                  <c:v>1000</c:v>
                </c:pt>
                <c:pt idx="24">
                  <c:v>750</c:v>
                </c:pt>
                <c:pt idx="25">
                  <c:v>700</c:v>
                </c:pt>
                <c:pt idx="26">
                  <c:v>650</c:v>
                </c:pt>
                <c:pt idx="27">
                  <c:v>600</c:v>
                </c:pt>
                <c:pt idx="28">
                  <c:v>550</c:v>
                </c:pt>
                <c:pt idx="29">
                  <c:v>500</c:v>
                </c:pt>
                <c:pt idx="30">
                  <c:v>450</c:v>
                </c:pt>
                <c:pt idx="31">
                  <c:v>400</c:v>
                </c:pt>
                <c:pt idx="32">
                  <c:v>350</c:v>
                </c:pt>
                <c:pt idx="33">
                  <c:v>300</c:v>
                </c:pt>
                <c:pt idx="34">
                  <c:v>250</c:v>
                </c:pt>
                <c:pt idx="35">
                  <c:v>200</c:v>
                </c:pt>
                <c:pt idx="36">
                  <c:v>150</c:v>
                </c:pt>
                <c:pt idx="37">
                  <c:v>100</c:v>
                </c:pt>
                <c:pt idx="38">
                  <c:v>95</c:v>
                </c:pt>
                <c:pt idx="39">
                  <c:v>90</c:v>
                </c:pt>
                <c:pt idx="40">
                  <c:v>85</c:v>
                </c:pt>
                <c:pt idx="41">
                  <c:v>80</c:v>
                </c:pt>
                <c:pt idx="42">
                  <c:v>75</c:v>
                </c:pt>
                <c:pt idx="43">
                  <c:v>70</c:v>
                </c:pt>
                <c:pt idx="44">
                  <c:v>65</c:v>
                </c:pt>
                <c:pt idx="45">
                  <c:v>60</c:v>
                </c:pt>
                <c:pt idx="46">
                  <c:v>55</c:v>
                </c:pt>
                <c:pt idx="47">
                  <c:v>50</c:v>
                </c:pt>
                <c:pt idx="48">
                  <c:v>45</c:v>
                </c:pt>
                <c:pt idx="49">
                  <c:v>40</c:v>
                </c:pt>
                <c:pt idx="50">
                  <c:v>35</c:v>
                </c:pt>
                <c:pt idx="51">
                  <c:v>30</c:v>
                </c:pt>
                <c:pt idx="52">
                  <c:v>25</c:v>
                </c:pt>
                <c:pt idx="53">
                  <c:v>20</c:v>
                </c:pt>
                <c:pt idx="54">
                  <c:v>15</c:v>
                </c:pt>
                <c:pt idx="55">
                  <c:v>10</c:v>
                </c:pt>
                <c:pt idx="56">
                  <c:v>7</c:v>
                </c:pt>
                <c:pt idx="57">
                  <c:v>5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0-4A8A-983C-954A2C160693}"/>
            </c:ext>
          </c:extLst>
        </c:ser>
        <c:ser>
          <c:idx val="1"/>
          <c:order val="1"/>
          <c:tx>
            <c:v>Asset Cash Flows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MA!$J$7:$J$126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MA!$W$7:$W$126</c:f>
              <c:numCache>
                <c:formatCode>0</c:formatCode>
                <c:ptCount val="120"/>
                <c:pt idx="0">
                  <c:v>744.8</c:v>
                </c:pt>
                <c:pt idx="1">
                  <c:v>690</c:v>
                </c:pt>
                <c:pt idx="2">
                  <c:v>714.4</c:v>
                </c:pt>
                <c:pt idx="3">
                  <c:v>699.19999999999993</c:v>
                </c:pt>
                <c:pt idx="4">
                  <c:v>684</c:v>
                </c:pt>
                <c:pt idx="5">
                  <c:v>668.8</c:v>
                </c:pt>
                <c:pt idx="6">
                  <c:v>653.6</c:v>
                </c:pt>
                <c:pt idx="7">
                  <c:v>638.4</c:v>
                </c:pt>
                <c:pt idx="8">
                  <c:v>623.19999999999993</c:v>
                </c:pt>
                <c:pt idx="9">
                  <c:v>608</c:v>
                </c:pt>
                <c:pt idx="10">
                  <c:v>592.79999999999995</c:v>
                </c:pt>
                <c:pt idx="11">
                  <c:v>577.6</c:v>
                </c:pt>
                <c:pt idx="12">
                  <c:v>562.4</c:v>
                </c:pt>
                <c:pt idx="13">
                  <c:v>547.19999999999993</c:v>
                </c:pt>
                <c:pt idx="14">
                  <c:v>552</c:v>
                </c:pt>
                <c:pt idx="15">
                  <c:v>516.79999999999995</c:v>
                </c:pt>
                <c:pt idx="16">
                  <c:v>501.59999999999997</c:v>
                </c:pt>
                <c:pt idx="17">
                  <c:v>486.4</c:v>
                </c:pt>
                <c:pt idx="18">
                  <c:v>471.2</c:v>
                </c:pt>
                <c:pt idx="19">
                  <c:v>456</c:v>
                </c:pt>
                <c:pt idx="20">
                  <c:v>440.79999999999995</c:v>
                </c:pt>
                <c:pt idx="21">
                  <c:v>425.59999999999997</c:v>
                </c:pt>
                <c:pt idx="22">
                  <c:v>410.4</c:v>
                </c:pt>
                <c:pt idx="23">
                  <c:v>395.2</c:v>
                </c:pt>
                <c:pt idx="24">
                  <c:v>380</c:v>
                </c:pt>
                <c:pt idx="25">
                  <c:v>364.79999999999995</c:v>
                </c:pt>
                <c:pt idx="26">
                  <c:v>349.59999999999997</c:v>
                </c:pt>
                <c:pt idx="27">
                  <c:v>334.4</c:v>
                </c:pt>
                <c:pt idx="28">
                  <c:v>319.2</c:v>
                </c:pt>
                <c:pt idx="29">
                  <c:v>304</c:v>
                </c:pt>
                <c:pt idx="30">
                  <c:v>288.8</c:v>
                </c:pt>
                <c:pt idx="31">
                  <c:v>273.59999999999997</c:v>
                </c:pt>
                <c:pt idx="32">
                  <c:v>258.39999999999998</c:v>
                </c:pt>
                <c:pt idx="33">
                  <c:v>243.2</c:v>
                </c:pt>
                <c:pt idx="34">
                  <c:v>228</c:v>
                </c:pt>
                <c:pt idx="35">
                  <c:v>212.79999999999998</c:v>
                </c:pt>
                <c:pt idx="36">
                  <c:v>197.6</c:v>
                </c:pt>
                <c:pt idx="37">
                  <c:v>182.39999999999998</c:v>
                </c:pt>
                <c:pt idx="38">
                  <c:v>167.2</c:v>
                </c:pt>
                <c:pt idx="39">
                  <c:v>152</c:v>
                </c:pt>
                <c:pt idx="40">
                  <c:v>136.79999999999998</c:v>
                </c:pt>
                <c:pt idx="41">
                  <c:v>121.6</c:v>
                </c:pt>
                <c:pt idx="42">
                  <c:v>106.39999999999999</c:v>
                </c:pt>
                <c:pt idx="43">
                  <c:v>91.199999999999989</c:v>
                </c:pt>
                <c:pt idx="44">
                  <c:v>76</c:v>
                </c:pt>
                <c:pt idx="45">
                  <c:v>60.8</c:v>
                </c:pt>
                <c:pt idx="46">
                  <c:v>45.599999999999994</c:v>
                </c:pt>
                <c:pt idx="47">
                  <c:v>30.4</c:v>
                </c:pt>
                <c:pt idx="48">
                  <c:v>15.2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E0-4A8A-983C-954A2C160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40800"/>
        <c:axId val="865341360"/>
      </c:scatterChart>
      <c:valAx>
        <c:axId val="865340800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237715115939244"/>
              <c:y val="0.86756870256082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5341360"/>
        <c:crosses val="autoZero"/>
        <c:crossBetween val="midCat"/>
        <c:majorUnit val="1"/>
      </c:valAx>
      <c:valAx>
        <c:axId val="86534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Cash flow value</a:t>
                </a:r>
              </a:p>
            </c:rich>
          </c:tx>
          <c:layout>
            <c:manualLayout>
              <c:xMode val="edge"/>
              <c:yMode val="edge"/>
              <c:x val="7.9578594342373868E-2"/>
              <c:y val="0.356757324253387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5340800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149397991917677"/>
          <c:y val="0.1540543378023693"/>
          <c:w val="0.3165585551806025"/>
          <c:h val="0.1216219053699368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>
      <a:solidFill>
        <a:schemeClr val="accent3">
          <a:lumMod val="75000"/>
        </a:schemeClr>
      </a:solidFill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MA!$K$3</c:f>
              <c:strCache>
                <c:ptCount val="1"/>
                <c:pt idx="0">
                  <c:v>Liability cash flow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strRef>
              <c:f>MA!$J$6:$J$66</c:f>
              <c:strCache>
                <c:ptCount val="61"/>
                <c:pt idx="0">
                  <c:v>PV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xVal>
          <c:yVal>
            <c:numRef>
              <c:f>MA!$K$6:$K$66</c:f>
              <c:numCache>
                <c:formatCode>0</c:formatCode>
                <c:ptCount val="61"/>
                <c:pt idx="0" formatCode="#,##0_ ;\-#,##0\ ">
                  <c:v>-10000</c:v>
                </c:pt>
                <c:pt idx="1">
                  <c:v>-1500</c:v>
                </c:pt>
                <c:pt idx="2">
                  <c:v>-1250</c:v>
                </c:pt>
                <c:pt idx="3">
                  <c:v>-1000</c:v>
                </c:pt>
                <c:pt idx="4">
                  <c:v>-750</c:v>
                </c:pt>
                <c:pt idx="5">
                  <c:v>-500</c:v>
                </c:pt>
                <c:pt idx="6">
                  <c:v>-250</c:v>
                </c:pt>
                <c:pt idx="7">
                  <c:v>250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1225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1450</c:v>
                </c:pt>
                <c:pt idx="20">
                  <c:v>1400</c:v>
                </c:pt>
                <c:pt idx="21">
                  <c:v>1200</c:v>
                </c:pt>
                <c:pt idx="22">
                  <c:v>1100</c:v>
                </c:pt>
                <c:pt idx="23">
                  <c:v>1050</c:v>
                </c:pt>
                <c:pt idx="24">
                  <c:v>1000</c:v>
                </c:pt>
                <c:pt idx="25">
                  <c:v>750</c:v>
                </c:pt>
                <c:pt idx="26">
                  <c:v>700</c:v>
                </c:pt>
                <c:pt idx="27">
                  <c:v>650</c:v>
                </c:pt>
                <c:pt idx="28">
                  <c:v>600</c:v>
                </c:pt>
                <c:pt idx="29">
                  <c:v>550</c:v>
                </c:pt>
                <c:pt idx="30">
                  <c:v>500</c:v>
                </c:pt>
                <c:pt idx="31">
                  <c:v>450</c:v>
                </c:pt>
                <c:pt idx="32">
                  <c:v>400</c:v>
                </c:pt>
                <c:pt idx="33">
                  <c:v>350</c:v>
                </c:pt>
                <c:pt idx="34">
                  <c:v>300</c:v>
                </c:pt>
                <c:pt idx="35">
                  <c:v>250</c:v>
                </c:pt>
                <c:pt idx="36">
                  <c:v>200</c:v>
                </c:pt>
                <c:pt idx="37">
                  <c:v>150</c:v>
                </c:pt>
                <c:pt idx="38">
                  <c:v>100</c:v>
                </c:pt>
                <c:pt idx="39">
                  <c:v>95</c:v>
                </c:pt>
                <c:pt idx="40">
                  <c:v>90</c:v>
                </c:pt>
                <c:pt idx="41">
                  <c:v>85</c:v>
                </c:pt>
                <c:pt idx="42">
                  <c:v>80</c:v>
                </c:pt>
                <c:pt idx="43">
                  <c:v>75</c:v>
                </c:pt>
                <c:pt idx="44">
                  <c:v>70</c:v>
                </c:pt>
                <c:pt idx="45">
                  <c:v>65</c:v>
                </c:pt>
                <c:pt idx="46">
                  <c:v>60</c:v>
                </c:pt>
                <c:pt idx="47">
                  <c:v>55</c:v>
                </c:pt>
                <c:pt idx="48">
                  <c:v>50</c:v>
                </c:pt>
                <c:pt idx="49">
                  <c:v>45</c:v>
                </c:pt>
                <c:pt idx="50">
                  <c:v>40</c:v>
                </c:pt>
                <c:pt idx="51">
                  <c:v>35</c:v>
                </c:pt>
                <c:pt idx="52">
                  <c:v>30</c:v>
                </c:pt>
                <c:pt idx="53">
                  <c:v>25</c:v>
                </c:pt>
                <c:pt idx="54">
                  <c:v>20</c:v>
                </c:pt>
                <c:pt idx="55">
                  <c:v>15</c:v>
                </c:pt>
                <c:pt idx="56">
                  <c:v>10</c:v>
                </c:pt>
                <c:pt idx="57">
                  <c:v>7</c:v>
                </c:pt>
                <c:pt idx="58">
                  <c:v>5</c:v>
                </c:pt>
                <c:pt idx="59">
                  <c:v>2</c:v>
                </c:pt>
                <c:pt idx="6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3-4D9F-BF58-9B58552B0D0D}"/>
            </c:ext>
          </c:extLst>
        </c:ser>
        <c:ser>
          <c:idx val="3"/>
          <c:order val="1"/>
          <c:tx>
            <c:v>MA!#REF!</c:v>
          </c:tx>
          <c:spPr>
            <a:ln w="12700">
              <a:solidFill>
                <a:srgbClr val="FF9900"/>
              </a:solidFill>
              <a:prstDash val="sysDash"/>
            </a:ln>
          </c:spPr>
          <c:marker>
            <c:symbol val="none"/>
          </c:marker>
          <c:xVal>
            <c:strRef>
              <c:f>MA!$J$6:$J$66</c:f>
              <c:strCache>
                <c:ptCount val="61"/>
                <c:pt idx="0">
                  <c:v>PV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xVal>
          <c:yVal>
            <c:numRef>
              <c:f>MA!#REF!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E3-4D9F-BF58-9B58552B0D0D}"/>
            </c:ext>
          </c:extLst>
        </c:ser>
        <c:ser>
          <c:idx val="1"/>
          <c:order val="2"/>
          <c:tx>
            <c:strRef>
              <c:f>MA!$S$3</c:f>
              <c:strCache>
                <c:ptCount val="1"/>
                <c:pt idx="0">
                  <c:v>Asset cash flow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strRef>
              <c:f>MA!$J$6:$J$66</c:f>
              <c:strCache>
                <c:ptCount val="61"/>
                <c:pt idx="0">
                  <c:v>PV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xVal>
          <c:yVal>
            <c:numRef>
              <c:f>MA!$S$6:$S$66</c:f>
              <c:numCache>
                <c:formatCode>0</c:formatCode>
                <c:ptCount val="61"/>
                <c:pt idx="0" formatCode="#,##0_ ;\-#,##0\ ">
                  <c:v>-9000</c:v>
                </c:pt>
                <c:pt idx="1">
                  <c:v>744.8</c:v>
                </c:pt>
                <c:pt idx="2">
                  <c:v>729.59999999999991</c:v>
                </c:pt>
                <c:pt idx="3">
                  <c:v>714.4</c:v>
                </c:pt>
                <c:pt idx="4">
                  <c:v>699.19999999999993</c:v>
                </c:pt>
                <c:pt idx="5">
                  <c:v>684</c:v>
                </c:pt>
                <c:pt idx="6">
                  <c:v>668.8</c:v>
                </c:pt>
                <c:pt idx="7">
                  <c:v>653.6</c:v>
                </c:pt>
                <c:pt idx="8">
                  <c:v>638.4</c:v>
                </c:pt>
                <c:pt idx="9">
                  <c:v>623.19999999999993</c:v>
                </c:pt>
                <c:pt idx="10">
                  <c:v>608</c:v>
                </c:pt>
                <c:pt idx="11">
                  <c:v>592.79999999999995</c:v>
                </c:pt>
                <c:pt idx="12">
                  <c:v>577.6</c:v>
                </c:pt>
                <c:pt idx="13">
                  <c:v>562.4</c:v>
                </c:pt>
                <c:pt idx="14">
                  <c:v>547.19999999999993</c:v>
                </c:pt>
                <c:pt idx="15">
                  <c:v>532</c:v>
                </c:pt>
                <c:pt idx="16">
                  <c:v>516.79999999999995</c:v>
                </c:pt>
                <c:pt idx="17">
                  <c:v>501.59999999999997</c:v>
                </c:pt>
                <c:pt idx="18">
                  <c:v>486.4</c:v>
                </c:pt>
                <c:pt idx="19">
                  <c:v>471.2</c:v>
                </c:pt>
                <c:pt idx="20">
                  <c:v>456</c:v>
                </c:pt>
                <c:pt idx="21">
                  <c:v>440.79999999999995</c:v>
                </c:pt>
                <c:pt idx="22">
                  <c:v>425.59999999999997</c:v>
                </c:pt>
                <c:pt idx="23">
                  <c:v>410.4</c:v>
                </c:pt>
                <c:pt idx="24">
                  <c:v>395.2</c:v>
                </c:pt>
                <c:pt idx="25">
                  <c:v>380</c:v>
                </c:pt>
                <c:pt idx="26">
                  <c:v>364.79999999999995</c:v>
                </c:pt>
                <c:pt idx="27">
                  <c:v>349.59999999999997</c:v>
                </c:pt>
                <c:pt idx="28">
                  <c:v>334.4</c:v>
                </c:pt>
                <c:pt idx="29">
                  <c:v>319.2</c:v>
                </c:pt>
                <c:pt idx="30">
                  <c:v>304</c:v>
                </c:pt>
                <c:pt idx="31">
                  <c:v>288.8</c:v>
                </c:pt>
                <c:pt idx="32">
                  <c:v>273.59999999999997</c:v>
                </c:pt>
                <c:pt idx="33">
                  <c:v>258.39999999999998</c:v>
                </c:pt>
                <c:pt idx="34">
                  <c:v>243.2</c:v>
                </c:pt>
                <c:pt idx="35">
                  <c:v>228</c:v>
                </c:pt>
                <c:pt idx="36">
                  <c:v>212.79999999999998</c:v>
                </c:pt>
                <c:pt idx="37">
                  <c:v>197.6</c:v>
                </c:pt>
                <c:pt idx="38">
                  <c:v>182.39999999999998</c:v>
                </c:pt>
                <c:pt idx="39">
                  <c:v>167.2</c:v>
                </c:pt>
                <c:pt idx="40">
                  <c:v>152</c:v>
                </c:pt>
                <c:pt idx="41">
                  <c:v>136.79999999999998</c:v>
                </c:pt>
                <c:pt idx="42">
                  <c:v>121.6</c:v>
                </c:pt>
                <c:pt idx="43">
                  <c:v>106.39999999999999</c:v>
                </c:pt>
                <c:pt idx="44">
                  <c:v>91.199999999999989</c:v>
                </c:pt>
                <c:pt idx="45">
                  <c:v>76</c:v>
                </c:pt>
                <c:pt idx="46">
                  <c:v>60.8</c:v>
                </c:pt>
                <c:pt idx="47">
                  <c:v>45.599999999999994</c:v>
                </c:pt>
                <c:pt idx="48">
                  <c:v>30.4</c:v>
                </c:pt>
                <c:pt idx="49">
                  <c:v>15.2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E3-4D9F-BF58-9B58552B0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98832"/>
        <c:axId val="654099392"/>
      </c:scatterChart>
      <c:valAx>
        <c:axId val="65409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4099392"/>
        <c:crosses val="autoZero"/>
        <c:crossBetween val="midCat"/>
      </c:valAx>
      <c:valAx>
        <c:axId val="654099392"/>
        <c:scaling>
          <c:orientation val="minMax"/>
          <c:max val="1000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Cash flow value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_ ;\-#,##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4098832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3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77</xdr:row>
      <xdr:rowOff>133350</xdr:rowOff>
    </xdr:from>
    <xdr:to>
      <xdr:col>18</xdr:col>
      <xdr:colOff>428625</xdr:colOff>
      <xdr:row>95</xdr:row>
      <xdr:rowOff>57150</xdr:rowOff>
    </xdr:to>
    <xdr:graphicFrame macro="">
      <xdr:nvGraphicFramePr>
        <xdr:cNvPr id="92304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36</xdr:row>
      <xdr:rowOff>0</xdr:rowOff>
    </xdr:from>
    <xdr:to>
      <xdr:col>12</xdr:col>
      <xdr:colOff>342900</xdr:colOff>
      <xdr:row>36</xdr:row>
      <xdr:rowOff>0</xdr:rowOff>
    </xdr:to>
    <xdr:graphicFrame macro="">
      <xdr:nvGraphicFramePr>
        <xdr:cNvPr id="9230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0.06169</cdr:x>
      <cdr:y>0.103</cdr:y>
    </cdr:from>
    <cdr:to>
      <cdr:x>0.06169</cdr:x>
      <cdr:y>0.29944</cdr:y>
    </cdr:to>
    <cdr:sp macro="" textlink="">
      <cdr:nvSpPr>
        <cdr:cNvPr id="13313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64882" y="78720"/>
          <a:ext cx="0" cy="14406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prstDash val="dash"/>
          <a:round/>
          <a:headEnd/>
          <a:tailEnd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0.05776</cdr:x>
      <cdr:y>0.06494</cdr:y>
    </cdr:from>
    <cdr:to>
      <cdr:x>0.06462</cdr:x>
      <cdr:y>0.103</cdr:y>
    </cdr:to>
    <cdr:sp macro="" textlink="">
      <cdr:nvSpPr>
        <cdr:cNvPr id="13314" name="Oval 102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5808" y="50800"/>
          <a:ext cx="38148" cy="2792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FF66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IDRepo/Shared%20Documents/ID%20Projects/RBC2%20Impact%20Study%20YE17/RBC2%20Team%20Review/RBC%202%20Forms%20revision/Parallel%20run%20workbook/MAS_RBC%202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chematic of forms"/>
      <sheetName val="Instructions"/>
      <sheetName val="Diversification"/>
      <sheetName val="Scenario"/>
      <sheetName val="Form A1"/>
      <sheetName val="Notes to Form A4"/>
      <sheetName val="Form A4 (MASNET)"/>
      <sheetName val="Form A"/>
      <sheetName val="Fund Level Info"/>
      <sheetName val="C1_SIFP_NonMA"/>
      <sheetName val="C1_SIFP_MA1"/>
      <sheetName val="C1_SIFP_MA2"/>
      <sheetName val="C1_SIFN_NonMA"/>
      <sheetName val="C1_SIFN_MA1"/>
      <sheetName val="C1_SIFN_MA2"/>
      <sheetName val="C1_SIF_ILP"/>
      <sheetName val="C1_OIFP_NonMA"/>
      <sheetName val="C1_OIFP_MA1"/>
      <sheetName val="C1_OIFP_MA2"/>
      <sheetName val="C1_OIFN_NonMA"/>
      <sheetName val="C1_OIFN_MA1"/>
      <sheetName val="C1_OIFN_MA2"/>
      <sheetName val="C1_OIF_ILP"/>
      <sheetName val="Ops risk"/>
      <sheetName val="Corr_Matrix"/>
      <sheetName val="MA_IP_ Valn_SIF"/>
      <sheetName val="MA_IP_ Valn_OIF"/>
      <sheetName val="C2_C2 Breakdown"/>
      <sheetName val="C2_CS BreakdownExStructuredPdt"/>
      <sheetName val="C2_CS BreakdownStructuredPdt"/>
      <sheetName val="C2_Counterparty"/>
      <sheetName val="C2_OPrem"/>
      <sheetName val="Long Term Medical Info"/>
      <sheetName val="Rein Info"/>
      <sheetName val="IP_SAA_Basis1"/>
      <sheetName val="Discount Rate Info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4">
          <cell r="B4" t="str">
            <v>Base</v>
          </cell>
        </row>
        <row r="5">
          <cell r="B5" t="str">
            <v>Credit Spread Widening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S39"/>
  <sheetViews>
    <sheetView workbookViewId="0"/>
  </sheetViews>
  <sheetFormatPr defaultColWidth="0" defaultRowHeight="15.75"/>
  <cols>
    <col min="1" max="1" width="9.140625" style="215" customWidth="1"/>
    <col min="2" max="2" width="2.140625" style="215" customWidth="1"/>
    <col min="3" max="3" width="5" style="215" customWidth="1"/>
    <col min="4" max="5" width="9.140625" style="215" customWidth="1"/>
    <col min="6" max="6" width="11.5703125" style="215" customWidth="1"/>
    <col min="7" max="7" width="7.5703125" style="215" customWidth="1"/>
    <col min="8" max="8" width="6.28515625" style="215" customWidth="1"/>
    <col min="9" max="9" width="7.5703125" style="215" customWidth="1"/>
    <col min="10" max="10" width="6.28515625" style="215" customWidth="1"/>
    <col min="11" max="11" width="7.5703125" style="215" customWidth="1"/>
    <col min="12" max="16" width="6.28515625" style="215" customWidth="1"/>
    <col min="17" max="18" width="3.28515625" style="215" customWidth="1"/>
    <col min="19" max="19" width="9.140625" style="215" customWidth="1"/>
    <col min="20" max="16384" width="9.140625" style="212" hidden="1"/>
  </cols>
  <sheetData>
    <row r="1" spans="1:19">
      <c r="A1" s="210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1">
        <v>43586</v>
      </c>
    </row>
    <row r="2" spans="1:19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</row>
    <row r="3" spans="1:19">
      <c r="A3" s="210"/>
      <c r="B3" s="248" t="s">
        <v>290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10"/>
    </row>
    <row r="4" spans="1:19">
      <c r="A4" s="210"/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10"/>
    </row>
    <row r="5" spans="1:19">
      <c r="A5" s="210"/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</row>
    <row r="6" spans="1:19">
      <c r="A6" s="210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0"/>
    </row>
    <row r="7" spans="1:19">
      <c r="A7" s="210"/>
      <c r="B7" s="213"/>
      <c r="C7" s="213" t="s">
        <v>280</v>
      </c>
      <c r="D7" s="213" t="s">
        <v>281</v>
      </c>
      <c r="E7" s="213"/>
      <c r="F7" s="213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13"/>
      <c r="R7" s="213"/>
      <c r="S7" s="210"/>
    </row>
    <row r="8" spans="1:19">
      <c r="A8" s="210"/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0"/>
    </row>
    <row r="9" spans="1:19">
      <c r="A9" s="210"/>
      <c r="B9" s="213"/>
      <c r="C9" s="213" t="s">
        <v>282</v>
      </c>
      <c r="D9" s="213" t="s">
        <v>283</v>
      </c>
      <c r="E9" s="213"/>
      <c r="F9" s="213"/>
      <c r="G9" s="245"/>
      <c r="H9" s="246"/>
      <c r="I9" s="247"/>
      <c r="J9" s="213"/>
      <c r="K9" s="213"/>
      <c r="L9" s="213"/>
      <c r="M9" s="213"/>
      <c r="N9" s="213"/>
      <c r="O9" s="213"/>
      <c r="P9" s="213"/>
      <c r="Q9" s="214"/>
      <c r="R9" s="214"/>
      <c r="S9" s="210"/>
    </row>
    <row r="10" spans="1:19">
      <c r="A10" s="210"/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0"/>
    </row>
    <row r="11" spans="1:19">
      <c r="A11" s="210"/>
      <c r="B11" s="213"/>
      <c r="C11" s="213" t="s">
        <v>284</v>
      </c>
      <c r="D11" s="213" t="s">
        <v>287</v>
      </c>
      <c r="E11" s="213"/>
      <c r="F11" s="213"/>
      <c r="G11" s="245"/>
      <c r="H11" s="246"/>
      <c r="I11" s="246"/>
      <c r="J11" s="246"/>
      <c r="K11" s="246"/>
      <c r="L11" s="246"/>
      <c r="M11" s="246"/>
      <c r="N11" s="246"/>
      <c r="O11" s="246"/>
      <c r="P11" s="247"/>
      <c r="Q11" s="213"/>
      <c r="R11" s="213"/>
      <c r="S11" s="210"/>
    </row>
    <row r="12" spans="1:19">
      <c r="A12" s="210"/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0"/>
    </row>
    <row r="13" spans="1:19">
      <c r="A13" s="210"/>
      <c r="B13" s="213"/>
      <c r="C13" s="213" t="s">
        <v>285</v>
      </c>
      <c r="D13" s="213" t="s">
        <v>288</v>
      </c>
      <c r="E13" s="213"/>
      <c r="F13" s="213"/>
      <c r="G13" s="245"/>
      <c r="H13" s="246"/>
      <c r="I13" s="246"/>
      <c r="J13" s="246"/>
      <c r="K13" s="246"/>
      <c r="L13" s="246"/>
      <c r="M13" s="246"/>
      <c r="N13" s="246"/>
      <c r="O13" s="246"/>
      <c r="P13" s="247"/>
      <c r="Q13" s="213"/>
      <c r="R13" s="213"/>
      <c r="S13" s="210"/>
    </row>
    <row r="14" spans="1:19">
      <c r="A14" s="210"/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0"/>
    </row>
    <row r="15" spans="1:19">
      <c r="A15" s="210"/>
      <c r="B15" s="213"/>
      <c r="C15" s="213" t="s">
        <v>286</v>
      </c>
      <c r="D15" s="213" t="s">
        <v>289</v>
      </c>
      <c r="E15" s="213"/>
      <c r="F15" s="213"/>
      <c r="G15" s="245"/>
      <c r="H15" s="246"/>
      <c r="I15" s="246"/>
      <c r="J15" s="246"/>
      <c r="K15" s="246"/>
      <c r="L15" s="246"/>
      <c r="M15" s="246"/>
      <c r="N15" s="246"/>
      <c r="O15" s="246"/>
      <c r="P15" s="247"/>
      <c r="Q15" s="213"/>
      <c r="R15" s="213"/>
      <c r="S15" s="210"/>
    </row>
    <row r="16" spans="1:19">
      <c r="A16" s="210"/>
      <c r="B16" s="213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0"/>
    </row>
    <row r="17" spans="1:19">
      <c r="A17" s="210"/>
      <c r="B17" s="213"/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0"/>
    </row>
    <row r="18" spans="1:19">
      <c r="A18" s="210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</row>
    <row r="19" spans="1:19" hidden="1">
      <c r="A19" s="210"/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</row>
    <row r="20" spans="1:19" hidden="1">
      <c r="A20" s="210"/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</row>
    <row r="21" spans="1:19" hidden="1">
      <c r="A21" s="210"/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</row>
    <row r="22" spans="1:19" hidden="1">
      <c r="A22" s="210"/>
      <c r="B22" s="210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</row>
    <row r="23" spans="1:19" hidden="1">
      <c r="A23" s="210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</row>
    <row r="24" spans="1:19" hidden="1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</row>
    <row r="25" spans="1:19" hidden="1">
      <c r="A25" s="210"/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</row>
    <row r="26" spans="1:19" hidden="1">
      <c r="A26" s="2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</row>
    <row r="27" spans="1:19" hidden="1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</row>
    <row r="28" spans="1:19" hidden="1">
      <c r="A28" s="210"/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</row>
    <row r="29" spans="1:19" hidden="1">
      <c r="A29" s="210"/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</row>
    <row r="30" spans="1:19" hidden="1">
      <c r="A30" s="210"/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</row>
    <row r="31" spans="1:19" hidden="1">
      <c r="A31" s="210"/>
      <c r="B31" s="210"/>
      <c r="C31" s="210"/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</row>
    <row r="32" spans="1:19" hidden="1">
      <c r="A32" s="210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</row>
    <row r="33" spans="1:19" hidden="1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</row>
    <row r="34" spans="1:19" hidden="1">
      <c r="A34" s="210"/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</row>
    <row r="35" spans="1:19" hidden="1">
      <c r="A35" s="210"/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</row>
    <row r="36" spans="1:19" hidden="1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</row>
    <row r="37" spans="1:19" hidden="1">
      <c r="A37" s="210"/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</row>
    <row r="38" spans="1:19" hidden="1">
      <c r="A38" s="210"/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</row>
    <row r="39" spans="1:19" hidden="1"/>
  </sheetData>
  <mergeCells count="6">
    <mergeCell ref="G15:P15"/>
    <mergeCell ref="B3:R4"/>
    <mergeCell ref="G7:P7"/>
    <mergeCell ref="G9:I9"/>
    <mergeCell ref="G11:P11"/>
    <mergeCell ref="G13:P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GridLines="0" zoomScale="85" zoomScaleNormal="85" workbookViewId="0">
      <selection activeCell="A4" sqref="A4"/>
    </sheetView>
  </sheetViews>
  <sheetFormatPr defaultRowHeight="12.75"/>
  <cols>
    <col min="1" max="1" width="18.28515625" customWidth="1"/>
    <col min="10" max="10" width="3.7109375" customWidth="1"/>
  </cols>
  <sheetData>
    <row r="1" spans="1:10" ht="15">
      <c r="A1" s="100" t="s">
        <v>55</v>
      </c>
      <c r="J1" s="180" t="s">
        <v>180</v>
      </c>
    </row>
    <row r="2" spans="1:10">
      <c r="A2" s="196"/>
      <c r="J2" s="180" t="s">
        <v>180</v>
      </c>
    </row>
    <row r="3" spans="1:10" ht="15">
      <c r="A3" s="197" t="s">
        <v>168</v>
      </c>
      <c r="B3" s="100" t="s">
        <v>69</v>
      </c>
      <c r="C3" s="100" t="s">
        <v>56</v>
      </c>
      <c r="D3" s="100" t="s">
        <v>174</v>
      </c>
      <c r="J3" s="180" t="s">
        <v>180</v>
      </c>
    </row>
    <row r="4" spans="1:10">
      <c r="A4" s="198" t="s">
        <v>169</v>
      </c>
      <c r="B4" s="117" t="s">
        <v>70</v>
      </c>
      <c r="C4" s="117" t="s">
        <v>73</v>
      </c>
      <c r="D4" t="s">
        <v>175</v>
      </c>
      <c r="J4" s="180" t="s">
        <v>180</v>
      </c>
    </row>
    <row r="5" spans="1:10">
      <c r="A5" s="198" t="s">
        <v>170</v>
      </c>
      <c r="B5" s="117" t="s">
        <v>71</v>
      </c>
      <c r="C5" s="117" t="s">
        <v>72</v>
      </c>
      <c r="D5" t="s">
        <v>176</v>
      </c>
      <c r="J5" s="180" t="s">
        <v>180</v>
      </c>
    </row>
    <row r="6" spans="1:10">
      <c r="A6" s="117"/>
      <c r="D6" t="s">
        <v>179</v>
      </c>
      <c r="J6" s="180" t="s">
        <v>180</v>
      </c>
    </row>
    <row r="7" spans="1:10">
      <c r="A7" s="117"/>
      <c r="J7" s="180" t="s">
        <v>180</v>
      </c>
    </row>
    <row r="8" spans="1:10">
      <c r="A8" s="180" t="s">
        <v>180</v>
      </c>
      <c r="B8" s="180" t="s">
        <v>180</v>
      </c>
      <c r="C8" s="180" t="s">
        <v>180</v>
      </c>
      <c r="D8" s="180" t="s">
        <v>180</v>
      </c>
      <c r="E8" s="180" t="s">
        <v>180</v>
      </c>
      <c r="F8" s="180" t="s">
        <v>180</v>
      </c>
      <c r="G8" s="180" t="s">
        <v>180</v>
      </c>
      <c r="H8" s="180" t="s">
        <v>180</v>
      </c>
      <c r="I8" s="180" t="s">
        <v>180</v>
      </c>
      <c r="J8" s="180" t="s">
        <v>180</v>
      </c>
    </row>
  </sheetData>
  <sheetProtection algorithmName="SHA-512" hashValue="uEeNUCcAt6FmwK6BiuiY2MxUlhuVsvRQJkd9SyJ28wPQvyTyALl9tpMWVPlITXvX+cMVaxelCiQENYegYWuG7Q==" saltValue="jSv3qkQtZJzl3a7SkTCYN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37"/>
  <sheetViews>
    <sheetView tabSelected="1" workbookViewId="0">
      <selection activeCell="C8" sqref="C8"/>
    </sheetView>
  </sheetViews>
  <sheetFormatPr defaultRowHeight="12.75"/>
  <cols>
    <col min="1" max="1" width="9.28515625" style="164" customWidth="1"/>
    <col min="2" max="2" width="23" style="159" customWidth="1"/>
    <col min="3" max="3" width="99" style="159" customWidth="1"/>
    <col min="4" max="256" width="9.140625" style="159"/>
    <col min="257" max="257" width="4.42578125" style="159" customWidth="1"/>
    <col min="258" max="258" width="14" style="159" customWidth="1"/>
    <col min="259" max="259" width="99" style="159" customWidth="1"/>
    <col min="260" max="512" width="9.140625" style="159"/>
    <col min="513" max="513" width="4.42578125" style="159" customWidth="1"/>
    <col min="514" max="514" width="14" style="159" customWidth="1"/>
    <col min="515" max="515" width="99" style="159" customWidth="1"/>
    <col min="516" max="768" width="9.140625" style="159"/>
    <col min="769" max="769" width="4.42578125" style="159" customWidth="1"/>
    <col min="770" max="770" width="14" style="159" customWidth="1"/>
    <col min="771" max="771" width="99" style="159" customWidth="1"/>
    <col min="772" max="1024" width="9.140625" style="159"/>
    <col min="1025" max="1025" width="4.42578125" style="159" customWidth="1"/>
    <col min="1026" max="1026" width="14" style="159" customWidth="1"/>
    <col min="1027" max="1027" width="99" style="159" customWidth="1"/>
    <col min="1028" max="1280" width="9.140625" style="159"/>
    <col min="1281" max="1281" width="4.42578125" style="159" customWidth="1"/>
    <col min="1282" max="1282" width="14" style="159" customWidth="1"/>
    <col min="1283" max="1283" width="99" style="159" customWidth="1"/>
    <col min="1284" max="1536" width="9.140625" style="159"/>
    <col min="1537" max="1537" width="4.42578125" style="159" customWidth="1"/>
    <col min="1538" max="1538" width="14" style="159" customWidth="1"/>
    <col min="1539" max="1539" width="99" style="159" customWidth="1"/>
    <col min="1540" max="1792" width="9.140625" style="159"/>
    <col min="1793" max="1793" width="4.42578125" style="159" customWidth="1"/>
    <col min="1794" max="1794" width="14" style="159" customWidth="1"/>
    <col min="1795" max="1795" width="99" style="159" customWidth="1"/>
    <col min="1796" max="2048" width="9.140625" style="159"/>
    <col min="2049" max="2049" width="4.42578125" style="159" customWidth="1"/>
    <col min="2050" max="2050" width="14" style="159" customWidth="1"/>
    <col min="2051" max="2051" width="99" style="159" customWidth="1"/>
    <col min="2052" max="2304" width="9.140625" style="159"/>
    <col min="2305" max="2305" width="4.42578125" style="159" customWidth="1"/>
    <col min="2306" max="2306" width="14" style="159" customWidth="1"/>
    <col min="2307" max="2307" width="99" style="159" customWidth="1"/>
    <col min="2308" max="2560" width="9.140625" style="159"/>
    <col min="2561" max="2561" width="4.42578125" style="159" customWidth="1"/>
    <col min="2562" max="2562" width="14" style="159" customWidth="1"/>
    <col min="2563" max="2563" width="99" style="159" customWidth="1"/>
    <col min="2564" max="2816" width="9.140625" style="159"/>
    <col min="2817" max="2817" width="4.42578125" style="159" customWidth="1"/>
    <col min="2818" max="2818" width="14" style="159" customWidth="1"/>
    <col min="2819" max="2819" width="99" style="159" customWidth="1"/>
    <col min="2820" max="3072" width="9.140625" style="159"/>
    <col min="3073" max="3073" width="4.42578125" style="159" customWidth="1"/>
    <col min="3074" max="3074" width="14" style="159" customWidth="1"/>
    <col min="3075" max="3075" width="99" style="159" customWidth="1"/>
    <col min="3076" max="3328" width="9.140625" style="159"/>
    <col min="3329" max="3329" width="4.42578125" style="159" customWidth="1"/>
    <col min="3330" max="3330" width="14" style="159" customWidth="1"/>
    <col min="3331" max="3331" width="99" style="159" customWidth="1"/>
    <col min="3332" max="3584" width="9.140625" style="159"/>
    <col min="3585" max="3585" width="4.42578125" style="159" customWidth="1"/>
    <col min="3586" max="3586" width="14" style="159" customWidth="1"/>
    <col min="3587" max="3587" width="99" style="159" customWidth="1"/>
    <col min="3588" max="3840" width="9.140625" style="159"/>
    <col min="3841" max="3841" width="4.42578125" style="159" customWidth="1"/>
    <col min="3842" max="3842" width="14" style="159" customWidth="1"/>
    <col min="3843" max="3843" width="99" style="159" customWidth="1"/>
    <col min="3844" max="4096" width="9.140625" style="159"/>
    <col min="4097" max="4097" width="4.42578125" style="159" customWidth="1"/>
    <col min="4098" max="4098" width="14" style="159" customWidth="1"/>
    <col min="4099" max="4099" width="99" style="159" customWidth="1"/>
    <col min="4100" max="4352" width="9.140625" style="159"/>
    <col min="4353" max="4353" width="4.42578125" style="159" customWidth="1"/>
    <col min="4354" max="4354" width="14" style="159" customWidth="1"/>
    <col min="4355" max="4355" width="99" style="159" customWidth="1"/>
    <col min="4356" max="4608" width="9.140625" style="159"/>
    <col min="4609" max="4609" width="4.42578125" style="159" customWidth="1"/>
    <col min="4610" max="4610" width="14" style="159" customWidth="1"/>
    <col min="4611" max="4611" width="99" style="159" customWidth="1"/>
    <col min="4612" max="4864" width="9.140625" style="159"/>
    <col min="4865" max="4865" width="4.42578125" style="159" customWidth="1"/>
    <col min="4866" max="4866" width="14" style="159" customWidth="1"/>
    <col min="4867" max="4867" width="99" style="159" customWidth="1"/>
    <col min="4868" max="5120" width="9.140625" style="159"/>
    <col min="5121" max="5121" width="4.42578125" style="159" customWidth="1"/>
    <col min="5122" max="5122" width="14" style="159" customWidth="1"/>
    <col min="5123" max="5123" width="99" style="159" customWidth="1"/>
    <col min="5124" max="5376" width="9.140625" style="159"/>
    <col min="5377" max="5377" width="4.42578125" style="159" customWidth="1"/>
    <col min="5378" max="5378" width="14" style="159" customWidth="1"/>
    <col min="5379" max="5379" width="99" style="159" customWidth="1"/>
    <col min="5380" max="5632" width="9.140625" style="159"/>
    <col min="5633" max="5633" width="4.42578125" style="159" customWidth="1"/>
    <col min="5634" max="5634" width="14" style="159" customWidth="1"/>
    <col min="5635" max="5635" width="99" style="159" customWidth="1"/>
    <col min="5636" max="5888" width="9.140625" style="159"/>
    <col min="5889" max="5889" width="4.42578125" style="159" customWidth="1"/>
    <col min="5890" max="5890" width="14" style="159" customWidth="1"/>
    <col min="5891" max="5891" width="99" style="159" customWidth="1"/>
    <col min="5892" max="6144" width="9.140625" style="159"/>
    <col min="6145" max="6145" width="4.42578125" style="159" customWidth="1"/>
    <col min="6146" max="6146" width="14" style="159" customWidth="1"/>
    <col min="6147" max="6147" width="99" style="159" customWidth="1"/>
    <col min="6148" max="6400" width="9.140625" style="159"/>
    <col min="6401" max="6401" width="4.42578125" style="159" customWidth="1"/>
    <col min="6402" max="6402" width="14" style="159" customWidth="1"/>
    <col min="6403" max="6403" width="99" style="159" customWidth="1"/>
    <col min="6404" max="6656" width="9.140625" style="159"/>
    <col min="6657" max="6657" width="4.42578125" style="159" customWidth="1"/>
    <col min="6658" max="6658" width="14" style="159" customWidth="1"/>
    <col min="6659" max="6659" width="99" style="159" customWidth="1"/>
    <col min="6660" max="6912" width="9.140625" style="159"/>
    <col min="6913" max="6913" width="4.42578125" style="159" customWidth="1"/>
    <col min="6914" max="6914" width="14" style="159" customWidth="1"/>
    <col min="6915" max="6915" width="99" style="159" customWidth="1"/>
    <col min="6916" max="7168" width="9.140625" style="159"/>
    <col min="7169" max="7169" width="4.42578125" style="159" customWidth="1"/>
    <col min="7170" max="7170" width="14" style="159" customWidth="1"/>
    <col min="7171" max="7171" width="99" style="159" customWidth="1"/>
    <col min="7172" max="7424" width="9.140625" style="159"/>
    <col min="7425" max="7425" width="4.42578125" style="159" customWidth="1"/>
    <col min="7426" max="7426" width="14" style="159" customWidth="1"/>
    <col min="7427" max="7427" width="99" style="159" customWidth="1"/>
    <col min="7428" max="7680" width="9.140625" style="159"/>
    <col min="7681" max="7681" width="4.42578125" style="159" customWidth="1"/>
    <col min="7682" max="7682" width="14" style="159" customWidth="1"/>
    <col min="7683" max="7683" width="99" style="159" customWidth="1"/>
    <col min="7684" max="7936" width="9.140625" style="159"/>
    <col min="7937" max="7937" width="4.42578125" style="159" customWidth="1"/>
    <col min="7938" max="7938" width="14" style="159" customWidth="1"/>
    <col min="7939" max="7939" width="99" style="159" customWidth="1"/>
    <col min="7940" max="8192" width="9.140625" style="159"/>
    <col min="8193" max="8193" width="4.42578125" style="159" customWidth="1"/>
    <col min="8194" max="8194" width="14" style="159" customWidth="1"/>
    <col min="8195" max="8195" width="99" style="159" customWidth="1"/>
    <col min="8196" max="8448" width="9.140625" style="159"/>
    <col min="8449" max="8449" width="4.42578125" style="159" customWidth="1"/>
    <col min="8450" max="8450" width="14" style="159" customWidth="1"/>
    <col min="8451" max="8451" width="99" style="159" customWidth="1"/>
    <col min="8452" max="8704" width="9.140625" style="159"/>
    <col min="8705" max="8705" width="4.42578125" style="159" customWidth="1"/>
    <col min="8706" max="8706" width="14" style="159" customWidth="1"/>
    <col min="8707" max="8707" width="99" style="159" customWidth="1"/>
    <col min="8708" max="8960" width="9.140625" style="159"/>
    <col min="8961" max="8961" width="4.42578125" style="159" customWidth="1"/>
    <col min="8962" max="8962" width="14" style="159" customWidth="1"/>
    <col min="8963" max="8963" width="99" style="159" customWidth="1"/>
    <col min="8964" max="9216" width="9.140625" style="159"/>
    <col min="9217" max="9217" width="4.42578125" style="159" customWidth="1"/>
    <col min="9218" max="9218" width="14" style="159" customWidth="1"/>
    <col min="9219" max="9219" width="99" style="159" customWidth="1"/>
    <col min="9220" max="9472" width="9.140625" style="159"/>
    <col min="9473" max="9473" width="4.42578125" style="159" customWidth="1"/>
    <col min="9474" max="9474" width="14" style="159" customWidth="1"/>
    <col min="9475" max="9475" width="99" style="159" customWidth="1"/>
    <col min="9476" max="9728" width="9.140625" style="159"/>
    <col min="9729" max="9729" width="4.42578125" style="159" customWidth="1"/>
    <col min="9730" max="9730" width="14" style="159" customWidth="1"/>
    <col min="9731" max="9731" width="99" style="159" customWidth="1"/>
    <col min="9732" max="9984" width="9.140625" style="159"/>
    <col min="9985" max="9985" width="4.42578125" style="159" customWidth="1"/>
    <col min="9986" max="9986" width="14" style="159" customWidth="1"/>
    <col min="9987" max="9987" width="99" style="159" customWidth="1"/>
    <col min="9988" max="10240" width="9.140625" style="159"/>
    <col min="10241" max="10241" width="4.42578125" style="159" customWidth="1"/>
    <col min="10242" max="10242" width="14" style="159" customWidth="1"/>
    <col min="10243" max="10243" width="99" style="159" customWidth="1"/>
    <col min="10244" max="10496" width="9.140625" style="159"/>
    <col min="10497" max="10497" width="4.42578125" style="159" customWidth="1"/>
    <col min="10498" max="10498" width="14" style="159" customWidth="1"/>
    <col min="10499" max="10499" width="99" style="159" customWidth="1"/>
    <col min="10500" max="10752" width="9.140625" style="159"/>
    <col min="10753" max="10753" width="4.42578125" style="159" customWidth="1"/>
    <col min="10754" max="10754" width="14" style="159" customWidth="1"/>
    <col min="10755" max="10755" width="99" style="159" customWidth="1"/>
    <col min="10756" max="11008" width="9.140625" style="159"/>
    <col min="11009" max="11009" width="4.42578125" style="159" customWidth="1"/>
    <col min="11010" max="11010" width="14" style="159" customWidth="1"/>
    <col min="11011" max="11011" width="99" style="159" customWidth="1"/>
    <col min="11012" max="11264" width="9.140625" style="159"/>
    <col min="11265" max="11265" width="4.42578125" style="159" customWidth="1"/>
    <col min="11266" max="11266" width="14" style="159" customWidth="1"/>
    <col min="11267" max="11267" width="99" style="159" customWidth="1"/>
    <col min="11268" max="11520" width="9.140625" style="159"/>
    <col min="11521" max="11521" width="4.42578125" style="159" customWidth="1"/>
    <col min="11522" max="11522" width="14" style="159" customWidth="1"/>
    <col min="11523" max="11523" width="99" style="159" customWidth="1"/>
    <col min="11524" max="11776" width="9.140625" style="159"/>
    <col min="11777" max="11777" width="4.42578125" style="159" customWidth="1"/>
    <col min="11778" max="11778" width="14" style="159" customWidth="1"/>
    <col min="11779" max="11779" width="99" style="159" customWidth="1"/>
    <col min="11780" max="12032" width="9.140625" style="159"/>
    <col min="12033" max="12033" width="4.42578125" style="159" customWidth="1"/>
    <col min="12034" max="12034" width="14" style="159" customWidth="1"/>
    <col min="12035" max="12035" width="99" style="159" customWidth="1"/>
    <col min="12036" max="12288" width="9.140625" style="159"/>
    <col min="12289" max="12289" width="4.42578125" style="159" customWidth="1"/>
    <col min="12290" max="12290" width="14" style="159" customWidth="1"/>
    <col min="12291" max="12291" width="99" style="159" customWidth="1"/>
    <col min="12292" max="12544" width="9.140625" style="159"/>
    <col min="12545" max="12545" width="4.42578125" style="159" customWidth="1"/>
    <col min="12546" max="12546" width="14" style="159" customWidth="1"/>
    <col min="12547" max="12547" width="99" style="159" customWidth="1"/>
    <col min="12548" max="12800" width="9.140625" style="159"/>
    <col min="12801" max="12801" width="4.42578125" style="159" customWidth="1"/>
    <col min="12802" max="12802" width="14" style="159" customWidth="1"/>
    <col min="12803" max="12803" width="99" style="159" customWidth="1"/>
    <col min="12804" max="13056" width="9.140625" style="159"/>
    <col min="13057" max="13057" width="4.42578125" style="159" customWidth="1"/>
    <col min="13058" max="13058" width="14" style="159" customWidth="1"/>
    <col min="13059" max="13059" width="99" style="159" customWidth="1"/>
    <col min="13060" max="13312" width="9.140625" style="159"/>
    <col min="13313" max="13313" width="4.42578125" style="159" customWidth="1"/>
    <col min="13314" max="13314" width="14" style="159" customWidth="1"/>
    <col min="13315" max="13315" width="99" style="159" customWidth="1"/>
    <col min="13316" max="13568" width="9.140625" style="159"/>
    <col min="13569" max="13569" width="4.42578125" style="159" customWidth="1"/>
    <col min="13570" max="13570" width="14" style="159" customWidth="1"/>
    <col min="13571" max="13571" width="99" style="159" customWidth="1"/>
    <col min="13572" max="13824" width="9.140625" style="159"/>
    <col min="13825" max="13825" width="4.42578125" style="159" customWidth="1"/>
    <col min="13826" max="13826" width="14" style="159" customWidth="1"/>
    <col min="13827" max="13827" width="99" style="159" customWidth="1"/>
    <col min="13828" max="14080" width="9.140625" style="159"/>
    <col min="14081" max="14081" width="4.42578125" style="159" customWidth="1"/>
    <col min="14082" max="14082" width="14" style="159" customWidth="1"/>
    <col min="14083" max="14083" width="99" style="159" customWidth="1"/>
    <col min="14084" max="14336" width="9.140625" style="159"/>
    <col min="14337" max="14337" width="4.42578125" style="159" customWidth="1"/>
    <col min="14338" max="14338" width="14" style="159" customWidth="1"/>
    <col min="14339" max="14339" width="99" style="159" customWidth="1"/>
    <col min="14340" max="14592" width="9.140625" style="159"/>
    <col min="14593" max="14593" width="4.42578125" style="159" customWidth="1"/>
    <col min="14594" max="14594" width="14" style="159" customWidth="1"/>
    <col min="14595" max="14595" width="99" style="159" customWidth="1"/>
    <col min="14596" max="14848" width="9.140625" style="159"/>
    <col min="14849" max="14849" width="4.42578125" style="159" customWidth="1"/>
    <col min="14850" max="14850" width="14" style="159" customWidth="1"/>
    <col min="14851" max="14851" width="99" style="159" customWidth="1"/>
    <col min="14852" max="15104" width="9.140625" style="159"/>
    <col min="15105" max="15105" width="4.42578125" style="159" customWidth="1"/>
    <col min="15106" max="15106" width="14" style="159" customWidth="1"/>
    <col min="15107" max="15107" width="99" style="159" customWidth="1"/>
    <col min="15108" max="15360" width="9.140625" style="159"/>
    <col min="15361" max="15361" width="4.42578125" style="159" customWidth="1"/>
    <col min="15362" max="15362" width="14" style="159" customWidth="1"/>
    <col min="15363" max="15363" width="99" style="159" customWidth="1"/>
    <col min="15364" max="15616" width="9.140625" style="159"/>
    <col min="15617" max="15617" width="4.42578125" style="159" customWidth="1"/>
    <col min="15618" max="15618" width="14" style="159" customWidth="1"/>
    <col min="15619" max="15619" width="99" style="159" customWidth="1"/>
    <col min="15620" max="15872" width="9.140625" style="159"/>
    <col min="15873" max="15873" width="4.42578125" style="159" customWidth="1"/>
    <col min="15874" max="15874" width="14" style="159" customWidth="1"/>
    <col min="15875" max="15875" width="99" style="159" customWidth="1"/>
    <col min="15876" max="16128" width="9.140625" style="159"/>
    <col min="16129" max="16129" width="4.42578125" style="159" customWidth="1"/>
    <col min="16130" max="16130" width="14" style="159" customWidth="1"/>
    <col min="16131" max="16131" width="99" style="159" customWidth="1"/>
    <col min="16132" max="16384" width="9.140625" style="159"/>
  </cols>
  <sheetData>
    <row r="1" spans="1:3">
      <c r="A1" s="160" t="s">
        <v>138</v>
      </c>
      <c r="B1" s="158"/>
      <c r="C1" s="158"/>
    </row>
    <row r="2" spans="1:3">
      <c r="A2" s="204" t="s">
        <v>347</v>
      </c>
      <c r="B2" s="158"/>
      <c r="C2" s="158"/>
    </row>
    <row r="3" spans="1:3">
      <c r="A3" s="160"/>
      <c r="B3" s="158"/>
      <c r="C3" s="158"/>
    </row>
    <row r="4" spans="1:3" ht="20.100000000000001" customHeight="1">
      <c r="A4" s="161" t="s">
        <v>148</v>
      </c>
      <c r="B4" s="162" t="s">
        <v>139</v>
      </c>
      <c r="C4" s="162" t="s">
        <v>140</v>
      </c>
    </row>
    <row r="5" spans="1:3" ht="20.100000000000001" customHeight="1">
      <c r="A5" s="200" t="s">
        <v>234</v>
      </c>
      <c r="B5" s="163" t="s">
        <v>291</v>
      </c>
      <c r="C5" s="163" t="s">
        <v>292</v>
      </c>
    </row>
    <row r="6" spans="1:3" ht="20.100000000000001" customHeight="1">
      <c r="A6" s="200" t="s">
        <v>234</v>
      </c>
      <c r="B6" s="163" t="s">
        <v>313</v>
      </c>
      <c r="C6" s="163" t="s">
        <v>292</v>
      </c>
    </row>
    <row r="7" spans="1:3" ht="20.100000000000001" customHeight="1">
      <c r="A7" s="200" t="s">
        <v>234</v>
      </c>
      <c r="B7" s="163" t="s">
        <v>316</v>
      </c>
      <c r="C7" s="163" t="s">
        <v>292</v>
      </c>
    </row>
    <row r="8" spans="1:3" ht="20.100000000000001" customHeight="1">
      <c r="A8" s="200" t="s">
        <v>234</v>
      </c>
      <c r="B8" s="163" t="s">
        <v>238</v>
      </c>
      <c r="C8" s="163" t="s">
        <v>365</v>
      </c>
    </row>
    <row r="9" spans="1:3" ht="20.100000000000001" customHeight="1">
      <c r="A9" s="200" t="s">
        <v>234</v>
      </c>
      <c r="B9" s="163" t="s">
        <v>238</v>
      </c>
      <c r="C9" s="163" t="s">
        <v>351</v>
      </c>
    </row>
    <row r="10" spans="1:3" ht="20.100000000000001" customHeight="1">
      <c r="A10" s="200" t="s">
        <v>234</v>
      </c>
      <c r="B10" s="163" t="s">
        <v>238</v>
      </c>
      <c r="C10" s="163" t="s">
        <v>352</v>
      </c>
    </row>
    <row r="11" spans="1:3" ht="20.100000000000001" customHeight="1">
      <c r="A11" s="200" t="s">
        <v>234</v>
      </c>
      <c r="B11" s="163" t="s">
        <v>238</v>
      </c>
      <c r="C11" s="163" t="s">
        <v>364</v>
      </c>
    </row>
    <row r="12" spans="1:3" ht="20.100000000000001" customHeight="1">
      <c r="A12" s="200" t="s">
        <v>234</v>
      </c>
      <c r="B12" s="163" t="s">
        <v>238</v>
      </c>
      <c r="C12" s="163" t="s">
        <v>355</v>
      </c>
    </row>
    <row r="13" spans="1:3" ht="20.100000000000001" customHeight="1">
      <c r="A13" s="200" t="s">
        <v>234</v>
      </c>
      <c r="B13" s="163" t="s">
        <v>238</v>
      </c>
      <c r="C13" s="163" t="s">
        <v>356</v>
      </c>
    </row>
    <row r="14" spans="1:3" ht="20.100000000000001" customHeight="1">
      <c r="A14" s="200" t="s">
        <v>234</v>
      </c>
      <c r="B14" s="163" t="s">
        <v>238</v>
      </c>
      <c r="C14" s="163" t="s">
        <v>353</v>
      </c>
    </row>
    <row r="15" spans="1:3" ht="20.100000000000001" customHeight="1">
      <c r="A15" s="200" t="s">
        <v>234</v>
      </c>
      <c r="B15" s="163" t="s">
        <v>238</v>
      </c>
      <c r="C15" s="163" t="s">
        <v>354</v>
      </c>
    </row>
    <row r="16" spans="1:3" ht="20.100000000000001" customHeight="1">
      <c r="A16" s="200" t="s">
        <v>234</v>
      </c>
      <c r="B16" s="163" t="s">
        <v>238</v>
      </c>
      <c r="C16" s="163" t="s">
        <v>326</v>
      </c>
    </row>
    <row r="17" spans="1:3" ht="20.100000000000001" customHeight="1">
      <c r="A17" s="200" t="s">
        <v>234</v>
      </c>
      <c r="B17" s="163" t="s">
        <v>233</v>
      </c>
      <c r="C17" s="163" t="s">
        <v>349</v>
      </c>
    </row>
    <row r="18" spans="1:3" ht="20.100000000000001" customHeight="1">
      <c r="A18" s="200" t="s">
        <v>234</v>
      </c>
      <c r="B18" s="163" t="s">
        <v>233</v>
      </c>
      <c r="C18" s="163" t="s">
        <v>357</v>
      </c>
    </row>
    <row r="19" spans="1:3" ht="30" customHeight="1">
      <c r="A19" s="200" t="s">
        <v>234</v>
      </c>
      <c r="B19" s="163" t="s">
        <v>339</v>
      </c>
      <c r="C19" s="163" t="s">
        <v>358</v>
      </c>
    </row>
    <row r="20" spans="1:3" ht="20.100000000000001" customHeight="1">
      <c r="A20" s="200" t="s">
        <v>234</v>
      </c>
      <c r="B20" s="163" t="s">
        <v>233</v>
      </c>
      <c r="C20" s="163" t="s">
        <v>350</v>
      </c>
    </row>
    <row r="21" spans="1:3" ht="20.100000000000001" customHeight="1">
      <c r="A21" s="200" t="s">
        <v>234</v>
      </c>
      <c r="B21" s="163" t="s">
        <v>235</v>
      </c>
      <c r="C21" s="163" t="s">
        <v>237</v>
      </c>
    </row>
    <row r="22" spans="1:3" ht="20.100000000000001" customHeight="1">
      <c r="A22" s="200" t="s">
        <v>234</v>
      </c>
      <c r="B22" s="163" t="s">
        <v>235</v>
      </c>
      <c r="C22" s="163" t="s">
        <v>236</v>
      </c>
    </row>
    <row r="23" spans="1:3" ht="20.100000000000001" customHeight="1">
      <c r="A23" s="200" t="s">
        <v>234</v>
      </c>
      <c r="B23" s="163" t="s">
        <v>235</v>
      </c>
      <c r="C23" s="163" t="s">
        <v>249</v>
      </c>
    </row>
    <row r="24" spans="1:3">
      <c r="A24" s="166"/>
      <c r="B24" s="163"/>
      <c r="C24" s="163"/>
    </row>
    <row r="25" spans="1:3" hidden="1">
      <c r="A25" s="157"/>
      <c r="B25" s="158"/>
      <c r="C25" s="158"/>
    </row>
    <row r="26" spans="1:3" hidden="1">
      <c r="A26" s="157"/>
      <c r="B26" s="158"/>
      <c r="C26" s="158"/>
    </row>
    <row r="27" spans="1:3" hidden="1">
      <c r="A27" s="157"/>
      <c r="B27" s="158"/>
      <c r="C27" s="158"/>
    </row>
    <row r="28" spans="1:3" hidden="1">
      <c r="A28" s="157"/>
      <c r="B28" s="158"/>
      <c r="C28" s="158"/>
    </row>
    <row r="29" spans="1:3" hidden="1">
      <c r="A29" s="157"/>
      <c r="B29" s="158"/>
      <c r="C29" s="158"/>
    </row>
    <row r="30" spans="1:3" hidden="1">
      <c r="A30" s="157"/>
      <c r="B30" s="158"/>
      <c r="C30" s="158"/>
    </row>
    <row r="31" spans="1:3" hidden="1">
      <c r="A31" s="157"/>
      <c r="B31" s="158"/>
      <c r="C31" s="158"/>
    </row>
    <row r="32" spans="1:3" hidden="1">
      <c r="A32" s="157"/>
      <c r="B32" s="158"/>
      <c r="C32" s="158"/>
    </row>
    <row r="33" spans="1:3" hidden="1">
      <c r="A33" s="157"/>
      <c r="B33" s="158"/>
      <c r="C33" s="158"/>
    </row>
    <row r="34" spans="1:3" hidden="1">
      <c r="A34" s="157"/>
      <c r="B34" s="158"/>
      <c r="C34" s="158"/>
    </row>
    <row r="35" spans="1:3" hidden="1">
      <c r="A35" s="157"/>
      <c r="B35" s="158"/>
      <c r="C35" s="158"/>
    </row>
    <row r="36" spans="1:3" hidden="1">
      <c r="A36" s="157"/>
      <c r="B36" s="158"/>
      <c r="C36" s="158"/>
    </row>
    <row r="37" spans="1:3" hidden="1">
      <c r="A37" s="157"/>
      <c r="B37" s="158"/>
      <c r="C37" s="15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XFC171"/>
  <sheetViews>
    <sheetView showGridLines="0" zoomScaleNormal="100" workbookViewId="0"/>
  </sheetViews>
  <sheetFormatPr defaultColWidth="0" defaultRowHeight="15.75" zeroHeight="1"/>
  <cols>
    <col min="1" max="1" width="3.7109375" style="4" customWidth="1"/>
    <col min="2" max="2" width="2.85546875" style="2" customWidth="1"/>
    <col min="3" max="3" width="2.85546875" style="3" customWidth="1"/>
    <col min="4" max="4" width="3.5703125" style="3" customWidth="1"/>
    <col min="5" max="18" width="9.140625" style="4" customWidth="1"/>
    <col min="19" max="19" width="15.28515625" style="4" customWidth="1"/>
    <col min="20" max="20" width="0" style="4" hidden="1" customWidth="1"/>
    <col min="21" max="256" width="9.140625" style="4" hidden="1" customWidth="1"/>
    <col min="257" max="16383" width="9.140625" style="4" hidden="1"/>
    <col min="16384" max="16384" width="3.7109375" style="4" hidden="1" customWidth="1"/>
  </cols>
  <sheetData>
    <row r="1" spans="1:19" ht="21">
      <c r="A1" s="1" t="s">
        <v>277</v>
      </c>
    </row>
    <row r="2" spans="1:19">
      <c r="A2" s="58" t="s">
        <v>116</v>
      </c>
    </row>
    <row r="3" spans="1:19">
      <c r="A3" s="58" t="s">
        <v>329</v>
      </c>
    </row>
    <row r="4" spans="1:19">
      <c r="A4" s="58" t="s">
        <v>321</v>
      </c>
    </row>
    <row r="5" spans="1:19" ht="12.75">
      <c r="B5" s="4"/>
    </row>
    <row r="6" spans="1:19" ht="15">
      <c r="B6" s="15" t="s">
        <v>98</v>
      </c>
    </row>
    <row r="7" spans="1:19" ht="15">
      <c r="B7" s="15" t="s">
        <v>207</v>
      </c>
      <c r="H7" s="184"/>
    </row>
    <row r="8" spans="1:19" ht="16.5" thickBot="1">
      <c r="B8" s="6"/>
      <c r="C8" s="7"/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B9" s="10" t="s">
        <v>129</v>
      </c>
      <c r="C9" s="11"/>
      <c r="D9" s="1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9">
      <c r="C10" s="48"/>
      <c r="D10" s="48"/>
      <c r="E10" s="48"/>
    </row>
    <row r="11" spans="1:19">
      <c r="A11" s="45"/>
      <c r="B11" s="46"/>
      <c r="C11" s="48">
        <v>1</v>
      </c>
      <c r="D11" s="48" t="s">
        <v>336</v>
      </c>
      <c r="E11" s="48"/>
    </row>
    <row r="12" spans="1:19" ht="16.5" thickBot="1">
      <c r="B12" s="6"/>
      <c r="C12" s="7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>
      <c r="B13" s="10" t="s">
        <v>130</v>
      </c>
      <c r="D13" s="61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</row>
    <row r="14" spans="1:19" ht="15">
      <c r="B14" s="48"/>
      <c r="C14" s="48"/>
      <c r="D14" s="48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</row>
    <row r="15" spans="1:19" ht="15">
      <c r="B15" s="48"/>
      <c r="C15" s="48">
        <v>1</v>
      </c>
      <c r="D15" s="48" t="s">
        <v>218</v>
      </c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</row>
    <row r="16" spans="1:19" ht="15">
      <c r="B16" s="48"/>
      <c r="C16" s="48"/>
      <c r="D16" s="48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</row>
    <row r="17" spans="2:19" ht="20.25" customHeight="1">
      <c r="B17" s="48"/>
      <c r="C17" s="48">
        <v>2</v>
      </c>
      <c r="D17" s="48" t="s">
        <v>158</v>
      </c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</row>
    <row r="18" spans="2:19" ht="18.75" customHeight="1">
      <c r="B18" s="48"/>
      <c r="C18" s="48"/>
      <c r="D18" s="48" t="s">
        <v>221</v>
      </c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</row>
    <row r="19" spans="2:19" ht="15">
      <c r="B19" s="48"/>
      <c r="C19" s="48"/>
      <c r="D19" s="48" t="s">
        <v>222</v>
      </c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</row>
    <row r="20" spans="2:19" ht="15">
      <c r="B20" s="48"/>
      <c r="C20" s="48"/>
      <c r="D20" s="48"/>
      <c r="E20" s="48" t="s">
        <v>198</v>
      </c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</row>
    <row r="21" spans="2:19" ht="15">
      <c r="B21" s="48"/>
      <c r="C21" s="48"/>
      <c r="D21" s="48"/>
      <c r="E21" s="48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</row>
    <row r="22" spans="2:19" ht="18.75" customHeight="1">
      <c r="B22" s="48"/>
      <c r="C22" s="48">
        <v>3</v>
      </c>
      <c r="D22" s="48" t="s">
        <v>213</v>
      </c>
      <c r="E22" s="48"/>
      <c r="F22" s="9"/>
      <c r="G22" s="188"/>
      <c r="H22" s="188"/>
      <c r="I22" s="188"/>
      <c r="J22" s="136"/>
      <c r="K22" s="136"/>
      <c r="L22" s="136"/>
      <c r="M22" s="136"/>
      <c r="N22" s="136"/>
      <c r="O22" s="136"/>
      <c r="P22" s="136"/>
    </row>
    <row r="23" spans="2:19" ht="15">
      <c r="B23" s="48"/>
      <c r="C23" s="48"/>
      <c r="D23" s="189" t="s">
        <v>219</v>
      </c>
      <c r="E23" s="48"/>
      <c r="F23" s="9"/>
      <c r="G23" s="188"/>
      <c r="H23" s="188"/>
      <c r="I23" s="188"/>
      <c r="J23" s="136"/>
      <c r="K23" s="136"/>
      <c r="L23" s="136"/>
      <c r="M23" s="136"/>
      <c r="N23" s="136"/>
      <c r="O23" s="136"/>
      <c r="P23" s="136"/>
    </row>
    <row r="24" spans="2:19" ht="19.5" customHeight="1">
      <c r="B24" s="48"/>
      <c r="C24" s="48"/>
      <c r="D24" s="189" t="s">
        <v>214</v>
      </c>
      <c r="E24" s="48"/>
      <c r="F24" s="9"/>
      <c r="G24" s="188"/>
      <c r="H24" s="188"/>
      <c r="I24" s="188"/>
      <c r="J24" s="136"/>
      <c r="K24" s="136"/>
      <c r="L24" s="136"/>
      <c r="M24" s="136"/>
      <c r="N24" s="136"/>
      <c r="O24" s="136"/>
      <c r="P24" s="136"/>
    </row>
    <row r="25" spans="2:19" ht="15">
      <c r="B25" s="48"/>
      <c r="C25" s="48"/>
      <c r="D25" s="189" t="s">
        <v>220</v>
      </c>
      <c r="E25" s="48"/>
      <c r="F25" s="9"/>
      <c r="G25" s="188"/>
      <c r="H25" s="188"/>
      <c r="I25" s="188"/>
      <c r="J25" s="136"/>
      <c r="K25" s="136"/>
      <c r="L25" s="136"/>
      <c r="M25" s="136"/>
      <c r="N25" s="136"/>
      <c r="O25" s="136"/>
      <c r="P25" s="136"/>
    </row>
    <row r="26" spans="2:19" ht="22.5" customHeight="1">
      <c r="B26" s="48"/>
      <c r="C26" s="48"/>
      <c r="D26" s="189" t="s">
        <v>215</v>
      </c>
      <c r="E26" s="48"/>
      <c r="F26" s="9"/>
      <c r="G26" s="188"/>
      <c r="H26" s="188"/>
      <c r="I26" s="188"/>
      <c r="J26" s="136"/>
      <c r="K26" s="136"/>
      <c r="L26" s="136"/>
      <c r="M26" s="136"/>
      <c r="N26" s="136"/>
      <c r="O26" s="136"/>
      <c r="P26" s="136"/>
    </row>
    <row r="27" spans="2:19" ht="15">
      <c r="B27" s="48"/>
      <c r="C27" s="48"/>
      <c r="D27" s="189" t="s">
        <v>216</v>
      </c>
      <c r="F27" s="9"/>
      <c r="G27" s="188"/>
      <c r="H27" s="188"/>
      <c r="I27" s="188"/>
      <c r="J27" s="136"/>
      <c r="K27" s="136"/>
      <c r="L27" s="136"/>
      <c r="M27" s="136"/>
      <c r="N27" s="136"/>
      <c r="O27" s="136"/>
      <c r="P27" s="136"/>
    </row>
    <row r="28" spans="2:19" ht="16.5" thickBot="1">
      <c r="B28" s="6"/>
      <c r="C28" s="7"/>
      <c r="D28" s="7"/>
      <c r="E28" s="8"/>
      <c r="F28" s="8"/>
      <c r="G28" s="8"/>
      <c r="H28" s="8" t="s">
        <v>217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19">
      <c r="B29" s="10" t="s">
        <v>131</v>
      </c>
      <c r="C29" s="11"/>
      <c r="D29" s="11"/>
    </row>
    <row r="30" spans="2:19"/>
    <row r="31" spans="2:19">
      <c r="C31" s="48">
        <v>1</v>
      </c>
      <c r="D31" s="48" t="s">
        <v>159</v>
      </c>
    </row>
    <row r="32" spans="2:19">
      <c r="C32" s="48"/>
      <c r="D32" s="47"/>
    </row>
    <row r="33" spans="2:19">
      <c r="C33" s="48">
        <v>2</v>
      </c>
      <c r="D33" s="47" t="s">
        <v>337</v>
      </c>
    </row>
    <row r="34" spans="2:19">
      <c r="C34" s="48"/>
      <c r="D34" s="48"/>
    </row>
    <row r="35" spans="2:19">
      <c r="C35" s="48">
        <v>3</v>
      </c>
      <c r="D35" s="48" t="s">
        <v>41</v>
      </c>
    </row>
    <row r="36" spans="2:19">
      <c r="C36" s="48"/>
      <c r="D36" s="189" t="s">
        <v>160</v>
      </c>
    </row>
    <row r="37" spans="2:19" ht="16.5" thickBot="1">
      <c r="B37" s="6"/>
      <c r="C37" s="50"/>
      <c r="D37" s="50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2:19">
      <c r="B38" s="10" t="s">
        <v>133</v>
      </c>
      <c r="C38" s="11"/>
      <c r="D38" s="11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2:19">
      <c r="B39" s="10"/>
      <c r="C39" s="51"/>
      <c r="D39" s="51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2:19">
      <c r="B40" s="10"/>
      <c r="C40" s="48">
        <v>1</v>
      </c>
      <c r="D40" s="48" t="s">
        <v>99</v>
      </c>
      <c r="E40" s="47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2:19">
      <c r="B41" s="10"/>
      <c r="D41" s="48"/>
      <c r="E41" s="5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2:19" ht="21" customHeight="1">
      <c r="B42" s="10"/>
      <c r="C42" s="48">
        <v>2</v>
      </c>
      <c r="D42" s="48" t="s">
        <v>208</v>
      </c>
      <c r="E42" s="48"/>
      <c r="F42" s="12"/>
      <c r="G42" s="12"/>
      <c r="H42" s="12"/>
      <c r="I42" s="12"/>
      <c r="J42" s="12"/>
      <c r="K42" s="9"/>
      <c r="L42" s="9"/>
      <c r="M42" s="9"/>
      <c r="N42" s="9"/>
      <c r="O42" s="9"/>
      <c r="P42" s="9"/>
    </row>
    <row r="43" spans="2:19">
      <c r="B43" s="10"/>
      <c r="D43" s="49" t="s">
        <v>36</v>
      </c>
      <c r="E43" s="48" t="s">
        <v>199</v>
      </c>
      <c r="F43" s="12"/>
      <c r="G43" s="12"/>
      <c r="H43" s="12"/>
      <c r="I43" s="12"/>
      <c r="J43" s="12"/>
      <c r="K43" s="9"/>
      <c r="L43" s="9"/>
      <c r="M43" s="9"/>
      <c r="N43" s="9"/>
      <c r="O43" s="9"/>
      <c r="P43" s="9"/>
    </row>
    <row r="44" spans="2:19" ht="21" customHeight="1">
      <c r="B44" s="10"/>
      <c r="D44" s="49"/>
      <c r="E44" s="189" t="s">
        <v>181</v>
      </c>
      <c r="F44" s="12"/>
      <c r="G44" s="12"/>
      <c r="H44" s="12"/>
      <c r="I44" s="12"/>
      <c r="J44" s="12"/>
      <c r="K44" s="9"/>
      <c r="L44" s="9"/>
      <c r="M44" s="9"/>
      <c r="N44" s="9"/>
      <c r="O44" s="9"/>
      <c r="P44" s="9"/>
    </row>
    <row r="45" spans="2:19">
      <c r="B45" s="10"/>
      <c r="D45" s="49"/>
      <c r="E45" s="48" t="s">
        <v>340</v>
      </c>
      <c r="F45" s="12"/>
      <c r="G45" s="12"/>
      <c r="H45" s="12"/>
      <c r="I45" s="12"/>
      <c r="J45" s="12"/>
      <c r="K45" s="9"/>
      <c r="L45" s="9"/>
      <c r="M45" s="9"/>
      <c r="N45" s="9"/>
      <c r="O45" s="9"/>
      <c r="P45" s="9"/>
    </row>
    <row r="46" spans="2:19" ht="21" customHeight="1">
      <c r="B46" s="10"/>
      <c r="D46" s="49"/>
      <c r="E46" s="238" t="s">
        <v>341</v>
      </c>
      <c r="F46" s="12"/>
      <c r="G46" s="12"/>
      <c r="H46" s="12"/>
      <c r="I46" s="12"/>
      <c r="J46" s="12"/>
      <c r="K46" s="9"/>
      <c r="L46" s="9"/>
      <c r="M46" s="9"/>
      <c r="N46" s="9"/>
      <c r="O46" s="9"/>
      <c r="P46" s="9"/>
    </row>
    <row r="47" spans="2:19">
      <c r="B47" s="10"/>
      <c r="D47" s="49"/>
      <c r="E47" s="49" t="s">
        <v>239</v>
      </c>
      <c r="F47" s="12"/>
      <c r="G47" s="12"/>
      <c r="H47" s="12"/>
      <c r="I47" s="12"/>
      <c r="J47" s="12"/>
      <c r="K47" s="9"/>
      <c r="L47" s="9"/>
      <c r="M47" s="9"/>
      <c r="N47" s="9"/>
      <c r="O47" s="9"/>
      <c r="P47" s="9"/>
    </row>
    <row r="48" spans="2:19" ht="21" customHeight="1">
      <c r="B48" s="10"/>
      <c r="D48" s="49"/>
      <c r="E48" s="189" t="s">
        <v>240</v>
      </c>
      <c r="F48" s="12"/>
      <c r="G48" s="12"/>
      <c r="H48" s="12"/>
      <c r="I48" s="12"/>
      <c r="J48" s="12"/>
      <c r="K48" s="9"/>
      <c r="L48" s="9"/>
      <c r="M48" s="9"/>
      <c r="N48" s="9"/>
      <c r="O48" s="9"/>
      <c r="P48" s="9"/>
    </row>
    <row r="49" spans="2:16">
      <c r="B49" s="10"/>
      <c r="D49" s="49"/>
      <c r="E49" s="48" t="s">
        <v>243</v>
      </c>
      <c r="F49" s="12"/>
      <c r="G49" s="12"/>
      <c r="H49" s="12"/>
      <c r="I49" s="12"/>
      <c r="J49" s="12"/>
      <c r="K49" s="9"/>
      <c r="L49" s="9"/>
      <c r="M49" s="9"/>
      <c r="N49" s="9"/>
      <c r="O49" s="9"/>
      <c r="P49" s="9"/>
    </row>
    <row r="50" spans="2:16" ht="21" customHeight="1">
      <c r="B50" s="10"/>
      <c r="D50" s="49"/>
      <c r="E50" s="189" t="s">
        <v>244</v>
      </c>
      <c r="F50" s="12"/>
      <c r="G50" s="12"/>
      <c r="H50" s="12"/>
      <c r="I50" s="12"/>
      <c r="J50" s="12"/>
      <c r="K50" s="9"/>
      <c r="L50" s="9"/>
      <c r="M50" s="9"/>
      <c r="N50" s="9"/>
      <c r="O50" s="9"/>
      <c r="P50" s="9"/>
    </row>
    <row r="51" spans="2:16" ht="21" customHeight="1">
      <c r="B51" s="10"/>
      <c r="D51" s="49"/>
      <c r="E51" s="189" t="s">
        <v>200</v>
      </c>
      <c r="F51" s="12"/>
      <c r="G51" s="12"/>
      <c r="H51" s="12"/>
      <c r="I51" s="12"/>
      <c r="J51" s="12"/>
      <c r="K51" s="9"/>
      <c r="L51" s="9"/>
      <c r="M51" s="9"/>
      <c r="N51" s="9"/>
      <c r="O51" s="9"/>
      <c r="P51" s="9"/>
    </row>
    <row r="52" spans="2:16" ht="17.25" customHeight="1">
      <c r="B52" s="10"/>
      <c r="D52" s="49"/>
      <c r="E52" s="48" t="s">
        <v>241</v>
      </c>
      <c r="F52" s="12"/>
      <c r="G52" s="12"/>
      <c r="H52" s="12"/>
      <c r="I52" s="12"/>
      <c r="J52" s="12"/>
      <c r="K52" s="9"/>
      <c r="L52" s="9"/>
      <c r="M52" s="9"/>
      <c r="N52" s="9"/>
      <c r="O52" s="9"/>
      <c r="P52" s="9"/>
    </row>
    <row r="53" spans="2:16">
      <c r="B53" s="10"/>
      <c r="D53" s="49"/>
      <c r="E53" s="189" t="s">
        <v>189</v>
      </c>
      <c r="F53" s="12"/>
      <c r="G53" s="12"/>
      <c r="H53" s="12"/>
      <c r="I53" s="12"/>
      <c r="J53" s="12"/>
      <c r="K53" s="9"/>
      <c r="L53" s="9"/>
      <c r="M53" s="9"/>
      <c r="N53" s="9"/>
      <c r="O53" s="9"/>
      <c r="P53" s="9"/>
    </row>
    <row r="54" spans="2:16" ht="21" customHeight="1">
      <c r="B54" s="10"/>
      <c r="D54" s="49"/>
      <c r="E54" s="189" t="s">
        <v>190</v>
      </c>
      <c r="F54" s="12"/>
      <c r="G54" s="12"/>
      <c r="H54" s="12"/>
      <c r="I54" s="12"/>
      <c r="J54" s="12"/>
      <c r="K54" s="9"/>
      <c r="L54" s="9"/>
      <c r="M54" s="9"/>
      <c r="N54" s="9"/>
      <c r="O54" s="9"/>
      <c r="P54" s="9"/>
    </row>
    <row r="55" spans="2:16">
      <c r="B55" s="10"/>
      <c r="D55" s="49"/>
      <c r="E55" s="239" t="s">
        <v>342</v>
      </c>
      <c r="F55" s="12"/>
      <c r="G55" s="12"/>
      <c r="H55" s="12"/>
      <c r="I55" s="12"/>
      <c r="J55" s="12"/>
      <c r="K55" s="9"/>
      <c r="L55" s="9"/>
      <c r="M55" s="9"/>
      <c r="N55" s="9"/>
      <c r="O55" s="9"/>
      <c r="P55" s="9"/>
    </row>
    <row r="56" spans="2:16" ht="21" customHeight="1">
      <c r="B56" s="10"/>
      <c r="D56" s="49"/>
      <c r="E56" s="240" t="s">
        <v>242</v>
      </c>
      <c r="F56" s="12"/>
      <c r="G56" s="12"/>
      <c r="H56" s="12"/>
      <c r="I56" s="12"/>
      <c r="J56" s="12"/>
      <c r="K56" s="9"/>
      <c r="L56" s="9"/>
      <c r="M56" s="9"/>
      <c r="N56" s="9"/>
      <c r="O56" s="9"/>
      <c r="P56" s="9"/>
    </row>
    <row r="57" spans="2:16" ht="21" customHeight="1">
      <c r="B57" s="10"/>
      <c r="D57" s="49" t="s">
        <v>37</v>
      </c>
      <c r="E57" s="48" t="s">
        <v>201</v>
      </c>
      <c r="F57" s="12"/>
      <c r="G57" s="12"/>
      <c r="H57" s="12"/>
      <c r="I57" s="12"/>
      <c r="J57" s="12"/>
      <c r="K57" s="9"/>
      <c r="L57" s="9"/>
      <c r="M57" s="9"/>
      <c r="N57" s="9"/>
      <c r="O57" s="9"/>
      <c r="P57" s="9"/>
    </row>
    <row r="58" spans="2:16">
      <c r="B58" s="10"/>
      <c r="D58" s="49"/>
      <c r="E58" s="48" t="s">
        <v>202</v>
      </c>
      <c r="F58" s="12"/>
      <c r="G58" s="12"/>
      <c r="H58" s="12"/>
      <c r="I58" s="12"/>
      <c r="J58" s="12"/>
      <c r="K58" s="9"/>
      <c r="L58" s="9"/>
      <c r="M58" s="9"/>
      <c r="N58" s="9"/>
      <c r="O58" s="9"/>
      <c r="P58" s="9"/>
    </row>
    <row r="59" spans="2:16" ht="21" customHeight="1">
      <c r="B59" s="10"/>
      <c r="D59" s="49"/>
      <c r="E59" s="189" t="s">
        <v>182</v>
      </c>
      <c r="F59" s="12"/>
      <c r="G59" s="12"/>
      <c r="H59" s="12"/>
      <c r="I59" s="12"/>
      <c r="J59" s="12"/>
      <c r="K59" s="9"/>
      <c r="L59" s="9"/>
      <c r="M59" s="9"/>
      <c r="N59" s="9"/>
      <c r="O59" s="9"/>
      <c r="P59" s="9"/>
    </row>
    <row r="60" spans="2:16">
      <c r="B60" s="10"/>
      <c r="D60" s="49"/>
      <c r="E60" s="48" t="s">
        <v>359</v>
      </c>
      <c r="F60" s="12"/>
      <c r="G60" s="12"/>
      <c r="H60" s="12"/>
      <c r="I60" s="12"/>
      <c r="J60" s="12"/>
      <c r="K60" s="9"/>
      <c r="L60" s="9"/>
      <c r="M60" s="9"/>
      <c r="N60" s="9"/>
      <c r="O60" s="9"/>
      <c r="P60" s="9"/>
    </row>
    <row r="61" spans="2:16" ht="21" customHeight="1">
      <c r="B61" s="10"/>
      <c r="D61" s="49"/>
      <c r="E61" s="189" t="s">
        <v>343</v>
      </c>
      <c r="F61" s="12"/>
      <c r="G61" s="12"/>
      <c r="H61" s="12"/>
      <c r="I61" s="12"/>
      <c r="J61" s="12"/>
      <c r="K61" s="9"/>
      <c r="L61" s="9"/>
      <c r="M61" s="9"/>
      <c r="N61" s="9"/>
      <c r="O61" s="9"/>
      <c r="P61" s="9"/>
    </row>
    <row r="62" spans="2:16">
      <c r="B62" s="10"/>
      <c r="D62" s="49"/>
      <c r="E62" s="48" t="s">
        <v>360</v>
      </c>
      <c r="F62" s="12"/>
      <c r="G62" s="12"/>
      <c r="H62" s="12"/>
      <c r="I62" s="12"/>
      <c r="J62" s="12"/>
      <c r="K62" s="9"/>
      <c r="L62" s="9"/>
      <c r="M62" s="9"/>
      <c r="N62" s="9"/>
      <c r="O62" s="9"/>
      <c r="P62" s="9"/>
    </row>
    <row r="63" spans="2:16" ht="21" customHeight="1">
      <c r="B63" s="10"/>
      <c r="D63" s="49"/>
      <c r="E63" s="189" t="s">
        <v>361</v>
      </c>
      <c r="F63" s="12"/>
      <c r="G63" s="12"/>
      <c r="H63" s="12"/>
      <c r="I63" s="12"/>
      <c r="J63" s="12"/>
      <c r="K63" s="9"/>
      <c r="L63" s="9"/>
      <c r="M63" s="9"/>
      <c r="N63" s="9"/>
      <c r="O63" s="9"/>
      <c r="P63" s="9"/>
    </row>
    <row r="64" spans="2:16" ht="21" customHeight="1">
      <c r="B64" s="10"/>
      <c r="D64" s="49"/>
      <c r="E64" s="48" t="s">
        <v>203</v>
      </c>
      <c r="F64" s="12"/>
      <c r="G64" s="12"/>
      <c r="H64" s="12"/>
      <c r="I64" s="12"/>
      <c r="J64" s="12"/>
      <c r="K64" s="9"/>
      <c r="L64" s="9"/>
      <c r="M64" s="9"/>
      <c r="N64" s="9"/>
      <c r="O64" s="9"/>
      <c r="P64" s="9"/>
    </row>
    <row r="65" spans="2:16">
      <c r="B65" s="10"/>
      <c r="D65" s="49"/>
      <c r="E65" s="48" t="s">
        <v>362</v>
      </c>
      <c r="F65" s="12"/>
      <c r="G65" s="12"/>
      <c r="H65" s="12"/>
      <c r="I65" s="12"/>
      <c r="J65" s="12"/>
      <c r="K65" s="9"/>
      <c r="L65" s="9"/>
      <c r="M65" s="9"/>
      <c r="N65" s="9"/>
      <c r="O65" s="9"/>
      <c r="P65" s="9"/>
    </row>
    <row r="66" spans="2:16" ht="21" customHeight="1">
      <c r="B66" s="10"/>
      <c r="D66" s="49"/>
      <c r="E66" s="189" t="s">
        <v>263</v>
      </c>
      <c r="F66" s="12"/>
      <c r="G66" s="12"/>
      <c r="H66" s="12"/>
      <c r="I66" s="12"/>
      <c r="J66" s="12"/>
      <c r="K66" s="9"/>
      <c r="L66" s="9"/>
      <c r="M66" s="9"/>
      <c r="N66" s="9"/>
      <c r="O66" s="9"/>
      <c r="P66" s="9"/>
    </row>
    <row r="67" spans="2:16" ht="21" customHeight="1">
      <c r="B67" s="10"/>
      <c r="D67" s="49" t="s">
        <v>38</v>
      </c>
      <c r="E67" s="48" t="s">
        <v>110</v>
      </c>
      <c r="F67" s="12"/>
      <c r="G67" s="12"/>
      <c r="H67" s="12"/>
      <c r="I67" s="12"/>
      <c r="J67" s="12"/>
      <c r="K67" s="9"/>
      <c r="L67" s="9"/>
      <c r="M67" s="9"/>
      <c r="N67" s="9"/>
      <c r="O67" s="9"/>
      <c r="P67" s="9"/>
    </row>
    <row r="68" spans="2:16">
      <c r="B68" s="10"/>
      <c r="D68" s="49" t="s">
        <v>39</v>
      </c>
      <c r="E68" s="48" t="s">
        <v>204</v>
      </c>
      <c r="F68" s="12"/>
      <c r="G68" s="12"/>
      <c r="H68" s="12"/>
      <c r="I68" s="12"/>
      <c r="J68" s="12"/>
      <c r="K68" s="9"/>
      <c r="L68" s="9"/>
      <c r="M68" s="9"/>
      <c r="N68" s="9"/>
      <c r="O68" s="9"/>
      <c r="P68" s="9"/>
    </row>
    <row r="69" spans="2:16">
      <c r="B69" s="10"/>
      <c r="D69" s="49"/>
      <c r="E69" s="189" t="s">
        <v>345</v>
      </c>
      <c r="F69" s="12"/>
      <c r="G69" s="12"/>
      <c r="H69" s="12"/>
      <c r="I69" s="12"/>
      <c r="J69" s="12"/>
      <c r="K69" s="9"/>
      <c r="L69" s="9"/>
      <c r="M69" s="9"/>
      <c r="N69" s="9"/>
      <c r="O69" s="9"/>
      <c r="P69" s="9"/>
    </row>
    <row r="70" spans="2:16">
      <c r="B70" s="10"/>
      <c r="D70" s="49"/>
      <c r="E70" s="189" t="s">
        <v>346</v>
      </c>
      <c r="F70" s="12"/>
      <c r="G70" s="12"/>
      <c r="H70" s="12"/>
      <c r="I70" s="12"/>
      <c r="J70" s="12"/>
      <c r="K70" s="9"/>
      <c r="L70" s="9"/>
      <c r="M70" s="9"/>
      <c r="N70" s="9"/>
      <c r="O70" s="9"/>
      <c r="P70" s="9"/>
    </row>
    <row r="71" spans="2:16" ht="21" customHeight="1">
      <c r="B71" s="10"/>
      <c r="D71" s="49"/>
      <c r="E71" s="189" t="s">
        <v>344</v>
      </c>
      <c r="F71" s="12"/>
      <c r="G71" s="12"/>
      <c r="H71" s="12"/>
      <c r="I71" s="12"/>
      <c r="J71" s="12"/>
      <c r="K71" s="9"/>
      <c r="L71" s="9"/>
      <c r="M71" s="9"/>
      <c r="N71" s="9"/>
      <c r="O71" s="9"/>
      <c r="P71" s="9"/>
    </row>
    <row r="72" spans="2:16" ht="21" customHeight="1">
      <c r="B72" s="10"/>
      <c r="D72" s="49" t="s">
        <v>338</v>
      </c>
      <c r="E72" s="48" t="s">
        <v>205</v>
      </c>
      <c r="F72" s="12"/>
      <c r="G72" s="12"/>
      <c r="H72" s="12"/>
      <c r="I72" s="12"/>
      <c r="J72" s="12"/>
      <c r="K72" s="9"/>
      <c r="L72" s="9"/>
      <c r="M72" s="9"/>
      <c r="N72" s="9"/>
      <c r="O72" s="9"/>
      <c r="P72" s="9"/>
    </row>
    <row r="73" spans="2:16">
      <c r="B73" s="10"/>
      <c r="D73" s="49" t="s">
        <v>111</v>
      </c>
      <c r="E73" s="48" t="s">
        <v>196</v>
      </c>
      <c r="F73" s="12"/>
      <c r="G73" s="12"/>
      <c r="H73" s="12"/>
      <c r="I73" s="12"/>
      <c r="J73" s="12"/>
      <c r="K73" s="9"/>
      <c r="L73" s="9"/>
      <c r="M73" s="9"/>
      <c r="N73" s="9"/>
      <c r="O73" s="9"/>
      <c r="P73" s="9"/>
    </row>
    <row r="74" spans="2:16" ht="21" customHeight="1">
      <c r="B74" s="10"/>
      <c r="D74" s="49"/>
      <c r="E74" s="189" t="s">
        <v>197</v>
      </c>
      <c r="F74" s="12"/>
      <c r="G74" s="12"/>
      <c r="H74" s="12"/>
      <c r="I74" s="12"/>
      <c r="J74" s="12"/>
      <c r="K74" s="9"/>
      <c r="L74" s="9"/>
      <c r="M74" s="9"/>
      <c r="N74" s="9"/>
      <c r="O74" s="9"/>
      <c r="P74" s="9"/>
    </row>
    <row r="75" spans="2:16">
      <c r="B75" s="10"/>
      <c r="D75" s="49" t="s">
        <v>195</v>
      </c>
      <c r="E75" s="49" t="s">
        <v>206</v>
      </c>
      <c r="F75" s="12"/>
      <c r="G75" s="12"/>
      <c r="H75" s="12"/>
      <c r="I75" s="12"/>
      <c r="J75" s="12"/>
      <c r="K75" s="9"/>
      <c r="L75" s="9"/>
      <c r="M75" s="9"/>
      <c r="N75" s="9"/>
      <c r="O75" s="9"/>
      <c r="P75" s="9"/>
    </row>
    <row r="76" spans="2:16">
      <c r="B76" s="10"/>
      <c r="D76" s="49"/>
      <c r="E76" s="49"/>
      <c r="F76" s="12"/>
      <c r="G76" s="12"/>
      <c r="H76" s="12"/>
      <c r="I76" s="12"/>
      <c r="J76" s="12"/>
      <c r="K76" s="9"/>
      <c r="L76" s="9"/>
      <c r="M76" s="9"/>
      <c r="N76" s="9"/>
      <c r="O76" s="9"/>
      <c r="P76" s="9"/>
    </row>
    <row r="77" spans="2:16">
      <c r="B77" s="10"/>
      <c r="C77" s="48">
        <v>3</v>
      </c>
      <c r="D77" s="49" t="s">
        <v>210</v>
      </c>
      <c r="E77" s="49"/>
      <c r="F77" s="12"/>
      <c r="G77" s="12"/>
      <c r="H77" s="12"/>
      <c r="I77" s="12"/>
      <c r="J77" s="12"/>
      <c r="K77" s="9"/>
      <c r="L77" s="9"/>
      <c r="M77" s="9"/>
      <c r="N77" s="9"/>
      <c r="O77" s="9"/>
      <c r="P77" s="9"/>
    </row>
    <row r="78" spans="2:16">
      <c r="B78" s="10"/>
      <c r="C78" s="12"/>
      <c r="D78" s="13"/>
      <c r="E78" s="12"/>
      <c r="F78" s="12"/>
      <c r="G78" s="12"/>
      <c r="H78" s="12"/>
      <c r="I78" s="12"/>
      <c r="J78" s="12"/>
      <c r="K78" s="9"/>
      <c r="L78" s="9"/>
      <c r="M78" s="9"/>
      <c r="N78" s="9"/>
      <c r="O78" s="9"/>
      <c r="P78" s="9"/>
    </row>
    <row r="79" spans="2:16">
      <c r="B79" s="10"/>
      <c r="C79" s="12"/>
      <c r="D79" s="13"/>
      <c r="E79" s="12"/>
      <c r="F79" s="12"/>
      <c r="G79" s="12"/>
      <c r="H79" s="12"/>
      <c r="I79" s="12"/>
      <c r="J79" s="12"/>
      <c r="K79" s="9"/>
      <c r="L79" s="9"/>
      <c r="M79" s="9"/>
      <c r="N79" s="9"/>
      <c r="O79" s="9"/>
      <c r="P79" s="9"/>
    </row>
    <row r="80" spans="2:16">
      <c r="B80" s="10"/>
      <c r="C80" s="12"/>
      <c r="D80" s="13"/>
      <c r="E80" s="12"/>
      <c r="F80" s="12"/>
      <c r="G80" s="12"/>
      <c r="H80" s="12"/>
      <c r="I80" s="12"/>
      <c r="J80" s="12"/>
      <c r="K80" s="9"/>
      <c r="L80" s="9"/>
      <c r="M80" s="9"/>
      <c r="N80" s="9"/>
      <c r="O80" s="9"/>
      <c r="P80" s="9"/>
    </row>
    <row r="81" spans="2:19">
      <c r="B81" s="10"/>
      <c r="C81" s="12"/>
      <c r="D81" s="13"/>
      <c r="E81" s="12"/>
      <c r="F81" s="12"/>
      <c r="G81" s="12"/>
      <c r="H81" s="12"/>
      <c r="I81" s="12"/>
      <c r="J81" s="12"/>
      <c r="K81" s="9"/>
      <c r="L81" s="9"/>
      <c r="M81" s="9"/>
      <c r="N81" s="9"/>
      <c r="O81" s="9"/>
      <c r="P81" s="9"/>
    </row>
    <row r="82" spans="2:19">
      <c r="B82" s="10"/>
      <c r="C82" s="12"/>
      <c r="D82" s="13"/>
      <c r="E82" s="12"/>
      <c r="F82" s="12"/>
      <c r="G82" s="12"/>
      <c r="H82" s="12"/>
      <c r="I82" s="12"/>
      <c r="J82" s="12"/>
      <c r="K82" s="9"/>
      <c r="L82" s="9"/>
      <c r="M82" s="9"/>
      <c r="N82" s="9"/>
      <c r="O82" s="9"/>
      <c r="P82" s="9"/>
    </row>
    <row r="83" spans="2:19">
      <c r="B83" s="10"/>
      <c r="C83" s="12"/>
      <c r="D83" s="13"/>
      <c r="E83" s="12"/>
      <c r="F83" s="12"/>
      <c r="G83" s="12"/>
      <c r="H83" s="12"/>
      <c r="I83" s="12"/>
      <c r="J83" s="12"/>
      <c r="K83" s="9"/>
      <c r="L83" s="9"/>
      <c r="M83" s="9"/>
      <c r="N83" s="9"/>
      <c r="O83" s="9"/>
      <c r="P83" s="9"/>
    </row>
    <row r="84" spans="2:19">
      <c r="B84" s="10"/>
      <c r="C84" s="12"/>
      <c r="D84" s="13"/>
      <c r="E84" s="12"/>
      <c r="F84" s="12"/>
      <c r="G84" s="12"/>
      <c r="H84" s="12"/>
      <c r="I84" s="12"/>
      <c r="J84" s="12"/>
      <c r="K84" s="9"/>
      <c r="L84" s="9"/>
      <c r="M84" s="9"/>
      <c r="N84" s="9"/>
      <c r="O84" s="9"/>
      <c r="P84" s="9"/>
    </row>
    <row r="85" spans="2:19">
      <c r="B85" s="10"/>
      <c r="C85" s="12"/>
      <c r="D85" s="13"/>
      <c r="E85" s="12"/>
      <c r="F85" s="12"/>
      <c r="G85" s="12"/>
      <c r="H85" s="12"/>
      <c r="I85" s="12"/>
      <c r="J85" s="12"/>
      <c r="K85" s="9"/>
      <c r="L85" s="9"/>
      <c r="M85" s="9"/>
      <c r="N85" s="9"/>
      <c r="O85" s="9"/>
      <c r="P85" s="9"/>
    </row>
    <row r="86" spans="2:19">
      <c r="B86" s="10"/>
      <c r="C86" s="12"/>
      <c r="D86" s="13"/>
      <c r="E86" s="12"/>
      <c r="F86" s="12"/>
      <c r="G86" s="12"/>
      <c r="H86" s="12"/>
      <c r="I86" s="12"/>
      <c r="J86" s="12"/>
      <c r="K86" s="9"/>
      <c r="L86" s="9"/>
      <c r="M86" s="9"/>
      <c r="N86" s="9"/>
      <c r="O86" s="9"/>
      <c r="P86" s="9"/>
    </row>
    <row r="87" spans="2:19">
      <c r="B87" s="10"/>
      <c r="C87" s="12"/>
      <c r="D87" s="13"/>
      <c r="E87" s="12"/>
      <c r="F87" s="12"/>
      <c r="G87" s="12"/>
      <c r="H87" s="12"/>
      <c r="I87" s="12"/>
      <c r="J87" s="12"/>
      <c r="K87" s="9"/>
      <c r="L87" s="9"/>
      <c r="M87" s="9"/>
      <c r="N87" s="9"/>
      <c r="O87" s="9"/>
      <c r="P87" s="9"/>
    </row>
    <row r="88" spans="2:19">
      <c r="B88" s="10"/>
      <c r="C88" s="12"/>
      <c r="D88" s="13"/>
      <c r="E88" s="12"/>
      <c r="F88" s="12"/>
      <c r="G88" s="12"/>
      <c r="H88" s="12"/>
      <c r="I88" s="12"/>
      <c r="J88" s="12"/>
      <c r="K88" s="9"/>
      <c r="L88" s="9"/>
      <c r="M88" s="9"/>
      <c r="N88" s="9"/>
      <c r="O88" s="9"/>
      <c r="P88" s="9"/>
    </row>
    <row r="89" spans="2:19">
      <c r="B89" s="10"/>
      <c r="C89" s="12"/>
      <c r="D89" s="13"/>
      <c r="E89" s="12"/>
      <c r="F89" s="12"/>
      <c r="G89" s="12"/>
      <c r="H89" s="12"/>
      <c r="I89" s="12"/>
      <c r="J89" s="12"/>
      <c r="K89" s="9"/>
      <c r="L89" s="9"/>
      <c r="M89" s="9"/>
      <c r="N89" s="9"/>
      <c r="O89" s="9"/>
      <c r="P89" s="9"/>
    </row>
    <row r="90" spans="2:19">
      <c r="B90" s="10"/>
      <c r="C90" s="12"/>
      <c r="D90" s="13"/>
      <c r="E90" s="12"/>
      <c r="F90" s="12"/>
      <c r="G90" s="12"/>
      <c r="H90" s="12"/>
      <c r="I90" s="12"/>
      <c r="J90" s="12"/>
      <c r="K90" s="9"/>
      <c r="L90" s="9"/>
      <c r="M90" s="9"/>
      <c r="N90" s="9"/>
      <c r="O90" s="9"/>
      <c r="P90" s="9"/>
    </row>
    <row r="91" spans="2:19">
      <c r="B91" s="10"/>
      <c r="C91" s="12"/>
      <c r="D91" s="13"/>
      <c r="E91" s="12"/>
      <c r="F91" s="12"/>
      <c r="G91" s="12"/>
      <c r="H91" s="12"/>
      <c r="I91" s="12"/>
      <c r="J91" s="12"/>
      <c r="K91" s="9"/>
      <c r="L91" s="9"/>
      <c r="M91" s="9"/>
      <c r="N91" s="9"/>
      <c r="O91" s="9"/>
      <c r="P91" s="9"/>
    </row>
    <row r="92" spans="2:19">
      <c r="B92" s="10"/>
      <c r="C92" s="12"/>
      <c r="D92" s="13"/>
      <c r="E92" s="12"/>
      <c r="F92" s="12"/>
      <c r="G92" s="12"/>
      <c r="H92" s="12"/>
      <c r="I92" s="12"/>
      <c r="J92" s="12"/>
      <c r="K92" s="9"/>
      <c r="L92" s="9"/>
      <c r="M92" s="9"/>
      <c r="N92" s="9"/>
      <c r="O92" s="9"/>
      <c r="P92" s="9"/>
    </row>
    <row r="93" spans="2:19">
      <c r="B93" s="10"/>
      <c r="C93" s="12"/>
      <c r="D93" s="13"/>
      <c r="E93" s="12"/>
      <c r="F93" s="12"/>
      <c r="G93" s="12"/>
      <c r="H93" s="12"/>
      <c r="I93" s="12"/>
      <c r="J93" s="12"/>
      <c r="K93" s="9"/>
      <c r="L93" s="9"/>
      <c r="M93" s="9"/>
      <c r="N93" s="9"/>
      <c r="O93" s="9"/>
      <c r="P93" s="9"/>
    </row>
    <row r="94" spans="2:19">
      <c r="B94" s="10"/>
      <c r="C94" s="12"/>
      <c r="D94" s="13"/>
      <c r="E94" s="12"/>
      <c r="F94" s="12"/>
      <c r="G94" s="12"/>
      <c r="H94" s="12"/>
      <c r="I94" s="12"/>
      <c r="J94" s="12"/>
      <c r="K94" s="9"/>
      <c r="L94" s="9"/>
      <c r="M94" s="9"/>
      <c r="N94" s="9"/>
      <c r="O94" s="9"/>
      <c r="P94" s="9"/>
    </row>
    <row r="95" spans="2:19">
      <c r="B95" s="10"/>
      <c r="C95" s="12"/>
      <c r="D95" s="13"/>
      <c r="E95" s="12"/>
      <c r="F95" s="12"/>
      <c r="G95" s="12"/>
      <c r="H95" s="12"/>
      <c r="I95" s="12"/>
      <c r="J95" s="12"/>
      <c r="K95" s="9"/>
      <c r="L95" s="9"/>
      <c r="M95" s="9"/>
      <c r="N95" s="9"/>
      <c r="O95" s="9"/>
      <c r="P95" s="9"/>
    </row>
    <row r="96" spans="2:19" ht="16.5" thickBot="1">
      <c r="B96" s="6"/>
      <c r="C96" s="7"/>
      <c r="D96" s="7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2:11">
      <c r="B97" s="2" t="s">
        <v>114</v>
      </c>
    </row>
    <row r="98" spans="2:11"/>
    <row r="99" spans="2:11" ht="21" customHeight="1">
      <c r="C99" s="48">
        <v>1</v>
      </c>
      <c r="D99" s="49" t="s">
        <v>271</v>
      </c>
      <c r="E99" s="15" t="s">
        <v>264</v>
      </c>
      <c r="F99" s="14"/>
      <c r="G99" s="14"/>
      <c r="H99" s="14"/>
      <c r="I99" s="14"/>
      <c r="J99" s="14"/>
      <c r="K99" s="14"/>
    </row>
    <row r="100" spans="2:11">
      <c r="C100" s="48"/>
      <c r="D100" s="202" t="s">
        <v>37</v>
      </c>
      <c r="E100" s="203" t="s">
        <v>308</v>
      </c>
      <c r="F100" s="14"/>
      <c r="G100" s="14"/>
      <c r="H100" s="14"/>
      <c r="I100" s="14"/>
      <c r="J100" s="14"/>
      <c r="K100" s="14"/>
    </row>
    <row r="101" spans="2:11" ht="21" customHeight="1">
      <c r="C101" s="48"/>
      <c r="D101" s="202"/>
      <c r="E101" s="209" t="s">
        <v>307</v>
      </c>
      <c r="F101" s="14"/>
      <c r="G101" s="14"/>
      <c r="H101" s="14"/>
      <c r="I101" s="14"/>
      <c r="J101" s="14"/>
      <c r="K101" s="14"/>
    </row>
    <row r="102" spans="2:11">
      <c r="C102" s="48"/>
      <c r="D102" s="202" t="s">
        <v>272</v>
      </c>
      <c r="E102" s="203" t="s">
        <v>310</v>
      </c>
      <c r="F102" s="14"/>
      <c r="G102" s="14"/>
      <c r="H102" s="14"/>
      <c r="I102" s="14"/>
      <c r="J102" s="14"/>
      <c r="K102" s="14"/>
    </row>
    <row r="103" spans="2:11">
      <c r="C103" s="48"/>
      <c r="D103" s="202"/>
      <c r="E103" s="209" t="s">
        <v>309</v>
      </c>
      <c r="F103" s="14"/>
      <c r="G103" s="14"/>
      <c r="H103" s="14"/>
      <c r="I103" s="14"/>
      <c r="J103" s="14"/>
      <c r="K103" s="14"/>
    </row>
    <row r="104" spans="2:11">
      <c r="C104" s="48"/>
      <c r="D104" s="202"/>
      <c r="E104" s="209" t="s">
        <v>268</v>
      </c>
      <c r="F104" s="14"/>
      <c r="G104" s="14"/>
      <c r="H104" s="14"/>
      <c r="I104" s="14"/>
      <c r="J104" s="14"/>
      <c r="K104" s="14"/>
    </row>
    <row r="105" spans="2:11" ht="21" customHeight="1">
      <c r="C105" s="48"/>
      <c r="D105" s="202"/>
      <c r="E105" s="209" t="s">
        <v>267</v>
      </c>
      <c r="F105" s="14"/>
      <c r="G105" s="14"/>
      <c r="H105" s="14"/>
      <c r="I105" s="14"/>
      <c r="J105" s="14"/>
      <c r="K105" s="14"/>
    </row>
    <row r="106" spans="2:11">
      <c r="C106" s="48"/>
      <c r="D106" s="202" t="s">
        <v>39</v>
      </c>
      <c r="E106" s="203" t="s">
        <v>363</v>
      </c>
      <c r="F106" s="14"/>
      <c r="G106" s="14"/>
      <c r="H106" s="14"/>
      <c r="I106" s="14"/>
      <c r="J106" s="14"/>
      <c r="K106" s="14"/>
    </row>
    <row r="107" spans="2:11">
      <c r="C107" s="48"/>
      <c r="D107" s="202"/>
      <c r="E107" s="209" t="s">
        <v>311</v>
      </c>
      <c r="F107" s="14"/>
      <c r="G107" s="14"/>
      <c r="H107" s="14"/>
      <c r="I107" s="14"/>
      <c r="J107" s="14"/>
      <c r="K107" s="14"/>
    </row>
    <row r="108" spans="2:11" ht="21" customHeight="1">
      <c r="C108" s="48"/>
      <c r="D108" s="202"/>
      <c r="E108" s="209" t="s">
        <v>312</v>
      </c>
      <c r="F108" s="14"/>
      <c r="G108" s="14"/>
      <c r="H108" s="14"/>
      <c r="I108" s="14"/>
      <c r="J108" s="14"/>
      <c r="K108" s="14"/>
    </row>
    <row r="109" spans="2:11">
      <c r="C109" s="48"/>
      <c r="D109" s="202" t="s">
        <v>40</v>
      </c>
      <c r="E109" s="201" t="s">
        <v>273</v>
      </c>
      <c r="F109" s="14"/>
      <c r="G109" s="14"/>
      <c r="H109" s="14"/>
      <c r="I109" s="14"/>
      <c r="J109" s="14"/>
      <c r="K109" s="14"/>
    </row>
    <row r="110" spans="2:11">
      <c r="C110" s="48"/>
      <c r="D110" s="5"/>
      <c r="E110" s="52"/>
      <c r="F110" s="14"/>
      <c r="G110" s="14"/>
      <c r="H110" s="14"/>
      <c r="I110" s="14"/>
      <c r="J110" s="14"/>
      <c r="K110" s="14"/>
    </row>
    <row r="111" spans="2:11" ht="21" customHeight="1">
      <c r="C111" s="48">
        <v>2</v>
      </c>
      <c r="D111" s="202" t="s">
        <v>36</v>
      </c>
      <c r="E111" s="49" t="s">
        <v>161</v>
      </c>
      <c r="F111" s="14"/>
      <c r="G111" s="14"/>
      <c r="H111" s="14"/>
      <c r="I111" s="14"/>
      <c r="J111" s="14"/>
      <c r="K111" s="14"/>
    </row>
    <row r="112" spans="2:11">
      <c r="C112" s="48"/>
      <c r="D112" s="202" t="s">
        <v>37</v>
      </c>
      <c r="E112" s="5" t="s">
        <v>245</v>
      </c>
      <c r="F112" s="14"/>
      <c r="G112" s="14"/>
      <c r="H112" s="14"/>
      <c r="I112" s="14"/>
      <c r="J112" s="14"/>
      <c r="K112" s="14"/>
    </row>
    <row r="113" spans="2:19">
      <c r="C113" s="48"/>
      <c r="D113" s="5"/>
      <c r="E113" s="52"/>
      <c r="F113" s="14"/>
      <c r="G113" s="14"/>
      <c r="H113" s="14"/>
      <c r="I113" s="14"/>
      <c r="J113" s="14"/>
      <c r="K113" s="14"/>
    </row>
    <row r="114" spans="2:19">
      <c r="C114" s="48">
        <v>3</v>
      </c>
      <c r="D114" s="202" t="s">
        <v>36</v>
      </c>
      <c r="E114" s="15" t="s">
        <v>162</v>
      </c>
      <c r="F114" s="14"/>
      <c r="G114" s="14"/>
      <c r="H114" s="14"/>
      <c r="I114" s="14"/>
      <c r="J114" s="14"/>
      <c r="K114" s="14"/>
    </row>
    <row r="115" spans="2:19" ht="21" customHeight="1">
      <c r="C115" s="48"/>
      <c r="D115" s="202"/>
      <c r="E115" s="207" t="s">
        <v>265</v>
      </c>
      <c r="F115" s="14"/>
      <c r="G115" s="14"/>
      <c r="H115" s="14"/>
      <c r="I115" s="14"/>
      <c r="J115" s="14"/>
      <c r="K115" s="14"/>
    </row>
    <row r="116" spans="2:19" ht="17.25">
      <c r="C116" s="48"/>
      <c r="D116" s="202" t="s">
        <v>37</v>
      </c>
      <c r="E116" s="5" t="s">
        <v>163</v>
      </c>
      <c r="F116" s="14"/>
      <c r="G116" s="14"/>
      <c r="H116" s="14"/>
      <c r="I116" s="14"/>
      <c r="J116" s="14"/>
      <c r="K116" s="14"/>
    </row>
    <row r="117" spans="2:19" ht="17.25">
      <c r="C117" s="48"/>
      <c r="D117" s="4"/>
      <c r="E117" s="208" t="s">
        <v>164</v>
      </c>
      <c r="F117" s="14"/>
      <c r="G117" s="14"/>
      <c r="H117" s="14"/>
      <c r="I117" s="14"/>
      <c r="J117" s="14"/>
      <c r="K117" s="14"/>
    </row>
    <row r="118" spans="2:19" ht="21" customHeight="1">
      <c r="C118" s="48"/>
      <c r="D118" s="202" t="s">
        <v>272</v>
      </c>
      <c r="E118" s="5" t="s">
        <v>266</v>
      </c>
      <c r="F118" s="14"/>
      <c r="G118" s="14"/>
      <c r="H118" s="14"/>
      <c r="I118" s="14"/>
      <c r="J118" s="14"/>
      <c r="K118" s="14"/>
    </row>
    <row r="119" spans="2:19">
      <c r="C119" s="48"/>
      <c r="D119" s="202" t="s">
        <v>39</v>
      </c>
      <c r="E119" s="201" t="s">
        <v>274</v>
      </c>
      <c r="F119" s="14"/>
      <c r="G119" s="14"/>
      <c r="H119" s="14"/>
      <c r="I119" s="14"/>
      <c r="J119" s="14"/>
      <c r="K119" s="14"/>
    </row>
    <row r="120" spans="2:19">
      <c r="C120" s="48"/>
      <c r="D120" s="4"/>
      <c r="E120" s="209" t="s">
        <v>275</v>
      </c>
      <c r="F120" s="14"/>
      <c r="G120" s="14"/>
      <c r="H120" s="14"/>
      <c r="I120" s="14"/>
      <c r="J120" s="14"/>
      <c r="K120" s="14"/>
    </row>
    <row r="121" spans="2:19" ht="21" customHeight="1">
      <c r="C121" s="48"/>
      <c r="D121" s="4"/>
      <c r="E121" s="209" t="s">
        <v>276</v>
      </c>
      <c r="F121" s="14"/>
      <c r="G121" s="14"/>
      <c r="H121" s="14"/>
      <c r="I121" s="14"/>
      <c r="J121" s="14"/>
      <c r="K121" s="14"/>
    </row>
    <row r="122" spans="2:19">
      <c r="C122" s="74"/>
    </row>
    <row r="123" spans="2:19">
      <c r="C123" s="170" t="s">
        <v>348</v>
      </c>
      <c r="E123" s="171"/>
      <c r="F123" s="171"/>
    </row>
    <row r="124" spans="2:19">
      <c r="C124" s="172" t="s">
        <v>246</v>
      </c>
      <c r="E124" s="171"/>
      <c r="F124" s="171"/>
    </row>
    <row r="125" spans="2:19">
      <c r="C125" s="172" t="s">
        <v>165</v>
      </c>
      <c r="E125" s="171"/>
      <c r="F125" s="171"/>
    </row>
    <row r="126" spans="2:19">
      <c r="C126" s="172" t="s">
        <v>247</v>
      </c>
      <c r="E126" s="171"/>
      <c r="F126" s="171"/>
    </row>
    <row r="127" spans="2:19" ht="16.5" thickBot="1">
      <c r="B127" s="6"/>
      <c r="C127" s="7"/>
      <c r="D127" s="7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2:19">
      <c r="B128" s="237" t="s">
        <v>322</v>
      </c>
    </row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s="48" customFormat="1" ht="15" hidden="1"/>
    <row r="141" s="48" customFormat="1" ht="15" hidden="1"/>
    <row r="142" s="48" customFormat="1" ht="15" hidden="1"/>
    <row r="143" s="48" customFormat="1" ht="15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spans="3:4" hidden="1"/>
    <row r="162" spans="3:4" hidden="1"/>
    <row r="163" spans="3:4" hidden="1"/>
    <row r="164" spans="3:4"/>
    <row r="165" spans="3:4" ht="21" customHeight="1">
      <c r="C165" s="201">
        <v>1</v>
      </c>
      <c r="D165" s="201" t="s">
        <v>327</v>
      </c>
    </row>
    <row r="166" spans="3:4">
      <c r="C166" s="201">
        <v>2</v>
      </c>
      <c r="D166" s="201" t="s">
        <v>323</v>
      </c>
    </row>
    <row r="167" spans="3:4" ht="21" customHeight="1">
      <c r="D167" s="201" t="s">
        <v>328</v>
      </c>
    </row>
    <row r="168" spans="3:4">
      <c r="C168" s="201">
        <v>3</v>
      </c>
      <c r="D168" s="201" t="s">
        <v>325</v>
      </c>
    </row>
    <row r="169" spans="3:4" ht="21" customHeight="1">
      <c r="D169" s="201" t="s">
        <v>324</v>
      </c>
    </row>
    <row r="170" spans="3:4"/>
    <row r="171" spans="3:4"/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27"/>
  <sheetViews>
    <sheetView workbookViewId="0"/>
  </sheetViews>
  <sheetFormatPr defaultColWidth="0" defaultRowHeight="12.75" zeroHeight="1"/>
  <cols>
    <col min="1" max="1" width="2.5703125" style="228" customWidth="1"/>
    <col min="2" max="2" width="22.7109375" style="228" customWidth="1"/>
    <col min="3" max="3" width="43.7109375" style="228" bestFit="1" customWidth="1"/>
    <col min="4" max="4" width="4.28515625" style="228" customWidth="1"/>
    <col min="5" max="16384" width="9.140625" style="228" hidden="1"/>
  </cols>
  <sheetData>
    <row r="1" spans="2:5"/>
    <row r="2" spans="2:5">
      <c r="B2" s="227" t="s">
        <v>320</v>
      </c>
    </row>
    <row r="3" spans="2:5"/>
    <row r="4" spans="2:5" ht="19.5" customHeight="1">
      <c r="B4" s="229" t="s">
        <v>314</v>
      </c>
      <c r="C4" s="236" t="s">
        <v>24</v>
      </c>
    </row>
    <row r="5" spans="2:5"/>
    <row r="6" spans="2:5"/>
    <row r="7" spans="2:5">
      <c r="B7" s="230" t="s">
        <v>319</v>
      </c>
    </row>
    <row r="8" spans="2:5">
      <c r="B8" s="231"/>
      <c r="C8" s="232"/>
    </row>
    <row r="9" spans="2:5">
      <c r="B9" s="233" t="s">
        <v>315</v>
      </c>
      <c r="C9" s="232"/>
    </row>
    <row r="10" spans="2:5" ht="17.25" customHeight="1">
      <c r="B10" s="250" t="s">
        <v>316</v>
      </c>
      <c r="C10" s="252" t="s">
        <v>317</v>
      </c>
    </row>
    <row r="11" spans="2:5">
      <c r="B11" s="251"/>
      <c r="C11" s="251"/>
    </row>
    <row r="12" spans="2:5" ht="21" customHeight="1">
      <c r="B12" s="234" t="s">
        <v>24</v>
      </c>
      <c r="C12" s="235" t="s">
        <v>333</v>
      </c>
      <c r="E12" s="232"/>
    </row>
    <row r="13" spans="2:5" ht="21" customHeight="1">
      <c r="B13" s="234" t="s">
        <v>318</v>
      </c>
      <c r="C13" s="235" t="s">
        <v>334</v>
      </c>
      <c r="E13" s="232"/>
    </row>
    <row r="14" spans="2:5"/>
    <row r="15" spans="2:5">
      <c r="B15" s="232" t="s">
        <v>330</v>
      </c>
    </row>
    <row r="16" spans="2:5">
      <c r="B16" s="232" t="s">
        <v>331</v>
      </c>
    </row>
    <row r="17" spans="2:2">
      <c r="B17" s="232" t="s">
        <v>332</v>
      </c>
    </row>
    <row r="18" spans="2:2">
      <c r="B18" s="232" t="s">
        <v>335</v>
      </c>
    </row>
    <row r="19" spans="2:2"/>
    <row r="20" spans="2:2" hidden="1"/>
    <row r="21" spans="2:2" hidden="1"/>
    <row r="22" spans="2:2" hidden="1"/>
    <row r="23" spans="2:2" hidden="1"/>
    <row r="24" spans="2:2" hidden="1"/>
    <row r="25" spans="2:2" hidden="1"/>
    <row r="26" spans="2:2" hidden="1"/>
    <row r="27" spans="2:2" hidden="1"/>
  </sheetData>
  <mergeCells count="2">
    <mergeCell ref="B10:B11"/>
    <mergeCell ref="C10:C11"/>
  </mergeCells>
  <dataValidations count="1">
    <dataValidation type="list" allowBlank="1" showInputMessage="1" showErrorMessage="1" sqref="C4">
      <formula1>"Base, Credit Spread Widening"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P41"/>
  <sheetViews>
    <sheetView zoomScale="85" zoomScaleNormal="85" workbookViewId="0"/>
  </sheetViews>
  <sheetFormatPr defaultColWidth="0" defaultRowHeight="12.75"/>
  <cols>
    <col min="1" max="1" width="31.7109375" style="55" customWidth="1"/>
    <col min="2" max="2" width="18.5703125" style="55" customWidth="1"/>
    <col min="3" max="8" width="13.7109375" style="55" customWidth="1"/>
    <col min="9" max="32" width="12.7109375" style="55" customWidth="1"/>
    <col min="33" max="38" width="13.85546875" style="55" customWidth="1"/>
    <col min="39" max="39" width="16.5703125" style="59" customWidth="1"/>
    <col min="40" max="40" width="22.7109375" style="59" customWidth="1"/>
    <col min="41" max="41" width="6.42578125" style="55" bestFit="1" customWidth="1"/>
    <col min="42" max="42" width="16.5703125" style="55" customWidth="1"/>
    <col min="43" max="16384" width="9.140625" style="55" hidden="1"/>
  </cols>
  <sheetData>
    <row r="1" spans="1:40" ht="15.75">
      <c r="A1" s="69" t="str">
        <f>UPPER("Step 2: Select Products forming Matching Portfolio")</f>
        <v>STEP 2: SELECT PRODUCTS FORMING MATCHING PORTFOLIO</v>
      </c>
      <c r="E1" s="124" t="s">
        <v>278</v>
      </c>
    </row>
    <row r="3" spans="1:40" ht="15">
      <c r="A3" s="60" t="s">
        <v>74</v>
      </c>
      <c r="B3" s="253" t="e">
        <f>'Cover Page'!G7:P7</f>
        <v>#VALUE!</v>
      </c>
      <c r="C3" s="254"/>
      <c r="D3" s="254"/>
      <c r="E3" s="254"/>
      <c r="F3" s="254"/>
      <c r="G3" s="254"/>
      <c r="H3" s="254"/>
      <c r="I3" s="254"/>
      <c r="J3" s="255"/>
    </row>
    <row r="4" spans="1:40" ht="32.25" customHeight="1">
      <c r="A4" s="156" t="s">
        <v>136</v>
      </c>
      <c r="B4" s="265"/>
      <c r="C4" s="266"/>
      <c r="D4" s="266"/>
      <c r="E4" s="266"/>
      <c r="F4" s="266"/>
      <c r="G4" s="266"/>
      <c r="H4" s="266"/>
      <c r="I4" s="266"/>
      <c r="J4" s="267"/>
      <c r="K4" s="173" t="s">
        <v>137</v>
      </c>
    </row>
    <row r="5" spans="1:40">
      <c r="B5" s="120"/>
    </row>
    <row r="6" spans="1:40" ht="15">
      <c r="A6" s="54" t="s">
        <v>102</v>
      </c>
      <c r="B6" s="195" t="s">
        <v>24</v>
      </c>
      <c r="C6" s="61"/>
    </row>
    <row r="7" spans="1:40" ht="15">
      <c r="A7" s="54" t="s">
        <v>101</v>
      </c>
      <c r="B7" s="195" t="s">
        <v>166</v>
      </c>
      <c r="C7" s="61"/>
    </row>
    <row r="8" spans="1:40" ht="15">
      <c r="A8" s="56" t="s">
        <v>100</v>
      </c>
      <c r="B8" s="89" t="s">
        <v>179</v>
      </c>
      <c r="C8" s="61"/>
    </row>
    <row r="9" spans="1:40" ht="15">
      <c r="A9" s="118" t="s">
        <v>75</v>
      </c>
      <c r="B9" s="89" t="s">
        <v>70</v>
      </c>
      <c r="C9" s="61"/>
    </row>
    <row r="10" spans="1:40">
      <c r="A10" s="119" t="s">
        <v>76</v>
      </c>
      <c r="B10" s="89" t="s">
        <v>73</v>
      </c>
      <c r="C10" s="61"/>
    </row>
    <row r="11" spans="1:40" ht="15">
      <c r="A11" s="119" t="s">
        <v>167</v>
      </c>
      <c r="B11" s="89" t="s">
        <v>169</v>
      </c>
      <c r="C11" s="61"/>
      <c r="D11" s="57"/>
      <c r="E11" s="57"/>
      <c r="F11" s="57"/>
      <c r="G11" s="57"/>
      <c r="H11" s="56"/>
    </row>
    <row r="12" spans="1:40" ht="15">
      <c r="A12" s="57"/>
      <c r="B12" s="57"/>
      <c r="D12" s="57"/>
      <c r="E12" s="57"/>
      <c r="F12" s="57"/>
      <c r="G12" s="57"/>
      <c r="H12" s="56"/>
    </row>
    <row r="13" spans="1:40" ht="15" customHeight="1">
      <c r="A13" s="57"/>
      <c r="B13" s="57"/>
      <c r="C13" s="262" t="s">
        <v>80</v>
      </c>
      <c r="D13" s="263"/>
      <c r="E13" s="263"/>
      <c r="F13" s="263"/>
      <c r="G13" s="263"/>
      <c r="H13" s="264"/>
      <c r="I13" s="262" t="s">
        <v>64</v>
      </c>
      <c r="J13" s="263"/>
      <c r="K13" s="263"/>
      <c r="L13" s="264"/>
      <c r="M13" s="262" t="s">
        <v>63</v>
      </c>
      <c r="N13" s="263"/>
      <c r="O13" s="263"/>
      <c r="P13" s="264"/>
      <c r="Q13" s="275" t="s">
        <v>25</v>
      </c>
      <c r="R13" s="263"/>
      <c r="S13" s="263"/>
      <c r="T13" s="264"/>
      <c r="U13" s="275" t="s">
        <v>26</v>
      </c>
      <c r="V13" s="263"/>
      <c r="W13" s="263"/>
      <c r="X13" s="264"/>
      <c r="Y13" s="275" t="s">
        <v>27</v>
      </c>
      <c r="Z13" s="263"/>
      <c r="AA13" s="263"/>
      <c r="AB13" s="264"/>
      <c r="AC13" s="275" t="s">
        <v>28</v>
      </c>
      <c r="AD13" s="263"/>
      <c r="AE13" s="263"/>
      <c r="AF13" s="264"/>
      <c r="AG13" s="269" t="s">
        <v>229</v>
      </c>
      <c r="AH13" s="270"/>
      <c r="AI13" s="270"/>
      <c r="AJ13" s="270"/>
      <c r="AK13" s="270"/>
      <c r="AL13" s="261"/>
      <c r="AM13" s="268" t="s">
        <v>230</v>
      </c>
      <c r="AN13" s="268"/>
    </row>
    <row r="14" spans="1:40" ht="45">
      <c r="A14" s="57"/>
      <c r="B14" s="193" t="s">
        <v>68</v>
      </c>
      <c r="C14" s="190" t="s">
        <v>225</v>
      </c>
      <c r="D14" s="191" t="s">
        <v>226</v>
      </c>
      <c r="E14" s="186"/>
      <c r="F14" s="186"/>
      <c r="G14" s="186"/>
      <c r="H14" s="192" t="s">
        <v>223</v>
      </c>
      <c r="I14" s="185"/>
      <c r="J14" s="186"/>
      <c r="K14" s="186"/>
      <c r="L14" s="192" t="s">
        <v>223</v>
      </c>
      <c r="M14" s="185"/>
      <c r="N14" s="186"/>
      <c r="O14" s="186"/>
      <c r="P14" s="192" t="s">
        <v>223</v>
      </c>
      <c r="Q14" s="185"/>
      <c r="R14" s="186"/>
      <c r="S14" s="186"/>
      <c r="T14" s="192" t="s">
        <v>223</v>
      </c>
      <c r="U14" s="185"/>
      <c r="V14" s="186"/>
      <c r="W14" s="186"/>
      <c r="X14" s="192" t="s">
        <v>223</v>
      </c>
      <c r="Y14" s="185"/>
      <c r="Z14" s="186"/>
      <c r="AA14" s="186"/>
      <c r="AB14" s="192" t="s">
        <v>223</v>
      </c>
      <c r="AC14" s="185"/>
      <c r="AD14" s="186"/>
      <c r="AE14" s="186"/>
      <c r="AF14" s="192" t="s">
        <v>223</v>
      </c>
      <c r="AG14" s="114" t="s">
        <v>19</v>
      </c>
      <c r="AH14" s="114" t="s">
        <v>58</v>
      </c>
      <c r="AI14" s="114" t="s">
        <v>59</v>
      </c>
      <c r="AJ14" s="114" t="s">
        <v>21</v>
      </c>
      <c r="AK14" s="114" t="s">
        <v>20</v>
      </c>
      <c r="AL14" s="114" t="s">
        <v>60</v>
      </c>
      <c r="AM14" s="114" t="s">
        <v>228</v>
      </c>
      <c r="AN14" s="114" t="s">
        <v>227</v>
      </c>
    </row>
    <row r="15" spans="1:40" ht="15">
      <c r="A15" s="194" t="s">
        <v>65</v>
      </c>
      <c r="B15" s="145" t="str">
        <f>IF(AND(B11="Premium Paying",AN15&lt;=10%),"Pass",IF(AND(B11="Single_Paid Up",AN15&lt;=15%),"Pass","Fail"))</f>
        <v>Pass</v>
      </c>
      <c r="C15" s="110">
        <f>SUM(C23:C1048576)</f>
        <v>16000</v>
      </c>
      <c r="D15" s="111">
        <f>SUM(D23:D1048576)</f>
        <v>4000</v>
      </c>
      <c r="E15" s="111"/>
      <c r="F15" s="111"/>
      <c r="G15" s="111"/>
      <c r="H15" s="112">
        <f>SUM(H23:H1048576)</f>
        <v>10000</v>
      </c>
      <c r="I15" s="110"/>
      <c r="J15" s="111"/>
      <c r="K15" s="111"/>
      <c r="L15" s="112">
        <f>SUM(L23:L1048576)</f>
        <v>10500</v>
      </c>
      <c r="M15" s="110"/>
      <c r="N15" s="111"/>
      <c r="O15" s="111"/>
      <c r="P15" s="112">
        <f>SUM(P23:P1048576)</f>
        <v>10000</v>
      </c>
      <c r="Q15" s="110"/>
      <c r="R15" s="111"/>
      <c r="S15" s="111"/>
      <c r="T15" s="112">
        <f>SUM(T23:T1048576)</f>
        <v>10250</v>
      </c>
      <c r="U15" s="110"/>
      <c r="V15" s="111"/>
      <c r="W15" s="111"/>
      <c r="X15" s="112">
        <f>SUM(X23:X1048576)</f>
        <v>10500</v>
      </c>
      <c r="Y15" s="110"/>
      <c r="Z15" s="111"/>
      <c r="AA15" s="111"/>
      <c r="AB15" s="112">
        <f>SUM(AB23:AB1048576)</f>
        <v>10250</v>
      </c>
      <c r="AC15" s="110"/>
      <c r="AD15" s="111"/>
      <c r="AE15" s="111"/>
      <c r="AF15" s="112">
        <f>SUM(AF23:AF1048576)</f>
        <v>11000</v>
      </c>
      <c r="AG15" s="113">
        <f t="shared" ref="AG15:AL15" si="0">SUM(AG23:AG65538)</f>
        <v>500</v>
      </c>
      <c r="AH15" s="113">
        <f t="shared" si="0"/>
        <v>0</v>
      </c>
      <c r="AI15" s="113">
        <f t="shared" si="0"/>
        <v>250</v>
      </c>
      <c r="AJ15" s="113">
        <f t="shared" si="0"/>
        <v>500</v>
      </c>
      <c r="AK15" s="113">
        <f t="shared" si="0"/>
        <v>250</v>
      </c>
      <c r="AL15" s="113">
        <f t="shared" si="0"/>
        <v>1000</v>
      </c>
      <c r="AM15" s="115">
        <f>SQRT(SUMPRODUCT(AG15:AL15,MMULT(AG15:AL15,Corr_matrix!$D$5:$I$10)))</f>
        <v>1541.103500742244</v>
      </c>
      <c r="AN15" s="116">
        <f>AM15/(C15+D15)</f>
        <v>7.7055175037112206E-2</v>
      </c>
    </row>
    <row r="16" spans="1:40" ht="15">
      <c r="A16" s="57"/>
      <c r="B16" s="57"/>
      <c r="C16" s="57"/>
      <c r="D16" s="57"/>
      <c r="E16" s="57"/>
      <c r="F16" s="57"/>
      <c r="G16" s="57"/>
      <c r="H16" s="57"/>
      <c r="I16" s="62"/>
      <c r="J16" s="57"/>
      <c r="K16" s="57"/>
      <c r="L16" s="56"/>
      <c r="M16" s="56"/>
      <c r="N16" s="56"/>
      <c r="O16" s="56"/>
      <c r="P16" s="56"/>
    </row>
    <row r="17" spans="1:42" ht="15">
      <c r="A17" s="63" t="s">
        <v>22</v>
      </c>
      <c r="B17" s="63"/>
      <c r="C17" s="57"/>
      <c r="D17" s="57"/>
      <c r="E17" s="57"/>
      <c r="F17" s="57"/>
      <c r="G17" s="57"/>
      <c r="H17" s="57"/>
      <c r="AN17" s="64"/>
      <c r="AO17" s="65"/>
    </row>
    <row r="18" spans="1:42" ht="15">
      <c r="A18" s="66" t="s">
        <v>67</v>
      </c>
      <c r="B18" s="63"/>
      <c r="C18" s="57"/>
      <c r="D18" s="57"/>
      <c r="E18" s="57"/>
      <c r="F18" s="57"/>
      <c r="G18" s="57"/>
      <c r="H18" s="57"/>
      <c r="AN18" s="64"/>
      <c r="AO18" s="65"/>
    </row>
    <row r="19" spans="1:42" ht="15">
      <c r="A19" s="66" t="s">
        <v>66</v>
      </c>
      <c r="B19" s="63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AN19" s="64"/>
      <c r="AO19" s="65"/>
    </row>
    <row r="20" spans="1:42" ht="15" customHeight="1">
      <c r="A20" s="66" t="s">
        <v>23</v>
      </c>
      <c r="B20" s="66"/>
      <c r="C20" s="257" t="s">
        <v>134</v>
      </c>
      <c r="D20" s="258"/>
      <c r="E20" s="258"/>
      <c r="F20" s="258"/>
      <c r="G20" s="258"/>
      <c r="H20" s="259"/>
      <c r="I20" s="257" t="s">
        <v>64</v>
      </c>
      <c r="J20" s="258"/>
      <c r="K20" s="258"/>
      <c r="L20" s="259"/>
      <c r="M20" s="257" t="s">
        <v>63</v>
      </c>
      <c r="N20" s="258"/>
      <c r="O20" s="258"/>
      <c r="P20" s="259"/>
      <c r="Q20" s="260" t="s">
        <v>25</v>
      </c>
      <c r="R20" s="258"/>
      <c r="S20" s="258"/>
      <c r="T20" s="259"/>
      <c r="U20" s="260" t="s">
        <v>26</v>
      </c>
      <c r="V20" s="258"/>
      <c r="W20" s="258"/>
      <c r="X20" s="259"/>
      <c r="Y20" s="260" t="s">
        <v>27</v>
      </c>
      <c r="Z20" s="258"/>
      <c r="AA20" s="258"/>
      <c r="AB20" s="259"/>
      <c r="AC20" s="260" t="s">
        <v>28</v>
      </c>
      <c r="AD20" s="258"/>
      <c r="AE20" s="258"/>
      <c r="AF20" s="259"/>
      <c r="AG20" s="109"/>
      <c r="AH20" s="109"/>
      <c r="AI20" s="109"/>
      <c r="AJ20" s="109"/>
      <c r="AK20" s="109"/>
      <c r="AL20" s="109"/>
      <c r="AN20" s="64"/>
      <c r="AO20" s="65"/>
    </row>
    <row r="21" spans="1:42" ht="15" customHeight="1">
      <c r="A21" s="138" t="s">
        <v>29</v>
      </c>
      <c r="B21" s="139"/>
      <c r="C21" s="261" t="s">
        <v>81</v>
      </c>
      <c r="D21" s="256"/>
      <c r="E21" s="256"/>
      <c r="F21" s="256"/>
      <c r="G21" s="256"/>
      <c r="H21" s="256"/>
      <c r="I21" s="256" t="s">
        <v>30</v>
      </c>
      <c r="J21" s="256"/>
      <c r="K21" s="256"/>
      <c r="L21" s="256"/>
      <c r="M21" s="256" t="s">
        <v>30</v>
      </c>
      <c r="N21" s="256"/>
      <c r="O21" s="256"/>
      <c r="P21" s="256"/>
      <c r="Q21" s="256" t="s">
        <v>30</v>
      </c>
      <c r="R21" s="256"/>
      <c r="S21" s="256"/>
      <c r="T21" s="256"/>
      <c r="U21" s="256" t="s">
        <v>30</v>
      </c>
      <c r="V21" s="256"/>
      <c r="W21" s="256"/>
      <c r="X21" s="256"/>
      <c r="Y21" s="256" t="s">
        <v>30</v>
      </c>
      <c r="Z21" s="256"/>
      <c r="AA21" s="256"/>
      <c r="AB21" s="256"/>
      <c r="AC21" s="256" t="s">
        <v>30</v>
      </c>
      <c r="AD21" s="256"/>
      <c r="AE21" s="256"/>
      <c r="AF21" s="256"/>
      <c r="AG21" s="269" t="s">
        <v>229</v>
      </c>
      <c r="AH21" s="270"/>
      <c r="AI21" s="270"/>
      <c r="AJ21" s="270"/>
      <c r="AK21" s="270"/>
      <c r="AL21" s="261"/>
      <c r="AN21" s="64"/>
      <c r="AO21" s="65"/>
    </row>
    <row r="22" spans="1:42" s="68" customFormat="1" ht="30">
      <c r="A22" s="138" t="s">
        <v>31</v>
      </c>
      <c r="B22" s="139"/>
      <c r="C22" s="137" t="s">
        <v>32</v>
      </c>
      <c r="D22" s="67" t="s">
        <v>33</v>
      </c>
      <c r="E22" s="67" t="s">
        <v>34</v>
      </c>
      <c r="F22" s="67" t="s">
        <v>61</v>
      </c>
      <c r="G22" s="67" t="s">
        <v>62</v>
      </c>
      <c r="H22" s="67" t="s">
        <v>223</v>
      </c>
      <c r="I22" s="67" t="s">
        <v>32</v>
      </c>
      <c r="J22" s="67" t="s">
        <v>33</v>
      </c>
      <c r="K22" s="67" t="s">
        <v>34</v>
      </c>
      <c r="L22" s="67" t="s">
        <v>224</v>
      </c>
      <c r="M22" s="67" t="s">
        <v>32</v>
      </c>
      <c r="N22" s="67" t="s">
        <v>33</v>
      </c>
      <c r="O22" s="67" t="s">
        <v>34</v>
      </c>
      <c r="P22" s="187" t="s">
        <v>224</v>
      </c>
      <c r="Q22" s="67" t="s">
        <v>32</v>
      </c>
      <c r="R22" s="67" t="s">
        <v>33</v>
      </c>
      <c r="S22" s="67" t="s">
        <v>34</v>
      </c>
      <c r="T22" s="187" t="s">
        <v>224</v>
      </c>
      <c r="U22" s="67" t="s">
        <v>32</v>
      </c>
      <c r="V22" s="67" t="s">
        <v>33</v>
      </c>
      <c r="W22" s="67" t="s">
        <v>34</v>
      </c>
      <c r="X22" s="187" t="s">
        <v>224</v>
      </c>
      <c r="Y22" s="67" t="s">
        <v>32</v>
      </c>
      <c r="Z22" s="67" t="s">
        <v>33</v>
      </c>
      <c r="AA22" s="67" t="s">
        <v>34</v>
      </c>
      <c r="AB22" s="187" t="s">
        <v>224</v>
      </c>
      <c r="AC22" s="67" t="s">
        <v>32</v>
      </c>
      <c r="AD22" s="67" t="s">
        <v>33</v>
      </c>
      <c r="AE22" s="67" t="s">
        <v>34</v>
      </c>
      <c r="AF22" s="187" t="s">
        <v>224</v>
      </c>
      <c r="AG22" s="99" t="s">
        <v>19</v>
      </c>
      <c r="AH22" s="99" t="s">
        <v>58</v>
      </c>
      <c r="AI22" s="99" t="s">
        <v>59</v>
      </c>
      <c r="AJ22" s="99" t="s">
        <v>21</v>
      </c>
      <c r="AK22" s="99" t="s">
        <v>20</v>
      </c>
      <c r="AL22" s="99" t="s">
        <v>60</v>
      </c>
      <c r="AM22" s="59"/>
      <c r="AN22" s="64"/>
      <c r="AO22" s="65"/>
      <c r="AP22" s="55"/>
    </row>
    <row r="23" spans="1:42" ht="15">
      <c r="A23" s="273" t="s">
        <v>35</v>
      </c>
      <c r="B23" s="274"/>
      <c r="C23" s="146">
        <v>16000</v>
      </c>
      <c r="D23" s="147">
        <v>4000</v>
      </c>
      <c r="E23" s="147">
        <v>-10000</v>
      </c>
      <c r="F23" s="147"/>
      <c r="G23" s="147"/>
      <c r="H23" s="148">
        <f>C23+D23+E23</f>
        <v>10000</v>
      </c>
      <c r="I23" s="147">
        <v>17000</v>
      </c>
      <c r="J23" s="147">
        <v>3000</v>
      </c>
      <c r="K23" s="147">
        <v>-9500</v>
      </c>
      <c r="L23" s="148">
        <f>I23+J23+K23</f>
        <v>10500</v>
      </c>
      <c r="M23" s="146">
        <v>16000</v>
      </c>
      <c r="N23" s="147">
        <v>4000</v>
      </c>
      <c r="O23" s="147">
        <v>-10000</v>
      </c>
      <c r="P23" s="148">
        <f>M23+N23+O23</f>
        <v>10000</v>
      </c>
      <c r="Q23" s="147">
        <v>16750</v>
      </c>
      <c r="R23" s="147">
        <v>3000</v>
      </c>
      <c r="S23" s="147">
        <v>-9500</v>
      </c>
      <c r="T23" s="148">
        <f>Q23+R23+S23</f>
        <v>10250</v>
      </c>
      <c r="U23" s="147">
        <v>17000</v>
      </c>
      <c r="V23" s="147">
        <v>3000</v>
      </c>
      <c r="W23" s="147">
        <v>-9500</v>
      </c>
      <c r="X23" s="148">
        <f>U23+V23+W23</f>
        <v>10500</v>
      </c>
      <c r="Y23" s="147">
        <v>16750</v>
      </c>
      <c r="Z23" s="147">
        <v>3000</v>
      </c>
      <c r="AA23" s="147">
        <v>-9500</v>
      </c>
      <c r="AB23" s="148">
        <f>Y23+Z23+AA23</f>
        <v>10250</v>
      </c>
      <c r="AC23" s="147">
        <v>17500</v>
      </c>
      <c r="AD23" s="147">
        <v>2500</v>
      </c>
      <c r="AE23" s="147">
        <v>-9000</v>
      </c>
      <c r="AF23" s="148">
        <f>AC23+AD23+AE23</f>
        <v>11000</v>
      </c>
      <c r="AG23" s="148">
        <f>MAX(L23-$H23,0)</f>
        <v>500</v>
      </c>
      <c r="AH23" s="148">
        <f>MAX(P23-$H23,0)</f>
        <v>0</v>
      </c>
      <c r="AI23" s="148">
        <f>MAX(T23-$H23,0)</f>
        <v>250</v>
      </c>
      <c r="AJ23" s="148">
        <f>MAX(X23-$H23,0)</f>
        <v>500</v>
      </c>
      <c r="AK23" s="148">
        <f>MAX(AB23-$H23,0)</f>
        <v>250</v>
      </c>
      <c r="AL23" s="148">
        <f>MAX(AF23-$H23,0)</f>
        <v>1000</v>
      </c>
      <c r="AN23" s="64"/>
      <c r="AO23" s="65"/>
    </row>
    <row r="24" spans="1:42" ht="15">
      <c r="A24" s="273" t="s">
        <v>103</v>
      </c>
      <c r="B24" s="274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N24" s="64"/>
      <c r="AO24" s="65"/>
    </row>
    <row r="25" spans="1:42" ht="15">
      <c r="A25" s="273" t="s">
        <v>104</v>
      </c>
      <c r="B25" s="274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N25" s="64"/>
      <c r="AO25" s="65"/>
    </row>
    <row r="26" spans="1:42" ht="15">
      <c r="A26" s="273" t="s">
        <v>105</v>
      </c>
      <c r="B26" s="274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N26" s="64"/>
      <c r="AO26" s="65"/>
    </row>
    <row r="27" spans="1:42" ht="15">
      <c r="A27" s="273" t="s">
        <v>106</v>
      </c>
      <c r="B27" s="274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N27" s="64"/>
      <c r="AO27" s="65"/>
    </row>
    <row r="28" spans="1:42" ht="15">
      <c r="A28" s="142" t="s">
        <v>128</v>
      </c>
      <c r="B28" s="143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N28" s="64"/>
      <c r="AO28" s="65"/>
    </row>
    <row r="29" spans="1:42" ht="15">
      <c r="A29" s="271" t="s">
        <v>128</v>
      </c>
      <c r="B29" s="272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N29" s="64"/>
      <c r="AO29" s="65"/>
    </row>
    <row r="30" spans="1:42" ht="15">
      <c r="AN30" s="64"/>
      <c r="AO30" s="65"/>
    </row>
    <row r="31" spans="1:42" ht="15">
      <c r="A31" s="54"/>
      <c r="B31" s="54"/>
    </row>
    <row r="32" spans="1:42" ht="15">
      <c r="A32" s="54"/>
      <c r="B32" s="54"/>
    </row>
    <row r="33" spans="1:40" ht="15">
      <c r="A33" s="54"/>
      <c r="B33" s="54"/>
    </row>
    <row r="34" spans="1:40" ht="15">
      <c r="A34" s="54"/>
      <c r="B34" s="54"/>
    </row>
    <row r="35" spans="1:40" ht="15">
      <c r="A35" s="54"/>
      <c r="B35" s="54"/>
    </row>
    <row r="36" spans="1:40" ht="15">
      <c r="A36" s="54"/>
      <c r="B36" s="54"/>
    </row>
    <row r="37" spans="1:40" ht="15">
      <c r="A37" s="54"/>
      <c r="B37" s="54"/>
      <c r="AM37" s="55"/>
      <c r="AN37" s="55"/>
    </row>
    <row r="38" spans="1:40" ht="15">
      <c r="A38" s="54"/>
      <c r="B38" s="54"/>
      <c r="AM38" s="55"/>
      <c r="AN38" s="55"/>
    </row>
    <row r="39" spans="1:40" ht="15">
      <c r="A39" s="54"/>
      <c r="B39" s="54"/>
      <c r="AM39" s="55"/>
      <c r="AN39" s="55"/>
    </row>
    <row r="40" spans="1:40" ht="15">
      <c r="A40" s="54"/>
      <c r="B40" s="54"/>
    </row>
    <row r="41" spans="1:40" ht="15">
      <c r="A41" s="54"/>
      <c r="B41" s="54"/>
    </row>
  </sheetData>
  <dataConsolidate/>
  <mergeCells count="32">
    <mergeCell ref="AM13:AN13"/>
    <mergeCell ref="AG21:AL21"/>
    <mergeCell ref="Y20:AB20"/>
    <mergeCell ref="AC20:AF20"/>
    <mergeCell ref="A29:B29"/>
    <mergeCell ref="A27:B27"/>
    <mergeCell ref="A23:B23"/>
    <mergeCell ref="A24:B24"/>
    <mergeCell ref="A25:B25"/>
    <mergeCell ref="A26:B26"/>
    <mergeCell ref="I13:L13"/>
    <mergeCell ref="Q13:T13"/>
    <mergeCell ref="U13:X13"/>
    <mergeCell ref="Y13:AB13"/>
    <mergeCell ref="AC13:AF13"/>
    <mergeCell ref="AG13:AL13"/>
    <mergeCell ref="B3:J3"/>
    <mergeCell ref="AC21:AF21"/>
    <mergeCell ref="C20:H20"/>
    <mergeCell ref="I20:L20"/>
    <mergeCell ref="M20:P20"/>
    <mergeCell ref="Q20:T20"/>
    <mergeCell ref="U20:X20"/>
    <mergeCell ref="C21:H21"/>
    <mergeCell ref="I21:L21"/>
    <mergeCell ref="M21:P21"/>
    <mergeCell ref="Q21:T21"/>
    <mergeCell ref="U21:X21"/>
    <mergeCell ref="Y21:AB21"/>
    <mergeCell ref="M13:P13"/>
    <mergeCell ref="B4:J4"/>
    <mergeCell ref="C13:H13"/>
  </mergeCells>
  <conditionalFormatting sqref="B15">
    <cfRule type="cellIs" dxfId="6" priority="1" operator="equal">
      <formula>"Fail"</formula>
    </cfRule>
  </conditionalFormatting>
  <dataValidations count="2">
    <dataValidation type="list" allowBlank="1" showInputMessage="1" showErrorMessage="1" sqref="B9">
      <formula1>SIF_OIF</formula1>
    </dataValidation>
    <dataValidation type="list" allowBlank="1" showInputMessage="1" showErrorMessage="1" sqref="B10">
      <formula1>Fund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Lists!$A$4:$A$5</xm:f>
          </x14:formula1>
          <xm:sqref>B11</xm:sqref>
        </x14:dataValidation>
        <x14:dataValidation type="list" allowBlank="1" showInputMessage="1" showErrorMessage="1">
          <x14:formula1>
            <xm:f>Lists!$D$4:$D$6</xm:f>
          </x14:formula1>
          <xm:sqref>B8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tabColor theme="7"/>
    <pageSetUpPr fitToPage="1"/>
  </sheetPr>
  <dimension ref="A1:AV153"/>
  <sheetViews>
    <sheetView showGridLines="0" zoomScaleNormal="100" workbookViewId="0"/>
  </sheetViews>
  <sheetFormatPr defaultColWidth="11.42578125" defaultRowHeight="12.75"/>
  <cols>
    <col min="1" max="1" width="3.42578125" style="4" customWidth="1"/>
    <col min="2" max="7" width="12.7109375" style="4" customWidth="1"/>
    <col min="8" max="8" width="28.7109375" style="4" customWidth="1"/>
    <col min="9" max="9" width="4.5703125" style="4" customWidth="1"/>
    <col min="10" max="10" width="10.5703125" style="71" customWidth="1"/>
    <col min="11" max="12" width="15.5703125" style="4" customWidth="1"/>
    <col min="13" max="13" width="18" style="4" customWidth="1"/>
    <col min="14" max="14" width="15.5703125" style="4" customWidth="1"/>
    <col min="15" max="17" width="18" style="4" customWidth="1"/>
    <col min="18" max="18" width="3.85546875" style="4" customWidth="1"/>
    <col min="19" max="24" width="15.5703125" style="4" customWidth="1"/>
    <col min="25" max="25" width="3.85546875" style="4" customWidth="1"/>
    <col min="26" max="27" width="15.5703125" style="4" customWidth="1"/>
    <col min="28" max="28" width="3.85546875" style="4" customWidth="1"/>
    <col min="29" max="30" width="15.5703125" style="4" customWidth="1"/>
    <col min="31" max="31" width="21" style="4" customWidth="1"/>
    <col min="32" max="32" width="4.28515625" style="71" customWidth="1"/>
    <col min="33" max="35" width="11.42578125" style="4"/>
    <col min="36" max="36" width="12" style="4" customWidth="1"/>
    <col min="37" max="37" width="3.28515625" style="4" customWidth="1"/>
    <col min="38" max="40" width="7.7109375" style="4" customWidth="1"/>
    <col min="41" max="41" width="4.42578125" style="4" customWidth="1"/>
    <col min="42" max="42" width="3.140625" style="4" customWidth="1"/>
    <col min="43" max="43" width="5" style="4" customWidth="1"/>
    <col min="44" max="45" width="15.85546875" style="4" customWidth="1"/>
    <col min="46" max="46" width="11.42578125" style="4"/>
    <col min="47" max="48" width="13" style="4" customWidth="1"/>
    <col min="49" max="16384" width="11.42578125" style="4"/>
  </cols>
  <sheetData>
    <row r="1" spans="1:48" ht="15.75">
      <c r="A1" s="69" t="str">
        <f>UPPER("Steps 3, 4 and 5: Identify the Eligible Assets, Meet the Cash Flow Matching Requirements and")</f>
        <v>STEPS 3, 4 AND 5: IDENTIFY THE ELIGIBLE ASSETS, MEET THE CASH FLOW MATCHING REQUIREMENTS AND</v>
      </c>
      <c r="J1" s="205" t="s">
        <v>108</v>
      </c>
      <c r="K1" s="140">
        <f>IRR(K6:K126,5%)</f>
        <v>3.1277342424905097E-2</v>
      </c>
      <c r="L1" s="140"/>
      <c r="M1" s="140"/>
      <c r="N1" s="140">
        <f>IRR(N6:N126,5%)</f>
        <v>3.4305119067825407E-2</v>
      </c>
      <c r="O1" s="140"/>
      <c r="P1" s="140">
        <f>IRR(P6:P126,5%)</f>
        <v>2.7372075023383458E-2</v>
      </c>
      <c r="Q1" s="140">
        <f>IRR(Q6:Q126,5%)</f>
        <v>2.7317417917200881E-2</v>
      </c>
      <c r="R1" s="140"/>
      <c r="S1" s="140">
        <f>IRR(S6:S126,5%)</f>
        <v>5.3750484159516221E-2</v>
      </c>
      <c r="T1" s="140">
        <f>IRR(T6:T126,5%)</f>
        <v>5.3566667233203802E-2</v>
      </c>
      <c r="U1" s="140"/>
      <c r="V1" s="140"/>
      <c r="W1" s="140">
        <f>IRR(W6:W126,5%)</f>
        <v>5.3474579284746637E-2</v>
      </c>
      <c r="X1" s="140"/>
      <c r="Y1" s="140"/>
      <c r="Z1" s="24"/>
      <c r="AA1" s="22"/>
      <c r="AB1" s="140"/>
      <c r="AC1" s="22"/>
      <c r="AD1" s="22"/>
      <c r="AG1" s="4" t="s">
        <v>191</v>
      </c>
      <c r="AP1" s="180" t="s">
        <v>180</v>
      </c>
    </row>
    <row r="2" spans="1:48" ht="15.75">
      <c r="A2" s="69" t="str">
        <f>UPPER("Calculate the Matching Adjustment")</f>
        <v>CALCULATE THE MATCHING ADJUSTMENT</v>
      </c>
      <c r="E2" s="124" t="s">
        <v>278</v>
      </c>
      <c r="J2" s="205" t="s">
        <v>107</v>
      </c>
      <c r="K2" s="22">
        <f>SUM(K7:K126)</f>
        <v>21635</v>
      </c>
      <c r="L2" s="22">
        <f>SUM(L7:L126)</f>
        <v>-9200</v>
      </c>
      <c r="M2" s="22">
        <f>SUM(M7:M126)</f>
        <v>-12144</v>
      </c>
      <c r="N2" s="22">
        <f>SUM(N7:N126)</f>
        <v>18691</v>
      </c>
      <c r="O2" s="22"/>
      <c r="P2" s="140"/>
      <c r="Q2" s="140"/>
      <c r="R2" s="140"/>
      <c r="S2" s="22">
        <f>SUM(S7:S126)</f>
        <v>18620</v>
      </c>
      <c r="T2" s="22">
        <f>SUM(T7:T126)</f>
        <v>18600.400000000001</v>
      </c>
      <c r="U2" s="22">
        <f>SUM(U7:U126)</f>
        <v>20</v>
      </c>
      <c r="V2" s="22">
        <f>SUM(V7:V126)</f>
        <v>20</v>
      </c>
      <c r="W2" s="22">
        <f>SUM(W7:W126)</f>
        <v>18600.400000000001</v>
      </c>
      <c r="X2" s="22"/>
      <c r="Y2" s="140"/>
      <c r="Z2" s="24"/>
      <c r="AA2" s="24"/>
      <c r="AB2" s="140"/>
      <c r="AC2" s="24"/>
      <c r="AJ2" s="178">
        <f>G8/SUM(G8,G9)</f>
        <v>0.5</v>
      </c>
      <c r="AL2" s="4">
        <f>SUM(AL7:AL126)</f>
        <v>0</v>
      </c>
      <c r="AM2" s="4">
        <f>SUM(AM7:AM126)</f>
        <v>0</v>
      </c>
      <c r="AN2" s="4">
        <f>SUM(AN7:AN126)</f>
        <v>0</v>
      </c>
      <c r="AP2" s="180" t="s">
        <v>180</v>
      </c>
    </row>
    <row r="3" spans="1:48" ht="15.75">
      <c r="A3" s="144"/>
      <c r="E3" s="16"/>
      <c r="J3" s="206" t="s">
        <v>0</v>
      </c>
      <c r="K3" s="73" t="s">
        <v>122</v>
      </c>
      <c r="L3" s="73" t="s">
        <v>122</v>
      </c>
      <c r="M3" s="73" t="s">
        <v>122</v>
      </c>
      <c r="N3" s="73" t="s">
        <v>122</v>
      </c>
      <c r="O3" s="73" t="s">
        <v>122</v>
      </c>
      <c r="P3" s="73" t="s">
        <v>122</v>
      </c>
      <c r="Q3" s="73" t="s">
        <v>122</v>
      </c>
      <c r="R3" s="140"/>
      <c r="S3" s="73" t="s">
        <v>124</v>
      </c>
      <c r="T3" s="73" t="s">
        <v>124</v>
      </c>
      <c r="U3" s="73" t="s">
        <v>124</v>
      </c>
      <c r="V3" s="73" t="s">
        <v>124</v>
      </c>
      <c r="W3" s="73" t="s">
        <v>124</v>
      </c>
      <c r="X3" s="73" t="s">
        <v>124</v>
      </c>
      <c r="Y3" s="140"/>
      <c r="Z3" s="72" t="s">
        <v>125</v>
      </c>
      <c r="AA3" s="72" t="s">
        <v>125</v>
      </c>
      <c r="AB3" s="140"/>
      <c r="AC3" s="72" t="s">
        <v>149</v>
      </c>
      <c r="AD3" s="72" t="s">
        <v>126</v>
      </c>
      <c r="AG3" s="72" t="s">
        <v>151</v>
      </c>
      <c r="AH3" s="72" t="s">
        <v>151</v>
      </c>
      <c r="AI3" s="72" t="s">
        <v>151</v>
      </c>
      <c r="AJ3" s="72" t="s">
        <v>151</v>
      </c>
      <c r="AL3" s="72" t="s">
        <v>156</v>
      </c>
      <c r="AM3" s="72" t="s">
        <v>156</v>
      </c>
      <c r="AN3" s="72" t="s">
        <v>156</v>
      </c>
      <c r="AP3" s="180" t="s">
        <v>180</v>
      </c>
      <c r="AR3" s="72" t="s">
        <v>252</v>
      </c>
      <c r="AS3" s="72" t="s">
        <v>252</v>
      </c>
      <c r="AU3" s="72" t="s">
        <v>258</v>
      </c>
      <c r="AV3" s="72" t="s">
        <v>260</v>
      </c>
    </row>
    <row r="4" spans="1:48" ht="25.5">
      <c r="A4" s="144"/>
      <c r="B4" s="174" t="s">
        <v>77</v>
      </c>
      <c r="C4" s="175" t="str">
        <f>'Predictability Test'!B6</f>
        <v>Base</v>
      </c>
      <c r="D4" s="176" t="s">
        <v>91</v>
      </c>
      <c r="E4" s="175" t="str">
        <f>'Predictability Test'!B9</f>
        <v>SIF</v>
      </c>
      <c r="F4" s="177" t="s">
        <v>79</v>
      </c>
      <c r="G4" s="175" t="str">
        <f>'Predictability Test'!B8</f>
        <v>SGD and USD</v>
      </c>
      <c r="J4" s="206"/>
      <c r="K4" s="73" t="s">
        <v>121</v>
      </c>
      <c r="L4" s="73" t="s">
        <v>183</v>
      </c>
      <c r="M4" s="73" t="s">
        <v>186</v>
      </c>
      <c r="N4" s="73" t="s">
        <v>123</v>
      </c>
      <c r="O4" s="73" t="s">
        <v>155</v>
      </c>
      <c r="P4" s="73" t="s">
        <v>123</v>
      </c>
      <c r="Q4" s="73" t="s">
        <v>123</v>
      </c>
      <c r="R4" s="140"/>
      <c r="S4" s="73" t="s">
        <v>121</v>
      </c>
      <c r="T4" s="73" t="s">
        <v>141</v>
      </c>
      <c r="U4" s="73" t="s">
        <v>183</v>
      </c>
      <c r="V4" s="73" t="s">
        <v>186</v>
      </c>
      <c r="W4" s="165" t="s">
        <v>147</v>
      </c>
      <c r="X4" s="73" t="s">
        <v>155</v>
      </c>
      <c r="Y4" s="140"/>
      <c r="Z4" s="73" t="s">
        <v>123</v>
      </c>
      <c r="AA4" s="73" t="s">
        <v>193</v>
      </c>
      <c r="AB4" s="140"/>
      <c r="AC4" s="73"/>
      <c r="AD4" s="72" t="s">
        <v>127</v>
      </c>
      <c r="AG4" s="72" t="s">
        <v>152</v>
      </c>
      <c r="AH4" s="72" t="s">
        <v>152</v>
      </c>
      <c r="AI4" s="72" t="s">
        <v>152</v>
      </c>
      <c r="AJ4" s="72" t="s">
        <v>152</v>
      </c>
      <c r="AL4" s="72" t="s">
        <v>157</v>
      </c>
      <c r="AM4" s="72" t="s">
        <v>157</v>
      </c>
      <c r="AN4" s="72" t="s">
        <v>157</v>
      </c>
      <c r="AP4" s="180" t="s">
        <v>180</v>
      </c>
      <c r="AR4" s="72" t="s">
        <v>254</v>
      </c>
      <c r="AS4" s="72" t="s">
        <v>253</v>
      </c>
      <c r="AU4" s="72" t="s">
        <v>259</v>
      </c>
      <c r="AV4" s="72" t="s">
        <v>259</v>
      </c>
    </row>
    <row r="5" spans="1:48" ht="15.75">
      <c r="A5" s="144"/>
      <c r="B5" s="121" t="s">
        <v>78</v>
      </c>
      <c r="C5" s="122" t="str">
        <f>'Predictability Test'!B7</f>
        <v>All</v>
      </c>
      <c r="D5" s="176" t="s">
        <v>92</v>
      </c>
      <c r="E5" s="122" t="str">
        <f>'Predictability Test'!B10</f>
        <v>Par</v>
      </c>
      <c r="F5" s="177" t="s">
        <v>177</v>
      </c>
      <c r="G5" s="175">
        <f>IF(G4="SGD",20,IF(G4="USD",30,30))</f>
        <v>30</v>
      </c>
      <c r="J5" s="206"/>
      <c r="K5" s="73" t="s">
        <v>118</v>
      </c>
      <c r="L5" s="73" t="s">
        <v>184</v>
      </c>
      <c r="M5" s="73" t="s">
        <v>185</v>
      </c>
      <c r="N5" s="73" t="s">
        <v>117</v>
      </c>
      <c r="O5" s="73" t="s">
        <v>154</v>
      </c>
      <c r="P5" s="73" t="s">
        <v>117</v>
      </c>
      <c r="Q5" s="73" t="s">
        <v>257</v>
      </c>
      <c r="R5" s="140"/>
      <c r="S5" s="73" t="s">
        <v>119</v>
      </c>
      <c r="T5" s="73" t="s">
        <v>142</v>
      </c>
      <c r="U5" s="73" t="s">
        <v>188</v>
      </c>
      <c r="V5" s="73" t="s">
        <v>187</v>
      </c>
      <c r="W5" s="73" t="s">
        <v>120</v>
      </c>
      <c r="X5" s="73" t="s">
        <v>153</v>
      </c>
      <c r="Y5" s="140"/>
      <c r="Z5" s="72" t="s">
        <v>192</v>
      </c>
      <c r="AA5" s="72" t="s">
        <v>194</v>
      </c>
      <c r="AB5" s="140"/>
      <c r="AC5" s="72" t="s">
        <v>150</v>
      </c>
      <c r="AD5" s="72"/>
      <c r="AG5" s="72" t="str">
        <f>G4</f>
        <v>SGD and USD</v>
      </c>
      <c r="AH5" s="72" t="s">
        <v>175</v>
      </c>
      <c r="AI5" s="72" t="s">
        <v>176</v>
      </c>
      <c r="AJ5" s="72" t="s">
        <v>179</v>
      </c>
      <c r="AL5" s="72"/>
      <c r="AM5" s="72"/>
      <c r="AN5" s="72"/>
      <c r="AP5" s="180" t="s">
        <v>180</v>
      </c>
      <c r="AR5" s="72" t="s">
        <v>261</v>
      </c>
      <c r="AS5" s="72" t="s">
        <v>262</v>
      </c>
      <c r="AU5" s="72"/>
      <c r="AV5" s="72"/>
    </row>
    <row r="6" spans="1:48" ht="15">
      <c r="A6" s="54"/>
      <c r="B6" s="17"/>
      <c r="C6" s="17"/>
      <c r="D6" s="17"/>
      <c r="E6" s="18"/>
      <c r="F6" s="18"/>
      <c r="G6" s="19" t="s">
        <v>8</v>
      </c>
      <c r="J6" s="71" t="s">
        <v>18</v>
      </c>
      <c r="K6" s="168">
        <f>-G24</f>
        <v>-10000</v>
      </c>
      <c r="L6" s="168"/>
      <c r="M6" s="168"/>
      <c r="N6" s="168">
        <f>-G24</f>
        <v>-10000</v>
      </c>
      <c r="O6" s="168"/>
      <c r="P6" s="168">
        <f>-SUMPRODUCT(P7:P126,AV7:AV126)</f>
        <v>-11203.538353767944</v>
      </c>
      <c r="Q6" s="168">
        <f>-SUMPRODUCT(Q7:Q126,AV7:AV126)</f>
        <v>-11167.783264118138</v>
      </c>
      <c r="R6" s="140"/>
      <c r="S6" s="168">
        <f>-SUM(G8:G9)</f>
        <v>-9000</v>
      </c>
      <c r="T6" s="168">
        <f>S6</f>
        <v>-9000</v>
      </c>
      <c r="U6" s="155"/>
      <c r="V6" s="155"/>
      <c r="W6" s="168">
        <f>-SUM(G8:G9)</f>
        <v>-9000</v>
      </c>
      <c r="X6" s="155"/>
      <c r="Y6" s="140"/>
      <c r="Z6" s="155"/>
      <c r="AA6" s="155">
        <f>G10</f>
        <v>50</v>
      </c>
      <c r="AB6" s="140"/>
      <c r="AC6" s="155"/>
      <c r="AD6" s="28"/>
      <c r="AP6" s="180" t="s">
        <v>180</v>
      </c>
    </row>
    <row r="7" spans="1:48">
      <c r="A7" s="121"/>
      <c r="B7" s="20" t="s">
        <v>112</v>
      </c>
      <c r="C7" s="9"/>
      <c r="D7" s="9"/>
      <c r="E7" s="128"/>
      <c r="F7" s="128"/>
      <c r="G7" s="129"/>
      <c r="J7" s="71">
        <v>1</v>
      </c>
      <c r="K7" s="167">
        <v>-1500</v>
      </c>
      <c r="L7" s="167">
        <v>-1800</v>
      </c>
      <c r="M7" s="167"/>
      <c r="N7" s="168">
        <f>K7-L7+M7</f>
        <v>300</v>
      </c>
      <c r="O7" s="168">
        <f>O6*(1+AG7)+L7-M7</f>
        <v>-1800</v>
      </c>
      <c r="P7" s="168">
        <f>N7</f>
        <v>300</v>
      </c>
      <c r="Q7" s="168">
        <f t="shared" ref="Q7:Q38" si="0">IF(J7&lt;=$G$47,N7,0)</f>
        <v>300</v>
      </c>
      <c r="R7" s="140"/>
      <c r="S7" s="167">
        <v>744.8</v>
      </c>
      <c r="T7" s="167">
        <v>744.8</v>
      </c>
      <c r="U7" s="167"/>
      <c r="V7" s="167"/>
      <c r="W7" s="241">
        <f>T7-U7+V7</f>
        <v>744.8</v>
      </c>
      <c r="X7" s="168">
        <f>X6*(1+AG7)+U7-V7</f>
        <v>0</v>
      </c>
      <c r="Y7" s="140"/>
      <c r="Z7" s="167">
        <v>0</v>
      </c>
      <c r="AA7" s="168">
        <f>AA6*(1+AG7)-Z7</f>
        <v>51.118000000000087</v>
      </c>
      <c r="AB7" s="140"/>
      <c r="AC7" s="169">
        <f t="shared" ref="AC7:AC36" si="1">W7+Z7-N7</f>
        <v>444.79999999999995</v>
      </c>
      <c r="AD7" s="75">
        <f t="shared" ref="AD7:AD36" si="2">MAX(N7-W7-Z7,0)</f>
        <v>0</v>
      </c>
      <c r="AF7" s="71">
        <v>1</v>
      </c>
      <c r="AG7" s="179">
        <f>IF($AG$5="SGD",AH7,IF($AG$5="USD",AI7,AJ7))</f>
        <v>2.2360000000001823E-2</v>
      </c>
      <c r="AH7" s="179">
        <v>1.9049999999993128E-2</v>
      </c>
      <c r="AI7" s="179">
        <v>2.5670000000010518E-2</v>
      </c>
      <c r="AJ7" s="179">
        <f>AH7*$AJ$2+(1-$AJ$2)*AI7</f>
        <v>2.2360000000001823E-2</v>
      </c>
      <c r="AL7" s="4">
        <f t="shared" ref="AL7:AL38" si="3">IF(O7&lt;=0,0,1)</f>
        <v>0</v>
      </c>
      <c r="AM7" s="4">
        <f t="shared" ref="AM7:AM38" si="4">IF(X7&gt;=0,0,1)</f>
        <v>0</v>
      </c>
      <c r="AN7" s="4">
        <f>IF(AA7&gt;=0,0,1)</f>
        <v>0</v>
      </c>
      <c r="AP7" s="180" t="s">
        <v>180</v>
      </c>
      <c r="AR7" s="4">
        <f>IF(K7&lt;&gt;0,J7,0)</f>
        <v>1</v>
      </c>
      <c r="AS7" s="4">
        <f>IF(S7&lt;&gt;0,J7,0)</f>
        <v>1</v>
      </c>
      <c r="AU7" s="4">
        <f>(1+AG7)</f>
        <v>1.0223600000000017</v>
      </c>
      <c r="AV7" s="4">
        <f>1/AU7</f>
        <v>0.97812903478226687</v>
      </c>
    </row>
    <row r="8" spans="1:48">
      <c r="A8" s="121"/>
      <c r="B8" s="78" t="s">
        <v>94</v>
      </c>
      <c r="C8" s="9"/>
      <c r="D8" s="9"/>
      <c r="E8" s="128"/>
      <c r="F8" s="128"/>
      <c r="G8" s="153">
        <v>4500</v>
      </c>
      <c r="J8" s="71">
        <v>2</v>
      </c>
      <c r="K8" s="167">
        <v>-1250</v>
      </c>
      <c r="L8" s="167">
        <v>-1750</v>
      </c>
      <c r="M8" s="167"/>
      <c r="N8" s="168">
        <f t="shared" ref="N8:N71" si="5">K8-L8+M8</f>
        <v>500</v>
      </c>
      <c r="O8" s="168">
        <f t="shared" ref="O8:O71" si="6">O7*(1+AG8)+L8-M8</f>
        <v>-3587.728979663942</v>
      </c>
      <c r="P8" s="168">
        <f t="shared" ref="P8:P71" si="7">N8</f>
        <v>500</v>
      </c>
      <c r="Q8" s="168">
        <f t="shared" si="0"/>
        <v>500</v>
      </c>
      <c r="R8" s="140"/>
      <c r="S8" s="167">
        <v>729.59999999999991</v>
      </c>
      <c r="T8" s="167">
        <v>710</v>
      </c>
      <c r="U8" s="167">
        <v>20</v>
      </c>
      <c r="V8" s="167"/>
      <c r="W8" s="241">
        <f t="shared" ref="W8:W71" si="8">T8-U8+V8</f>
        <v>690</v>
      </c>
      <c r="X8" s="168">
        <f t="shared" ref="X8:X71" si="9">X7*(1+AG8)+U8-V8</f>
        <v>20</v>
      </c>
      <c r="Y8" s="140"/>
      <c r="Z8" s="167">
        <v>0</v>
      </c>
      <c r="AA8" s="168">
        <f t="shared" ref="AA8:AA71" si="10">AA7*(1+AG8)-Z8</f>
        <v>52.189461101367527</v>
      </c>
      <c r="AB8" s="140"/>
      <c r="AC8" s="169">
        <f t="shared" si="1"/>
        <v>190</v>
      </c>
      <c r="AD8" s="75">
        <f t="shared" si="2"/>
        <v>0</v>
      </c>
      <c r="AF8" s="71">
        <v>2</v>
      </c>
      <c r="AG8" s="179">
        <f t="shared" ref="AG8:AG71" si="11">IF($AG$5="SGD",AH8,IF($AG$5="USD",AI8,AJ8))</f>
        <v>2.0960544257745628E-2</v>
      </c>
      <c r="AH8" s="179">
        <v>1.8170189980863949E-2</v>
      </c>
      <c r="AI8" s="179">
        <v>2.3750898534627307E-2</v>
      </c>
      <c r="AJ8" s="179">
        <f t="shared" ref="AJ8:AJ26" si="12">AH8*$AJ$2+(1-$AJ$2)*AI8</f>
        <v>2.0960544257745628E-2</v>
      </c>
      <c r="AL8" s="4">
        <f t="shared" si="3"/>
        <v>0</v>
      </c>
      <c r="AM8" s="4">
        <f t="shared" si="4"/>
        <v>0</v>
      </c>
      <c r="AN8" s="4">
        <f t="shared" ref="AN8:AN71" si="13">IF(AA8&gt;=0,0,1)</f>
        <v>0</v>
      </c>
      <c r="AP8" s="180" t="s">
        <v>180</v>
      </c>
      <c r="AR8" s="4">
        <f t="shared" ref="AR8:AR71" si="14">IF(K8&lt;&gt;0,J8,0)</f>
        <v>2</v>
      </c>
      <c r="AS8" s="4">
        <f t="shared" ref="AS8:AS71" si="15">IF(S8&gt;0,J8,0)</f>
        <v>2</v>
      </c>
      <c r="AU8" s="4">
        <f>AU7*(1+AG8)</f>
        <v>1.0437892220273506</v>
      </c>
      <c r="AV8" s="4">
        <f t="shared" ref="AV8:AV71" si="16">1/AU8</f>
        <v>0.95804783082325873</v>
      </c>
    </row>
    <row r="9" spans="1:48">
      <c r="B9" s="78" t="s">
        <v>95</v>
      </c>
      <c r="C9" s="9"/>
      <c r="D9" s="9"/>
      <c r="E9" s="128"/>
      <c r="F9" s="128"/>
      <c r="G9" s="153">
        <v>4500</v>
      </c>
      <c r="J9" s="71">
        <v>3</v>
      </c>
      <c r="K9" s="167">
        <v>-1000</v>
      </c>
      <c r="L9" s="167">
        <v>-1600</v>
      </c>
      <c r="M9" s="167"/>
      <c r="N9" s="168">
        <f t="shared" si="5"/>
        <v>600</v>
      </c>
      <c r="O9" s="168">
        <f t="shared" si="6"/>
        <v>-5264.7401591077532</v>
      </c>
      <c r="P9" s="168">
        <f t="shared" si="7"/>
        <v>600</v>
      </c>
      <c r="Q9" s="168">
        <f t="shared" si="0"/>
        <v>600</v>
      </c>
      <c r="R9" s="140"/>
      <c r="S9" s="167">
        <v>714.4</v>
      </c>
      <c r="T9" s="167">
        <v>714.4</v>
      </c>
      <c r="U9" s="167"/>
      <c r="V9" s="167"/>
      <c r="W9" s="241">
        <f t="shared" si="8"/>
        <v>714.4</v>
      </c>
      <c r="X9" s="168">
        <f t="shared" si="9"/>
        <v>20.429303215935917</v>
      </c>
      <c r="Y9" s="140"/>
      <c r="Z9" s="167">
        <v>0</v>
      </c>
      <c r="AA9" s="168">
        <f t="shared" si="10"/>
        <v>53.309716275806508</v>
      </c>
      <c r="AB9" s="140"/>
      <c r="AC9" s="169">
        <f t="shared" si="1"/>
        <v>114.39999999999998</v>
      </c>
      <c r="AD9" s="75">
        <f t="shared" si="2"/>
        <v>0</v>
      </c>
      <c r="AF9" s="71">
        <v>3</v>
      </c>
      <c r="AG9" s="179">
        <f t="shared" si="11"/>
        <v>2.1465160796796057E-2</v>
      </c>
      <c r="AH9" s="179">
        <v>1.9090075400805429E-2</v>
      </c>
      <c r="AI9" s="179">
        <v>2.3840246192786685E-2</v>
      </c>
      <c r="AJ9" s="179">
        <f t="shared" si="12"/>
        <v>2.1465160796796057E-2</v>
      </c>
      <c r="AL9" s="4">
        <f t="shared" si="3"/>
        <v>0</v>
      </c>
      <c r="AM9" s="4">
        <f t="shared" si="4"/>
        <v>0</v>
      </c>
      <c r="AN9" s="4">
        <f t="shared" si="13"/>
        <v>0</v>
      </c>
      <c r="AP9" s="180" t="s">
        <v>180</v>
      </c>
      <c r="AR9" s="4">
        <f t="shared" si="14"/>
        <v>3</v>
      </c>
      <c r="AS9" s="4">
        <f t="shared" si="15"/>
        <v>3</v>
      </c>
      <c r="AU9" s="4">
        <f>AU8*(1+AG9)</f>
        <v>1.0661943255161301</v>
      </c>
      <c r="AV9" s="4">
        <f t="shared" si="16"/>
        <v>0.93791532750459317</v>
      </c>
    </row>
    <row r="10" spans="1:48">
      <c r="B10" s="78" t="s">
        <v>135</v>
      </c>
      <c r="G10" s="153">
        <v>50</v>
      </c>
      <c r="J10" s="71">
        <v>4</v>
      </c>
      <c r="K10" s="167">
        <v>-750</v>
      </c>
      <c r="L10" s="167">
        <v>-1400</v>
      </c>
      <c r="M10" s="167"/>
      <c r="N10" s="168">
        <f t="shared" si="5"/>
        <v>650</v>
      </c>
      <c r="O10" s="168">
        <f t="shared" si="6"/>
        <v>-6782.7510883502673</v>
      </c>
      <c r="P10" s="168">
        <f t="shared" si="7"/>
        <v>650</v>
      </c>
      <c r="Q10" s="168">
        <f t="shared" si="0"/>
        <v>650</v>
      </c>
      <c r="R10" s="140"/>
      <c r="S10" s="167">
        <v>699.19999999999993</v>
      </c>
      <c r="T10" s="167">
        <v>699.19999999999993</v>
      </c>
      <c r="U10" s="167"/>
      <c r="V10" s="167"/>
      <c r="W10" s="241">
        <f t="shared" si="8"/>
        <v>699.19999999999993</v>
      </c>
      <c r="X10" s="168">
        <f t="shared" si="9"/>
        <v>20.887232949109734</v>
      </c>
      <c r="Y10" s="140"/>
      <c r="Z10" s="167">
        <v>0</v>
      </c>
      <c r="AA10" s="168">
        <f t="shared" si="10"/>
        <v>54.504671575638234</v>
      </c>
      <c r="AB10" s="140"/>
      <c r="AC10" s="169">
        <f t="shared" si="1"/>
        <v>49.199999999999932</v>
      </c>
      <c r="AD10" s="75">
        <f t="shared" si="2"/>
        <v>0</v>
      </c>
      <c r="AF10" s="71">
        <v>4</v>
      </c>
      <c r="AG10" s="179">
        <f t="shared" si="11"/>
        <v>2.2415337827900506E-2</v>
      </c>
      <c r="AH10" s="179">
        <v>1.909003769447315E-2</v>
      </c>
      <c r="AI10" s="179">
        <v>2.5740637961327861E-2</v>
      </c>
      <c r="AJ10" s="179">
        <f t="shared" si="12"/>
        <v>2.2415337827900506E-2</v>
      </c>
      <c r="AL10" s="4">
        <f t="shared" si="3"/>
        <v>0</v>
      </c>
      <c r="AM10" s="4">
        <f t="shared" si="4"/>
        <v>0</v>
      </c>
      <c r="AN10" s="4">
        <f t="shared" si="13"/>
        <v>0</v>
      </c>
      <c r="AP10" s="180" t="s">
        <v>180</v>
      </c>
      <c r="AR10" s="4">
        <f t="shared" si="14"/>
        <v>4</v>
      </c>
      <c r="AS10" s="4">
        <f t="shared" si="15"/>
        <v>4</v>
      </c>
      <c r="AU10" s="4">
        <f>AU9*(1+AG10)</f>
        <v>1.0900934315127646</v>
      </c>
      <c r="AV10" s="4">
        <f t="shared" si="16"/>
        <v>0.91735255996567333</v>
      </c>
    </row>
    <row r="11" spans="1:48">
      <c r="B11" s="79" t="s">
        <v>171</v>
      </c>
      <c r="C11" s="9"/>
      <c r="D11" s="9"/>
      <c r="E11" s="128"/>
      <c r="F11" s="128"/>
      <c r="G11" s="154"/>
      <c r="J11" s="71">
        <v>5</v>
      </c>
      <c r="K11" s="167">
        <v>-500</v>
      </c>
      <c r="L11" s="167">
        <f>-1185</f>
        <v>-1185</v>
      </c>
      <c r="M11" s="167"/>
      <c r="N11" s="168">
        <f t="shared" si="5"/>
        <v>685</v>
      </c>
      <c r="O11" s="168">
        <f t="shared" si="6"/>
        <v>-8123.9280563798811</v>
      </c>
      <c r="P11" s="168">
        <f t="shared" si="7"/>
        <v>685</v>
      </c>
      <c r="Q11" s="168">
        <f t="shared" si="0"/>
        <v>685</v>
      </c>
      <c r="R11" s="140"/>
      <c r="S11" s="167">
        <v>684</v>
      </c>
      <c r="T11" s="167">
        <v>684</v>
      </c>
      <c r="U11" s="167"/>
      <c r="V11" s="167"/>
      <c r="W11" s="241">
        <f t="shared" si="8"/>
        <v>684</v>
      </c>
      <c r="X11" s="168">
        <f t="shared" si="9"/>
        <v>21.368174188148132</v>
      </c>
      <c r="Y11" s="140"/>
      <c r="Z11" s="167">
        <v>2</v>
      </c>
      <c r="AA11" s="168">
        <f t="shared" si="10"/>
        <v>53.759674779980131</v>
      </c>
      <c r="AB11" s="140"/>
      <c r="AC11" s="169">
        <f t="shared" si="1"/>
        <v>1</v>
      </c>
      <c r="AD11" s="75">
        <f t="shared" si="2"/>
        <v>0</v>
      </c>
      <c r="AF11" s="71">
        <v>5</v>
      </c>
      <c r="AG11" s="179">
        <f t="shared" si="11"/>
        <v>2.3025608045363244E-2</v>
      </c>
      <c r="AH11" s="179">
        <v>2.030082567542113E-2</v>
      </c>
      <c r="AI11" s="179">
        <v>2.5750390415305358E-2</v>
      </c>
      <c r="AJ11" s="179">
        <f t="shared" si="12"/>
        <v>2.3025608045363244E-2</v>
      </c>
      <c r="AL11" s="4">
        <f t="shared" si="3"/>
        <v>0</v>
      </c>
      <c r="AM11" s="4">
        <f t="shared" si="4"/>
        <v>0</v>
      </c>
      <c r="AN11" s="4">
        <f t="shared" si="13"/>
        <v>0</v>
      </c>
      <c r="AP11" s="180" t="s">
        <v>180</v>
      </c>
      <c r="AR11" s="4">
        <f t="shared" si="14"/>
        <v>5</v>
      </c>
      <c r="AS11" s="4">
        <f t="shared" si="15"/>
        <v>5</v>
      </c>
      <c r="AU11" s="4">
        <f>AU10*(1+AG11)</f>
        <v>1.1151934955996026</v>
      </c>
      <c r="AV11" s="4">
        <f t="shared" si="16"/>
        <v>0.89670537350321722</v>
      </c>
    </row>
    <row r="12" spans="1:48">
      <c r="B12" s="20" t="s">
        <v>113</v>
      </c>
      <c r="C12" s="21"/>
      <c r="D12" s="21"/>
      <c r="J12" s="71">
        <v>6</v>
      </c>
      <c r="K12" s="167">
        <v>-250</v>
      </c>
      <c r="L12" s="167">
        <v>-920</v>
      </c>
      <c r="M12" s="167"/>
      <c r="N12" s="168">
        <f t="shared" si="5"/>
        <v>670</v>
      </c>
      <c r="O12" s="168">
        <f t="shared" si="6"/>
        <v>-9243.757751254012</v>
      </c>
      <c r="P12" s="168">
        <f t="shared" si="7"/>
        <v>670</v>
      </c>
      <c r="Q12" s="168">
        <f t="shared" si="0"/>
        <v>670</v>
      </c>
      <c r="R12" s="140"/>
      <c r="S12" s="167">
        <v>668.8</v>
      </c>
      <c r="T12" s="167">
        <v>668.8</v>
      </c>
      <c r="U12" s="167"/>
      <c r="V12" s="167"/>
      <c r="W12" s="241">
        <f t="shared" si="8"/>
        <v>668.8</v>
      </c>
      <c r="X12" s="168">
        <f t="shared" si="9"/>
        <v>21.893781468074941</v>
      </c>
      <c r="Y12" s="140"/>
      <c r="Z12" s="167">
        <v>2</v>
      </c>
      <c r="AA12" s="168">
        <f t="shared" si="10"/>
        <v>53.082037476112014</v>
      </c>
      <c r="AB12" s="140"/>
      <c r="AC12" s="169">
        <f t="shared" si="1"/>
        <v>0.79999999999995453</v>
      </c>
      <c r="AD12" s="75">
        <f t="shared" si="2"/>
        <v>0</v>
      </c>
      <c r="AF12" s="71">
        <v>6</v>
      </c>
      <c r="AG12" s="179">
        <f t="shared" si="11"/>
        <v>2.459766919245443E-2</v>
      </c>
      <c r="AH12" s="179">
        <v>2.1482239794755165E-2</v>
      </c>
      <c r="AI12" s="179">
        <v>2.7713098590153695E-2</v>
      </c>
      <c r="AJ12" s="179">
        <f t="shared" si="12"/>
        <v>2.459766919245443E-2</v>
      </c>
      <c r="AL12" s="4">
        <f t="shared" si="3"/>
        <v>0</v>
      </c>
      <c r="AM12" s="4">
        <f t="shared" si="4"/>
        <v>0</v>
      </c>
      <c r="AN12" s="4">
        <f t="shared" si="13"/>
        <v>0</v>
      </c>
      <c r="AP12" s="180" t="s">
        <v>180</v>
      </c>
      <c r="AR12" s="4">
        <f t="shared" si="14"/>
        <v>6</v>
      </c>
      <c r="AS12" s="4">
        <f t="shared" si="15"/>
        <v>6</v>
      </c>
      <c r="AU12" s="4">
        <f t="shared" ref="AU12:AU75" si="17">AU11*(1+AG12)</f>
        <v>1.1426246562899383</v>
      </c>
      <c r="AV12" s="4">
        <f t="shared" si="16"/>
        <v>0.87517803374466341</v>
      </c>
    </row>
    <row r="13" spans="1:48">
      <c r="B13" s="141" t="s">
        <v>96</v>
      </c>
      <c r="C13" s="21"/>
      <c r="D13" s="21"/>
      <c r="J13" s="71">
        <v>7</v>
      </c>
      <c r="K13" s="167">
        <v>250</v>
      </c>
      <c r="L13" s="167">
        <v>-405</v>
      </c>
      <c r="M13" s="167"/>
      <c r="N13" s="168">
        <f t="shared" si="5"/>
        <v>655</v>
      </c>
      <c r="O13" s="168">
        <f t="shared" si="6"/>
        <v>-9875.8941357435688</v>
      </c>
      <c r="P13" s="168">
        <f t="shared" si="7"/>
        <v>655</v>
      </c>
      <c r="Q13" s="168">
        <f t="shared" si="0"/>
        <v>655</v>
      </c>
      <c r="R13" s="140"/>
      <c r="S13" s="167">
        <v>653.6</v>
      </c>
      <c r="T13" s="167">
        <v>653.6</v>
      </c>
      <c r="U13" s="167"/>
      <c r="V13" s="167"/>
      <c r="W13" s="241">
        <f t="shared" si="8"/>
        <v>653.6</v>
      </c>
      <c r="X13" s="168">
        <f t="shared" si="9"/>
        <v>22.431752550753778</v>
      </c>
      <c r="Y13" s="140"/>
      <c r="Z13" s="167">
        <v>2</v>
      </c>
      <c r="AA13" s="168">
        <f t="shared" si="10"/>
        <v>52.386362232137515</v>
      </c>
      <c r="AB13" s="140"/>
      <c r="AC13" s="169">
        <f t="shared" si="1"/>
        <v>0.60000000000002274</v>
      </c>
      <c r="AD13" s="75">
        <f t="shared" si="2"/>
        <v>0</v>
      </c>
      <c r="AF13" s="71">
        <v>7</v>
      </c>
      <c r="AG13" s="179">
        <f t="shared" si="11"/>
        <v>2.4571866831835099E-2</v>
      </c>
      <c r="AH13" s="179">
        <v>2.1421502237187973E-2</v>
      </c>
      <c r="AI13" s="179">
        <v>2.7722231426482224E-2</v>
      </c>
      <c r="AJ13" s="179">
        <f t="shared" si="12"/>
        <v>2.4571866831835099E-2</v>
      </c>
      <c r="AL13" s="4">
        <f t="shared" si="3"/>
        <v>0</v>
      </c>
      <c r="AM13" s="4">
        <f t="shared" si="4"/>
        <v>0</v>
      </c>
      <c r="AN13" s="4">
        <f t="shared" si="13"/>
        <v>0</v>
      </c>
      <c r="AP13" s="180" t="s">
        <v>180</v>
      </c>
      <c r="AR13" s="4">
        <f t="shared" si="14"/>
        <v>7</v>
      </c>
      <c r="AS13" s="4">
        <f t="shared" si="15"/>
        <v>7</v>
      </c>
      <c r="AU13" s="4">
        <f t="shared" si="17"/>
        <v>1.1707010771830659</v>
      </c>
      <c r="AV13" s="4">
        <f t="shared" si="16"/>
        <v>0.8541890150184146</v>
      </c>
    </row>
    <row r="14" spans="1:48">
      <c r="B14" s="78" t="s">
        <v>173</v>
      </c>
      <c r="C14" s="22"/>
      <c r="D14" s="22"/>
      <c r="E14" s="22"/>
      <c r="F14" s="22"/>
      <c r="G14" s="23">
        <f>IF(G4="SGD",SUM(AD7:AD26),SUM(AD7:AD36))</f>
        <v>3605.4000000000005</v>
      </c>
      <c r="J14" s="71">
        <v>8</v>
      </c>
      <c r="K14" s="167">
        <v>500</v>
      </c>
      <c r="L14" s="167">
        <v>-140</v>
      </c>
      <c r="M14" s="167"/>
      <c r="N14" s="168">
        <f t="shared" si="5"/>
        <v>640</v>
      </c>
      <c r="O14" s="168">
        <f t="shared" si="6"/>
        <v>-10267.270170738231</v>
      </c>
      <c r="P14" s="168">
        <f t="shared" si="7"/>
        <v>640</v>
      </c>
      <c r="Q14" s="168">
        <f t="shared" si="0"/>
        <v>640</v>
      </c>
      <c r="R14" s="140"/>
      <c r="S14" s="167">
        <v>638.4</v>
      </c>
      <c r="T14" s="167">
        <v>638.4</v>
      </c>
      <c r="U14" s="167"/>
      <c r="V14" s="167"/>
      <c r="W14" s="241">
        <f t="shared" si="8"/>
        <v>638.4</v>
      </c>
      <c r="X14" s="168">
        <f t="shared" si="9"/>
        <v>23.002719081650611</v>
      </c>
      <c r="Y14" s="140"/>
      <c r="Z14" s="167">
        <v>2</v>
      </c>
      <c r="AA14" s="168">
        <f t="shared" si="10"/>
        <v>51.719778310186371</v>
      </c>
      <c r="AB14" s="140"/>
      <c r="AC14" s="169">
        <f t="shared" si="1"/>
        <v>0.39999999999997726</v>
      </c>
      <c r="AD14" s="75">
        <f t="shared" si="2"/>
        <v>0</v>
      </c>
      <c r="AF14" s="71">
        <v>8</v>
      </c>
      <c r="AG14" s="179">
        <f t="shared" si="11"/>
        <v>2.5453496315322455E-2</v>
      </c>
      <c r="AH14" s="179">
        <v>2.148121132444869E-2</v>
      </c>
      <c r="AI14" s="179">
        <v>2.9425781306196219E-2</v>
      </c>
      <c r="AJ14" s="179">
        <f t="shared" si="12"/>
        <v>2.5453496315322455E-2</v>
      </c>
      <c r="AL14" s="4">
        <f t="shared" si="3"/>
        <v>0</v>
      </c>
      <c r="AM14" s="4">
        <f t="shared" si="4"/>
        <v>0</v>
      </c>
      <c r="AN14" s="4">
        <f t="shared" si="13"/>
        <v>0</v>
      </c>
      <c r="AP14" s="180" t="s">
        <v>180</v>
      </c>
      <c r="AR14" s="4">
        <f t="shared" si="14"/>
        <v>8</v>
      </c>
      <c r="AS14" s="4">
        <f t="shared" si="15"/>
        <v>8</v>
      </c>
      <c r="AU14" s="4">
        <f t="shared" si="17"/>
        <v>1.2004995127374889</v>
      </c>
      <c r="AV14" s="4">
        <f t="shared" si="16"/>
        <v>0.83298659382185702</v>
      </c>
    </row>
    <row r="15" spans="1:48">
      <c r="B15" s="78" t="s">
        <v>178</v>
      </c>
      <c r="E15" s="24"/>
      <c r="F15" s="24"/>
      <c r="G15" s="23">
        <f>IF(G4="SGD",SUM(N7:N26),SUM(N7:N36))</f>
        <v>15531</v>
      </c>
      <c r="H15" s="25"/>
      <c r="J15" s="71">
        <v>9</v>
      </c>
      <c r="K15" s="167">
        <v>750</v>
      </c>
      <c r="L15" s="167"/>
      <c r="M15" s="167">
        <v>-1125</v>
      </c>
      <c r="N15" s="168">
        <f t="shared" si="5"/>
        <v>-375</v>
      </c>
      <c r="O15" s="168">
        <f t="shared" si="6"/>
        <v>-9403.0855520076693</v>
      </c>
      <c r="P15" s="168">
        <f t="shared" si="7"/>
        <v>-375</v>
      </c>
      <c r="Q15" s="168">
        <f t="shared" si="0"/>
        <v>-375</v>
      </c>
      <c r="R15" s="140"/>
      <c r="S15" s="167">
        <v>623.19999999999993</v>
      </c>
      <c r="T15" s="167">
        <v>623.19999999999993</v>
      </c>
      <c r="U15" s="167"/>
      <c r="V15" s="167"/>
      <c r="W15" s="241">
        <f t="shared" si="8"/>
        <v>623.19999999999993</v>
      </c>
      <c r="X15" s="168">
        <f t="shared" si="9"/>
        <v>23.587048007231335</v>
      </c>
      <c r="Y15" s="140"/>
      <c r="Z15" s="167">
        <v>2</v>
      </c>
      <c r="AA15" s="168">
        <f t="shared" si="10"/>
        <v>51.033595271737326</v>
      </c>
      <c r="AB15" s="140"/>
      <c r="AC15" s="169">
        <f t="shared" si="1"/>
        <v>1000.1999999999999</v>
      </c>
      <c r="AD15" s="75">
        <f t="shared" si="2"/>
        <v>0</v>
      </c>
      <c r="AF15" s="71">
        <v>9</v>
      </c>
      <c r="AG15" s="179">
        <f t="shared" si="11"/>
        <v>2.5402602340470648E-2</v>
      </c>
      <c r="AH15" s="179">
        <v>2.1450903851325309E-2</v>
      </c>
      <c r="AI15" s="179">
        <v>2.9354300829615987E-2</v>
      </c>
      <c r="AJ15" s="179">
        <f t="shared" si="12"/>
        <v>2.5402602340470648E-2</v>
      </c>
      <c r="AL15" s="4">
        <f t="shared" si="3"/>
        <v>0</v>
      </c>
      <c r="AM15" s="4">
        <f t="shared" si="4"/>
        <v>0</v>
      </c>
      <c r="AN15" s="4">
        <f t="shared" si="13"/>
        <v>0</v>
      </c>
      <c r="AP15" s="180" t="s">
        <v>180</v>
      </c>
      <c r="AR15" s="4">
        <f t="shared" si="14"/>
        <v>9</v>
      </c>
      <c r="AS15" s="4">
        <f t="shared" si="15"/>
        <v>9</v>
      </c>
      <c r="AU15" s="4">
        <f t="shared" si="17"/>
        <v>1.230995324469488</v>
      </c>
      <c r="AV15" s="4">
        <f t="shared" si="16"/>
        <v>0.81235077024436453</v>
      </c>
    </row>
    <row r="16" spans="1:48">
      <c r="B16" s="79" t="s">
        <v>9</v>
      </c>
      <c r="E16" s="24"/>
      <c r="F16" s="24"/>
      <c r="G16" s="130">
        <f>G14/ABS(G15)</f>
        <v>0.23214216727834658</v>
      </c>
      <c r="H16" s="25"/>
      <c r="J16" s="71">
        <v>10</v>
      </c>
      <c r="K16" s="167">
        <v>1000</v>
      </c>
      <c r="L16" s="167"/>
      <c r="M16" s="167">
        <v>-1390</v>
      </c>
      <c r="N16" s="168">
        <f t="shared" si="5"/>
        <v>-390</v>
      </c>
      <c r="O16" s="168">
        <f t="shared" si="6"/>
        <v>-8273.7280752519673</v>
      </c>
      <c r="P16" s="168">
        <f t="shared" si="7"/>
        <v>-390</v>
      </c>
      <c r="Q16" s="168">
        <f t="shared" si="0"/>
        <v>-390</v>
      </c>
      <c r="R16" s="140"/>
      <c r="S16" s="167">
        <v>608</v>
      </c>
      <c r="T16" s="167">
        <v>608</v>
      </c>
      <c r="U16" s="167"/>
      <c r="V16" s="167"/>
      <c r="W16" s="241">
        <f t="shared" si="8"/>
        <v>608</v>
      </c>
      <c r="X16" s="168">
        <f t="shared" si="9"/>
        <v>24.240853364471388</v>
      </c>
      <c r="Y16" s="140"/>
      <c r="Z16" s="167">
        <v>2</v>
      </c>
      <c r="AA16" s="168">
        <f t="shared" si="10"/>
        <v>50.448186787286581</v>
      </c>
      <c r="AB16" s="140"/>
      <c r="AC16" s="169">
        <f t="shared" si="1"/>
        <v>1000</v>
      </c>
      <c r="AD16" s="75">
        <f t="shared" si="2"/>
        <v>0</v>
      </c>
      <c r="AF16" s="71">
        <v>10</v>
      </c>
      <c r="AG16" s="179">
        <f t="shared" si="11"/>
        <v>2.7718829293076785E-2</v>
      </c>
      <c r="AH16" s="179">
        <v>2.5582880734832614E-2</v>
      </c>
      <c r="AI16" s="179">
        <v>2.9854777851320957E-2</v>
      </c>
      <c r="AJ16" s="179">
        <f t="shared" si="12"/>
        <v>2.7718829293076785E-2</v>
      </c>
      <c r="AL16" s="4">
        <f t="shared" si="3"/>
        <v>0</v>
      </c>
      <c r="AM16" s="4">
        <f t="shared" si="4"/>
        <v>0</v>
      </c>
      <c r="AN16" s="4">
        <f t="shared" si="13"/>
        <v>0</v>
      </c>
      <c r="AP16" s="180" t="s">
        <v>180</v>
      </c>
      <c r="AR16" s="4">
        <f t="shared" si="14"/>
        <v>10</v>
      </c>
      <c r="AS16" s="4">
        <f t="shared" si="15"/>
        <v>10</v>
      </c>
      <c r="AU16" s="4">
        <f t="shared" si="17"/>
        <v>1.2651170737290334</v>
      </c>
      <c r="AV16" s="4">
        <f t="shared" si="16"/>
        <v>0.79044067996997336</v>
      </c>
    </row>
    <row r="17" spans="2:48">
      <c r="B17" s="79" t="s">
        <v>132</v>
      </c>
      <c r="G17" s="40">
        <v>0.15</v>
      </c>
      <c r="J17" s="71">
        <v>11</v>
      </c>
      <c r="K17" s="167">
        <v>1100</v>
      </c>
      <c r="L17" s="167"/>
      <c r="M17" s="167">
        <v>-1507</v>
      </c>
      <c r="N17" s="168">
        <f t="shared" si="5"/>
        <v>-407</v>
      </c>
      <c r="O17" s="168">
        <f t="shared" si="6"/>
        <v>-7008.2032592811174</v>
      </c>
      <c r="P17" s="168">
        <f t="shared" si="7"/>
        <v>-407</v>
      </c>
      <c r="Q17" s="168">
        <f t="shared" si="0"/>
        <v>-407</v>
      </c>
      <c r="R17" s="140"/>
      <c r="S17" s="167">
        <v>592.79999999999995</v>
      </c>
      <c r="T17" s="167">
        <v>592.79999999999995</v>
      </c>
      <c r="U17" s="167"/>
      <c r="V17" s="167"/>
      <c r="W17" s="241">
        <f t="shared" si="8"/>
        <v>592.79999999999995</v>
      </c>
      <c r="X17" s="168">
        <f t="shared" si="9"/>
        <v>24.948341509352328</v>
      </c>
      <c r="Y17" s="140"/>
      <c r="Z17" s="167">
        <v>2</v>
      </c>
      <c r="AA17" s="168">
        <f t="shared" si="10"/>
        <v>49.920556325854719</v>
      </c>
      <c r="AB17" s="140"/>
      <c r="AC17" s="169">
        <f t="shared" si="1"/>
        <v>1001.8</v>
      </c>
      <c r="AD17" s="75">
        <f t="shared" si="2"/>
        <v>0</v>
      </c>
      <c r="AF17" s="71">
        <v>11</v>
      </c>
      <c r="AG17" s="179">
        <f t="shared" si="11"/>
        <v>2.918577717721238E-2</v>
      </c>
      <c r="AH17" s="179">
        <v>2.7251293677369892E-2</v>
      </c>
      <c r="AI17" s="179">
        <v>3.1120260677054867E-2</v>
      </c>
      <c r="AJ17" s="179">
        <f t="shared" si="12"/>
        <v>2.918577717721238E-2</v>
      </c>
      <c r="AL17" s="4">
        <f t="shared" si="3"/>
        <v>0</v>
      </c>
      <c r="AM17" s="4">
        <f t="shared" si="4"/>
        <v>0</v>
      </c>
      <c r="AN17" s="4">
        <f t="shared" si="13"/>
        <v>0</v>
      </c>
      <c r="AP17" s="180" t="s">
        <v>180</v>
      </c>
      <c r="AR17" s="4">
        <f t="shared" si="14"/>
        <v>11</v>
      </c>
      <c r="AS17" s="4">
        <f t="shared" si="15"/>
        <v>11</v>
      </c>
      <c r="AU17" s="4">
        <f t="shared" si="17"/>
        <v>1.3020404987459759</v>
      </c>
      <c r="AV17" s="4">
        <f t="shared" si="16"/>
        <v>0.76802526569881824</v>
      </c>
    </row>
    <row r="18" spans="2:48">
      <c r="B18" s="79" t="s">
        <v>97</v>
      </c>
      <c r="E18" s="24"/>
      <c r="F18" s="24"/>
      <c r="G18" s="127" t="str">
        <f>IF(G16&lt;=$G$17,"PASS","FAIL")</f>
        <v>FAIL</v>
      </c>
      <c r="H18" s="25" t="s">
        <v>93</v>
      </c>
      <c r="J18" s="71">
        <v>12</v>
      </c>
      <c r="K18" s="167">
        <v>1200</v>
      </c>
      <c r="L18" s="167"/>
      <c r="M18" s="167">
        <v>-620</v>
      </c>
      <c r="N18" s="168">
        <f t="shared" si="5"/>
        <v>580</v>
      </c>
      <c r="O18" s="168">
        <f t="shared" si="6"/>
        <v>-6597.8924394969417</v>
      </c>
      <c r="P18" s="168">
        <f t="shared" si="7"/>
        <v>580</v>
      </c>
      <c r="Q18" s="168">
        <f t="shared" si="0"/>
        <v>580</v>
      </c>
      <c r="R18" s="140"/>
      <c r="S18" s="167">
        <v>577.6</v>
      </c>
      <c r="T18" s="167">
        <v>577.6</v>
      </c>
      <c r="U18" s="167"/>
      <c r="V18" s="167"/>
      <c r="W18" s="241">
        <f t="shared" si="8"/>
        <v>577.6</v>
      </c>
      <c r="X18" s="168">
        <f t="shared" si="9"/>
        <v>25.694809196617598</v>
      </c>
      <c r="Y18" s="140"/>
      <c r="Z18" s="167">
        <v>2</v>
      </c>
      <c r="AA18" s="168">
        <f t="shared" si="10"/>
        <v>49.414206002470991</v>
      </c>
      <c r="AB18" s="140"/>
      <c r="AC18" s="169">
        <f t="shared" si="1"/>
        <v>-0.39999999999997726</v>
      </c>
      <c r="AD18" s="75">
        <f t="shared" si="2"/>
        <v>0.39999999999997726</v>
      </c>
      <c r="AF18" s="71">
        <v>12</v>
      </c>
      <c r="AG18" s="179">
        <f t="shared" si="11"/>
        <v>2.9920533474557476E-2</v>
      </c>
      <c r="AH18" s="179">
        <v>2.7667113637750207E-2</v>
      </c>
      <c r="AI18" s="179">
        <v>3.2173953311364745E-2</v>
      </c>
      <c r="AJ18" s="179">
        <f t="shared" si="12"/>
        <v>2.9920533474557476E-2</v>
      </c>
      <c r="AL18" s="4">
        <f t="shared" si="3"/>
        <v>0</v>
      </c>
      <c r="AM18" s="4">
        <f t="shared" si="4"/>
        <v>0</v>
      </c>
      <c r="AN18" s="4">
        <f t="shared" si="13"/>
        <v>0</v>
      </c>
      <c r="AP18" s="180" t="s">
        <v>180</v>
      </c>
      <c r="AR18" s="4">
        <f t="shared" si="14"/>
        <v>12</v>
      </c>
      <c r="AS18" s="4">
        <f t="shared" si="15"/>
        <v>12</v>
      </c>
      <c r="AU18" s="4">
        <f t="shared" si="17"/>
        <v>1.3409982450739346</v>
      </c>
      <c r="AV18" s="4">
        <f t="shared" si="16"/>
        <v>0.74571313100030645</v>
      </c>
    </row>
    <row r="19" spans="2:48">
      <c r="J19" s="71">
        <v>13</v>
      </c>
      <c r="K19" s="167">
        <v>1225</v>
      </c>
      <c r="L19" s="167"/>
      <c r="M19" s="167">
        <v>-660</v>
      </c>
      <c r="N19" s="168">
        <f t="shared" si="5"/>
        <v>565</v>
      </c>
      <c r="O19" s="168">
        <f t="shared" si="6"/>
        <v>-6137.6808440066325</v>
      </c>
      <c r="P19" s="168">
        <f t="shared" si="7"/>
        <v>565</v>
      </c>
      <c r="Q19" s="168">
        <f t="shared" si="0"/>
        <v>565</v>
      </c>
      <c r="R19" s="140"/>
      <c r="S19" s="167">
        <v>562.4</v>
      </c>
      <c r="T19" s="167">
        <v>562.4</v>
      </c>
      <c r="U19" s="167"/>
      <c r="V19" s="167"/>
      <c r="W19" s="241">
        <f t="shared" si="8"/>
        <v>562.4</v>
      </c>
      <c r="X19" s="168">
        <f t="shared" si="9"/>
        <v>26.472864459059032</v>
      </c>
      <c r="Y19" s="140"/>
      <c r="Z19" s="167">
        <v>2</v>
      </c>
      <c r="AA19" s="168">
        <f t="shared" si="10"/>
        <v>48.910499776259698</v>
      </c>
      <c r="AB19" s="140"/>
      <c r="AC19" s="169">
        <f t="shared" si="1"/>
        <v>-0.60000000000002274</v>
      </c>
      <c r="AD19" s="75">
        <f t="shared" si="2"/>
        <v>0.60000000000002274</v>
      </c>
      <c r="AF19" s="71">
        <v>13</v>
      </c>
      <c r="AG19" s="179">
        <f t="shared" si="11"/>
        <v>3.0280639816693378E-2</v>
      </c>
      <c r="AH19" s="179">
        <v>2.771277240083303E-2</v>
      </c>
      <c r="AI19" s="179">
        <v>3.2848507232553725E-2</v>
      </c>
      <c r="AJ19" s="179">
        <f t="shared" si="12"/>
        <v>3.0280639816693378E-2</v>
      </c>
      <c r="AL19" s="4">
        <f t="shared" si="3"/>
        <v>0</v>
      </c>
      <c r="AM19" s="4">
        <f t="shared" si="4"/>
        <v>0</v>
      </c>
      <c r="AN19" s="4">
        <f t="shared" si="13"/>
        <v>0</v>
      </c>
      <c r="AP19" s="180" t="s">
        <v>180</v>
      </c>
      <c r="AR19" s="4">
        <f t="shared" si="14"/>
        <v>13</v>
      </c>
      <c r="AS19" s="4">
        <f t="shared" si="15"/>
        <v>13</v>
      </c>
      <c r="AU19" s="4">
        <f t="shared" si="17"/>
        <v>1.3816045299278361</v>
      </c>
      <c r="AV19" s="4">
        <f t="shared" si="16"/>
        <v>0.72379612134901727</v>
      </c>
    </row>
    <row r="20" spans="2:48">
      <c r="J20" s="71">
        <v>14</v>
      </c>
      <c r="K20" s="167">
        <v>1250</v>
      </c>
      <c r="L20" s="167"/>
      <c r="M20" s="167">
        <v>-700</v>
      </c>
      <c r="N20" s="168">
        <f t="shared" si="5"/>
        <v>550</v>
      </c>
      <c r="O20" s="168">
        <f t="shared" si="6"/>
        <v>-5623.5903753622561</v>
      </c>
      <c r="P20" s="168">
        <f t="shared" si="7"/>
        <v>550</v>
      </c>
      <c r="Q20" s="168">
        <f t="shared" si="0"/>
        <v>550</v>
      </c>
      <c r="R20" s="140"/>
      <c r="S20" s="167">
        <v>547.19999999999993</v>
      </c>
      <c r="T20" s="167">
        <v>547.19999999999993</v>
      </c>
      <c r="U20" s="167"/>
      <c r="V20" s="167"/>
      <c r="W20" s="241">
        <f t="shared" si="8"/>
        <v>547.19999999999993</v>
      </c>
      <c r="X20" s="168">
        <f t="shared" si="9"/>
        <v>27.274723980645341</v>
      </c>
      <c r="Y20" s="140"/>
      <c r="Z20" s="167">
        <v>2</v>
      </c>
      <c r="AA20" s="168">
        <f t="shared" si="10"/>
        <v>48.391992268762451</v>
      </c>
      <c r="AB20" s="140"/>
      <c r="AC20" s="169">
        <f t="shared" si="1"/>
        <v>-0.80000000000006821</v>
      </c>
      <c r="AD20" s="75">
        <f t="shared" si="2"/>
        <v>0.80000000000006821</v>
      </c>
      <c r="AF20" s="71">
        <v>14</v>
      </c>
      <c r="AG20" s="179">
        <f t="shared" si="11"/>
        <v>3.0289866169428192E-2</v>
      </c>
      <c r="AH20" s="179">
        <v>2.740157073532612E-2</v>
      </c>
      <c r="AI20" s="179">
        <v>3.3178161603530265E-2</v>
      </c>
      <c r="AJ20" s="179">
        <f t="shared" si="12"/>
        <v>3.0289866169428192E-2</v>
      </c>
      <c r="AL20" s="4">
        <f t="shared" si="3"/>
        <v>0</v>
      </c>
      <c r="AM20" s="4">
        <f t="shared" si="4"/>
        <v>0</v>
      </c>
      <c r="AN20" s="4">
        <f t="shared" si="13"/>
        <v>0</v>
      </c>
      <c r="AP20" s="180" t="s">
        <v>180</v>
      </c>
      <c r="AR20" s="4">
        <f t="shared" si="14"/>
        <v>14</v>
      </c>
      <c r="AS20" s="4">
        <f t="shared" si="15"/>
        <v>14</v>
      </c>
      <c r="AU20" s="4">
        <f t="shared" si="17"/>
        <v>1.4234531462384261</v>
      </c>
      <c r="AV20" s="4">
        <f t="shared" si="16"/>
        <v>0.70251697615939768</v>
      </c>
    </row>
    <row r="21" spans="2:48">
      <c r="J21" s="71">
        <v>15</v>
      </c>
      <c r="K21" s="167">
        <v>1300</v>
      </c>
      <c r="L21" s="167"/>
      <c r="M21" s="167">
        <v>-768</v>
      </c>
      <c r="N21" s="168">
        <f t="shared" si="5"/>
        <v>532</v>
      </c>
      <c r="O21" s="168">
        <f t="shared" si="6"/>
        <v>-5024.0761968630804</v>
      </c>
      <c r="P21" s="168">
        <f t="shared" si="7"/>
        <v>532</v>
      </c>
      <c r="Q21" s="168">
        <f t="shared" si="0"/>
        <v>532</v>
      </c>
      <c r="R21" s="140"/>
      <c r="S21" s="167">
        <v>532</v>
      </c>
      <c r="T21" s="167">
        <v>532</v>
      </c>
      <c r="U21" s="167"/>
      <c r="V21" s="167">
        <v>20</v>
      </c>
      <c r="W21" s="241">
        <f t="shared" si="8"/>
        <v>552</v>
      </c>
      <c r="X21" s="168">
        <f t="shared" si="9"/>
        <v>8.0918895224707867</v>
      </c>
      <c r="Y21" s="140"/>
      <c r="Z21" s="167">
        <v>2</v>
      </c>
      <c r="AA21" s="168">
        <f t="shared" si="10"/>
        <v>47.841842636098065</v>
      </c>
      <c r="AB21" s="140"/>
      <c r="AC21" s="169">
        <f t="shared" si="1"/>
        <v>22</v>
      </c>
      <c r="AD21" s="75">
        <f t="shared" si="2"/>
        <v>0</v>
      </c>
      <c r="AF21" s="71">
        <v>15</v>
      </c>
      <c r="AG21" s="179">
        <f t="shared" si="11"/>
        <v>2.9960543043637045E-2</v>
      </c>
      <c r="AH21" s="179">
        <v>2.6739376885227761E-2</v>
      </c>
      <c r="AI21" s="179">
        <v>3.3181709202046328E-2</v>
      </c>
      <c r="AJ21" s="179">
        <f t="shared" si="12"/>
        <v>2.9960543043637045E-2</v>
      </c>
      <c r="AL21" s="4">
        <f t="shared" si="3"/>
        <v>0</v>
      </c>
      <c r="AM21" s="4">
        <f t="shared" si="4"/>
        <v>0</v>
      </c>
      <c r="AN21" s="4">
        <f t="shared" si="13"/>
        <v>0</v>
      </c>
      <c r="AP21" s="180" t="s">
        <v>180</v>
      </c>
      <c r="AR21" s="4">
        <f t="shared" si="14"/>
        <v>15</v>
      </c>
      <c r="AS21" s="4">
        <f t="shared" si="15"/>
        <v>15</v>
      </c>
      <c r="AU21" s="4">
        <f t="shared" si="17"/>
        <v>1.4661005754969032</v>
      </c>
      <c r="AV21" s="4">
        <f t="shared" si="16"/>
        <v>0.68208144564780049</v>
      </c>
    </row>
    <row r="22" spans="2:48">
      <c r="B22" s="17"/>
      <c r="C22" s="17"/>
      <c r="D22" s="17"/>
      <c r="E22" s="17"/>
      <c r="F22" s="17"/>
      <c r="G22" s="17"/>
      <c r="J22" s="71">
        <v>16</v>
      </c>
      <c r="K22" s="167">
        <v>1350</v>
      </c>
      <c r="L22" s="167"/>
      <c r="M22" s="167">
        <v>-830</v>
      </c>
      <c r="N22" s="168">
        <f t="shared" si="5"/>
        <v>520</v>
      </c>
      <c r="O22" s="168">
        <f t="shared" si="6"/>
        <v>-4341.8107175268524</v>
      </c>
      <c r="P22" s="168">
        <f t="shared" si="7"/>
        <v>520</v>
      </c>
      <c r="Q22" s="168">
        <f t="shared" si="0"/>
        <v>520</v>
      </c>
      <c r="R22" s="140"/>
      <c r="S22" s="167">
        <v>516.79999999999995</v>
      </c>
      <c r="T22" s="167">
        <v>516.79999999999995</v>
      </c>
      <c r="U22" s="167"/>
      <c r="V22" s="167"/>
      <c r="W22" s="241">
        <f t="shared" si="8"/>
        <v>516.79999999999995</v>
      </c>
      <c r="X22" s="168">
        <f t="shared" si="9"/>
        <v>8.3298340466029703</v>
      </c>
      <c r="Y22" s="140"/>
      <c r="Z22" s="167">
        <v>2</v>
      </c>
      <c r="AA22" s="168">
        <f t="shared" si="10"/>
        <v>47.248646874841214</v>
      </c>
      <c r="AB22" s="140"/>
      <c r="AC22" s="169">
        <f t="shared" si="1"/>
        <v>-1.2000000000000455</v>
      </c>
      <c r="AD22" s="75">
        <f t="shared" si="2"/>
        <v>1.2000000000000455</v>
      </c>
      <c r="AF22" s="71">
        <v>16</v>
      </c>
      <c r="AG22" s="179">
        <f t="shared" si="11"/>
        <v>2.9405310523756389E-2</v>
      </c>
      <c r="AH22" s="179">
        <v>2.5882582809213739E-2</v>
      </c>
      <c r="AI22" s="179">
        <v>3.292803823829904E-2</v>
      </c>
      <c r="AJ22" s="179">
        <f t="shared" si="12"/>
        <v>2.9405310523756389E-2</v>
      </c>
      <c r="AL22" s="4">
        <f t="shared" si="3"/>
        <v>0</v>
      </c>
      <c r="AM22" s="4">
        <f t="shared" si="4"/>
        <v>0</v>
      </c>
      <c r="AN22" s="4">
        <f t="shared" si="13"/>
        <v>0</v>
      </c>
      <c r="AP22" s="180" t="s">
        <v>180</v>
      </c>
      <c r="AR22" s="4">
        <f t="shared" si="14"/>
        <v>16</v>
      </c>
      <c r="AS22" s="4">
        <f t="shared" si="15"/>
        <v>16</v>
      </c>
      <c r="AU22" s="4">
        <f t="shared" si="17"/>
        <v>1.5092117181784477</v>
      </c>
      <c r="AV22" s="4">
        <f t="shared" si="16"/>
        <v>0.66259755868245984</v>
      </c>
    </row>
    <row r="23" spans="2:48">
      <c r="B23" s="20" t="s">
        <v>114</v>
      </c>
      <c r="E23" s="24"/>
      <c r="F23" s="24"/>
      <c r="G23" s="24"/>
      <c r="J23" s="71">
        <v>17</v>
      </c>
      <c r="K23" s="167">
        <v>1400</v>
      </c>
      <c r="L23" s="167"/>
      <c r="M23" s="167">
        <v>-900</v>
      </c>
      <c r="N23" s="168">
        <f t="shared" si="5"/>
        <v>500</v>
      </c>
      <c r="O23" s="168">
        <f t="shared" si="6"/>
        <v>-3567.9500985832428</v>
      </c>
      <c r="P23" s="168">
        <f t="shared" si="7"/>
        <v>500</v>
      </c>
      <c r="Q23" s="168">
        <f t="shared" si="0"/>
        <v>500</v>
      </c>
      <c r="R23" s="140"/>
      <c r="S23" s="167">
        <v>501.59999999999997</v>
      </c>
      <c r="T23" s="167">
        <v>501.59999999999997</v>
      </c>
      <c r="U23" s="167"/>
      <c r="V23" s="167"/>
      <c r="W23" s="241">
        <f t="shared" si="8"/>
        <v>501.59999999999997</v>
      </c>
      <c r="X23" s="168">
        <f t="shared" si="9"/>
        <v>8.571834488192799</v>
      </c>
      <c r="Y23" s="140"/>
      <c r="Z23" s="167">
        <v>2</v>
      </c>
      <c r="AA23" s="168">
        <f t="shared" si="10"/>
        <v>46.621326491777459</v>
      </c>
      <c r="AB23" s="140"/>
      <c r="AC23" s="169">
        <f t="shared" si="1"/>
        <v>3.5999999999999659</v>
      </c>
      <c r="AD23" s="75">
        <f t="shared" si="2"/>
        <v>0</v>
      </c>
      <c r="AF23" s="71">
        <v>17</v>
      </c>
      <c r="AG23" s="179">
        <f t="shared" si="11"/>
        <v>2.9052252450157856E-2</v>
      </c>
      <c r="AH23" s="179">
        <v>2.5439836654189696E-2</v>
      </c>
      <c r="AI23" s="179">
        <v>3.2664668246126016E-2</v>
      </c>
      <c r="AJ23" s="179">
        <f t="shared" si="12"/>
        <v>2.9052252450157856E-2</v>
      </c>
      <c r="AL23" s="4">
        <f t="shared" si="3"/>
        <v>0</v>
      </c>
      <c r="AM23" s="4">
        <f t="shared" si="4"/>
        <v>0</v>
      </c>
      <c r="AN23" s="4">
        <f t="shared" si="13"/>
        <v>0</v>
      </c>
      <c r="AP23" s="180" t="s">
        <v>180</v>
      </c>
      <c r="AR23" s="4">
        <f t="shared" si="14"/>
        <v>17</v>
      </c>
      <c r="AS23" s="4">
        <f t="shared" si="15"/>
        <v>17</v>
      </c>
      <c r="AU23" s="4">
        <f t="shared" si="17"/>
        <v>1.5530577180157044</v>
      </c>
      <c r="AV23" s="4">
        <f t="shared" si="16"/>
        <v>0.64389107268831591</v>
      </c>
    </row>
    <row r="24" spans="2:48">
      <c r="B24" s="78" t="s">
        <v>49</v>
      </c>
      <c r="E24" s="24"/>
      <c r="F24" s="24"/>
      <c r="G24" s="23">
        <f>'Predictability Test'!H15</f>
        <v>10000</v>
      </c>
      <c r="H24" s="123" t="s">
        <v>82</v>
      </c>
      <c r="J24" s="71">
        <v>18</v>
      </c>
      <c r="K24" s="167">
        <v>1450</v>
      </c>
      <c r="L24" s="167"/>
      <c r="M24" s="167">
        <v>-960</v>
      </c>
      <c r="N24" s="168">
        <f t="shared" si="5"/>
        <v>490</v>
      </c>
      <c r="O24" s="168">
        <f t="shared" si="6"/>
        <v>-2711.3769184874272</v>
      </c>
      <c r="P24" s="168">
        <f t="shared" si="7"/>
        <v>490</v>
      </c>
      <c r="Q24" s="168">
        <f t="shared" si="0"/>
        <v>490</v>
      </c>
      <c r="R24" s="140"/>
      <c r="S24" s="167">
        <v>486.4</v>
      </c>
      <c r="T24" s="167">
        <v>486.4</v>
      </c>
      <c r="U24" s="167"/>
      <c r="V24" s="167"/>
      <c r="W24" s="241">
        <f t="shared" si="8"/>
        <v>486.4</v>
      </c>
      <c r="X24" s="168">
        <f t="shared" si="9"/>
        <v>8.8203126219567292</v>
      </c>
      <c r="Y24" s="140"/>
      <c r="Z24" s="167">
        <v>2</v>
      </c>
      <c r="AA24" s="168">
        <f t="shared" si="10"/>
        <v>45.972773514725993</v>
      </c>
      <c r="AB24" s="140"/>
      <c r="AC24" s="169">
        <f t="shared" si="1"/>
        <v>-1.6000000000000227</v>
      </c>
      <c r="AD24" s="75">
        <f t="shared" si="2"/>
        <v>1.6000000000000227</v>
      </c>
      <c r="AF24" s="71">
        <v>18</v>
      </c>
      <c r="AG24" s="179">
        <f t="shared" si="11"/>
        <v>2.8987742834534869E-2</v>
      </c>
      <c r="AH24" s="179">
        <v>2.5532104866756056E-2</v>
      </c>
      <c r="AI24" s="179">
        <v>3.2443380802313682E-2</v>
      </c>
      <c r="AJ24" s="179">
        <f t="shared" si="12"/>
        <v>2.8987742834534869E-2</v>
      </c>
      <c r="AL24" s="4">
        <f t="shared" si="3"/>
        <v>0</v>
      </c>
      <c r="AM24" s="4">
        <f t="shared" si="4"/>
        <v>0</v>
      </c>
      <c r="AN24" s="4">
        <f t="shared" si="13"/>
        <v>0</v>
      </c>
      <c r="AP24" s="180" t="s">
        <v>180</v>
      </c>
      <c r="AR24" s="4">
        <f t="shared" si="14"/>
        <v>18</v>
      </c>
      <c r="AS24" s="4">
        <f t="shared" si="15"/>
        <v>18</v>
      </c>
      <c r="AU24" s="4">
        <f t="shared" si="17"/>
        <v>1.5980773557527332</v>
      </c>
      <c r="AV24" s="4">
        <f t="shared" si="16"/>
        <v>0.6257519364755505</v>
      </c>
    </row>
    <row r="25" spans="2:48">
      <c r="B25" s="78" t="s">
        <v>115</v>
      </c>
      <c r="E25" s="24"/>
      <c r="F25" s="24"/>
      <c r="G25" s="126">
        <f>S1+MIN(W1-T1,0)</f>
        <v>5.3658396211059056E-2</v>
      </c>
      <c r="H25" s="123"/>
      <c r="J25" s="71">
        <v>19</v>
      </c>
      <c r="K25" s="167">
        <v>1450</v>
      </c>
      <c r="L25" s="167"/>
      <c r="M25" s="167">
        <v>-980</v>
      </c>
      <c r="N25" s="168">
        <f t="shared" si="5"/>
        <v>470</v>
      </c>
      <c r="O25" s="168">
        <f t="shared" si="6"/>
        <v>-1810.5310314948547</v>
      </c>
      <c r="P25" s="168">
        <f t="shared" si="7"/>
        <v>470</v>
      </c>
      <c r="Q25" s="168">
        <f t="shared" si="0"/>
        <v>470</v>
      </c>
      <c r="R25" s="140"/>
      <c r="S25" s="167">
        <v>471.2</v>
      </c>
      <c r="T25" s="167">
        <v>471.2</v>
      </c>
      <c r="U25" s="167"/>
      <c r="V25" s="167"/>
      <c r="W25" s="241">
        <f t="shared" si="8"/>
        <v>471.2</v>
      </c>
      <c r="X25" s="168">
        <f t="shared" si="9"/>
        <v>9.077806892590516</v>
      </c>
      <c r="Y25" s="140"/>
      <c r="Z25" s="167">
        <v>2</v>
      </c>
      <c r="AA25" s="168">
        <f t="shared" si="10"/>
        <v>45.314871725136193</v>
      </c>
      <c r="AB25" s="140"/>
      <c r="AC25" s="169">
        <f t="shared" si="1"/>
        <v>3.1999999999999886</v>
      </c>
      <c r="AD25" s="75">
        <f t="shared" si="2"/>
        <v>0</v>
      </c>
      <c r="AF25" s="71">
        <v>19</v>
      </c>
      <c r="AG25" s="179">
        <f t="shared" si="11"/>
        <v>2.9193327002128844E-2</v>
      </c>
      <c r="AH25" s="179">
        <v>2.613311701066201E-2</v>
      </c>
      <c r="AI25" s="179">
        <v>3.2253536993595677E-2</v>
      </c>
      <c r="AJ25" s="179">
        <f t="shared" si="12"/>
        <v>2.9193327002128844E-2</v>
      </c>
      <c r="AL25" s="4">
        <f t="shared" si="3"/>
        <v>0</v>
      </c>
      <c r="AM25" s="4">
        <f t="shared" si="4"/>
        <v>0</v>
      </c>
      <c r="AN25" s="4">
        <f t="shared" si="13"/>
        <v>0</v>
      </c>
      <c r="AP25" s="180" t="s">
        <v>180</v>
      </c>
      <c r="AR25" s="4">
        <f t="shared" si="14"/>
        <v>19</v>
      </c>
      <c r="AS25" s="4">
        <f t="shared" si="15"/>
        <v>19</v>
      </c>
      <c r="AU25" s="4">
        <f t="shared" si="17"/>
        <v>1.64473055057392</v>
      </c>
      <c r="AV25" s="4">
        <f t="shared" si="16"/>
        <v>0.60800232576153901</v>
      </c>
    </row>
    <row r="26" spans="2:48">
      <c r="B26" s="78" t="s">
        <v>109</v>
      </c>
      <c r="E26" s="24"/>
      <c r="F26" s="24"/>
      <c r="G26" s="126">
        <f>MAX(K1,N1)</f>
        <v>3.4305119067825407E-2</v>
      </c>
      <c r="H26" s="126"/>
      <c r="J26" s="71">
        <v>20</v>
      </c>
      <c r="K26" s="167">
        <v>1400</v>
      </c>
      <c r="L26" s="167"/>
      <c r="M26" s="167">
        <v>-945</v>
      </c>
      <c r="N26" s="168">
        <f t="shared" si="5"/>
        <v>455</v>
      </c>
      <c r="O26" s="168">
        <f t="shared" si="6"/>
        <v>-919.22870821024048</v>
      </c>
      <c r="P26" s="168">
        <f t="shared" si="7"/>
        <v>455</v>
      </c>
      <c r="Q26" s="168">
        <f t="shared" si="0"/>
        <v>455</v>
      </c>
      <c r="R26" s="140"/>
      <c r="S26" s="167">
        <v>456</v>
      </c>
      <c r="T26" s="167">
        <v>456</v>
      </c>
      <c r="U26" s="167"/>
      <c r="V26" s="167"/>
      <c r="W26" s="241">
        <f t="shared" si="8"/>
        <v>456</v>
      </c>
      <c r="X26" s="168">
        <f t="shared" si="9"/>
        <v>9.3470412394884868</v>
      </c>
      <c r="Y26" s="140"/>
      <c r="Z26" s="167">
        <v>2</v>
      </c>
      <c r="AA26" s="168">
        <f t="shared" si="10"/>
        <v>44.658843902341296</v>
      </c>
      <c r="AB26" s="140"/>
      <c r="AC26" s="169">
        <f t="shared" si="1"/>
        <v>3</v>
      </c>
      <c r="AD26" s="75">
        <f t="shared" si="2"/>
        <v>0</v>
      </c>
      <c r="AF26" s="71">
        <v>20</v>
      </c>
      <c r="AG26" s="179">
        <f t="shared" si="11"/>
        <v>2.9658523262675374E-2</v>
      </c>
      <c r="AH26" s="179">
        <v>2.723121934299666E-2</v>
      </c>
      <c r="AI26" s="179">
        <v>3.2085827182354087E-2</v>
      </c>
      <c r="AJ26" s="179">
        <f t="shared" si="12"/>
        <v>2.9658523262675374E-2</v>
      </c>
      <c r="AL26" s="4">
        <f t="shared" si="3"/>
        <v>0</v>
      </c>
      <c r="AM26" s="4">
        <f t="shared" si="4"/>
        <v>0</v>
      </c>
      <c r="AN26" s="4">
        <f t="shared" si="13"/>
        <v>0</v>
      </c>
      <c r="AP26" s="180" t="s">
        <v>180</v>
      </c>
      <c r="AR26" s="4">
        <f t="shared" si="14"/>
        <v>20</v>
      </c>
      <c r="AS26" s="4">
        <f t="shared" si="15"/>
        <v>20</v>
      </c>
      <c r="AU26" s="4">
        <f t="shared" si="17"/>
        <v>1.6935108298689494</v>
      </c>
      <c r="AV26" s="4">
        <f t="shared" si="16"/>
        <v>0.5904892855497027</v>
      </c>
    </row>
    <row r="27" spans="2:48">
      <c r="B27" s="78" t="s">
        <v>143</v>
      </c>
      <c r="G27" s="126">
        <f>ROUND(MIN('Spreads for Def and DG'!H27-'Spreads for Def and DG'!D27,0)/10000,5)</f>
        <v>-4.6100000000000004E-3</v>
      </c>
      <c r="H27" s="123" t="s">
        <v>144</v>
      </c>
      <c r="J27" s="71">
        <v>21</v>
      </c>
      <c r="K27" s="167">
        <v>1200</v>
      </c>
      <c r="L27" s="167"/>
      <c r="M27" s="167">
        <v>-759</v>
      </c>
      <c r="N27" s="168">
        <f t="shared" si="5"/>
        <v>441</v>
      </c>
      <c r="O27" s="168">
        <f t="shared" si="6"/>
        <v>-189.59271951556593</v>
      </c>
      <c r="P27" s="168">
        <f t="shared" si="7"/>
        <v>441</v>
      </c>
      <c r="Q27" s="168">
        <f t="shared" si="0"/>
        <v>441</v>
      </c>
      <c r="R27" s="140"/>
      <c r="S27" s="167">
        <v>440.79999999999995</v>
      </c>
      <c r="T27" s="167">
        <v>440.79999999999995</v>
      </c>
      <c r="U27" s="167"/>
      <c r="V27" s="167"/>
      <c r="W27" s="241">
        <f t="shared" si="8"/>
        <v>440.79999999999995</v>
      </c>
      <c r="X27" s="168">
        <f t="shared" si="9"/>
        <v>9.6456248478726021</v>
      </c>
      <c r="Y27" s="140"/>
      <c r="Z27" s="167">
        <v>2</v>
      </c>
      <c r="AA27" s="168">
        <f t="shared" si="10"/>
        <v>44.085434244351354</v>
      </c>
      <c r="AB27" s="140"/>
      <c r="AC27" s="169">
        <f t="shared" si="1"/>
        <v>1.7999999999999545</v>
      </c>
      <c r="AD27" s="75">
        <f t="shared" si="2"/>
        <v>0</v>
      </c>
      <c r="AF27" s="71">
        <v>21</v>
      </c>
      <c r="AG27" s="179">
        <f t="shared" si="11"/>
        <v>3.1944184339605552E-2</v>
      </c>
      <c r="AH27" s="179">
        <v>2.870258604003828E-2</v>
      </c>
      <c r="AI27" s="179">
        <v>3.1944184339605552E-2</v>
      </c>
      <c r="AJ27" s="179">
        <f>AI27</f>
        <v>3.1944184339605552E-2</v>
      </c>
      <c r="AL27" s="4">
        <f t="shared" si="3"/>
        <v>0</v>
      </c>
      <c r="AM27" s="4">
        <f t="shared" si="4"/>
        <v>0</v>
      </c>
      <c r="AN27" s="4">
        <f t="shared" si="13"/>
        <v>0</v>
      </c>
      <c r="AP27" s="180" t="s">
        <v>180</v>
      </c>
      <c r="AR27" s="4">
        <f t="shared" si="14"/>
        <v>21</v>
      </c>
      <c r="AS27" s="4">
        <f t="shared" si="15"/>
        <v>21</v>
      </c>
      <c r="AU27" s="4">
        <f t="shared" si="17"/>
        <v>1.7476086519994014</v>
      </c>
      <c r="AV27" s="4">
        <f t="shared" si="16"/>
        <v>0.5722104882325465</v>
      </c>
    </row>
    <row r="28" spans="2:48">
      <c r="B28" s="78" t="s">
        <v>90</v>
      </c>
      <c r="E28" s="24"/>
      <c r="F28" s="24"/>
      <c r="G28" s="126">
        <f>ROUND(MIN('Spreads for Def and DG'!I27-'Spreads for Def and DG'!H27,0)/10000,5)</f>
        <v>0</v>
      </c>
      <c r="H28" s="123" t="s">
        <v>144</v>
      </c>
      <c r="J28" s="71">
        <v>22</v>
      </c>
      <c r="K28" s="167">
        <v>1100</v>
      </c>
      <c r="L28" s="167"/>
      <c r="M28" s="167"/>
      <c r="N28" s="168">
        <f t="shared" si="5"/>
        <v>1100</v>
      </c>
      <c r="O28" s="168">
        <f t="shared" si="6"/>
        <v>-195.63503946356073</v>
      </c>
      <c r="P28" s="168">
        <f t="shared" si="7"/>
        <v>1100</v>
      </c>
      <c r="Q28" s="168">
        <f t="shared" si="0"/>
        <v>1100</v>
      </c>
      <c r="R28" s="140"/>
      <c r="S28" s="167">
        <v>425.59999999999997</v>
      </c>
      <c r="T28" s="167">
        <v>425.59999999999997</v>
      </c>
      <c r="U28" s="167"/>
      <c r="V28" s="167"/>
      <c r="W28" s="241">
        <f t="shared" si="8"/>
        <v>425.59999999999997</v>
      </c>
      <c r="X28" s="168">
        <f t="shared" si="9"/>
        <v>9.9530309106058805</v>
      </c>
      <c r="Y28" s="140"/>
      <c r="Z28" s="167">
        <v>2</v>
      </c>
      <c r="AA28" s="168">
        <f t="shared" si="10"/>
        <v>43.490437028378551</v>
      </c>
      <c r="AB28" s="140"/>
      <c r="AC28" s="169">
        <f t="shared" si="1"/>
        <v>-672.40000000000009</v>
      </c>
      <c r="AD28" s="75">
        <f t="shared" si="2"/>
        <v>672.40000000000009</v>
      </c>
      <c r="AF28" s="71">
        <v>22</v>
      </c>
      <c r="AG28" s="179">
        <f t="shared" si="11"/>
        <v>3.1869999878865185E-2</v>
      </c>
      <c r="AH28" s="179">
        <v>3.0058863054541307E-2</v>
      </c>
      <c r="AI28" s="179">
        <v>3.1869999878865185E-2</v>
      </c>
      <c r="AJ28" s="179">
        <f t="shared" ref="AJ28:AJ91" si="18">AI28</f>
        <v>3.1869999878865185E-2</v>
      </c>
      <c r="AL28" s="4">
        <f t="shared" si="3"/>
        <v>0</v>
      </c>
      <c r="AM28" s="4">
        <f t="shared" si="4"/>
        <v>0</v>
      </c>
      <c r="AN28" s="4">
        <f t="shared" si="13"/>
        <v>0</v>
      </c>
      <c r="AP28" s="180" t="s">
        <v>180</v>
      </c>
      <c r="AR28" s="4">
        <f t="shared" si="14"/>
        <v>22</v>
      </c>
      <c r="AS28" s="4">
        <f t="shared" si="15"/>
        <v>22</v>
      </c>
      <c r="AU28" s="4">
        <f t="shared" si="17"/>
        <v>1.8033049395269261</v>
      </c>
      <c r="AV28" s="4">
        <f t="shared" si="16"/>
        <v>0.55453738193737612</v>
      </c>
    </row>
    <row r="29" spans="2:48">
      <c r="B29" s="78" t="s">
        <v>304</v>
      </c>
      <c r="E29" s="24"/>
      <c r="F29" s="24"/>
      <c r="G29" s="126">
        <f>MAX(ROUND(G25-G26+G27+G28,4),0)</f>
        <v>1.47E-2</v>
      </c>
      <c r="H29" s="70"/>
      <c r="J29" s="71">
        <v>23</v>
      </c>
      <c r="K29" s="167">
        <v>1050</v>
      </c>
      <c r="L29" s="167"/>
      <c r="M29" s="167"/>
      <c r="N29" s="168">
        <f t="shared" si="5"/>
        <v>1050</v>
      </c>
      <c r="O29" s="168">
        <f t="shared" si="6"/>
        <v>-201.86982908904241</v>
      </c>
      <c r="P29" s="168">
        <f t="shared" si="7"/>
        <v>1050</v>
      </c>
      <c r="Q29" s="168">
        <f t="shared" si="0"/>
        <v>1050</v>
      </c>
      <c r="R29" s="140"/>
      <c r="S29" s="167">
        <v>410.4</v>
      </c>
      <c r="T29" s="167">
        <v>410.4</v>
      </c>
      <c r="U29" s="167"/>
      <c r="V29" s="167"/>
      <c r="W29" s="241">
        <f t="shared" si="8"/>
        <v>410.4</v>
      </c>
      <c r="X29" s="168">
        <f t="shared" si="9"/>
        <v>10.270228964869071</v>
      </c>
      <c r="Y29" s="140"/>
      <c r="Z29" s="167">
        <v>2</v>
      </c>
      <c r="AA29" s="168">
        <f t="shared" si="10"/>
        <v>42.876455230106181</v>
      </c>
      <c r="AB29" s="140"/>
      <c r="AC29" s="169">
        <f t="shared" si="1"/>
        <v>-637.6</v>
      </c>
      <c r="AD29" s="75">
        <f t="shared" si="2"/>
        <v>637.6</v>
      </c>
      <c r="AF29" s="71">
        <v>23</v>
      </c>
      <c r="AG29" s="179">
        <f t="shared" si="11"/>
        <v>3.1869493535400029E-2</v>
      </c>
      <c r="AH29" s="179">
        <v>3.1209712626339758E-2</v>
      </c>
      <c r="AI29" s="179">
        <v>3.1869493535400029E-2</v>
      </c>
      <c r="AJ29" s="179">
        <f t="shared" si="18"/>
        <v>3.1869493535400029E-2</v>
      </c>
      <c r="AL29" s="4">
        <f t="shared" si="3"/>
        <v>0</v>
      </c>
      <c r="AM29" s="4">
        <f t="shared" si="4"/>
        <v>0</v>
      </c>
      <c r="AN29" s="4">
        <f t="shared" si="13"/>
        <v>0</v>
      </c>
      <c r="AP29" s="180" t="s">
        <v>180</v>
      </c>
      <c r="AR29" s="4">
        <f t="shared" si="14"/>
        <v>23</v>
      </c>
      <c r="AS29" s="4">
        <f t="shared" si="15"/>
        <v>23</v>
      </c>
      <c r="AU29" s="4">
        <f t="shared" si="17"/>
        <v>1.8607753546395345</v>
      </c>
      <c r="AV29" s="4">
        <f t="shared" si="16"/>
        <v>0.53741038514222905</v>
      </c>
    </row>
    <row r="30" spans="2:48">
      <c r="B30" s="78" t="s">
        <v>269</v>
      </c>
      <c r="G30" s="140">
        <f>P1-Q1</f>
        <v>5.4657106182576243E-5</v>
      </c>
      <c r="J30" s="71">
        <v>24</v>
      </c>
      <c r="K30" s="167">
        <v>1000</v>
      </c>
      <c r="L30" s="167"/>
      <c r="M30" s="167"/>
      <c r="N30" s="168">
        <f t="shared" si="5"/>
        <v>1000</v>
      </c>
      <c r="O30" s="168">
        <f t="shared" si="6"/>
        <v>-208.31744852617308</v>
      </c>
      <c r="P30" s="168">
        <f t="shared" si="7"/>
        <v>1000</v>
      </c>
      <c r="Q30" s="168">
        <f t="shared" si="0"/>
        <v>1000</v>
      </c>
      <c r="R30" s="140"/>
      <c r="S30" s="167">
        <v>395.2</v>
      </c>
      <c r="T30" s="167">
        <v>395.2</v>
      </c>
      <c r="U30" s="167"/>
      <c r="V30" s="167"/>
      <c r="W30" s="241">
        <f t="shared" si="8"/>
        <v>395.2</v>
      </c>
      <c r="X30" s="168">
        <f t="shared" si="9"/>
        <v>10.598254842715651</v>
      </c>
      <c r="Y30" s="140"/>
      <c r="Z30" s="167">
        <v>2</v>
      </c>
      <c r="AA30" s="168">
        <f t="shared" si="10"/>
        <v>42.245907353706862</v>
      </c>
      <c r="AB30" s="140"/>
      <c r="AC30" s="169">
        <f t="shared" si="1"/>
        <v>-602.79999999999995</v>
      </c>
      <c r="AD30" s="75">
        <f t="shared" si="2"/>
        <v>602.79999999999995</v>
      </c>
      <c r="AF30" s="71">
        <v>24</v>
      </c>
      <c r="AG30" s="179">
        <f t="shared" si="11"/>
        <v>3.1939490245898483E-2</v>
      </c>
      <c r="AH30" s="179">
        <v>3.2188268424735877E-2</v>
      </c>
      <c r="AI30" s="179">
        <v>3.1939490245898483E-2</v>
      </c>
      <c r="AJ30" s="179">
        <f t="shared" si="18"/>
        <v>3.1939490245898483E-2</v>
      </c>
      <c r="AL30" s="4">
        <f t="shared" si="3"/>
        <v>0</v>
      </c>
      <c r="AM30" s="4">
        <f t="shared" si="4"/>
        <v>0</v>
      </c>
      <c r="AN30" s="4">
        <f t="shared" si="13"/>
        <v>0</v>
      </c>
      <c r="AP30" s="180" t="s">
        <v>180</v>
      </c>
      <c r="AR30" s="4">
        <f t="shared" si="14"/>
        <v>24</v>
      </c>
      <c r="AS30" s="4">
        <f t="shared" si="15"/>
        <v>24</v>
      </c>
      <c r="AU30" s="4">
        <f t="shared" si="17"/>
        <v>1.9202075709288522</v>
      </c>
      <c r="AV30" s="4">
        <f t="shared" si="16"/>
        <v>0.52077703220192761</v>
      </c>
    </row>
    <row r="31" spans="2:48">
      <c r="B31" s="78" t="s">
        <v>305</v>
      </c>
      <c r="G31" s="140">
        <f>G29+G30</f>
        <v>1.4754657106182576E-2</v>
      </c>
      <c r="J31" s="71">
        <v>25</v>
      </c>
      <c r="K31" s="167">
        <v>750</v>
      </c>
      <c r="L31" s="167"/>
      <c r="M31" s="167"/>
      <c r="N31" s="168">
        <f t="shared" si="5"/>
        <v>750</v>
      </c>
      <c r="O31" s="168">
        <f t="shared" si="6"/>
        <v>-215.00021502060088</v>
      </c>
      <c r="P31" s="168">
        <f t="shared" si="7"/>
        <v>750</v>
      </c>
      <c r="Q31" s="168">
        <f t="shared" si="0"/>
        <v>750</v>
      </c>
      <c r="R31" s="140"/>
      <c r="S31" s="167">
        <v>380</v>
      </c>
      <c r="T31" s="167">
        <v>380</v>
      </c>
      <c r="U31" s="167"/>
      <c r="V31" s="167"/>
      <c r="W31" s="241">
        <f t="shared" si="8"/>
        <v>380</v>
      </c>
      <c r="X31" s="168">
        <f t="shared" si="9"/>
        <v>10.938243945229109</v>
      </c>
      <c r="Y31" s="140"/>
      <c r="Z31" s="167">
        <v>2</v>
      </c>
      <c r="AA31" s="168">
        <f t="shared" si="10"/>
        <v>41.601144450682838</v>
      </c>
      <c r="AB31" s="140"/>
      <c r="AC31" s="169">
        <f t="shared" si="1"/>
        <v>-368</v>
      </c>
      <c r="AD31" s="75">
        <f t="shared" si="2"/>
        <v>368</v>
      </c>
      <c r="AF31" s="71">
        <v>25</v>
      </c>
      <c r="AG31" s="179">
        <f t="shared" si="11"/>
        <v>3.2079725158443262E-2</v>
      </c>
      <c r="AH31" s="179">
        <v>3.3021786678274934E-2</v>
      </c>
      <c r="AI31" s="179">
        <v>3.2079725158443262E-2</v>
      </c>
      <c r="AJ31" s="179">
        <f t="shared" si="18"/>
        <v>3.2079725158443262E-2</v>
      </c>
      <c r="AL31" s="4">
        <f t="shared" si="3"/>
        <v>0</v>
      </c>
      <c r="AM31" s="4">
        <f t="shared" si="4"/>
        <v>0</v>
      </c>
      <c r="AN31" s="4">
        <f t="shared" si="13"/>
        <v>0</v>
      </c>
      <c r="AP31" s="180" t="s">
        <v>180</v>
      </c>
      <c r="AR31" s="4">
        <f t="shared" si="14"/>
        <v>25</v>
      </c>
      <c r="AS31" s="4">
        <f t="shared" si="15"/>
        <v>25</v>
      </c>
      <c r="AU31" s="4">
        <f t="shared" si="17"/>
        <v>1.9818073020514118</v>
      </c>
      <c r="AV31" s="4">
        <f t="shared" si="16"/>
        <v>0.50458992605632158</v>
      </c>
    </row>
    <row r="32" spans="2:48">
      <c r="B32" s="78" t="s">
        <v>306</v>
      </c>
      <c r="G32" s="140">
        <f>G31*'Adj for reallocation'!D12</f>
        <v>1.2836551682378841E-2</v>
      </c>
      <c r="J32" s="71">
        <v>26</v>
      </c>
      <c r="K32" s="167">
        <v>700</v>
      </c>
      <c r="L32" s="167"/>
      <c r="M32" s="167"/>
      <c r="N32" s="168">
        <f t="shared" si="5"/>
        <v>700</v>
      </c>
      <c r="O32" s="168">
        <f t="shared" si="6"/>
        <v>-221.94318427671053</v>
      </c>
      <c r="P32" s="168">
        <f t="shared" si="7"/>
        <v>700</v>
      </c>
      <c r="Q32" s="168">
        <f t="shared" si="0"/>
        <v>700</v>
      </c>
      <c r="R32" s="140"/>
      <c r="S32" s="167">
        <v>364.79999999999995</v>
      </c>
      <c r="T32" s="167">
        <v>364.79999999999995</v>
      </c>
      <c r="U32" s="167"/>
      <c r="V32" s="167"/>
      <c r="W32" s="241">
        <f t="shared" si="8"/>
        <v>364.79999999999995</v>
      </c>
      <c r="X32" s="168">
        <f t="shared" si="9"/>
        <v>11.291470993956834</v>
      </c>
      <c r="Y32" s="140"/>
      <c r="Z32" s="167">
        <v>2</v>
      </c>
      <c r="AA32" s="168">
        <f t="shared" si="10"/>
        <v>40.944563883600111</v>
      </c>
      <c r="AB32" s="140"/>
      <c r="AC32" s="169">
        <f t="shared" si="1"/>
        <v>-333.20000000000005</v>
      </c>
      <c r="AD32" s="75">
        <f t="shared" si="2"/>
        <v>333.20000000000005</v>
      </c>
      <c r="AF32" s="71">
        <v>26</v>
      </c>
      <c r="AG32" s="179">
        <f t="shared" si="11"/>
        <v>3.2292847965032845E-2</v>
      </c>
      <c r="AH32" s="179">
        <v>3.3732826664390814E-2</v>
      </c>
      <c r="AI32" s="179">
        <v>3.2292847965032845E-2</v>
      </c>
      <c r="AJ32" s="179">
        <f t="shared" si="18"/>
        <v>3.2292847965032845E-2</v>
      </c>
      <c r="AL32" s="4">
        <f t="shared" si="3"/>
        <v>0</v>
      </c>
      <c r="AM32" s="4">
        <f t="shared" si="4"/>
        <v>0</v>
      </c>
      <c r="AN32" s="4">
        <f t="shared" si="13"/>
        <v>0</v>
      </c>
      <c r="AP32" s="180" t="s">
        <v>180</v>
      </c>
      <c r="AR32" s="4">
        <f t="shared" si="14"/>
        <v>26</v>
      </c>
      <c r="AS32" s="4">
        <f t="shared" si="15"/>
        <v>26</v>
      </c>
      <c r="AU32" s="4">
        <f t="shared" si="17"/>
        <v>2.04580550395255</v>
      </c>
      <c r="AV32" s="4">
        <f t="shared" si="16"/>
        <v>0.48880501986526759</v>
      </c>
    </row>
    <row r="33" spans="2:48">
      <c r="B33" s="78" t="s">
        <v>232</v>
      </c>
      <c r="G33" s="126">
        <f>'Spreads for Def and DG'!S27/10000</f>
        <v>4.4000000000000003E-3</v>
      </c>
      <c r="H33" s="70"/>
      <c r="J33" s="71">
        <v>27</v>
      </c>
      <c r="K33" s="167">
        <v>650</v>
      </c>
      <c r="L33" s="167"/>
      <c r="M33" s="167"/>
      <c r="N33" s="168">
        <f t="shared" si="5"/>
        <v>650</v>
      </c>
      <c r="O33" s="168">
        <f t="shared" si="6"/>
        <v>-229.17510365463096</v>
      </c>
      <c r="P33" s="168">
        <f t="shared" si="7"/>
        <v>650</v>
      </c>
      <c r="Q33" s="168">
        <f t="shared" si="0"/>
        <v>650</v>
      </c>
      <c r="R33" s="140"/>
      <c r="S33" s="167">
        <v>349.59999999999997</v>
      </c>
      <c r="T33" s="167">
        <v>349.59999999999997</v>
      </c>
      <c r="U33" s="167"/>
      <c r="V33" s="167"/>
      <c r="W33" s="241">
        <f t="shared" si="8"/>
        <v>349.59999999999997</v>
      </c>
      <c r="X33" s="168">
        <f t="shared" si="9"/>
        <v>11.659398525286715</v>
      </c>
      <c r="Y33" s="140"/>
      <c r="Z33" s="167">
        <v>2</v>
      </c>
      <c r="AA33" s="168">
        <f t="shared" si="10"/>
        <v>40.278724182035468</v>
      </c>
      <c r="AB33" s="140"/>
      <c r="AC33" s="169">
        <f t="shared" si="1"/>
        <v>-298.40000000000003</v>
      </c>
      <c r="AD33" s="75">
        <f t="shared" si="2"/>
        <v>298.40000000000003</v>
      </c>
      <c r="AF33" s="71">
        <v>27</v>
      </c>
      <c r="AG33" s="179">
        <f t="shared" si="11"/>
        <v>3.2584552670488653E-2</v>
      </c>
      <c r="AH33" s="179">
        <v>3.4340159608946097E-2</v>
      </c>
      <c r="AI33" s="179">
        <v>3.2584552670488653E-2</v>
      </c>
      <c r="AJ33" s="179">
        <f t="shared" si="18"/>
        <v>3.2584552670488653E-2</v>
      </c>
      <c r="AL33" s="4">
        <f t="shared" si="3"/>
        <v>0</v>
      </c>
      <c r="AM33" s="4">
        <f t="shared" si="4"/>
        <v>0</v>
      </c>
      <c r="AN33" s="4">
        <f t="shared" si="13"/>
        <v>0</v>
      </c>
      <c r="AP33" s="180" t="s">
        <v>180</v>
      </c>
      <c r="AR33" s="4">
        <f t="shared" si="14"/>
        <v>27</v>
      </c>
      <c r="AS33" s="4">
        <f t="shared" si="15"/>
        <v>27</v>
      </c>
      <c r="AU33" s="4">
        <f t="shared" si="17"/>
        <v>2.1124671611496675</v>
      </c>
      <c r="AV33" s="4">
        <f t="shared" si="16"/>
        <v>0.47338013976783916</v>
      </c>
    </row>
    <row r="34" spans="2:48">
      <c r="B34" s="78" t="s">
        <v>270</v>
      </c>
      <c r="G34" s="131">
        <f>ROUND(MAX(G32,G33,0),4)</f>
        <v>1.2800000000000001E-2</v>
      </c>
      <c r="J34" s="71">
        <v>28</v>
      </c>
      <c r="K34" s="167">
        <v>600</v>
      </c>
      <c r="L34" s="167"/>
      <c r="M34" s="167"/>
      <c r="N34" s="168">
        <f t="shared" si="5"/>
        <v>600</v>
      </c>
      <c r="O34" s="168">
        <f t="shared" si="6"/>
        <v>-236.72959677421147</v>
      </c>
      <c r="P34" s="168">
        <f t="shared" si="7"/>
        <v>600</v>
      </c>
      <c r="Q34" s="168">
        <f t="shared" si="0"/>
        <v>600</v>
      </c>
      <c r="R34" s="140"/>
      <c r="S34" s="167">
        <v>334.4</v>
      </c>
      <c r="T34" s="167">
        <v>334.4</v>
      </c>
      <c r="U34" s="167"/>
      <c r="V34" s="167"/>
      <c r="W34" s="241">
        <f t="shared" si="8"/>
        <v>334.4</v>
      </c>
      <c r="X34" s="168">
        <f t="shared" si="9"/>
        <v>12.043737157769518</v>
      </c>
      <c r="Y34" s="140"/>
      <c r="Z34" s="167">
        <v>2</v>
      </c>
      <c r="AA34" s="168">
        <f t="shared" si="10"/>
        <v>39.606465895015027</v>
      </c>
      <c r="AB34" s="140"/>
      <c r="AC34" s="169">
        <f t="shared" si="1"/>
        <v>-263.60000000000002</v>
      </c>
      <c r="AD34" s="75">
        <f t="shared" si="2"/>
        <v>263.60000000000002</v>
      </c>
      <c r="AF34" s="71">
        <v>28</v>
      </c>
      <c r="AG34" s="179">
        <f t="shared" si="11"/>
        <v>3.2963847290171655E-2</v>
      </c>
      <c r="AH34" s="179">
        <v>3.485947683517554E-2</v>
      </c>
      <c r="AI34" s="179">
        <v>3.2963847290171655E-2</v>
      </c>
      <c r="AJ34" s="179">
        <f t="shared" si="18"/>
        <v>3.2963847290171655E-2</v>
      </c>
      <c r="AL34" s="4">
        <f t="shared" si="3"/>
        <v>0</v>
      </c>
      <c r="AM34" s="4">
        <f t="shared" si="4"/>
        <v>0</v>
      </c>
      <c r="AN34" s="4">
        <f t="shared" si="13"/>
        <v>0</v>
      </c>
      <c r="AP34" s="180" t="s">
        <v>180</v>
      </c>
      <c r="AR34" s="4">
        <f t="shared" si="14"/>
        <v>28</v>
      </c>
      <c r="AS34" s="4">
        <f t="shared" si="15"/>
        <v>28</v>
      </c>
      <c r="AU34" s="4">
        <f t="shared" si="17"/>
        <v>2.1821022060553075</v>
      </c>
      <c r="AV34" s="4">
        <f t="shared" si="16"/>
        <v>0.45827367628565335</v>
      </c>
    </row>
    <row r="35" spans="2:48">
      <c r="B35" s="78" t="s">
        <v>248</v>
      </c>
      <c r="G35" s="140">
        <f>ROUND(MAX(G33-G32,0),4)</f>
        <v>0</v>
      </c>
      <c r="J35" s="71">
        <v>29</v>
      </c>
      <c r="K35" s="167">
        <v>550</v>
      </c>
      <c r="L35" s="167"/>
      <c r="M35" s="167"/>
      <c r="N35" s="168">
        <f t="shared" si="5"/>
        <v>550</v>
      </c>
      <c r="O35" s="168">
        <f t="shared" si="6"/>
        <v>-244.64665988761882</v>
      </c>
      <c r="P35" s="168">
        <f t="shared" si="7"/>
        <v>550</v>
      </c>
      <c r="Q35" s="168">
        <f t="shared" si="0"/>
        <v>550</v>
      </c>
      <c r="R35" s="140"/>
      <c r="S35" s="167">
        <v>319.2</v>
      </c>
      <c r="T35" s="167">
        <v>319.2</v>
      </c>
      <c r="U35" s="167"/>
      <c r="V35" s="167"/>
      <c r="W35" s="241">
        <f t="shared" si="8"/>
        <v>319.2</v>
      </c>
      <c r="X35" s="168">
        <f t="shared" si="9"/>
        <v>12.446521720826476</v>
      </c>
      <c r="Y35" s="140"/>
      <c r="Z35" s="167">
        <v>2</v>
      </c>
      <c r="AA35" s="168">
        <f t="shared" si="10"/>
        <v>38.931044209102744</v>
      </c>
      <c r="AB35" s="140"/>
      <c r="AC35" s="169">
        <f t="shared" si="1"/>
        <v>-228.8</v>
      </c>
      <c r="AD35" s="75">
        <f t="shared" si="2"/>
        <v>228.8</v>
      </c>
      <c r="AF35" s="71">
        <v>29</v>
      </c>
      <c r="AG35" s="179">
        <f t="shared" si="11"/>
        <v>3.3443486667019906E-2</v>
      </c>
      <c r="AH35" s="179">
        <v>3.530394749776633E-2</v>
      </c>
      <c r="AI35" s="179">
        <v>3.3443486667019906E-2</v>
      </c>
      <c r="AJ35" s="179">
        <f t="shared" si="18"/>
        <v>3.3443486667019906E-2</v>
      </c>
      <c r="AL35" s="4">
        <f t="shared" si="3"/>
        <v>0</v>
      </c>
      <c r="AM35" s="4">
        <f t="shared" si="4"/>
        <v>0</v>
      </c>
      <c r="AN35" s="4">
        <f t="shared" si="13"/>
        <v>0</v>
      </c>
      <c r="AP35" s="180" t="s">
        <v>180</v>
      </c>
      <c r="AR35" s="4">
        <f t="shared" si="14"/>
        <v>29</v>
      </c>
      <c r="AS35" s="4">
        <f t="shared" si="15"/>
        <v>29</v>
      </c>
      <c r="AU35" s="4">
        <f t="shared" si="17"/>
        <v>2.2550793120895927</v>
      </c>
      <c r="AV35" s="4">
        <f t="shared" si="16"/>
        <v>0.44344338340516454</v>
      </c>
    </row>
    <row r="36" spans="2:48">
      <c r="J36" s="71">
        <v>30</v>
      </c>
      <c r="K36" s="167">
        <v>500</v>
      </c>
      <c r="L36" s="167"/>
      <c r="M36" s="167"/>
      <c r="N36" s="168">
        <f t="shared" si="5"/>
        <v>500</v>
      </c>
      <c r="O36" s="168">
        <f t="shared" si="6"/>
        <v>-252.97457988468824</v>
      </c>
      <c r="P36" s="168">
        <f t="shared" si="7"/>
        <v>500</v>
      </c>
      <c r="Q36" s="168">
        <f t="shared" si="0"/>
        <v>500</v>
      </c>
      <c r="R36" s="140"/>
      <c r="S36" s="167">
        <v>304</v>
      </c>
      <c r="T36" s="167">
        <v>304</v>
      </c>
      <c r="U36" s="167"/>
      <c r="V36" s="167"/>
      <c r="W36" s="241">
        <f t="shared" si="8"/>
        <v>304</v>
      </c>
      <c r="X36" s="168">
        <f t="shared" si="9"/>
        <v>12.870208834235031</v>
      </c>
      <c r="Y36" s="140"/>
      <c r="Z36" s="167">
        <v>0</v>
      </c>
      <c r="AA36" s="168">
        <f t="shared" si="10"/>
        <v>40.256280456859862</v>
      </c>
      <c r="AB36" s="140"/>
      <c r="AC36" s="169">
        <f t="shared" si="1"/>
        <v>-196</v>
      </c>
      <c r="AD36" s="75">
        <f t="shared" si="2"/>
        <v>196</v>
      </c>
      <c r="AF36" s="71">
        <v>30</v>
      </c>
      <c r="AG36" s="179">
        <f t="shared" si="11"/>
        <v>3.4040603705339567E-2</v>
      </c>
      <c r="AH36" s="179">
        <v>3.5684662188889549E-2</v>
      </c>
      <c r="AI36" s="179">
        <v>3.4040603705339567E-2</v>
      </c>
      <c r="AJ36" s="179">
        <f t="shared" si="18"/>
        <v>3.4040603705339567E-2</v>
      </c>
      <c r="AL36" s="4">
        <f t="shared" si="3"/>
        <v>0</v>
      </c>
      <c r="AM36" s="4">
        <f t="shared" si="4"/>
        <v>0</v>
      </c>
      <c r="AN36" s="4">
        <f t="shared" si="13"/>
        <v>0</v>
      </c>
      <c r="AP36" s="180" t="s">
        <v>180</v>
      </c>
      <c r="AR36" s="4">
        <f t="shared" si="14"/>
        <v>30</v>
      </c>
      <c r="AS36" s="4">
        <f t="shared" si="15"/>
        <v>30</v>
      </c>
      <c r="AU36" s="4">
        <f t="shared" si="17"/>
        <v>2.3318435732765441</v>
      </c>
      <c r="AV36" s="4">
        <f t="shared" si="16"/>
        <v>0.42884523278500608</v>
      </c>
    </row>
    <row r="37" spans="2:48">
      <c r="B37" s="20" t="s">
        <v>209</v>
      </c>
      <c r="J37" s="71">
        <v>31</v>
      </c>
      <c r="K37" s="167">
        <v>450</v>
      </c>
      <c r="L37" s="167"/>
      <c r="M37" s="167"/>
      <c r="N37" s="168">
        <f t="shared" si="5"/>
        <v>450</v>
      </c>
      <c r="O37" s="168">
        <f t="shared" si="6"/>
        <v>-261.75961739754365</v>
      </c>
      <c r="P37" s="168">
        <f t="shared" si="7"/>
        <v>450</v>
      </c>
      <c r="Q37" s="168">
        <f t="shared" si="0"/>
        <v>450</v>
      </c>
      <c r="R37" s="140"/>
      <c r="S37" s="167">
        <v>288.8</v>
      </c>
      <c r="T37" s="167">
        <v>288.8</v>
      </c>
      <c r="U37" s="167"/>
      <c r="V37" s="167"/>
      <c r="W37" s="241">
        <f t="shared" si="8"/>
        <v>288.8</v>
      </c>
      <c r="X37" s="168">
        <f t="shared" si="9"/>
        <v>13.317152030893666</v>
      </c>
      <c r="Y37" s="140"/>
      <c r="Z37" s="167">
        <v>0</v>
      </c>
      <c r="AA37" s="168">
        <f t="shared" si="10"/>
        <v>41.654258601947589</v>
      </c>
      <c r="AB37" s="140"/>
      <c r="AC37" s="169"/>
      <c r="AD37" s="29"/>
      <c r="AF37" s="71">
        <v>31</v>
      </c>
      <c r="AG37" s="179">
        <f t="shared" si="11"/>
        <v>3.4726957613131937E-2</v>
      </c>
      <c r="AH37" s="179">
        <v>3.6010988929479071E-2</v>
      </c>
      <c r="AI37" s="179">
        <v>3.4726957613131937E-2</v>
      </c>
      <c r="AJ37" s="179">
        <f t="shared" si="18"/>
        <v>3.4726957613131937E-2</v>
      </c>
      <c r="AL37" s="4">
        <f t="shared" si="3"/>
        <v>0</v>
      </c>
      <c r="AM37" s="4">
        <f t="shared" si="4"/>
        <v>0</v>
      </c>
      <c r="AN37" s="4">
        <f t="shared" si="13"/>
        <v>0</v>
      </c>
      <c r="AP37" s="180" t="s">
        <v>180</v>
      </c>
      <c r="AR37" s="4">
        <f t="shared" si="14"/>
        <v>31</v>
      </c>
      <c r="AS37" s="4">
        <f t="shared" si="15"/>
        <v>31</v>
      </c>
      <c r="AU37" s="4">
        <f t="shared" si="17"/>
        <v>2.4128214062061728</v>
      </c>
      <c r="AV37" s="4">
        <f t="shared" si="16"/>
        <v>0.41445255642536816</v>
      </c>
    </row>
    <row r="38" spans="2:48">
      <c r="B38" s="79" t="s">
        <v>211</v>
      </c>
      <c r="C38" s="79"/>
      <c r="E38" s="24"/>
      <c r="F38" s="24"/>
      <c r="G38" s="127" t="str">
        <f>IF(AL2=0,"PASS","FAIL")</f>
        <v>PASS</v>
      </c>
      <c r="H38" s="25" t="s">
        <v>93</v>
      </c>
      <c r="J38" s="71">
        <v>32</v>
      </c>
      <c r="K38" s="167">
        <v>400</v>
      </c>
      <c r="L38" s="167"/>
      <c r="M38" s="167"/>
      <c r="N38" s="168">
        <f t="shared" si="5"/>
        <v>400</v>
      </c>
      <c r="O38" s="168">
        <f t="shared" si="6"/>
        <v>-271.00684124309873</v>
      </c>
      <c r="P38" s="168">
        <f t="shared" si="7"/>
        <v>400</v>
      </c>
      <c r="Q38" s="168">
        <f t="shared" si="0"/>
        <v>400</v>
      </c>
      <c r="R38" s="140"/>
      <c r="S38" s="167">
        <v>273.59999999999997</v>
      </c>
      <c r="T38" s="167">
        <v>273.59999999999997</v>
      </c>
      <c r="U38" s="167"/>
      <c r="V38" s="167"/>
      <c r="W38" s="241">
        <f t="shared" si="8"/>
        <v>273.59999999999997</v>
      </c>
      <c r="X38" s="168">
        <f t="shared" si="9"/>
        <v>13.787609189409201</v>
      </c>
      <c r="Y38" s="140"/>
      <c r="Z38" s="167">
        <v>0</v>
      </c>
      <c r="AA38" s="168">
        <f t="shared" si="10"/>
        <v>43.125785253928633</v>
      </c>
      <c r="AB38" s="140"/>
      <c r="AC38" s="169"/>
      <c r="AD38" s="29"/>
      <c r="AF38" s="71">
        <v>32</v>
      </c>
      <c r="AG38" s="179">
        <f t="shared" si="11"/>
        <v>3.532715984800272E-2</v>
      </c>
      <c r="AH38" s="179">
        <v>3.6290861163223553E-2</v>
      </c>
      <c r="AI38" s="179">
        <v>3.532715984800272E-2</v>
      </c>
      <c r="AJ38" s="179">
        <f t="shared" si="18"/>
        <v>3.532715984800272E-2</v>
      </c>
      <c r="AL38" s="4">
        <f t="shared" si="3"/>
        <v>0</v>
      </c>
      <c r="AM38" s="4">
        <f t="shared" si="4"/>
        <v>0</v>
      </c>
      <c r="AN38" s="4">
        <f t="shared" si="13"/>
        <v>0</v>
      </c>
      <c r="AP38" s="180" t="s">
        <v>180</v>
      </c>
      <c r="AR38" s="4">
        <f t="shared" si="14"/>
        <v>32</v>
      </c>
      <c r="AS38" s="4">
        <f t="shared" si="15"/>
        <v>32</v>
      </c>
      <c r="AU38" s="4">
        <f t="shared" si="17"/>
        <v>2.498059533707901</v>
      </c>
      <c r="AV38" s="4">
        <f t="shared" si="16"/>
        <v>0.40031071578013494</v>
      </c>
    </row>
    <row r="39" spans="2:48">
      <c r="B39" s="79" t="s">
        <v>212</v>
      </c>
      <c r="E39" s="24"/>
      <c r="F39" s="24"/>
      <c r="G39" s="127" t="str">
        <f>IF(AM2=0,"PASS","FAIL")</f>
        <v>PASS</v>
      </c>
      <c r="H39" s="25" t="s">
        <v>93</v>
      </c>
      <c r="J39" s="71">
        <v>33</v>
      </c>
      <c r="K39" s="167">
        <v>350</v>
      </c>
      <c r="L39" s="167"/>
      <c r="M39" s="167"/>
      <c r="N39" s="168">
        <f t="shared" si="5"/>
        <v>350</v>
      </c>
      <c r="O39" s="168">
        <f t="shared" si="6"/>
        <v>-280.71329472731242</v>
      </c>
      <c r="P39" s="168">
        <f t="shared" si="7"/>
        <v>350</v>
      </c>
      <c r="Q39" s="168">
        <f t="shared" ref="Q39:Q70" si="19">IF(J39&lt;=$G$47,N39,0)</f>
        <v>350</v>
      </c>
      <c r="R39" s="140"/>
      <c r="S39" s="167">
        <v>258.39999999999998</v>
      </c>
      <c r="T39" s="167">
        <v>258.39999999999998</v>
      </c>
      <c r="U39" s="167"/>
      <c r="V39" s="167"/>
      <c r="W39" s="241">
        <f t="shared" si="8"/>
        <v>258.39999999999998</v>
      </c>
      <c r="X39" s="168">
        <f t="shared" si="9"/>
        <v>14.281429886486992</v>
      </c>
      <c r="Y39" s="140"/>
      <c r="Z39" s="167">
        <v>0</v>
      </c>
      <c r="AA39" s="168">
        <f t="shared" si="10"/>
        <v>44.670389908989556</v>
      </c>
      <c r="AB39" s="140"/>
      <c r="AC39" s="169"/>
      <c r="AD39" s="29"/>
      <c r="AF39" s="71">
        <v>33</v>
      </c>
      <c r="AG39" s="179">
        <f t="shared" si="11"/>
        <v>3.5816267366869825E-2</v>
      </c>
      <c r="AH39" s="179">
        <v>3.6531012441947119E-2</v>
      </c>
      <c r="AI39" s="179">
        <v>3.5816267366869825E-2</v>
      </c>
      <c r="AJ39" s="179">
        <f t="shared" si="18"/>
        <v>3.5816267366869825E-2</v>
      </c>
      <c r="AL39" s="4">
        <f t="shared" ref="AL39:AL70" si="20">IF(O39&lt;=0,0,1)</f>
        <v>0</v>
      </c>
      <c r="AM39" s="4">
        <f t="shared" ref="AM39:AM70" si="21">IF(X39&gt;=0,0,1)</f>
        <v>0</v>
      </c>
      <c r="AN39" s="4">
        <f t="shared" si="13"/>
        <v>0</v>
      </c>
      <c r="AP39" s="180" t="s">
        <v>180</v>
      </c>
      <c r="AR39" s="4">
        <f t="shared" si="14"/>
        <v>33</v>
      </c>
      <c r="AS39" s="4">
        <f t="shared" si="15"/>
        <v>33</v>
      </c>
      <c r="AU39" s="4">
        <f t="shared" si="17"/>
        <v>2.5875307018655413</v>
      </c>
      <c r="AV39" s="4">
        <f t="shared" si="16"/>
        <v>0.38646884432290074</v>
      </c>
    </row>
    <row r="40" spans="2:48">
      <c r="B40" s="78" t="s">
        <v>172</v>
      </c>
      <c r="G40" s="127" t="str">
        <f>IF(AN2=0,"PASS","FAIL")</f>
        <v>PASS</v>
      </c>
      <c r="H40" s="25" t="s">
        <v>93</v>
      </c>
      <c r="J40" s="71">
        <v>34</v>
      </c>
      <c r="K40" s="167">
        <v>300</v>
      </c>
      <c r="L40" s="167"/>
      <c r="M40" s="167"/>
      <c r="N40" s="168">
        <f t="shared" si="5"/>
        <v>300</v>
      </c>
      <c r="O40" s="168">
        <f t="shared" si="6"/>
        <v>-290.87937867468349</v>
      </c>
      <c r="P40" s="168">
        <f t="shared" si="7"/>
        <v>300</v>
      </c>
      <c r="Q40" s="168">
        <f t="shared" si="19"/>
        <v>300</v>
      </c>
      <c r="R40" s="140"/>
      <c r="S40" s="167">
        <v>243.2</v>
      </c>
      <c r="T40" s="167">
        <v>243.2</v>
      </c>
      <c r="U40" s="167"/>
      <c r="V40" s="167"/>
      <c r="W40" s="241">
        <f t="shared" si="8"/>
        <v>243.2</v>
      </c>
      <c r="X40" s="168">
        <f t="shared" si="9"/>
        <v>14.798634514274772</v>
      </c>
      <c r="Y40" s="140"/>
      <c r="Z40" s="167">
        <v>0</v>
      </c>
      <c r="AA40" s="168">
        <f t="shared" si="10"/>
        <v>46.288136351022963</v>
      </c>
      <c r="AB40" s="140"/>
      <c r="AC40" s="169"/>
      <c r="AD40" s="29"/>
      <c r="AF40" s="71">
        <v>34</v>
      </c>
      <c r="AG40" s="179">
        <f t="shared" si="11"/>
        <v>3.6215185166938779E-2</v>
      </c>
      <c r="AH40" s="179">
        <v>3.6737168923541397E-2</v>
      </c>
      <c r="AI40" s="179">
        <v>3.6215185166938779E-2</v>
      </c>
      <c r="AJ40" s="179">
        <f t="shared" si="18"/>
        <v>3.6215185166938779E-2</v>
      </c>
      <c r="AL40" s="4">
        <f t="shared" si="20"/>
        <v>0</v>
      </c>
      <c r="AM40" s="4">
        <f t="shared" si="21"/>
        <v>0</v>
      </c>
      <c r="AN40" s="4">
        <f t="shared" si="13"/>
        <v>0</v>
      </c>
      <c r="AP40" s="180" t="s">
        <v>180</v>
      </c>
      <c r="AR40" s="4">
        <f t="shared" si="14"/>
        <v>34</v>
      </c>
      <c r="AS40" s="4">
        <f t="shared" si="15"/>
        <v>34</v>
      </c>
      <c r="AU40" s="4">
        <f t="shared" si="17"/>
        <v>2.6812386053587409</v>
      </c>
      <c r="AV40" s="4">
        <f t="shared" si="16"/>
        <v>0.37296195795532466</v>
      </c>
    </row>
    <row r="41" spans="2:48">
      <c r="B41" s="79" t="s">
        <v>145</v>
      </c>
      <c r="G41" s="127" t="str">
        <f>IF(T2&gt;S2,"FAIL", "PASS")</f>
        <v>PASS</v>
      </c>
      <c r="H41" s="25" t="s">
        <v>93</v>
      </c>
      <c r="J41" s="71">
        <v>35</v>
      </c>
      <c r="K41" s="167">
        <v>250</v>
      </c>
      <c r="L41" s="167"/>
      <c r="M41" s="167"/>
      <c r="N41" s="168">
        <f t="shared" si="5"/>
        <v>250</v>
      </c>
      <c r="O41" s="168">
        <f t="shared" si="6"/>
        <v>-301.50833558209882</v>
      </c>
      <c r="P41" s="168">
        <f t="shared" si="7"/>
        <v>250</v>
      </c>
      <c r="Q41" s="168">
        <f t="shared" si="19"/>
        <v>250</v>
      </c>
      <c r="R41" s="140"/>
      <c r="S41" s="167">
        <v>228</v>
      </c>
      <c r="T41" s="167">
        <v>228</v>
      </c>
      <c r="U41" s="167"/>
      <c r="V41" s="167"/>
      <c r="W41" s="241">
        <f t="shared" si="8"/>
        <v>228</v>
      </c>
      <c r="X41" s="168">
        <f t="shared" si="9"/>
        <v>15.339388036430538</v>
      </c>
      <c r="Y41" s="140"/>
      <c r="Z41" s="167">
        <v>0</v>
      </c>
      <c r="AA41" s="168">
        <f t="shared" si="10"/>
        <v>47.979540564141246</v>
      </c>
      <c r="AB41" s="140"/>
      <c r="AC41" s="169"/>
      <c r="AD41" s="29"/>
      <c r="AF41" s="71">
        <v>35</v>
      </c>
      <c r="AG41" s="179">
        <f t="shared" si="11"/>
        <v>3.6540771490380042E-2</v>
      </c>
      <c r="AH41" s="179">
        <v>3.6914208192996956E-2</v>
      </c>
      <c r="AI41" s="179">
        <v>3.6540771490380042E-2</v>
      </c>
      <c r="AJ41" s="179">
        <f t="shared" si="18"/>
        <v>3.6540771490380042E-2</v>
      </c>
      <c r="AL41" s="4">
        <f t="shared" si="20"/>
        <v>0</v>
      </c>
      <c r="AM41" s="4">
        <f t="shared" si="21"/>
        <v>0</v>
      </c>
      <c r="AN41" s="4">
        <f t="shared" si="13"/>
        <v>0</v>
      </c>
      <c r="AP41" s="180" t="s">
        <v>180</v>
      </c>
      <c r="AR41" s="4">
        <f t="shared" si="14"/>
        <v>35</v>
      </c>
      <c r="AS41" s="4">
        <f t="shared" si="15"/>
        <v>35</v>
      </c>
      <c r="AU41" s="4">
        <f t="shared" si="17"/>
        <v>2.7792131325483398</v>
      </c>
      <c r="AV41" s="4">
        <f t="shared" si="16"/>
        <v>0.35981407409480376</v>
      </c>
    </row>
    <row r="42" spans="2:48">
      <c r="B42" s="79" t="s">
        <v>146</v>
      </c>
      <c r="G42" s="127" t="str">
        <f>IF(T2/S2&gt;=88%,"PASS","FAIL")</f>
        <v>PASS</v>
      </c>
      <c r="H42" s="25" t="s">
        <v>93</v>
      </c>
      <c r="J42" s="71">
        <v>36</v>
      </c>
      <c r="K42" s="167">
        <v>200</v>
      </c>
      <c r="L42" s="167"/>
      <c r="M42" s="167"/>
      <c r="N42" s="168">
        <f t="shared" si="5"/>
        <v>200</v>
      </c>
      <c r="O42" s="168">
        <f t="shared" si="6"/>
        <v>-312.60584985048388</v>
      </c>
      <c r="P42" s="168">
        <f t="shared" si="7"/>
        <v>200</v>
      </c>
      <c r="Q42" s="168">
        <f t="shared" si="19"/>
        <v>200</v>
      </c>
      <c r="R42" s="140"/>
      <c r="S42" s="167">
        <v>212.79999999999998</v>
      </c>
      <c r="T42" s="167">
        <v>212.79999999999998</v>
      </c>
      <c r="U42" s="167"/>
      <c r="V42" s="167"/>
      <c r="W42" s="241">
        <f t="shared" si="8"/>
        <v>212.79999999999998</v>
      </c>
      <c r="X42" s="168">
        <f t="shared" si="9"/>
        <v>15.903979649706949</v>
      </c>
      <c r="Y42" s="140"/>
      <c r="Z42" s="167">
        <v>0</v>
      </c>
      <c r="AA42" s="168">
        <f t="shared" si="10"/>
        <v>49.74550711685081</v>
      </c>
      <c r="AB42" s="140"/>
      <c r="AC42" s="169"/>
      <c r="AD42" s="29"/>
      <c r="AF42" s="71">
        <v>36</v>
      </c>
      <c r="AG42" s="179">
        <f t="shared" si="11"/>
        <v>3.6806658253609958E-2</v>
      </c>
      <c r="AH42" s="179">
        <v>3.7066290983621686E-2</v>
      </c>
      <c r="AI42" s="179">
        <v>3.6806658253609958E-2</v>
      </c>
      <c r="AJ42" s="179">
        <f t="shared" si="18"/>
        <v>3.6806658253609958E-2</v>
      </c>
      <c r="AL42" s="4">
        <f t="shared" si="20"/>
        <v>0</v>
      </c>
      <c r="AM42" s="4">
        <f t="shared" si="21"/>
        <v>0</v>
      </c>
      <c r="AN42" s="4">
        <f t="shared" si="13"/>
        <v>0</v>
      </c>
      <c r="AP42" s="180" t="s">
        <v>180</v>
      </c>
      <c r="AR42" s="4">
        <f t="shared" si="14"/>
        <v>36</v>
      </c>
      <c r="AS42" s="4">
        <f t="shared" si="15"/>
        <v>36</v>
      </c>
      <c r="AU42" s="4">
        <f t="shared" si="17"/>
        <v>2.8815066805319915</v>
      </c>
      <c r="AV42" s="4">
        <f t="shared" si="16"/>
        <v>0.34704066686924262</v>
      </c>
    </row>
    <row r="43" spans="2:48">
      <c r="J43" s="71">
        <v>37</v>
      </c>
      <c r="K43" s="167">
        <v>150</v>
      </c>
      <c r="L43" s="167"/>
      <c r="M43" s="167"/>
      <c r="N43" s="168">
        <f t="shared" si="5"/>
        <v>150</v>
      </c>
      <c r="O43" s="168">
        <f t="shared" si="6"/>
        <v>-324.17973544324434</v>
      </c>
      <c r="P43" s="168">
        <f t="shared" si="7"/>
        <v>150</v>
      </c>
      <c r="Q43" s="168">
        <f t="shared" si="19"/>
        <v>150</v>
      </c>
      <c r="R43" s="140"/>
      <c r="S43" s="167">
        <v>197.6</v>
      </c>
      <c r="T43" s="167">
        <v>197.6</v>
      </c>
      <c r="U43" s="167"/>
      <c r="V43" s="167"/>
      <c r="W43" s="241">
        <f t="shared" si="8"/>
        <v>197.6</v>
      </c>
      <c r="X43" s="168">
        <f t="shared" si="9"/>
        <v>16.492806893417644</v>
      </c>
      <c r="Y43" s="140"/>
      <c r="Z43" s="167">
        <v>0</v>
      </c>
      <c r="AA43" s="168">
        <f t="shared" si="10"/>
        <v>51.587279458602119</v>
      </c>
      <c r="AB43" s="140"/>
      <c r="AC43" s="169"/>
      <c r="AD43" s="29"/>
      <c r="AF43" s="71">
        <v>37</v>
      </c>
      <c r="AG43" s="179">
        <f t="shared" si="11"/>
        <v>3.7023893181449274E-2</v>
      </c>
      <c r="AH43" s="179">
        <v>3.71969709311879E-2</v>
      </c>
      <c r="AI43" s="179">
        <v>3.7023893181449274E-2</v>
      </c>
      <c r="AJ43" s="179">
        <f t="shared" si="18"/>
        <v>3.7023893181449274E-2</v>
      </c>
      <c r="AL43" s="4">
        <f t="shared" si="20"/>
        <v>0</v>
      </c>
      <c r="AM43" s="4">
        <f t="shared" si="21"/>
        <v>0</v>
      </c>
      <c r="AN43" s="4">
        <f t="shared" si="13"/>
        <v>0</v>
      </c>
      <c r="AP43" s="180" t="s">
        <v>180</v>
      </c>
      <c r="AR43" s="4">
        <f t="shared" si="14"/>
        <v>37</v>
      </c>
      <c r="AS43" s="4">
        <f t="shared" si="15"/>
        <v>37</v>
      </c>
      <c r="AU43" s="4">
        <f t="shared" si="17"/>
        <v>2.9881912760736404</v>
      </c>
      <c r="AV43" s="4">
        <f t="shared" si="16"/>
        <v>0.33465059884451526</v>
      </c>
    </row>
    <row r="44" spans="2:48">
      <c r="B44" s="20" t="s">
        <v>250</v>
      </c>
      <c r="H44" s="31"/>
      <c r="J44" s="71">
        <v>38</v>
      </c>
      <c r="K44" s="167">
        <v>100</v>
      </c>
      <c r="L44" s="167"/>
      <c r="M44" s="167"/>
      <c r="N44" s="168">
        <f t="shared" si="5"/>
        <v>100</v>
      </c>
      <c r="O44" s="168">
        <f t="shared" si="6"/>
        <v>-336.23969041282083</v>
      </c>
      <c r="P44" s="168">
        <f t="shared" si="7"/>
        <v>100</v>
      </c>
      <c r="Q44" s="168">
        <f t="shared" si="19"/>
        <v>100</v>
      </c>
      <c r="R44" s="140"/>
      <c r="S44" s="167">
        <v>182.39999999999998</v>
      </c>
      <c r="T44" s="167">
        <v>182.39999999999998</v>
      </c>
      <c r="U44" s="167"/>
      <c r="V44" s="167"/>
      <c r="W44" s="241">
        <f t="shared" si="8"/>
        <v>182.39999999999998</v>
      </c>
      <c r="X44" s="168">
        <f t="shared" si="9"/>
        <v>17.106363160852382</v>
      </c>
      <c r="Y44" s="140"/>
      <c r="Z44" s="167">
        <v>0</v>
      </c>
      <c r="AA44" s="168">
        <f t="shared" si="10"/>
        <v>53.506400857177702</v>
      </c>
      <c r="AB44" s="140"/>
      <c r="AC44" s="169"/>
      <c r="AD44" s="29"/>
      <c r="AF44" s="71">
        <v>38</v>
      </c>
      <c r="AG44" s="179">
        <f t="shared" si="11"/>
        <v>3.7201446145568529E-2</v>
      </c>
      <c r="AH44" s="179">
        <v>3.7309286400945663E-2</v>
      </c>
      <c r="AI44" s="179">
        <v>3.7201446145568529E-2</v>
      </c>
      <c r="AJ44" s="179">
        <f t="shared" si="18"/>
        <v>3.7201446145568529E-2</v>
      </c>
      <c r="AL44" s="4">
        <f t="shared" si="20"/>
        <v>0</v>
      </c>
      <c r="AM44" s="4">
        <f t="shared" si="21"/>
        <v>0</v>
      </c>
      <c r="AN44" s="4">
        <f t="shared" si="13"/>
        <v>0</v>
      </c>
      <c r="AP44" s="180" t="s">
        <v>180</v>
      </c>
      <c r="AR44" s="4">
        <f t="shared" si="14"/>
        <v>38</v>
      </c>
      <c r="AS44" s="4">
        <f t="shared" si="15"/>
        <v>38</v>
      </c>
      <c r="AU44" s="4">
        <f t="shared" si="17"/>
        <v>3.0993563129031516</v>
      </c>
      <c r="AV44" s="4">
        <f t="shared" si="16"/>
        <v>0.32264764003958779</v>
      </c>
    </row>
    <row r="45" spans="2:48">
      <c r="B45" s="79" t="s">
        <v>251</v>
      </c>
      <c r="G45" s="4">
        <f>MAX(AS7:AS126)</f>
        <v>49</v>
      </c>
      <c r="H45" s="31"/>
      <c r="J45" s="71">
        <v>39</v>
      </c>
      <c r="K45" s="167">
        <v>95</v>
      </c>
      <c r="L45" s="167"/>
      <c r="M45" s="167"/>
      <c r="N45" s="168">
        <f t="shared" si="5"/>
        <v>95</v>
      </c>
      <c r="O45" s="168">
        <f t="shared" si="6"/>
        <v>-348.79710331619282</v>
      </c>
      <c r="P45" s="168">
        <f t="shared" si="7"/>
        <v>95</v>
      </c>
      <c r="Q45" s="168">
        <f t="shared" si="19"/>
        <v>95</v>
      </c>
      <c r="R45" s="140"/>
      <c r="S45" s="167">
        <v>167.2</v>
      </c>
      <c r="T45" s="167">
        <v>167.2</v>
      </c>
      <c r="U45" s="167"/>
      <c r="V45" s="167"/>
      <c r="W45" s="241">
        <f t="shared" si="8"/>
        <v>167.2</v>
      </c>
      <c r="X45" s="168">
        <f t="shared" si="9"/>
        <v>17.745227850568575</v>
      </c>
      <c r="Y45" s="140"/>
      <c r="Z45" s="167">
        <v>0</v>
      </c>
      <c r="AA45" s="168">
        <f t="shared" si="10"/>
        <v>55.50468359325798</v>
      </c>
      <c r="AB45" s="140"/>
      <c r="AC45" s="169"/>
      <c r="AD45" s="29"/>
      <c r="AF45" s="71">
        <v>39</v>
      </c>
      <c r="AG45" s="179">
        <f t="shared" si="11"/>
        <v>3.7346610948738812E-2</v>
      </c>
      <c r="AH45" s="179">
        <v>3.7405837595635649E-2</v>
      </c>
      <c r="AI45" s="179">
        <v>3.7346610948738812E-2</v>
      </c>
      <c r="AJ45" s="179">
        <f t="shared" si="18"/>
        <v>3.7346610948738812E-2</v>
      </c>
      <c r="AL45" s="4">
        <f t="shared" si="20"/>
        <v>0</v>
      </c>
      <c r="AM45" s="4">
        <f t="shared" si="21"/>
        <v>0</v>
      </c>
      <c r="AN45" s="4">
        <f t="shared" si="13"/>
        <v>0</v>
      </c>
      <c r="AP45" s="180" t="s">
        <v>180</v>
      </c>
      <c r="AR45" s="4">
        <f t="shared" si="14"/>
        <v>39</v>
      </c>
      <c r="AS45" s="4">
        <f t="shared" si="15"/>
        <v>39</v>
      </c>
      <c r="AU45" s="4">
        <f t="shared" si="17"/>
        <v>3.2151067673126632</v>
      </c>
      <c r="AV45" s="4">
        <f t="shared" si="16"/>
        <v>0.31103166158175422</v>
      </c>
    </row>
    <row r="46" spans="2:48">
      <c r="B46" s="79" t="s">
        <v>255</v>
      </c>
      <c r="G46" s="4">
        <f>MAX(AR7:AR126)</f>
        <v>60</v>
      </c>
      <c r="H46" s="31"/>
      <c r="J46" s="71">
        <v>40</v>
      </c>
      <c r="K46" s="167">
        <v>90</v>
      </c>
      <c r="L46" s="167"/>
      <c r="M46" s="167"/>
      <c r="N46" s="168">
        <f t="shared" si="5"/>
        <v>90</v>
      </c>
      <c r="O46" s="168">
        <f t="shared" si="6"/>
        <v>-361.86490044495633</v>
      </c>
      <c r="P46" s="168">
        <f t="shared" si="7"/>
        <v>90</v>
      </c>
      <c r="Q46" s="168">
        <f t="shared" si="19"/>
        <v>90</v>
      </c>
      <c r="R46" s="140"/>
      <c r="S46" s="167">
        <v>152</v>
      </c>
      <c r="T46" s="167">
        <v>152</v>
      </c>
      <c r="U46" s="167"/>
      <c r="V46" s="167"/>
      <c r="W46" s="241">
        <f t="shared" si="8"/>
        <v>152</v>
      </c>
      <c r="X46" s="168">
        <f t="shared" si="9"/>
        <v>18.410058594144733</v>
      </c>
      <c r="Y46" s="140"/>
      <c r="Z46" s="167">
        <v>0</v>
      </c>
      <c r="AA46" s="168">
        <f t="shared" si="10"/>
        <v>57.58418464988052</v>
      </c>
      <c r="AB46" s="140"/>
      <c r="AC46" s="169"/>
      <c r="AD46" s="29"/>
      <c r="AF46" s="71">
        <v>40</v>
      </c>
      <c r="AG46" s="179">
        <f t="shared" si="11"/>
        <v>3.7465325842793051E-2</v>
      </c>
      <c r="AH46" s="179">
        <v>3.7488851511158661E-2</v>
      </c>
      <c r="AI46" s="179">
        <v>3.7465325842793051E-2</v>
      </c>
      <c r="AJ46" s="179">
        <f t="shared" si="18"/>
        <v>3.7465325842793051E-2</v>
      </c>
      <c r="AL46" s="4">
        <f t="shared" si="20"/>
        <v>0</v>
      </c>
      <c r="AM46" s="4">
        <f t="shared" si="21"/>
        <v>0</v>
      </c>
      <c r="AN46" s="4">
        <f t="shared" si="13"/>
        <v>0</v>
      </c>
      <c r="AP46" s="180" t="s">
        <v>180</v>
      </c>
      <c r="AR46" s="4">
        <f t="shared" si="14"/>
        <v>40</v>
      </c>
      <c r="AS46" s="4">
        <f t="shared" si="15"/>
        <v>40</v>
      </c>
      <c r="AU46" s="4">
        <f t="shared" si="17"/>
        <v>3.3355617899694012</v>
      </c>
      <c r="AV46" s="4">
        <f t="shared" si="16"/>
        <v>0.29979957289568709</v>
      </c>
    </row>
    <row r="47" spans="2:48">
      <c r="B47" s="79" t="s">
        <v>256</v>
      </c>
      <c r="G47" s="4">
        <f>IF(G45&gt;=G46,G46,MAX(G45,G5))</f>
        <v>49</v>
      </c>
      <c r="H47" s="31"/>
      <c r="J47" s="71">
        <v>41</v>
      </c>
      <c r="K47" s="167">
        <v>85</v>
      </c>
      <c r="L47" s="167"/>
      <c r="M47" s="167"/>
      <c r="N47" s="168">
        <f t="shared" si="5"/>
        <v>85</v>
      </c>
      <c r="O47" s="168">
        <f t="shared" si="6"/>
        <v>-375.45742556771904</v>
      </c>
      <c r="P47" s="168">
        <f t="shared" si="7"/>
        <v>85</v>
      </c>
      <c r="Q47" s="168">
        <f t="shared" si="19"/>
        <v>85</v>
      </c>
      <c r="R47" s="140"/>
      <c r="S47" s="167">
        <v>136.79999999999998</v>
      </c>
      <c r="T47" s="167">
        <v>136.79999999999998</v>
      </c>
      <c r="U47" s="167"/>
      <c r="V47" s="167"/>
      <c r="W47" s="241">
        <f t="shared" si="8"/>
        <v>136.79999999999998</v>
      </c>
      <c r="X47" s="168">
        <f t="shared" si="9"/>
        <v>19.101585138014411</v>
      </c>
      <c r="Y47" s="140"/>
      <c r="Z47" s="167">
        <v>0</v>
      </c>
      <c r="AA47" s="168">
        <f t="shared" si="10"/>
        <v>59.747186575640285</v>
      </c>
      <c r="AB47" s="140"/>
      <c r="AC47" s="169"/>
      <c r="AD47" s="29"/>
      <c r="AF47" s="71">
        <v>41</v>
      </c>
      <c r="AG47" s="179">
        <f t="shared" si="11"/>
        <v>3.7562430360195354E-2</v>
      </c>
      <c r="AH47" s="179">
        <v>3.7560236809296876E-2</v>
      </c>
      <c r="AI47" s="179">
        <v>3.7562430360195354E-2</v>
      </c>
      <c r="AJ47" s="179">
        <f t="shared" si="18"/>
        <v>3.7562430360195354E-2</v>
      </c>
      <c r="AL47" s="4">
        <f t="shared" si="20"/>
        <v>0</v>
      </c>
      <c r="AM47" s="4">
        <f t="shared" si="21"/>
        <v>0</v>
      </c>
      <c r="AN47" s="4">
        <f t="shared" si="13"/>
        <v>0</v>
      </c>
      <c r="AP47" s="180" t="s">
        <v>180</v>
      </c>
      <c r="AR47" s="4">
        <f t="shared" si="14"/>
        <v>41</v>
      </c>
      <c r="AS47" s="4">
        <f t="shared" si="15"/>
        <v>41</v>
      </c>
      <c r="AU47" s="4">
        <f t="shared" si="17"/>
        <v>3.4608535974172554</v>
      </c>
      <c r="AV47" s="4">
        <f t="shared" si="16"/>
        <v>0.28894605676075807</v>
      </c>
    </row>
    <row r="48" spans="2:48">
      <c r="H48" s="31"/>
      <c r="J48" s="71">
        <v>42</v>
      </c>
      <c r="K48" s="167">
        <v>80</v>
      </c>
      <c r="L48" s="167"/>
      <c r="M48" s="167"/>
      <c r="N48" s="168">
        <f t="shared" si="5"/>
        <v>80</v>
      </c>
      <c r="O48" s="168">
        <f t="shared" si="6"/>
        <v>-389.5903458782297</v>
      </c>
      <c r="P48" s="168">
        <f t="shared" si="7"/>
        <v>80</v>
      </c>
      <c r="Q48" s="168">
        <f t="shared" si="19"/>
        <v>80</v>
      </c>
      <c r="R48" s="140"/>
      <c r="S48" s="167">
        <v>121.6</v>
      </c>
      <c r="T48" s="167">
        <v>121.6</v>
      </c>
      <c r="U48" s="167"/>
      <c r="V48" s="167"/>
      <c r="W48" s="241">
        <f t="shared" si="8"/>
        <v>121.6</v>
      </c>
      <c r="X48" s="168">
        <f t="shared" si="9"/>
        <v>19.820604558530043</v>
      </c>
      <c r="Y48" s="140"/>
      <c r="Z48" s="167">
        <v>0</v>
      </c>
      <c r="AA48" s="168">
        <f t="shared" si="10"/>
        <v>61.996182518053566</v>
      </c>
      <c r="AB48" s="140"/>
      <c r="AC48" s="169"/>
      <c r="AD48" s="29"/>
      <c r="AF48" s="71">
        <v>42</v>
      </c>
      <c r="AG48" s="179">
        <f t="shared" si="11"/>
        <v>3.7641871882386324E-2</v>
      </c>
      <c r="AH48" s="179">
        <v>3.7621630286904129E-2</v>
      </c>
      <c r="AI48" s="179">
        <v>3.7641871882386324E-2</v>
      </c>
      <c r="AJ48" s="179">
        <f t="shared" si="18"/>
        <v>3.7641871882386324E-2</v>
      </c>
      <c r="AL48" s="4">
        <f t="shared" si="20"/>
        <v>0</v>
      </c>
      <c r="AM48" s="4">
        <f t="shared" si="21"/>
        <v>0</v>
      </c>
      <c r="AN48" s="4">
        <f t="shared" si="13"/>
        <v>0</v>
      </c>
      <c r="AP48" s="180" t="s">
        <v>180</v>
      </c>
      <c r="AR48" s="4">
        <f t="shared" si="14"/>
        <v>42</v>
      </c>
      <c r="AS48" s="4">
        <f t="shared" si="15"/>
        <v>42</v>
      </c>
      <c r="AU48" s="4">
        <f t="shared" si="17"/>
        <v>3.5911266051349315</v>
      </c>
      <c r="AV48" s="4">
        <f t="shared" si="16"/>
        <v>0.27846414508753481</v>
      </c>
    </row>
    <row r="49" spans="8:48">
      <c r="H49" s="31"/>
      <c r="J49" s="71">
        <v>43</v>
      </c>
      <c r="K49" s="167">
        <v>75</v>
      </c>
      <c r="L49" s="167"/>
      <c r="M49" s="167"/>
      <c r="N49" s="168">
        <f t="shared" si="5"/>
        <v>75</v>
      </c>
      <c r="O49" s="168">
        <f t="shared" si="6"/>
        <v>-404.28057929887768</v>
      </c>
      <c r="P49" s="168">
        <f t="shared" si="7"/>
        <v>75</v>
      </c>
      <c r="Q49" s="168">
        <f t="shared" si="19"/>
        <v>75</v>
      </c>
      <c r="R49" s="140"/>
      <c r="S49" s="167">
        <v>106.39999999999999</v>
      </c>
      <c r="T49" s="167">
        <v>106.39999999999999</v>
      </c>
      <c r="U49" s="167"/>
      <c r="V49" s="167"/>
      <c r="W49" s="241">
        <f t="shared" si="8"/>
        <v>106.39999999999999</v>
      </c>
      <c r="X49" s="168">
        <f t="shared" si="9"/>
        <v>20.567977563491961</v>
      </c>
      <c r="Y49" s="140"/>
      <c r="Z49" s="167">
        <v>0</v>
      </c>
      <c r="AA49" s="168">
        <f t="shared" si="10"/>
        <v>64.333864655238671</v>
      </c>
      <c r="AB49" s="140"/>
      <c r="AC49" s="169"/>
      <c r="AD49" s="29"/>
      <c r="AF49" s="71">
        <v>43</v>
      </c>
      <c r="AG49" s="179">
        <f t="shared" si="11"/>
        <v>3.7706872298215455E-2</v>
      </c>
      <c r="AH49" s="179">
        <v>3.7674436313410276E-2</v>
      </c>
      <c r="AI49" s="179">
        <v>3.7706872298215455E-2</v>
      </c>
      <c r="AJ49" s="179">
        <f t="shared" si="18"/>
        <v>3.7706872298215455E-2</v>
      </c>
      <c r="AL49" s="4">
        <f t="shared" si="20"/>
        <v>0</v>
      </c>
      <c r="AM49" s="4">
        <f t="shared" si="21"/>
        <v>0</v>
      </c>
      <c r="AN49" s="4">
        <f t="shared" si="13"/>
        <v>0</v>
      </c>
      <c r="AP49" s="180" t="s">
        <v>180</v>
      </c>
      <c r="AR49" s="4">
        <f t="shared" si="14"/>
        <v>43</v>
      </c>
      <c r="AS49" s="4">
        <f t="shared" si="15"/>
        <v>43</v>
      </c>
      <c r="AU49" s="4">
        <f t="shared" si="17"/>
        <v>3.7265367574414783</v>
      </c>
      <c r="AV49" s="4">
        <f t="shared" si="16"/>
        <v>0.26834566920696851</v>
      </c>
    </row>
    <row r="50" spans="8:48">
      <c r="H50" s="31"/>
      <c r="J50" s="71">
        <v>44</v>
      </c>
      <c r="K50" s="167">
        <v>70</v>
      </c>
      <c r="L50" s="167"/>
      <c r="M50" s="167"/>
      <c r="N50" s="168">
        <f t="shared" si="5"/>
        <v>70</v>
      </c>
      <c r="O50" s="168">
        <f t="shared" si="6"/>
        <v>-419.54623936650677</v>
      </c>
      <c r="P50" s="168">
        <f t="shared" si="7"/>
        <v>70</v>
      </c>
      <c r="Q50" s="168">
        <f t="shared" si="19"/>
        <v>70</v>
      </c>
      <c r="R50" s="140"/>
      <c r="S50" s="167">
        <v>91.199999999999989</v>
      </c>
      <c r="T50" s="167">
        <v>91.199999999999989</v>
      </c>
      <c r="U50" s="167"/>
      <c r="V50" s="167"/>
      <c r="W50" s="241">
        <f t="shared" si="8"/>
        <v>91.199999999999989</v>
      </c>
      <c r="X50" s="168">
        <f t="shared" si="9"/>
        <v>21.344625688186486</v>
      </c>
      <c r="Y50" s="140"/>
      <c r="Z50" s="167">
        <v>0</v>
      </c>
      <c r="AA50" s="168">
        <f t="shared" si="10"/>
        <v>66.763115425500587</v>
      </c>
      <c r="AB50" s="140"/>
      <c r="AC50" s="169"/>
      <c r="AD50" s="29"/>
      <c r="AF50" s="71">
        <v>44</v>
      </c>
      <c r="AG50" s="179">
        <f t="shared" si="11"/>
        <v>3.7760062811089012E-2</v>
      </c>
      <c r="AH50" s="179">
        <v>3.7719860363745639E-2</v>
      </c>
      <c r="AI50" s="179">
        <v>3.7760062811089012E-2</v>
      </c>
      <c r="AJ50" s="179">
        <f t="shared" si="18"/>
        <v>3.7760062811089012E-2</v>
      </c>
      <c r="AL50" s="4">
        <f t="shared" si="20"/>
        <v>0</v>
      </c>
      <c r="AM50" s="4">
        <f t="shared" si="21"/>
        <v>0</v>
      </c>
      <c r="AN50" s="4">
        <f t="shared" si="13"/>
        <v>0</v>
      </c>
      <c r="AP50" s="180" t="s">
        <v>180</v>
      </c>
      <c r="AR50" s="4">
        <f t="shared" si="14"/>
        <v>44</v>
      </c>
      <c r="AS50" s="4">
        <f t="shared" si="15"/>
        <v>44</v>
      </c>
      <c r="AU50" s="4">
        <f t="shared" si="17"/>
        <v>3.8672510194703005</v>
      </c>
      <c r="AV50" s="4">
        <f t="shared" si="16"/>
        <v>0.25858161132166968</v>
      </c>
    </row>
    <row r="51" spans="8:48">
      <c r="H51" s="31"/>
      <c r="J51" s="71">
        <v>45</v>
      </c>
      <c r="K51" s="167">
        <v>65</v>
      </c>
      <c r="L51" s="167"/>
      <c r="M51" s="167"/>
      <c r="N51" s="168">
        <f t="shared" si="5"/>
        <v>65</v>
      </c>
      <c r="O51" s="168">
        <f t="shared" si="6"/>
        <v>-435.40659473443498</v>
      </c>
      <c r="P51" s="168">
        <f t="shared" si="7"/>
        <v>65</v>
      </c>
      <c r="Q51" s="168">
        <f t="shared" si="19"/>
        <v>65</v>
      </c>
      <c r="R51" s="140"/>
      <c r="S51" s="167">
        <v>76</v>
      </c>
      <c r="T51" s="167">
        <v>76</v>
      </c>
      <c r="U51" s="167"/>
      <c r="V51" s="167"/>
      <c r="W51" s="241">
        <f t="shared" si="8"/>
        <v>76</v>
      </c>
      <c r="X51" s="168">
        <f t="shared" si="9"/>
        <v>22.151529235030843</v>
      </c>
      <c r="Y51" s="140"/>
      <c r="Z51" s="167">
        <v>0</v>
      </c>
      <c r="AA51" s="168">
        <f t="shared" si="10"/>
        <v>69.287001082817667</v>
      </c>
      <c r="AB51" s="140"/>
      <c r="AC51" s="169"/>
      <c r="AD51" s="29"/>
      <c r="AF51" s="71">
        <v>45</v>
      </c>
      <c r="AG51" s="179">
        <f t="shared" si="11"/>
        <v>3.7803593215080422E-2</v>
      </c>
      <c r="AH51" s="179">
        <v>3.7758937577279772E-2</v>
      </c>
      <c r="AI51" s="179">
        <v>3.7803593215080422E-2</v>
      </c>
      <c r="AJ51" s="179">
        <f t="shared" si="18"/>
        <v>3.7803593215080422E-2</v>
      </c>
      <c r="AL51" s="4">
        <f t="shared" si="20"/>
        <v>0</v>
      </c>
      <c r="AM51" s="4">
        <f t="shared" si="21"/>
        <v>0</v>
      </c>
      <c r="AN51" s="4">
        <f t="shared" si="13"/>
        <v>0</v>
      </c>
      <c r="AP51" s="180" t="s">
        <v>180</v>
      </c>
      <c r="AR51" s="4">
        <f t="shared" si="14"/>
        <v>45</v>
      </c>
      <c r="AS51" s="4">
        <f t="shared" si="15"/>
        <v>45</v>
      </c>
      <c r="AU51" s="4">
        <f t="shared" si="17"/>
        <v>4.0134470038709606</v>
      </c>
      <c r="AV51" s="4">
        <f t="shared" si="16"/>
        <v>0.24916237813418296</v>
      </c>
    </row>
    <row r="52" spans="8:48">
      <c r="H52" s="31"/>
      <c r="J52" s="71">
        <v>46</v>
      </c>
      <c r="K52" s="167">
        <v>60</v>
      </c>
      <c r="L52" s="167"/>
      <c r="M52" s="167"/>
      <c r="N52" s="168">
        <f t="shared" si="5"/>
        <v>60</v>
      </c>
      <c r="O52" s="168">
        <f t="shared" si="6"/>
        <v>-451.88204093747146</v>
      </c>
      <c r="P52" s="168">
        <f t="shared" si="7"/>
        <v>60</v>
      </c>
      <c r="Q52" s="168">
        <f t="shared" si="19"/>
        <v>60</v>
      </c>
      <c r="R52" s="140"/>
      <c r="S52" s="167">
        <v>60.8</v>
      </c>
      <c r="T52" s="167">
        <v>60.8</v>
      </c>
      <c r="U52" s="167"/>
      <c r="V52" s="167"/>
      <c r="W52" s="241">
        <f t="shared" si="8"/>
        <v>60.8</v>
      </c>
      <c r="X52" s="168">
        <f t="shared" si="9"/>
        <v>22.989725837104213</v>
      </c>
      <c r="Y52" s="140"/>
      <c r="Z52" s="167">
        <v>0</v>
      </c>
      <c r="AA52" s="168">
        <f t="shared" si="10"/>
        <v>71.908767203760192</v>
      </c>
      <c r="AB52" s="140"/>
      <c r="AC52" s="169"/>
      <c r="AD52" s="29"/>
      <c r="AF52" s="71">
        <v>46</v>
      </c>
      <c r="AG52" s="179">
        <f t="shared" si="11"/>
        <v>3.7839220632579718E-2</v>
      </c>
      <c r="AH52" s="179">
        <v>3.779255711540741E-2</v>
      </c>
      <c r="AI52" s="179">
        <v>3.7839220632579718E-2</v>
      </c>
      <c r="AJ52" s="179">
        <f t="shared" si="18"/>
        <v>3.7839220632579718E-2</v>
      </c>
      <c r="AL52" s="4">
        <f t="shared" si="20"/>
        <v>0</v>
      </c>
      <c r="AM52" s="4">
        <f t="shared" si="21"/>
        <v>0</v>
      </c>
      <c r="AN52" s="4">
        <f t="shared" si="13"/>
        <v>0</v>
      </c>
      <c r="AP52" s="180" t="s">
        <v>180</v>
      </c>
      <c r="AR52" s="4">
        <f t="shared" si="14"/>
        <v>46</v>
      </c>
      <c r="AS52" s="4">
        <f t="shared" si="15"/>
        <v>46</v>
      </c>
      <c r="AU52" s="4">
        <f t="shared" si="17"/>
        <v>4.1653127105475996</v>
      </c>
      <c r="AV52" s="4">
        <f t="shared" si="16"/>
        <v>0.24007801322281355</v>
      </c>
    </row>
    <row r="53" spans="8:48">
      <c r="H53" s="31"/>
      <c r="J53" s="71">
        <v>47</v>
      </c>
      <c r="K53" s="167">
        <v>55</v>
      </c>
      <c r="L53" s="167"/>
      <c r="M53" s="167"/>
      <c r="N53" s="168">
        <f t="shared" si="5"/>
        <v>55</v>
      </c>
      <c r="O53" s="168">
        <f t="shared" si="6"/>
        <v>-468.99408253746964</v>
      </c>
      <c r="P53" s="168">
        <f t="shared" si="7"/>
        <v>55</v>
      </c>
      <c r="Q53" s="168">
        <f t="shared" si="19"/>
        <v>55</v>
      </c>
      <c r="R53" s="140"/>
      <c r="S53" s="167">
        <v>45.599999999999994</v>
      </c>
      <c r="T53" s="167">
        <v>45.599999999999994</v>
      </c>
      <c r="U53" s="167"/>
      <c r="V53" s="167"/>
      <c r="W53" s="241">
        <f t="shared" si="8"/>
        <v>45.599999999999994</v>
      </c>
      <c r="X53" s="168">
        <f t="shared" si="9"/>
        <v>23.860309549793776</v>
      </c>
      <c r="Y53" s="140"/>
      <c r="Z53" s="167">
        <v>0</v>
      </c>
      <c r="AA53" s="168">
        <f t="shared" si="10"/>
        <v>74.631835846281433</v>
      </c>
      <c r="AB53" s="140"/>
      <c r="AC53" s="169"/>
      <c r="AD53" s="29"/>
      <c r="AF53" s="71">
        <v>47</v>
      </c>
      <c r="AG53" s="179">
        <f t="shared" si="11"/>
        <v>3.7868381678762164E-2</v>
      </c>
      <c r="AH53" s="179">
        <v>3.7821482961544417E-2</v>
      </c>
      <c r="AI53" s="179">
        <v>3.7868381678762164E-2</v>
      </c>
      <c r="AJ53" s="179">
        <f t="shared" si="18"/>
        <v>3.7868381678762164E-2</v>
      </c>
      <c r="AL53" s="4">
        <f t="shared" si="20"/>
        <v>0</v>
      </c>
      <c r="AM53" s="4">
        <f t="shared" si="21"/>
        <v>0</v>
      </c>
      <c r="AN53" s="4">
        <f t="shared" si="13"/>
        <v>0</v>
      </c>
      <c r="AP53" s="180" t="s">
        <v>180</v>
      </c>
      <c r="AR53" s="4">
        <f t="shared" si="14"/>
        <v>47</v>
      </c>
      <c r="AS53" s="4">
        <f t="shared" si="15"/>
        <v>47</v>
      </c>
      <c r="AU53" s="4">
        <f t="shared" si="17"/>
        <v>4.3230463620820156</v>
      </c>
      <c r="AV53" s="4">
        <f t="shared" si="16"/>
        <v>0.2313183612304337</v>
      </c>
    </row>
    <row r="54" spans="8:48">
      <c r="H54" s="31"/>
      <c r="J54" s="71">
        <v>48</v>
      </c>
      <c r="K54" s="167">
        <v>50</v>
      </c>
      <c r="L54" s="167"/>
      <c r="M54" s="167"/>
      <c r="N54" s="168">
        <f t="shared" si="5"/>
        <v>50</v>
      </c>
      <c r="O54" s="168">
        <f t="shared" si="6"/>
        <v>-486.76532413304875</v>
      </c>
      <c r="P54" s="168">
        <f t="shared" si="7"/>
        <v>50</v>
      </c>
      <c r="Q54" s="168">
        <f t="shared" si="19"/>
        <v>50</v>
      </c>
      <c r="R54" s="140"/>
      <c r="S54" s="167">
        <v>30.4</v>
      </c>
      <c r="T54" s="167">
        <v>30.4</v>
      </c>
      <c r="U54" s="167"/>
      <c r="V54" s="167"/>
      <c r="W54" s="241">
        <f t="shared" si="8"/>
        <v>30.4</v>
      </c>
      <c r="X54" s="168">
        <f t="shared" si="9"/>
        <v>24.764430393409775</v>
      </c>
      <c r="Y54" s="140"/>
      <c r="Z54" s="167">
        <v>0</v>
      </c>
      <c r="AA54" s="168">
        <f t="shared" si="10"/>
        <v>77.459804119079209</v>
      </c>
      <c r="AB54" s="140"/>
      <c r="AC54" s="169"/>
      <c r="AD54" s="29"/>
      <c r="AF54" s="71">
        <v>48</v>
      </c>
      <c r="AG54" s="179">
        <f t="shared" si="11"/>
        <v>3.7892251218669237E-2</v>
      </c>
      <c r="AH54" s="179">
        <v>3.7846371702046966E-2</v>
      </c>
      <c r="AI54" s="179">
        <v>3.7892251218669237E-2</v>
      </c>
      <c r="AJ54" s="179">
        <f t="shared" si="18"/>
        <v>3.7892251218669237E-2</v>
      </c>
      <c r="AL54" s="4">
        <f t="shared" si="20"/>
        <v>0</v>
      </c>
      <c r="AM54" s="4">
        <f t="shared" si="21"/>
        <v>0</v>
      </c>
      <c r="AN54" s="4">
        <f t="shared" si="13"/>
        <v>0</v>
      </c>
      <c r="AP54" s="180" t="s">
        <v>180</v>
      </c>
      <c r="AR54" s="4">
        <f t="shared" si="14"/>
        <v>48</v>
      </c>
      <c r="AS54" s="4">
        <f t="shared" si="15"/>
        <v>48</v>
      </c>
      <c r="AU54" s="4">
        <f t="shared" si="17"/>
        <v>4.4868563208639811</v>
      </c>
      <c r="AV54" s="4">
        <f t="shared" si="16"/>
        <v>0.22287319416714502</v>
      </c>
    </row>
    <row r="55" spans="8:48">
      <c r="H55" s="31"/>
      <c r="J55" s="71">
        <v>49</v>
      </c>
      <c r="K55" s="167">
        <v>45</v>
      </c>
      <c r="L55" s="167"/>
      <c r="M55" s="167"/>
      <c r="N55" s="168">
        <f t="shared" si="5"/>
        <v>45</v>
      </c>
      <c r="O55" s="168">
        <f t="shared" si="6"/>
        <v>-505.21946900540667</v>
      </c>
      <c r="P55" s="168">
        <f t="shared" si="7"/>
        <v>45</v>
      </c>
      <c r="Q55" s="168">
        <f t="shared" si="19"/>
        <v>45</v>
      </c>
      <c r="R55" s="140"/>
      <c r="S55" s="167">
        <v>15.2</v>
      </c>
      <c r="T55" s="167">
        <v>15.2</v>
      </c>
      <c r="U55" s="167"/>
      <c r="V55" s="167"/>
      <c r="W55" s="241">
        <f t="shared" si="8"/>
        <v>15.2</v>
      </c>
      <c r="X55" s="168">
        <f t="shared" si="9"/>
        <v>25.703294284290575</v>
      </c>
      <c r="Y55" s="140"/>
      <c r="Z55" s="167">
        <v>0</v>
      </c>
      <c r="AA55" s="168">
        <f t="shared" si="10"/>
        <v>80.396443966101742</v>
      </c>
      <c r="AB55" s="140"/>
      <c r="AC55" s="169"/>
      <c r="AD55" s="29"/>
      <c r="AF55" s="71">
        <v>49</v>
      </c>
      <c r="AG55" s="179">
        <f t="shared" si="11"/>
        <v>3.7911790255860112E-2</v>
      </c>
      <c r="AH55" s="179">
        <v>3.7867787740851089E-2</v>
      </c>
      <c r="AI55" s="179">
        <v>3.7911790255860112E-2</v>
      </c>
      <c r="AJ55" s="179">
        <f t="shared" si="18"/>
        <v>3.7911790255860112E-2</v>
      </c>
      <c r="AL55" s="4">
        <f t="shared" si="20"/>
        <v>0</v>
      </c>
      <c r="AM55" s="4">
        <f t="shared" si="21"/>
        <v>0</v>
      </c>
      <c r="AN55" s="4">
        <f t="shared" si="13"/>
        <v>0</v>
      </c>
      <c r="AP55" s="180" t="s">
        <v>180</v>
      </c>
      <c r="AR55" s="4">
        <f t="shared" si="14"/>
        <v>49</v>
      </c>
      <c r="AS55" s="4">
        <f t="shared" si="15"/>
        <v>49</v>
      </c>
      <c r="AU55" s="4">
        <f t="shared" si="17"/>
        <v>4.6569610766087566</v>
      </c>
      <c r="AV55" s="4">
        <f t="shared" si="16"/>
        <v>0.21473230794709788</v>
      </c>
    </row>
    <row r="56" spans="8:48">
      <c r="H56" s="31"/>
      <c r="J56" s="71">
        <v>50</v>
      </c>
      <c r="K56" s="167">
        <v>40</v>
      </c>
      <c r="L56" s="167"/>
      <c r="M56" s="167"/>
      <c r="N56" s="168">
        <f t="shared" si="5"/>
        <v>40</v>
      </c>
      <c r="O56" s="168">
        <f t="shared" si="6"/>
        <v>-524.38132440072411</v>
      </c>
      <c r="P56" s="168">
        <f t="shared" si="7"/>
        <v>40</v>
      </c>
      <c r="Q56" s="168">
        <f t="shared" si="19"/>
        <v>0</v>
      </c>
      <c r="R56" s="140"/>
      <c r="S56" s="167">
        <v>0</v>
      </c>
      <c r="T56" s="167">
        <v>0</v>
      </c>
      <c r="U56" s="167"/>
      <c r="V56" s="167"/>
      <c r="W56" s="241">
        <f t="shared" si="8"/>
        <v>0</v>
      </c>
      <c r="X56" s="168">
        <f t="shared" si="9"/>
        <v>26.678163303547617</v>
      </c>
      <c r="Y56" s="140"/>
      <c r="Z56" s="167">
        <v>0</v>
      </c>
      <c r="AA56" s="168">
        <f t="shared" si="10"/>
        <v>83.445703007145738</v>
      </c>
      <c r="AB56" s="140"/>
      <c r="AC56" s="169"/>
      <c r="AD56" s="29"/>
      <c r="AF56" s="71">
        <v>50</v>
      </c>
      <c r="AG56" s="179">
        <f t="shared" si="11"/>
        <v>3.7927784994193026E-2</v>
      </c>
      <c r="AH56" s="179">
        <v>3.7886216328102407E-2</v>
      </c>
      <c r="AI56" s="179">
        <v>3.7927784994193026E-2</v>
      </c>
      <c r="AJ56" s="179">
        <f t="shared" si="18"/>
        <v>3.7927784994193026E-2</v>
      </c>
      <c r="AL56" s="4">
        <f t="shared" si="20"/>
        <v>0</v>
      </c>
      <c r="AM56" s="4">
        <f t="shared" si="21"/>
        <v>0</v>
      </c>
      <c r="AN56" s="4">
        <f t="shared" si="13"/>
        <v>0</v>
      </c>
      <c r="AP56" s="180" t="s">
        <v>180</v>
      </c>
      <c r="AR56" s="4">
        <f t="shared" si="14"/>
        <v>50</v>
      </c>
      <c r="AS56" s="4">
        <f t="shared" si="15"/>
        <v>0</v>
      </c>
      <c r="AU56" s="4">
        <f t="shared" si="17"/>
        <v>4.8335892950486992</v>
      </c>
      <c r="AV56" s="4">
        <f t="shared" si="16"/>
        <v>0.20688559556029157</v>
      </c>
    </row>
    <row r="57" spans="8:48">
      <c r="H57" s="31"/>
      <c r="J57" s="71">
        <v>51</v>
      </c>
      <c r="K57" s="167">
        <v>35</v>
      </c>
      <c r="L57" s="167"/>
      <c r="M57" s="167"/>
      <c r="N57" s="168">
        <f t="shared" si="5"/>
        <v>35</v>
      </c>
      <c r="O57" s="168">
        <f t="shared" si="6"/>
        <v>-544.27681263361194</v>
      </c>
      <c r="P57" s="168">
        <f t="shared" si="7"/>
        <v>35</v>
      </c>
      <c r="Q57" s="168">
        <f t="shared" si="19"/>
        <v>0</v>
      </c>
      <c r="R57" s="140"/>
      <c r="S57" s="167">
        <v>0</v>
      </c>
      <c r="T57" s="167">
        <v>0</v>
      </c>
      <c r="U57" s="167"/>
      <c r="V57" s="167"/>
      <c r="W57" s="241">
        <f t="shared" si="8"/>
        <v>0</v>
      </c>
      <c r="X57" s="168">
        <f t="shared" si="9"/>
        <v>27.69035626195889</v>
      </c>
      <c r="Y57" s="140"/>
      <c r="Z57" s="167">
        <v>0</v>
      </c>
      <c r="AA57" s="168">
        <f t="shared" si="10"/>
        <v>86.61170630476704</v>
      </c>
      <c r="AB57" s="140"/>
      <c r="AC57" s="169"/>
      <c r="AD57" s="30"/>
      <c r="AF57" s="71">
        <v>51</v>
      </c>
      <c r="AG57" s="179">
        <f t="shared" si="11"/>
        <v>3.7940878721462568E-2</v>
      </c>
      <c r="AH57" s="179">
        <v>3.7902074725186141E-2</v>
      </c>
      <c r="AI57" s="179">
        <v>3.7940878721462568E-2</v>
      </c>
      <c r="AJ57" s="179">
        <f t="shared" si="18"/>
        <v>3.7940878721462568E-2</v>
      </c>
      <c r="AL57" s="4">
        <f t="shared" si="20"/>
        <v>0</v>
      </c>
      <c r="AM57" s="4">
        <f t="shared" si="21"/>
        <v>0</v>
      </c>
      <c r="AN57" s="4">
        <f t="shared" si="13"/>
        <v>0</v>
      </c>
      <c r="AP57" s="180" t="s">
        <v>180</v>
      </c>
      <c r="AR57" s="4">
        <f t="shared" si="14"/>
        <v>51</v>
      </c>
      <c r="AS57" s="4">
        <f t="shared" si="15"/>
        <v>0</v>
      </c>
      <c r="AU57" s="4">
        <f t="shared" si="17"/>
        <v>5.0169799202815017</v>
      </c>
      <c r="AV57" s="4">
        <f t="shared" si="16"/>
        <v>0.19932310192381439</v>
      </c>
    </row>
    <row r="58" spans="8:48">
      <c r="J58" s="71">
        <v>52</v>
      </c>
      <c r="K58" s="167">
        <v>30</v>
      </c>
      <c r="L58" s="167"/>
      <c r="M58" s="167"/>
      <c r="N58" s="168">
        <f t="shared" si="5"/>
        <v>30</v>
      </c>
      <c r="O58" s="168">
        <f t="shared" si="6"/>
        <v>-564.93298734479072</v>
      </c>
      <c r="P58" s="168">
        <f t="shared" si="7"/>
        <v>30</v>
      </c>
      <c r="Q58" s="168">
        <f t="shared" si="19"/>
        <v>0</v>
      </c>
      <c r="R58" s="140"/>
      <c r="S58" s="167">
        <v>0</v>
      </c>
      <c r="T58" s="167">
        <v>0</v>
      </c>
      <c r="U58" s="167"/>
      <c r="V58" s="167"/>
      <c r="W58" s="241">
        <f t="shared" si="8"/>
        <v>0</v>
      </c>
      <c r="X58" s="168">
        <f t="shared" si="9"/>
        <v>28.741249527086538</v>
      </c>
      <c r="Y58" s="140"/>
      <c r="Z58" s="167">
        <v>0</v>
      </c>
      <c r="AA58" s="168">
        <f t="shared" si="10"/>
        <v>89.898758951393205</v>
      </c>
      <c r="AB58" s="140"/>
      <c r="AC58" s="169"/>
      <c r="AD58" s="30"/>
      <c r="AF58" s="71">
        <v>52</v>
      </c>
      <c r="AG58" s="179">
        <f t="shared" si="11"/>
        <v>3.7951597848214336E-2</v>
      </c>
      <c r="AH58" s="179">
        <v>3.7915721778216005E-2</v>
      </c>
      <c r="AI58" s="179">
        <v>3.7951597848214336E-2</v>
      </c>
      <c r="AJ58" s="179">
        <f t="shared" si="18"/>
        <v>3.7951597848214336E-2</v>
      </c>
      <c r="AL58" s="4">
        <f t="shared" si="20"/>
        <v>0</v>
      </c>
      <c r="AM58" s="4">
        <f t="shared" si="21"/>
        <v>0</v>
      </c>
      <c r="AN58" s="4">
        <f t="shared" si="13"/>
        <v>0</v>
      </c>
      <c r="AP58" s="180" t="s">
        <v>180</v>
      </c>
      <c r="AR58" s="4">
        <f t="shared" si="14"/>
        <v>52</v>
      </c>
      <c r="AS58" s="4">
        <f t="shared" si="15"/>
        <v>0</v>
      </c>
      <c r="AU58" s="4">
        <f t="shared" si="17"/>
        <v>5.2073823246285915</v>
      </c>
      <c r="AV58" s="4">
        <f t="shared" si="16"/>
        <v>0.19203506438742685</v>
      </c>
    </row>
    <row r="59" spans="8:48">
      <c r="H59" s="31"/>
      <c r="J59" s="71">
        <v>53</v>
      </c>
      <c r="K59" s="167">
        <v>25</v>
      </c>
      <c r="L59" s="167"/>
      <c r="M59" s="167"/>
      <c r="N59" s="168">
        <f t="shared" si="5"/>
        <v>25</v>
      </c>
      <c r="O59" s="168">
        <f t="shared" si="6"/>
        <v>-586.37805436760277</v>
      </c>
      <c r="P59" s="168">
        <f t="shared" si="7"/>
        <v>25</v>
      </c>
      <c r="Q59" s="168">
        <f t="shared" si="19"/>
        <v>0</v>
      </c>
      <c r="R59" s="140"/>
      <c r="S59" s="167">
        <v>0</v>
      </c>
      <c r="T59" s="167">
        <v>0</v>
      </c>
      <c r="U59" s="167"/>
      <c r="V59" s="167"/>
      <c r="W59" s="241">
        <f t="shared" si="8"/>
        <v>0</v>
      </c>
      <c r="X59" s="168">
        <f t="shared" si="9"/>
        <v>29.832278084871142</v>
      </c>
      <c r="Y59" s="140"/>
      <c r="Z59" s="167">
        <v>0</v>
      </c>
      <c r="AA59" s="168">
        <f t="shared" si="10"/>
        <v>93.311349389847493</v>
      </c>
      <c r="AB59" s="140"/>
      <c r="AC59" s="169"/>
      <c r="AD59" s="30"/>
      <c r="AF59" s="71">
        <v>53</v>
      </c>
      <c r="AG59" s="179">
        <f t="shared" si="11"/>
        <v>3.7960373182675644E-2</v>
      </c>
      <c r="AH59" s="179">
        <v>3.7927466131182141E-2</v>
      </c>
      <c r="AI59" s="179">
        <v>3.7960373182675644E-2</v>
      </c>
      <c r="AJ59" s="179">
        <f t="shared" si="18"/>
        <v>3.7960373182675644E-2</v>
      </c>
      <c r="AL59" s="4">
        <f t="shared" si="20"/>
        <v>0</v>
      </c>
      <c r="AM59" s="4">
        <f t="shared" si="21"/>
        <v>0</v>
      </c>
      <c r="AN59" s="4">
        <f t="shared" si="13"/>
        <v>0</v>
      </c>
      <c r="AP59" s="180" t="s">
        <v>180</v>
      </c>
      <c r="AR59" s="4">
        <f t="shared" si="14"/>
        <v>53</v>
      </c>
      <c r="AS59" s="4">
        <f t="shared" si="15"/>
        <v>0</v>
      </c>
      <c r="AU59" s="4">
        <f t="shared" si="17"/>
        <v>5.4050565009763618</v>
      </c>
      <c r="AV59" s="4">
        <f t="shared" si="16"/>
        <v>0.18501194202490973</v>
      </c>
    </row>
    <row r="60" spans="8:48">
      <c r="H60" s="31"/>
      <c r="J60" s="71">
        <v>54</v>
      </c>
      <c r="K60" s="167">
        <v>20</v>
      </c>
      <c r="L60" s="167"/>
      <c r="M60" s="167"/>
      <c r="N60" s="168">
        <f t="shared" si="5"/>
        <v>20</v>
      </c>
      <c r="O60" s="168">
        <f t="shared" si="6"/>
        <v>-608.64139675801198</v>
      </c>
      <c r="P60" s="168">
        <f t="shared" si="7"/>
        <v>20</v>
      </c>
      <c r="Q60" s="168">
        <f t="shared" si="19"/>
        <v>0</v>
      </c>
      <c r="R60" s="140"/>
      <c r="S60" s="167">
        <v>0</v>
      </c>
      <c r="T60" s="167">
        <v>0</v>
      </c>
      <c r="U60" s="167"/>
      <c r="V60" s="167"/>
      <c r="W60" s="241">
        <f t="shared" si="8"/>
        <v>0</v>
      </c>
      <c r="X60" s="168">
        <f t="shared" si="9"/>
        <v>30.96493681304554</v>
      </c>
      <c r="Y60" s="140"/>
      <c r="Z60" s="167">
        <v>0</v>
      </c>
      <c r="AA60" s="168">
        <f t="shared" si="10"/>
        <v>96.854153396415811</v>
      </c>
      <c r="AB60" s="140"/>
      <c r="AC60" s="169"/>
      <c r="AD60" s="30"/>
      <c r="AF60" s="71">
        <v>54</v>
      </c>
      <c r="AG60" s="179">
        <f t="shared" si="11"/>
        <v>3.7967557320029321E-2</v>
      </c>
      <c r="AH60" s="179">
        <v>3.7937573275208525E-2</v>
      </c>
      <c r="AI60" s="179">
        <v>3.7967557320029321E-2</v>
      </c>
      <c r="AJ60" s="179">
        <f t="shared" si="18"/>
        <v>3.7967557320029321E-2</v>
      </c>
      <c r="AL60" s="4">
        <f t="shared" si="20"/>
        <v>0</v>
      </c>
      <c r="AM60" s="4">
        <f t="shared" si="21"/>
        <v>0</v>
      </c>
      <c r="AN60" s="4">
        <f t="shared" si="13"/>
        <v>0</v>
      </c>
      <c r="AP60" s="180" t="s">
        <v>180</v>
      </c>
      <c r="AR60" s="4">
        <f t="shared" si="14"/>
        <v>54</v>
      </c>
      <c r="AS60" s="4">
        <f t="shared" si="15"/>
        <v>0</v>
      </c>
      <c r="AU60" s="4">
        <f t="shared" si="17"/>
        <v>5.6102732934951787</v>
      </c>
      <c r="AV60" s="4">
        <f t="shared" si="16"/>
        <v>0.17824443617736915</v>
      </c>
    </row>
    <row r="61" spans="8:48">
      <c r="H61" s="31"/>
      <c r="J61" s="71">
        <v>55</v>
      </c>
      <c r="K61" s="167">
        <v>15</v>
      </c>
      <c r="L61" s="167"/>
      <c r="M61" s="167"/>
      <c r="N61" s="168">
        <f t="shared" si="5"/>
        <v>15</v>
      </c>
      <c r="O61" s="168">
        <f t="shared" si="6"/>
        <v>-631.753603625398</v>
      </c>
      <c r="P61" s="168">
        <f t="shared" si="7"/>
        <v>15</v>
      </c>
      <c r="Q61" s="168">
        <f t="shared" si="19"/>
        <v>0</v>
      </c>
      <c r="R61" s="140"/>
      <c r="S61" s="167">
        <v>0</v>
      </c>
      <c r="T61" s="167">
        <v>0</v>
      </c>
      <c r="U61" s="167"/>
      <c r="V61" s="167"/>
      <c r="W61" s="241">
        <f t="shared" si="8"/>
        <v>0</v>
      </c>
      <c r="X61" s="168">
        <f t="shared" si="9"/>
        <v>32.140781947915961</v>
      </c>
      <c r="Y61" s="140"/>
      <c r="Z61" s="167">
        <v>0</v>
      </c>
      <c r="AA61" s="168">
        <f t="shared" si="10"/>
        <v>100.53203866874063</v>
      </c>
      <c r="AB61" s="140"/>
      <c r="AC61" s="169"/>
      <c r="AD61" s="30"/>
      <c r="AF61" s="71">
        <v>55</v>
      </c>
      <c r="AG61" s="179">
        <f t="shared" si="11"/>
        <v>3.7973438859886022E-2</v>
      </c>
      <c r="AH61" s="179">
        <v>3.7946271601235759E-2</v>
      </c>
      <c r="AI61" s="179">
        <v>3.7973438859886022E-2</v>
      </c>
      <c r="AJ61" s="179">
        <f t="shared" si="18"/>
        <v>3.7973438859886022E-2</v>
      </c>
      <c r="AL61" s="4">
        <f t="shared" si="20"/>
        <v>0</v>
      </c>
      <c r="AM61" s="4">
        <f t="shared" si="21"/>
        <v>0</v>
      </c>
      <c r="AN61" s="4">
        <f t="shared" si="13"/>
        <v>0</v>
      </c>
      <c r="AP61" s="180" t="s">
        <v>180</v>
      </c>
      <c r="AR61" s="4">
        <f t="shared" si="14"/>
        <v>55</v>
      </c>
      <c r="AS61" s="4">
        <f t="shared" si="15"/>
        <v>0</v>
      </c>
      <c r="AU61" s="4">
        <f t="shared" si="17"/>
        <v>5.8233146633929689</v>
      </c>
      <c r="AV61" s="4">
        <f t="shared" si="16"/>
        <v>0.17172350419019733</v>
      </c>
    </row>
    <row r="62" spans="8:48">
      <c r="H62" s="31"/>
      <c r="J62" s="71">
        <v>56</v>
      </c>
      <c r="K62" s="167">
        <v>10</v>
      </c>
      <c r="L62" s="167"/>
      <c r="M62" s="167"/>
      <c r="N62" s="168">
        <f t="shared" si="5"/>
        <v>10</v>
      </c>
      <c r="O62" s="168">
        <f t="shared" si="6"/>
        <v>-655.74650247036288</v>
      </c>
      <c r="P62" s="168">
        <f t="shared" si="7"/>
        <v>10</v>
      </c>
      <c r="Q62" s="168">
        <f t="shared" si="19"/>
        <v>0</v>
      </c>
      <c r="R62" s="140"/>
      <c r="S62" s="167">
        <v>0</v>
      </c>
      <c r="T62" s="167">
        <v>0</v>
      </c>
      <c r="U62" s="167"/>
      <c r="V62" s="167"/>
      <c r="W62" s="241">
        <f t="shared" si="8"/>
        <v>0</v>
      </c>
      <c r="X62" s="168">
        <f t="shared" si="9"/>
        <v>33.361432729564179</v>
      </c>
      <c r="Y62" s="140"/>
      <c r="Z62" s="167">
        <v>0</v>
      </c>
      <c r="AA62" s="168">
        <f t="shared" si="10"/>
        <v>104.35006997179187</v>
      </c>
      <c r="AB62" s="140"/>
      <c r="AC62" s="169"/>
      <c r="AD62" s="30"/>
      <c r="AF62" s="71">
        <v>56</v>
      </c>
      <c r="AG62" s="179">
        <f t="shared" si="11"/>
        <v>3.7978254033342429E-2</v>
      </c>
      <c r="AH62" s="179">
        <v>3.7953757598787607E-2</v>
      </c>
      <c r="AI62" s="179">
        <v>3.7978254033342429E-2</v>
      </c>
      <c r="AJ62" s="179">
        <f t="shared" si="18"/>
        <v>3.7978254033342429E-2</v>
      </c>
      <c r="AL62" s="4">
        <f t="shared" si="20"/>
        <v>0</v>
      </c>
      <c r="AM62" s="4">
        <f t="shared" si="21"/>
        <v>0</v>
      </c>
      <c r="AN62" s="4">
        <f t="shared" si="13"/>
        <v>0</v>
      </c>
      <c r="AP62" s="180" t="s">
        <v>180</v>
      </c>
      <c r="AR62" s="4">
        <f t="shared" si="14"/>
        <v>56</v>
      </c>
      <c r="AS62" s="4">
        <f t="shared" si="15"/>
        <v>0</v>
      </c>
      <c r="AU62" s="4">
        <f t="shared" si="17"/>
        <v>6.0444739869953947</v>
      </c>
      <c r="AV62" s="4">
        <f t="shared" si="16"/>
        <v>0.16544036787179275</v>
      </c>
    </row>
    <row r="63" spans="8:48">
      <c r="H63" s="31"/>
      <c r="J63" s="71">
        <v>57</v>
      </c>
      <c r="K63" s="167">
        <v>7</v>
      </c>
      <c r="L63" s="167"/>
      <c r="M63" s="167"/>
      <c r="N63" s="168">
        <f t="shared" si="5"/>
        <v>7</v>
      </c>
      <c r="O63" s="168">
        <f t="shared" si="6"/>
        <v>-680.65319479364473</v>
      </c>
      <c r="P63" s="168">
        <f t="shared" si="7"/>
        <v>7</v>
      </c>
      <c r="Q63" s="168">
        <f t="shared" si="19"/>
        <v>0</v>
      </c>
      <c r="R63" s="140"/>
      <c r="S63" s="167">
        <v>0</v>
      </c>
      <c r="T63" s="167">
        <v>0</v>
      </c>
      <c r="U63" s="167"/>
      <c r="V63" s="167"/>
      <c r="W63" s="241">
        <f t="shared" si="8"/>
        <v>0</v>
      </c>
      <c r="X63" s="168">
        <f t="shared" si="9"/>
        <v>34.628573213468897</v>
      </c>
      <c r="Y63" s="140"/>
      <c r="Z63" s="167">
        <v>0</v>
      </c>
      <c r="AA63" s="168">
        <f t="shared" si="10"/>
        <v>108.31351480437459</v>
      </c>
      <c r="AB63" s="140"/>
      <c r="AC63" s="169"/>
      <c r="AD63" s="30"/>
      <c r="AF63" s="71">
        <v>57</v>
      </c>
      <c r="AG63" s="179">
        <f t="shared" si="11"/>
        <v>3.7982196213707686E-2</v>
      </c>
      <c r="AH63" s="179">
        <v>3.796020032251346E-2</v>
      </c>
      <c r="AI63" s="179">
        <v>3.7982196213707686E-2</v>
      </c>
      <c r="AJ63" s="179">
        <f t="shared" si="18"/>
        <v>3.7982196213707686E-2</v>
      </c>
      <c r="AL63" s="4">
        <f t="shared" si="20"/>
        <v>0</v>
      </c>
      <c r="AM63" s="4">
        <f t="shared" si="21"/>
        <v>0</v>
      </c>
      <c r="AN63" s="4">
        <f t="shared" si="13"/>
        <v>0</v>
      </c>
      <c r="AP63" s="180" t="s">
        <v>180</v>
      </c>
      <c r="AR63" s="4">
        <f t="shared" si="14"/>
        <v>57</v>
      </c>
      <c r="AS63" s="4">
        <f t="shared" si="15"/>
        <v>0</v>
      </c>
      <c r="AU63" s="4">
        <f t="shared" si="17"/>
        <v>6.2740563839781061</v>
      </c>
      <c r="AV63" s="4">
        <f t="shared" si="16"/>
        <v>0.15938651787600663</v>
      </c>
    </row>
    <row r="64" spans="8:48">
      <c r="H64" s="31"/>
      <c r="J64" s="71">
        <v>58</v>
      </c>
      <c r="K64" s="167">
        <v>5</v>
      </c>
      <c r="L64" s="167"/>
      <c r="M64" s="167"/>
      <c r="N64" s="168">
        <f t="shared" si="5"/>
        <v>5</v>
      </c>
      <c r="O64" s="168">
        <f t="shared" si="6"/>
        <v>-706.50809478882184</v>
      </c>
      <c r="P64" s="168">
        <f t="shared" si="7"/>
        <v>5</v>
      </c>
      <c r="Q64" s="168">
        <f t="shared" si="19"/>
        <v>0</v>
      </c>
      <c r="R64" s="140"/>
      <c r="S64" s="167">
        <v>0</v>
      </c>
      <c r="T64" s="167">
        <v>0</v>
      </c>
      <c r="U64" s="167"/>
      <c r="V64" s="167"/>
      <c r="W64" s="241">
        <f t="shared" si="8"/>
        <v>0</v>
      </c>
      <c r="X64" s="168">
        <f t="shared" si="9"/>
        <v>35.943954239016492</v>
      </c>
      <c r="Y64" s="140"/>
      <c r="Z64" s="167">
        <v>0</v>
      </c>
      <c r="AA64" s="168">
        <f t="shared" si="10"/>
        <v>112.42784955636567</v>
      </c>
      <c r="AB64" s="140"/>
      <c r="AC64" s="169"/>
      <c r="AD64" s="30"/>
      <c r="AF64" s="71">
        <v>58</v>
      </c>
      <c r="AG64" s="179">
        <f t="shared" si="11"/>
        <v>3.7985423697328935E-2</v>
      </c>
      <c r="AH64" s="179">
        <v>3.7965745230597037E-2</v>
      </c>
      <c r="AI64" s="179">
        <v>3.7985423697328935E-2</v>
      </c>
      <c r="AJ64" s="179">
        <f t="shared" si="18"/>
        <v>3.7985423697328935E-2</v>
      </c>
      <c r="AL64" s="4">
        <f t="shared" si="20"/>
        <v>0</v>
      </c>
      <c r="AM64" s="4">
        <f t="shared" si="21"/>
        <v>0</v>
      </c>
      <c r="AN64" s="4">
        <f t="shared" si="13"/>
        <v>0</v>
      </c>
      <c r="AP64" s="180" t="s">
        <v>180</v>
      </c>
      <c r="AR64" s="4">
        <f t="shared" si="14"/>
        <v>58</v>
      </c>
      <c r="AS64" s="4">
        <f t="shared" si="15"/>
        <v>0</v>
      </c>
      <c r="AU64" s="4">
        <f t="shared" si="17"/>
        <v>6.5123790740244463</v>
      </c>
      <c r="AV64" s="4">
        <f t="shared" si="16"/>
        <v>0.15355371495321007</v>
      </c>
    </row>
    <row r="65" spans="8:48">
      <c r="H65" s="31"/>
      <c r="J65" s="71">
        <v>59</v>
      </c>
      <c r="K65" s="167">
        <v>2</v>
      </c>
      <c r="L65" s="167"/>
      <c r="M65" s="167"/>
      <c r="N65" s="168">
        <f t="shared" si="5"/>
        <v>2</v>
      </c>
      <c r="O65" s="168">
        <f t="shared" si="6"/>
        <v>-733.34697097262165</v>
      </c>
      <c r="P65" s="168">
        <f t="shared" si="7"/>
        <v>2</v>
      </c>
      <c r="Q65" s="168">
        <f t="shared" si="19"/>
        <v>0</v>
      </c>
      <c r="R65" s="140"/>
      <c r="S65" s="167">
        <v>0</v>
      </c>
      <c r="T65" s="167">
        <v>0</v>
      </c>
      <c r="U65" s="167"/>
      <c r="V65" s="167"/>
      <c r="W65" s="241">
        <f t="shared" si="8"/>
        <v>0</v>
      </c>
      <c r="X65" s="168">
        <f t="shared" si="9"/>
        <v>37.309395547463893</v>
      </c>
      <c r="Y65" s="140"/>
      <c r="Z65" s="167">
        <v>0</v>
      </c>
      <c r="AA65" s="168">
        <f t="shared" si="10"/>
        <v>116.6987661334165</v>
      </c>
      <c r="AB65" s="140"/>
      <c r="AC65" s="169"/>
      <c r="AD65" s="30"/>
      <c r="AF65" s="71">
        <v>59</v>
      </c>
      <c r="AG65" s="179">
        <f t="shared" si="11"/>
        <v>3.7988066069960746E-2</v>
      </c>
      <c r="AH65" s="179">
        <v>3.7970517484152477E-2</v>
      </c>
      <c r="AI65" s="179">
        <v>3.7988066069960746E-2</v>
      </c>
      <c r="AJ65" s="179">
        <f t="shared" si="18"/>
        <v>3.7988066069960746E-2</v>
      </c>
      <c r="AL65" s="4">
        <f t="shared" si="20"/>
        <v>0</v>
      </c>
      <c r="AM65" s="4">
        <f t="shared" si="21"/>
        <v>0</v>
      </c>
      <c r="AN65" s="4">
        <f t="shared" si="13"/>
        <v>0</v>
      </c>
      <c r="AP65" s="180" t="s">
        <v>180</v>
      </c>
      <c r="AR65" s="4">
        <f t="shared" si="14"/>
        <v>59</v>
      </c>
      <c r="AS65" s="4">
        <f t="shared" si="15"/>
        <v>0</v>
      </c>
      <c r="AU65" s="4">
        <f t="shared" si="17"/>
        <v>6.7597717605611169</v>
      </c>
      <c r="AV65" s="4">
        <f t="shared" si="16"/>
        <v>0.14793398881221867</v>
      </c>
    </row>
    <row r="66" spans="8:48">
      <c r="H66" s="31"/>
      <c r="J66" s="71">
        <v>60</v>
      </c>
      <c r="K66" s="167">
        <v>1</v>
      </c>
      <c r="L66" s="167"/>
      <c r="M66" s="167"/>
      <c r="N66" s="168">
        <f t="shared" si="5"/>
        <v>1</v>
      </c>
      <c r="O66" s="168">
        <f t="shared" si="6"/>
        <v>-761.20699064171822</v>
      </c>
      <c r="P66" s="168">
        <f t="shared" si="7"/>
        <v>1</v>
      </c>
      <c r="Q66" s="168">
        <f t="shared" si="19"/>
        <v>0</v>
      </c>
      <c r="R66" s="140"/>
      <c r="S66" s="167">
        <v>0</v>
      </c>
      <c r="T66" s="167">
        <v>0</v>
      </c>
      <c r="U66" s="167"/>
      <c r="V66" s="167"/>
      <c r="W66" s="241">
        <f t="shared" si="8"/>
        <v>0</v>
      </c>
      <c r="X66" s="168">
        <f t="shared" si="9"/>
        <v>38.726788043700516</v>
      </c>
      <c r="Y66" s="140"/>
      <c r="Z66" s="167">
        <v>0</v>
      </c>
      <c r="AA66" s="168">
        <f t="shared" si="10"/>
        <v>121.13217903143972</v>
      </c>
      <c r="AB66" s="140"/>
      <c r="AC66" s="169"/>
      <c r="AD66" s="30"/>
      <c r="AF66" s="71">
        <v>60</v>
      </c>
      <c r="AG66" s="179">
        <f t="shared" si="11"/>
        <v>3.7990229416433596E-2</v>
      </c>
      <c r="AH66" s="179">
        <v>3.797462478381286E-2</v>
      </c>
      <c r="AI66" s="179">
        <v>3.7990229416433596E-2</v>
      </c>
      <c r="AJ66" s="179">
        <f t="shared" si="18"/>
        <v>3.7990229416433596E-2</v>
      </c>
      <c r="AL66" s="4">
        <f t="shared" si="20"/>
        <v>0</v>
      </c>
      <c r="AM66" s="4">
        <f t="shared" si="21"/>
        <v>0</v>
      </c>
      <c r="AN66" s="4">
        <f t="shared" si="13"/>
        <v>0</v>
      </c>
      <c r="AP66" s="180" t="s">
        <v>180</v>
      </c>
      <c r="AR66" s="4">
        <f t="shared" si="14"/>
        <v>60</v>
      </c>
      <c r="AS66" s="4">
        <f t="shared" si="15"/>
        <v>0</v>
      </c>
      <c r="AU66" s="4">
        <f t="shared" si="17"/>
        <v>7.0165770405475634</v>
      </c>
      <c r="AV66" s="4">
        <f t="shared" si="16"/>
        <v>0.14251963517555299</v>
      </c>
    </row>
    <row r="67" spans="8:48">
      <c r="H67" s="31"/>
      <c r="J67" s="71">
        <v>61</v>
      </c>
      <c r="K67" s="167">
        <v>0</v>
      </c>
      <c r="L67" s="167"/>
      <c r="M67" s="167"/>
      <c r="N67" s="168">
        <f t="shared" si="5"/>
        <v>0</v>
      </c>
      <c r="O67" s="168">
        <f t="shared" si="6"/>
        <v>-790.12676707503272</v>
      </c>
      <c r="P67" s="168">
        <f t="shared" si="7"/>
        <v>0</v>
      </c>
      <c r="Q67" s="168">
        <f t="shared" si="19"/>
        <v>0</v>
      </c>
      <c r="R67" s="140"/>
      <c r="S67" s="167">
        <v>0</v>
      </c>
      <c r="T67" s="167">
        <v>0</v>
      </c>
      <c r="U67" s="167"/>
      <c r="V67" s="167"/>
      <c r="W67" s="241">
        <f t="shared" si="8"/>
        <v>0</v>
      </c>
      <c r="X67" s="168">
        <f t="shared" si="9"/>
        <v>40.198096197688976</v>
      </c>
      <c r="Y67" s="140"/>
      <c r="Z67" s="167">
        <v>0</v>
      </c>
      <c r="AA67" s="168">
        <f t="shared" si="10"/>
        <v>125.73423284799262</v>
      </c>
      <c r="AB67" s="140"/>
      <c r="AC67" s="169"/>
      <c r="AD67" s="30"/>
      <c r="AF67" s="71">
        <v>61</v>
      </c>
      <c r="AG67" s="179">
        <f t="shared" si="11"/>
        <v>3.7992000584406549E-2</v>
      </c>
      <c r="AH67" s="179">
        <v>3.7978159808546907E-2</v>
      </c>
      <c r="AI67" s="179">
        <v>3.7992000584406549E-2</v>
      </c>
      <c r="AJ67" s="179">
        <f t="shared" si="18"/>
        <v>3.7992000584406549E-2</v>
      </c>
      <c r="AL67" s="4">
        <f t="shared" si="20"/>
        <v>0</v>
      </c>
      <c r="AM67" s="4">
        <f t="shared" si="21"/>
        <v>0</v>
      </c>
      <c r="AN67" s="4">
        <f t="shared" si="13"/>
        <v>0</v>
      </c>
      <c r="AP67" s="180" t="s">
        <v>180</v>
      </c>
      <c r="AR67" s="4">
        <f t="shared" si="14"/>
        <v>0</v>
      </c>
      <c r="AS67" s="4">
        <f t="shared" si="15"/>
        <v>0</v>
      </c>
      <c r="AU67" s="4">
        <f t="shared" si="17"/>
        <v>7.2831508395725804</v>
      </c>
      <c r="AV67" s="4">
        <f t="shared" si="16"/>
        <v>0.13730321148458957</v>
      </c>
    </row>
    <row r="68" spans="8:48">
      <c r="H68" s="31"/>
      <c r="J68" s="71">
        <v>62</v>
      </c>
      <c r="K68" s="167">
        <v>0</v>
      </c>
      <c r="L68" s="167"/>
      <c r="M68" s="167"/>
      <c r="N68" s="168">
        <f t="shared" si="5"/>
        <v>0</v>
      </c>
      <c r="O68" s="168">
        <f t="shared" si="6"/>
        <v>-820.14640942592757</v>
      </c>
      <c r="P68" s="168">
        <f t="shared" si="7"/>
        <v>0</v>
      </c>
      <c r="Q68" s="168">
        <f t="shared" si="19"/>
        <v>0</v>
      </c>
      <c r="R68" s="140"/>
      <c r="S68" s="167">
        <v>0</v>
      </c>
      <c r="T68" s="167">
        <v>0</v>
      </c>
      <c r="U68" s="167"/>
      <c r="V68" s="167"/>
      <c r="W68" s="241">
        <f t="shared" si="8"/>
        <v>0</v>
      </c>
      <c r="X68" s="168">
        <f t="shared" si="9"/>
        <v>41.725360582755549</v>
      </c>
      <c r="Y68" s="140"/>
      <c r="Z68" s="167">
        <v>0</v>
      </c>
      <c r="AA68" s="168">
        <f t="shared" si="10"/>
        <v>130.51131022170782</v>
      </c>
      <c r="AB68" s="140"/>
      <c r="AC68" s="169"/>
      <c r="AD68" s="30"/>
      <c r="AF68" s="71">
        <v>62</v>
      </c>
      <c r="AG68" s="179">
        <f t="shared" si="11"/>
        <v>3.7993450673775353E-2</v>
      </c>
      <c r="AH68" s="179">
        <v>3.7981202313436491E-2</v>
      </c>
      <c r="AI68" s="179">
        <v>3.7993450673775353E-2</v>
      </c>
      <c r="AJ68" s="179">
        <f t="shared" si="18"/>
        <v>3.7993450673775353E-2</v>
      </c>
      <c r="AL68" s="4">
        <f t="shared" si="20"/>
        <v>0</v>
      </c>
      <c r="AM68" s="4">
        <f t="shared" si="21"/>
        <v>0</v>
      </c>
      <c r="AN68" s="4">
        <f t="shared" si="13"/>
        <v>0</v>
      </c>
      <c r="AP68" s="180" t="s">
        <v>180</v>
      </c>
      <c r="AR68" s="4">
        <f t="shared" si="14"/>
        <v>0</v>
      </c>
      <c r="AS68" s="4">
        <f t="shared" si="15"/>
        <v>0</v>
      </c>
      <c r="AU68" s="4">
        <f t="shared" si="17"/>
        <v>7.5598628717455467</v>
      </c>
      <c r="AV68" s="4">
        <f t="shared" si="16"/>
        <v>0.13227753161203881</v>
      </c>
    </row>
    <row r="69" spans="8:48">
      <c r="H69" s="31"/>
      <c r="J69" s="71">
        <v>63</v>
      </c>
      <c r="K69" s="167">
        <v>0</v>
      </c>
      <c r="L69" s="167"/>
      <c r="M69" s="167"/>
      <c r="N69" s="168">
        <f t="shared" si="5"/>
        <v>0</v>
      </c>
      <c r="O69" s="168">
        <f t="shared" si="6"/>
        <v>-851.30757527123046</v>
      </c>
      <c r="P69" s="168">
        <f t="shared" si="7"/>
        <v>0</v>
      </c>
      <c r="Q69" s="168">
        <f t="shared" si="19"/>
        <v>0</v>
      </c>
      <c r="R69" s="140"/>
      <c r="S69" s="167">
        <v>0</v>
      </c>
      <c r="T69" s="167">
        <v>0</v>
      </c>
      <c r="U69" s="167"/>
      <c r="V69" s="167"/>
      <c r="W69" s="241">
        <f t="shared" si="8"/>
        <v>0</v>
      </c>
      <c r="X69" s="168">
        <f t="shared" si="9"/>
        <v>43.310700549048164</v>
      </c>
      <c r="Y69" s="140"/>
      <c r="Z69" s="167">
        <v>0</v>
      </c>
      <c r="AA69" s="168">
        <f t="shared" si="10"/>
        <v>135.47004019450998</v>
      </c>
      <c r="AB69" s="140"/>
      <c r="AC69" s="169"/>
      <c r="AD69" s="30"/>
      <c r="AF69" s="71">
        <v>63</v>
      </c>
      <c r="AG69" s="179">
        <f t="shared" si="11"/>
        <v>3.7994637892903249E-2</v>
      </c>
      <c r="AH69" s="179">
        <v>3.798382093343089E-2</v>
      </c>
      <c r="AI69" s="179">
        <v>3.7994637892903249E-2</v>
      </c>
      <c r="AJ69" s="179">
        <f t="shared" si="18"/>
        <v>3.7994637892903249E-2</v>
      </c>
      <c r="AL69" s="4">
        <f t="shared" si="20"/>
        <v>0</v>
      </c>
      <c r="AM69" s="4">
        <f t="shared" si="21"/>
        <v>0</v>
      </c>
      <c r="AN69" s="4">
        <f t="shared" si="13"/>
        <v>0</v>
      </c>
      <c r="AP69" s="180" t="s">
        <v>180</v>
      </c>
      <c r="AR69" s="4">
        <f t="shared" si="14"/>
        <v>0</v>
      </c>
      <c r="AS69" s="4">
        <f t="shared" si="15"/>
        <v>0</v>
      </c>
      <c r="AU69" s="4">
        <f t="shared" si="17"/>
        <v>7.8470971240775222</v>
      </c>
      <c r="AV69" s="4">
        <f t="shared" si="16"/>
        <v>0.12743565986097777</v>
      </c>
    </row>
    <row r="70" spans="8:48">
      <c r="H70" s="31"/>
      <c r="J70" s="71">
        <v>64</v>
      </c>
      <c r="K70" s="167">
        <v>0</v>
      </c>
      <c r="L70" s="167"/>
      <c r="M70" s="167"/>
      <c r="N70" s="168">
        <f t="shared" si="5"/>
        <v>0</v>
      </c>
      <c r="O70" s="168">
        <f t="shared" si="6"/>
        <v>-883.65352580324623</v>
      </c>
      <c r="P70" s="168">
        <f t="shared" si="7"/>
        <v>0</v>
      </c>
      <c r="Q70" s="168">
        <f t="shared" si="19"/>
        <v>0</v>
      </c>
      <c r="R70" s="140"/>
      <c r="S70" s="167">
        <v>0</v>
      </c>
      <c r="T70" s="167">
        <v>0</v>
      </c>
      <c r="U70" s="167"/>
      <c r="V70" s="167"/>
      <c r="W70" s="241">
        <f t="shared" si="8"/>
        <v>0</v>
      </c>
      <c r="X70" s="168">
        <f t="shared" si="9"/>
        <v>44.956317031457736</v>
      </c>
      <c r="Y70" s="140"/>
      <c r="Z70" s="167">
        <v>0</v>
      </c>
      <c r="AA70" s="168">
        <f t="shared" si="10"/>
        <v>140.61730699441566</v>
      </c>
      <c r="AB70" s="140"/>
      <c r="AC70" s="169"/>
      <c r="AD70" s="30"/>
      <c r="AF70" s="71">
        <v>64</v>
      </c>
      <c r="AG70" s="179">
        <f t="shared" si="11"/>
        <v>3.7995609896587901E-2</v>
      </c>
      <c r="AH70" s="179">
        <v>3.7986074735153252E-2</v>
      </c>
      <c r="AI70" s="179">
        <v>3.7995609896587901E-2</v>
      </c>
      <c r="AJ70" s="179">
        <f t="shared" si="18"/>
        <v>3.7995609896587901E-2</v>
      </c>
      <c r="AL70" s="4">
        <f t="shared" si="20"/>
        <v>0</v>
      </c>
      <c r="AM70" s="4">
        <f t="shared" si="21"/>
        <v>0</v>
      </c>
      <c r="AN70" s="4">
        <f t="shared" si="13"/>
        <v>0</v>
      </c>
      <c r="AP70" s="180" t="s">
        <v>180</v>
      </c>
      <c r="AR70" s="4">
        <f t="shared" si="14"/>
        <v>0</v>
      </c>
      <c r="AS70" s="4">
        <f t="shared" si="15"/>
        <v>0</v>
      </c>
      <c r="AU70" s="4">
        <f t="shared" si="17"/>
        <v>8.1452523652246089</v>
      </c>
      <c r="AV70" s="4">
        <f t="shared" si="16"/>
        <v>0.1227709044681545</v>
      </c>
    </row>
    <row r="71" spans="8:48">
      <c r="H71" s="31"/>
      <c r="J71" s="71">
        <v>65</v>
      </c>
      <c r="K71" s="167">
        <v>0</v>
      </c>
      <c r="L71" s="167"/>
      <c r="M71" s="167"/>
      <c r="N71" s="168">
        <f t="shared" si="5"/>
        <v>0</v>
      </c>
      <c r="O71" s="168">
        <f t="shared" si="6"/>
        <v>-917.22918366769863</v>
      </c>
      <c r="P71" s="168">
        <f t="shared" si="7"/>
        <v>0</v>
      </c>
      <c r="Q71" s="168">
        <f t="shared" ref="Q71:Q102" si="22">IF(J71&lt;=$G$47,N71,0)</f>
        <v>0</v>
      </c>
      <c r="R71" s="140"/>
      <c r="S71" s="167">
        <v>0</v>
      </c>
      <c r="T71" s="167">
        <v>0</v>
      </c>
      <c r="U71" s="167"/>
      <c r="V71" s="167"/>
      <c r="W71" s="241">
        <f t="shared" si="8"/>
        <v>0</v>
      </c>
      <c r="X71" s="168">
        <f t="shared" si="9"/>
        <v>46.66449549215249</v>
      </c>
      <c r="Y71" s="140"/>
      <c r="Z71" s="167">
        <v>0</v>
      </c>
      <c r="AA71" s="168">
        <f t="shared" si="10"/>
        <v>145.96025923938461</v>
      </c>
      <c r="AB71" s="140"/>
      <c r="AC71" s="169"/>
      <c r="AD71" s="30"/>
      <c r="AF71" s="71">
        <v>65</v>
      </c>
      <c r="AG71" s="179">
        <f t="shared" si="11"/>
        <v>3.7996405699770142E-2</v>
      </c>
      <c r="AH71" s="179">
        <v>3.7988014551870064E-2</v>
      </c>
      <c r="AI71" s="179">
        <v>3.7996405699770142E-2</v>
      </c>
      <c r="AJ71" s="179">
        <f t="shared" si="18"/>
        <v>3.7996405699770142E-2</v>
      </c>
      <c r="AL71" s="4">
        <f t="shared" ref="AL71:AL106" si="23">IF(O71&lt;=0,0,1)</f>
        <v>0</v>
      </c>
      <c r="AM71" s="4">
        <f t="shared" ref="AM71:AM106" si="24">IF(X71&gt;=0,0,1)</f>
        <v>0</v>
      </c>
      <c r="AN71" s="4">
        <f t="shared" si="13"/>
        <v>0</v>
      </c>
      <c r="AP71" s="180" t="s">
        <v>180</v>
      </c>
      <c r="AR71" s="4">
        <f t="shared" si="14"/>
        <v>0</v>
      </c>
      <c r="AS71" s="4">
        <f t="shared" si="15"/>
        <v>0</v>
      </c>
      <c r="AU71" s="4">
        <f t="shared" si="17"/>
        <v>8.4547426786206952</v>
      </c>
      <c r="AV71" s="4">
        <f t="shared" si="16"/>
        <v>0.11827681078085037</v>
      </c>
    </row>
    <row r="72" spans="8:48">
      <c r="H72" s="31"/>
      <c r="J72" s="71">
        <v>66</v>
      </c>
      <c r="K72" s="167">
        <v>0</v>
      </c>
      <c r="L72" s="167"/>
      <c r="M72" s="167"/>
      <c r="N72" s="168">
        <f t="shared" ref="N72:N126" si="25">K72-L72+M72</f>
        <v>0</v>
      </c>
      <c r="O72" s="168">
        <f t="shared" ref="O72:O126" si="26">O71*(1+AG72)+L72-M72</f>
        <v>-952.08119346557805</v>
      </c>
      <c r="P72" s="168">
        <f t="shared" ref="P72:P126" si="27">N72</f>
        <v>0</v>
      </c>
      <c r="Q72" s="168">
        <f t="shared" si="22"/>
        <v>0</v>
      </c>
      <c r="R72" s="140"/>
      <c r="S72" s="167">
        <v>0</v>
      </c>
      <c r="T72" s="167">
        <v>0</v>
      </c>
      <c r="U72" s="167"/>
      <c r="V72" s="167"/>
      <c r="W72" s="241">
        <f t="shared" ref="W72:W126" si="28">T72-U72+V72</f>
        <v>0</v>
      </c>
      <c r="X72" s="168">
        <f t="shared" ref="X72:X126" si="29">X71*(1+AG72)+U72-V72</f>
        <v>48.437608998639881</v>
      </c>
      <c r="Y72" s="140"/>
      <c r="Z72" s="167">
        <v>0</v>
      </c>
      <c r="AA72" s="168">
        <f t="shared" ref="AA72:AA126" si="30">AA71*(1+AG72)-Z72</f>
        <v>151.50631956508289</v>
      </c>
      <c r="AB72" s="140"/>
      <c r="AC72" s="169"/>
      <c r="AD72" s="30"/>
      <c r="AF72" s="71">
        <v>66</v>
      </c>
      <c r="AG72" s="179">
        <f t="shared" ref="AG72:AG106" si="31">IF($AG$5="SGD",AH72,IF($AG$5="USD",AI72,AJ72))</f>
        <v>3.7997057244207655E-2</v>
      </c>
      <c r="AH72" s="179">
        <v>3.7989684131734647E-2</v>
      </c>
      <c r="AI72" s="179">
        <v>3.7997057244207655E-2</v>
      </c>
      <c r="AJ72" s="179">
        <f t="shared" si="18"/>
        <v>3.7997057244207655E-2</v>
      </c>
      <c r="AL72" s="4">
        <f t="shared" si="23"/>
        <v>0</v>
      </c>
      <c r="AM72" s="4">
        <f t="shared" si="24"/>
        <v>0</v>
      </c>
      <c r="AN72" s="4">
        <f t="shared" ref="AN72:AN106" si="32">IF(AA72&gt;=0,0,1)</f>
        <v>0</v>
      </c>
      <c r="AP72" s="180" t="s">
        <v>180</v>
      </c>
      <c r="AR72" s="4">
        <f t="shared" ref="AR72:AR126" si="33">IF(K72&lt;&gt;0,J72,0)</f>
        <v>0</v>
      </c>
      <c r="AS72" s="4">
        <f t="shared" ref="AS72:AS126" si="34">IF(S72&gt;0,J72,0)</f>
        <v>0</v>
      </c>
      <c r="AU72" s="4">
        <f t="shared" si="17"/>
        <v>8.7759980201652912</v>
      </c>
      <c r="AV72" s="4">
        <f t="shared" ref="AV72:AV126" si="35">1/AU72</f>
        <v>0.11394715423843789</v>
      </c>
    </row>
    <row r="73" spans="8:48">
      <c r="H73" s="31"/>
      <c r="J73" s="71">
        <v>67</v>
      </c>
      <c r="K73" s="167">
        <v>0</v>
      </c>
      <c r="L73" s="167"/>
      <c r="M73" s="167"/>
      <c r="N73" s="168">
        <f t="shared" si="25"/>
        <v>0</v>
      </c>
      <c r="O73" s="168">
        <f t="shared" si="26"/>
        <v>-988.2579849499067</v>
      </c>
      <c r="P73" s="168">
        <f t="shared" si="27"/>
        <v>0</v>
      </c>
      <c r="Q73" s="168">
        <f t="shared" si="22"/>
        <v>0</v>
      </c>
      <c r="R73" s="140"/>
      <c r="S73" s="167">
        <v>0</v>
      </c>
      <c r="T73" s="167">
        <v>0</v>
      </c>
      <c r="U73" s="167"/>
      <c r="V73" s="167"/>
      <c r="W73" s="241">
        <f t="shared" si="28"/>
        <v>0</v>
      </c>
      <c r="X73" s="168">
        <f t="shared" si="29"/>
        <v>50.278121438933752</v>
      </c>
      <c r="Y73" s="140"/>
      <c r="Z73" s="167">
        <v>0</v>
      </c>
      <c r="AA73" s="168">
        <f t="shared" si="30"/>
        <v>157.26319468149305</v>
      </c>
      <c r="AB73" s="140"/>
      <c r="AC73" s="169"/>
      <c r="AD73" s="30"/>
      <c r="AF73" s="71">
        <v>67</v>
      </c>
      <c r="AG73" s="179">
        <f t="shared" si="31"/>
        <v>3.7997590680942883E-2</v>
      </c>
      <c r="AH73" s="179">
        <v>3.7991121125824368E-2</v>
      </c>
      <c r="AI73" s="179">
        <v>3.7997590680942883E-2</v>
      </c>
      <c r="AJ73" s="179">
        <f t="shared" si="18"/>
        <v>3.7997590680942883E-2</v>
      </c>
      <c r="AL73" s="4">
        <f t="shared" si="23"/>
        <v>0</v>
      </c>
      <c r="AM73" s="4">
        <f t="shared" si="24"/>
        <v>0</v>
      </c>
      <c r="AN73" s="4">
        <f t="shared" si="32"/>
        <v>0</v>
      </c>
      <c r="AP73" s="180" t="s">
        <v>180</v>
      </c>
      <c r="AR73" s="4">
        <f t="shared" si="33"/>
        <v>0</v>
      </c>
      <c r="AS73" s="4">
        <f t="shared" si="34"/>
        <v>0</v>
      </c>
      <c r="AU73" s="4">
        <f t="shared" si="17"/>
        <v>9.1094648007522974</v>
      </c>
      <c r="AV73" s="4">
        <f t="shared" si="35"/>
        <v>0.10977593325981301</v>
      </c>
    </row>
    <row r="74" spans="8:48">
      <c r="H74" s="31"/>
      <c r="J74" s="71">
        <v>68</v>
      </c>
      <c r="K74" s="167">
        <v>0</v>
      </c>
      <c r="L74" s="167"/>
      <c r="M74" s="167"/>
      <c r="N74" s="168">
        <f t="shared" si="25"/>
        <v>0</v>
      </c>
      <c r="O74" s="168">
        <f t="shared" si="26"/>
        <v>-1025.8098389601817</v>
      </c>
      <c r="P74" s="168">
        <f t="shared" si="27"/>
        <v>0</v>
      </c>
      <c r="Q74" s="168">
        <f t="shared" si="22"/>
        <v>0</v>
      </c>
      <c r="R74" s="140"/>
      <c r="S74" s="167">
        <v>0</v>
      </c>
      <c r="T74" s="167">
        <v>0</v>
      </c>
      <c r="U74" s="167"/>
      <c r="V74" s="167"/>
      <c r="W74" s="241">
        <f t="shared" si="28"/>
        <v>0</v>
      </c>
      <c r="X74" s="168">
        <f t="shared" si="29"/>
        <v>52.188590876002266</v>
      </c>
      <c r="Y74" s="140"/>
      <c r="Z74" s="167">
        <v>0</v>
      </c>
      <c r="AA74" s="168">
        <f t="shared" si="30"/>
        <v>163.2388858651754</v>
      </c>
      <c r="AB74" s="140"/>
      <c r="AC74" s="169"/>
      <c r="AD74" s="30"/>
      <c r="AF74" s="71">
        <v>68</v>
      </c>
      <c r="AG74" s="179">
        <f t="shared" si="31"/>
        <v>3.799802742011571E-2</v>
      </c>
      <c r="AH74" s="179">
        <v>3.7992357938451127E-2</v>
      </c>
      <c r="AI74" s="179">
        <v>3.799802742011571E-2</v>
      </c>
      <c r="AJ74" s="179">
        <f t="shared" si="18"/>
        <v>3.799802742011571E-2</v>
      </c>
      <c r="AL74" s="4">
        <f t="shared" si="23"/>
        <v>0</v>
      </c>
      <c r="AM74" s="4">
        <f t="shared" si="24"/>
        <v>0</v>
      </c>
      <c r="AN74" s="4">
        <f t="shared" si="32"/>
        <v>0</v>
      </c>
      <c r="AP74" s="180" t="s">
        <v>180</v>
      </c>
      <c r="AR74" s="4">
        <f t="shared" si="33"/>
        <v>0</v>
      </c>
      <c r="AS74" s="4">
        <f t="shared" si="34"/>
        <v>0</v>
      </c>
      <c r="AU74" s="4">
        <f t="shared" si="17"/>
        <v>9.4556064940338622</v>
      </c>
      <c r="AV74" s="4">
        <f t="shared" si="35"/>
        <v>0.10575736211431419</v>
      </c>
    </row>
    <row r="75" spans="8:48">
      <c r="H75" s="31"/>
      <c r="J75" s="71">
        <v>69</v>
      </c>
      <c r="K75" s="167">
        <v>0</v>
      </c>
      <c r="L75" s="167"/>
      <c r="M75" s="167"/>
      <c r="N75" s="168">
        <f t="shared" si="25"/>
        <v>0</v>
      </c>
      <c r="O75" s="168">
        <f t="shared" si="26"/>
        <v>-1064.7889561482566</v>
      </c>
      <c r="P75" s="168">
        <f t="shared" si="27"/>
        <v>0</v>
      </c>
      <c r="Q75" s="168">
        <f t="shared" si="22"/>
        <v>0</v>
      </c>
      <c r="R75" s="140"/>
      <c r="S75" s="167">
        <v>0</v>
      </c>
      <c r="T75" s="167">
        <v>0</v>
      </c>
      <c r="U75" s="167"/>
      <c r="V75" s="167"/>
      <c r="W75" s="241">
        <f t="shared" si="28"/>
        <v>0</v>
      </c>
      <c r="X75" s="168">
        <f t="shared" si="29"/>
        <v>54.171673044231646</v>
      </c>
      <c r="Y75" s="140"/>
      <c r="Z75" s="167">
        <v>0</v>
      </c>
      <c r="AA75" s="168">
        <f t="shared" si="30"/>
        <v>169.44169989573612</v>
      </c>
      <c r="AB75" s="140"/>
      <c r="AC75" s="169"/>
      <c r="AD75" s="30"/>
      <c r="AF75" s="71">
        <v>69</v>
      </c>
      <c r="AG75" s="179">
        <f t="shared" si="31"/>
        <v>3.7998384990717504E-2</v>
      </c>
      <c r="AH75" s="179">
        <v>3.799342245835069E-2</v>
      </c>
      <c r="AI75" s="179">
        <v>3.7998384990717504E-2</v>
      </c>
      <c r="AJ75" s="179">
        <f t="shared" si="18"/>
        <v>3.7998384990717504E-2</v>
      </c>
      <c r="AL75" s="4">
        <f t="shared" si="23"/>
        <v>0</v>
      </c>
      <c r="AM75" s="4">
        <f t="shared" si="24"/>
        <v>0</v>
      </c>
      <c r="AN75" s="4">
        <f t="shared" si="32"/>
        <v>0</v>
      </c>
      <c r="AP75" s="180" t="s">
        <v>180</v>
      </c>
      <c r="AR75" s="4">
        <f t="shared" si="33"/>
        <v>0</v>
      </c>
      <c r="AS75" s="4">
        <f t="shared" si="34"/>
        <v>0</v>
      </c>
      <c r="AU75" s="4">
        <f t="shared" si="17"/>
        <v>9.814904269914889</v>
      </c>
      <c r="AV75" s="4">
        <f t="shared" si="35"/>
        <v>0.10188586383519273</v>
      </c>
    </row>
    <row r="76" spans="8:48">
      <c r="H76" s="31"/>
      <c r="J76" s="71">
        <v>70</v>
      </c>
      <c r="K76" s="167">
        <v>0</v>
      </c>
      <c r="L76" s="167"/>
      <c r="M76" s="167"/>
      <c r="N76" s="168">
        <f t="shared" si="25"/>
        <v>0</v>
      </c>
      <c r="O76" s="168">
        <f t="shared" si="26"/>
        <v>-1105.2495285582088</v>
      </c>
      <c r="P76" s="168">
        <f t="shared" si="27"/>
        <v>0</v>
      </c>
      <c r="Q76" s="168">
        <f t="shared" si="22"/>
        <v>0</v>
      </c>
      <c r="R76" s="140"/>
      <c r="S76" s="167">
        <v>0</v>
      </c>
      <c r="T76" s="167">
        <v>0</v>
      </c>
      <c r="U76" s="167"/>
      <c r="V76" s="167"/>
      <c r="W76" s="241">
        <f t="shared" si="28"/>
        <v>0</v>
      </c>
      <c r="X76" s="168">
        <f t="shared" si="29"/>
        <v>56.230124991087877</v>
      </c>
      <c r="Y76" s="140"/>
      <c r="Z76" s="167">
        <v>0</v>
      </c>
      <c r="AA76" s="168">
        <f t="shared" si="30"/>
        <v>175.88026044645457</v>
      </c>
      <c r="AB76" s="140"/>
      <c r="AC76" s="169"/>
      <c r="AD76" s="30"/>
      <c r="AF76" s="71">
        <v>70</v>
      </c>
      <c r="AG76" s="179">
        <f t="shared" si="31"/>
        <v>3.7998677743910303E-2</v>
      </c>
      <c r="AH76" s="179">
        <v>3.7994338688301488E-2</v>
      </c>
      <c r="AI76" s="179">
        <v>3.7998677743910303E-2</v>
      </c>
      <c r="AJ76" s="179">
        <f t="shared" si="18"/>
        <v>3.7998677743910303E-2</v>
      </c>
      <c r="AL76" s="4">
        <f t="shared" si="23"/>
        <v>0</v>
      </c>
      <c r="AM76" s="4">
        <f t="shared" si="24"/>
        <v>0</v>
      </c>
      <c r="AN76" s="4">
        <f t="shared" si="32"/>
        <v>0</v>
      </c>
      <c r="AP76" s="180" t="s">
        <v>180</v>
      </c>
      <c r="AR76" s="4">
        <f t="shared" si="33"/>
        <v>0</v>
      </c>
      <c r="AS76" s="4">
        <f t="shared" si="34"/>
        <v>0</v>
      </c>
      <c r="AU76" s="4">
        <f t="shared" ref="AU76:AU126" si="36">AU75*(1+AG76)</f>
        <v>10.187857654354714</v>
      </c>
      <c r="AV76" s="4">
        <f t="shared" si="35"/>
        <v>9.815606322027462E-2</v>
      </c>
    </row>
    <row r="77" spans="8:48">
      <c r="H77" s="31"/>
      <c r="J77" s="71">
        <v>71</v>
      </c>
      <c r="K77" s="167">
        <v>0</v>
      </c>
      <c r="L77" s="167"/>
      <c r="M77" s="167"/>
      <c r="N77" s="168">
        <f t="shared" si="25"/>
        <v>0</v>
      </c>
      <c r="O77" s="168">
        <f t="shared" si="26"/>
        <v>-1147.2478141327922</v>
      </c>
      <c r="P77" s="168">
        <f t="shared" si="27"/>
        <v>0</v>
      </c>
      <c r="Q77" s="168">
        <f t="shared" si="22"/>
        <v>0</v>
      </c>
      <c r="R77" s="140"/>
      <c r="S77" s="167">
        <v>0</v>
      </c>
      <c r="T77" s="167">
        <v>0</v>
      </c>
      <c r="U77" s="167"/>
      <c r="V77" s="167"/>
      <c r="W77" s="241">
        <f t="shared" si="28"/>
        <v>0</v>
      </c>
      <c r="X77" s="168">
        <f t="shared" si="29"/>
        <v>58.366808867669917</v>
      </c>
      <c r="Y77" s="140"/>
      <c r="Z77" s="167">
        <v>0</v>
      </c>
      <c r="AA77" s="168">
        <f t="shared" si="30"/>
        <v>182.56351994062342</v>
      </c>
      <c r="AB77" s="140"/>
      <c r="AC77" s="169"/>
      <c r="AD77" s="30"/>
      <c r="AF77" s="71">
        <v>71</v>
      </c>
      <c r="AG77" s="179">
        <f t="shared" si="31"/>
        <v>3.799891742941508E-2</v>
      </c>
      <c r="AH77" s="179">
        <v>3.799512728675758E-2</v>
      </c>
      <c r="AI77" s="179">
        <v>3.799891742941508E-2</v>
      </c>
      <c r="AJ77" s="179">
        <f t="shared" si="18"/>
        <v>3.799891742941508E-2</v>
      </c>
      <c r="AL77" s="4">
        <f t="shared" si="23"/>
        <v>0</v>
      </c>
      <c r="AM77" s="4">
        <f t="shared" si="24"/>
        <v>0</v>
      </c>
      <c r="AN77" s="4">
        <f t="shared" si="32"/>
        <v>0</v>
      </c>
      <c r="AP77" s="180" t="s">
        <v>180</v>
      </c>
      <c r="AR77" s="4">
        <f t="shared" si="33"/>
        <v>0</v>
      </c>
      <c r="AS77" s="4">
        <f t="shared" si="34"/>
        <v>0</v>
      </c>
      <c r="AU77" s="4">
        <f t="shared" si="36"/>
        <v>10.574985216145173</v>
      </c>
      <c r="AV77" s="4">
        <f t="shared" si="35"/>
        <v>9.4562779952946652E-2</v>
      </c>
    </row>
    <row r="78" spans="8:48">
      <c r="H78" s="31"/>
      <c r="J78" s="71">
        <v>72</v>
      </c>
      <c r="K78" s="167">
        <v>0</v>
      </c>
      <c r="L78" s="167"/>
      <c r="M78" s="167"/>
      <c r="N78" s="168">
        <f t="shared" si="25"/>
        <v>0</v>
      </c>
      <c r="O78" s="168">
        <f t="shared" si="26"/>
        <v>-1190.8422142261441</v>
      </c>
      <c r="P78" s="168">
        <f t="shared" si="27"/>
        <v>0</v>
      </c>
      <c r="Q78" s="168">
        <f t="shared" si="22"/>
        <v>0</v>
      </c>
      <c r="R78" s="140"/>
      <c r="S78" s="167">
        <v>0</v>
      </c>
      <c r="T78" s="167">
        <v>0</v>
      </c>
      <c r="U78" s="167"/>
      <c r="V78" s="167"/>
      <c r="W78" s="241">
        <f t="shared" si="28"/>
        <v>0</v>
      </c>
      <c r="X78" s="168">
        <f t="shared" si="29"/>
        <v>60.584695872207618</v>
      </c>
      <c r="Y78" s="140"/>
      <c r="Z78" s="167">
        <v>0</v>
      </c>
      <c r="AA78" s="168">
        <f t="shared" si="30"/>
        <v>189.5007718862793</v>
      </c>
      <c r="AB78" s="140"/>
      <c r="AC78" s="169"/>
      <c r="AD78" s="30"/>
      <c r="AF78" s="71">
        <v>72</v>
      </c>
      <c r="AG78" s="179">
        <f t="shared" si="31"/>
        <v>3.7999113666915108E-2</v>
      </c>
      <c r="AH78" s="179">
        <v>3.7995806033768842E-2</v>
      </c>
      <c r="AI78" s="179">
        <v>3.7999113666915108E-2</v>
      </c>
      <c r="AJ78" s="179">
        <f t="shared" si="18"/>
        <v>3.7999113666915108E-2</v>
      </c>
      <c r="AL78" s="4">
        <f t="shared" si="23"/>
        <v>0</v>
      </c>
      <c r="AM78" s="4">
        <f t="shared" si="24"/>
        <v>0</v>
      </c>
      <c r="AN78" s="4">
        <f t="shared" si="32"/>
        <v>0</v>
      </c>
      <c r="AP78" s="180" t="s">
        <v>180</v>
      </c>
      <c r="AR78" s="4">
        <f t="shared" si="33"/>
        <v>0</v>
      </c>
      <c r="AS78" s="4">
        <f t="shared" si="34"/>
        <v>0</v>
      </c>
      <c r="AU78" s="4">
        <f t="shared" si="36"/>
        <v>10.976825281399419</v>
      </c>
      <c r="AV78" s="4">
        <f t="shared" si="35"/>
        <v>9.1101021867819279E-2</v>
      </c>
    </row>
    <row r="79" spans="8:48">
      <c r="H79" s="31"/>
      <c r="J79" s="71">
        <v>73</v>
      </c>
      <c r="K79" s="167">
        <v>0</v>
      </c>
      <c r="L79" s="167"/>
      <c r="M79" s="167"/>
      <c r="N79" s="168">
        <f t="shared" si="25"/>
        <v>0</v>
      </c>
      <c r="O79" s="168">
        <f t="shared" si="26"/>
        <v>-1236.0933542110711</v>
      </c>
      <c r="P79" s="168">
        <f t="shared" si="27"/>
        <v>0</v>
      </c>
      <c r="Q79" s="168">
        <f t="shared" si="22"/>
        <v>0</v>
      </c>
      <c r="R79" s="140"/>
      <c r="S79" s="167">
        <v>0</v>
      </c>
      <c r="T79" s="167">
        <v>0</v>
      </c>
      <c r="U79" s="167"/>
      <c r="V79" s="167"/>
      <c r="W79" s="241">
        <f t="shared" si="28"/>
        <v>0</v>
      </c>
      <c r="X79" s="168">
        <f t="shared" si="29"/>
        <v>62.88687035099786</v>
      </c>
      <c r="Y79" s="140"/>
      <c r="Z79" s="167">
        <v>0</v>
      </c>
      <c r="AA79" s="168">
        <f t="shared" si="30"/>
        <v>196.70166370337884</v>
      </c>
      <c r="AB79" s="140"/>
      <c r="AC79" s="169"/>
      <c r="AD79" s="30"/>
      <c r="AF79" s="71">
        <v>73</v>
      </c>
      <c r="AG79" s="179">
        <f t="shared" si="31"/>
        <v>3.7999274332353838E-2</v>
      </c>
      <c r="AH79" s="179">
        <v>3.7996390232389654E-2</v>
      </c>
      <c r="AI79" s="179">
        <v>3.7999274332353838E-2</v>
      </c>
      <c r="AJ79" s="179">
        <f t="shared" si="18"/>
        <v>3.7999274332353838E-2</v>
      </c>
      <c r="AL79" s="4">
        <f t="shared" si="23"/>
        <v>0</v>
      </c>
      <c r="AM79" s="4">
        <f t="shared" si="24"/>
        <v>0</v>
      </c>
      <c r="AN79" s="4">
        <f t="shared" si="32"/>
        <v>0</v>
      </c>
      <c r="AP79" s="180" t="s">
        <v>180</v>
      </c>
      <c r="AR79" s="4">
        <f t="shared" si="33"/>
        <v>0</v>
      </c>
      <c r="AS79" s="4">
        <f t="shared" si="34"/>
        <v>0</v>
      </c>
      <c r="AU79" s="4">
        <f t="shared" si="36"/>
        <v>11.393936676565632</v>
      </c>
      <c r="AV79" s="4">
        <f t="shared" si="35"/>
        <v>8.7765978378372092E-2</v>
      </c>
    </row>
    <row r="80" spans="8:48">
      <c r="H80" s="31"/>
      <c r="J80" s="71">
        <v>74</v>
      </c>
      <c r="K80" s="167">
        <v>0</v>
      </c>
      <c r="L80" s="167"/>
      <c r="M80" s="167"/>
      <c r="N80" s="168">
        <f t="shared" si="25"/>
        <v>0</v>
      </c>
      <c r="O80" s="168">
        <f t="shared" si="26"/>
        <v>-1283.0641672758125</v>
      </c>
      <c r="P80" s="168">
        <f t="shared" si="27"/>
        <v>0</v>
      </c>
      <c r="Q80" s="168">
        <f t="shared" si="22"/>
        <v>0</v>
      </c>
      <c r="R80" s="140"/>
      <c r="S80" s="167">
        <v>0</v>
      </c>
      <c r="T80" s="167">
        <v>0</v>
      </c>
      <c r="U80" s="167"/>
      <c r="V80" s="167"/>
      <c r="W80" s="241">
        <f t="shared" si="28"/>
        <v>0</v>
      </c>
      <c r="X80" s="168">
        <f t="shared" si="29"/>
        <v>65.276534061607009</v>
      </c>
      <c r="Y80" s="140"/>
      <c r="Z80" s="167">
        <v>0</v>
      </c>
      <c r="AA80" s="168">
        <f t="shared" si="30"/>
        <v>204.17621005852197</v>
      </c>
      <c r="AB80" s="140"/>
      <c r="AC80" s="169"/>
      <c r="AD80" s="30"/>
      <c r="AF80" s="71">
        <v>74</v>
      </c>
      <c r="AG80" s="179">
        <f t="shared" si="31"/>
        <v>3.799940587393591E-2</v>
      </c>
      <c r="AH80" s="179">
        <v>3.7996893053520164E-2</v>
      </c>
      <c r="AI80" s="179">
        <v>3.799940587393591E-2</v>
      </c>
      <c r="AJ80" s="179">
        <f t="shared" si="18"/>
        <v>3.799940587393591E-2</v>
      </c>
      <c r="AL80" s="4">
        <f t="shared" si="23"/>
        <v>0</v>
      </c>
      <c r="AM80" s="4">
        <f t="shared" si="24"/>
        <v>0</v>
      </c>
      <c r="AN80" s="4">
        <f t="shared" si="32"/>
        <v>0</v>
      </c>
      <c r="AP80" s="180" t="s">
        <v>180</v>
      </c>
      <c r="AR80" s="4">
        <f t="shared" si="33"/>
        <v>0</v>
      </c>
      <c r="AS80" s="4">
        <f t="shared" si="34"/>
        <v>0</v>
      </c>
      <c r="AU80" s="4">
        <f t="shared" si="36"/>
        <v>11.826899500840375</v>
      </c>
      <c r="AV80" s="4">
        <f t="shared" si="35"/>
        <v>8.4553014078537131E-2</v>
      </c>
    </row>
    <row r="81" spans="8:48">
      <c r="H81" s="31"/>
      <c r="J81" s="71">
        <v>75</v>
      </c>
      <c r="K81" s="167">
        <v>0</v>
      </c>
      <c r="L81" s="167"/>
      <c r="M81" s="167"/>
      <c r="N81" s="168">
        <f t="shared" si="25"/>
        <v>0</v>
      </c>
      <c r="O81" s="168">
        <f t="shared" si="26"/>
        <v>-1331.8199815125722</v>
      </c>
      <c r="P81" s="168">
        <f t="shared" si="27"/>
        <v>0</v>
      </c>
      <c r="Q81" s="168">
        <f t="shared" si="22"/>
        <v>0</v>
      </c>
      <c r="R81" s="140"/>
      <c r="S81" s="167">
        <v>0</v>
      </c>
      <c r="T81" s="167">
        <v>0</v>
      </c>
      <c r="U81" s="167"/>
      <c r="V81" s="167"/>
      <c r="W81" s="241">
        <f t="shared" si="28"/>
        <v>0</v>
      </c>
      <c r="X81" s="168">
        <f t="shared" si="29"/>
        <v>67.757010603543733</v>
      </c>
      <c r="Y81" s="140"/>
      <c r="Z81" s="167">
        <v>0</v>
      </c>
      <c r="AA81" s="168">
        <f t="shared" si="30"/>
        <v>211.9348067235</v>
      </c>
      <c r="AB81" s="140"/>
      <c r="AC81" s="169"/>
      <c r="AD81" s="30"/>
      <c r="AF81" s="71">
        <v>75</v>
      </c>
      <c r="AG81" s="179">
        <f t="shared" si="31"/>
        <v>3.7999513570921017E-2</v>
      </c>
      <c r="AH81" s="179">
        <v>3.7997325833255102E-2</v>
      </c>
      <c r="AI81" s="179">
        <v>3.7999513570921017E-2</v>
      </c>
      <c r="AJ81" s="179">
        <f t="shared" si="18"/>
        <v>3.7999513570921017E-2</v>
      </c>
      <c r="AL81" s="4">
        <f t="shared" si="23"/>
        <v>0</v>
      </c>
      <c r="AM81" s="4">
        <f t="shared" si="24"/>
        <v>0</v>
      </c>
      <c r="AN81" s="4">
        <f t="shared" si="32"/>
        <v>0</v>
      </c>
      <c r="AP81" s="180" t="s">
        <v>180</v>
      </c>
      <c r="AR81" s="4">
        <f t="shared" si="33"/>
        <v>0</v>
      </c>
      <c r="AS81" s="4">
        <f t="shared" si="34"/>
        <v>0</v>
      </c>
      <c r="AU81" s="4">
        <f t="shared" si="36"/>
        <v>12.276315928924477</v>
      </c>
      <c r="AV81" s="4">
        <f t="shared" si="35"/>
        <v>8.1457662525927649E-2</v>
      </c>
    </row>
    <row r="82" spans="8:48">
      <c r="H82" s="31"/>
      <c r="J82" s="71">
        <v>76</v>
      </c>
      <c r="K82" s="167">
        <v>0</v>
      </c>
      <c r="L82" s="167"/>
      <c r="M82" s="167"/>
      <c r="N82" s="168">
        <f t="shared" si="25"/>
        <v>0</v>
      </c>
      <c r="O82" s="168">
        <f t="shared" si="26"/>
        <v>-1382.4286104070522</v>
      </c>
      <c r="P82" s="168">
        <f t="shared" si="27"/>
        <v>0</v>
      </c>
      <c r="Q82" s="168">
        <f t="shared" si="22"/>
        <v>0</v>
      </c>
      <c r="R82" s="140"/>
      <c r="S82" s="167">
        <v>0</v>
      </c>
      <c r="T82" s="167">
        <v>0</v>
      </c>
      <c r="U82" s="167"/>
      <c r="V82" s="167"/>
      <c r="W82" s="241">
        <f t="shared" si="28"/>
        <v>0</v>
      </c>
      <c r="X82" s="168">
        <f t="shared" si="29"/>
        <v>70.331750021959436</v>
      </c>
      <c r="Y82" s="140"/>
      <c r="Z82" s="167">
        <v>0</v>
      </c>
      <c r="AA82" s="168">
        <f t="shared" si="30"/>
        <v>219.98824497505075</v>
      </c>
      <c r="AB82" s="140"/>
      <c r="AC82" s="169"/>
      <c r="AD82" s="30"/>
      <c r="AF82" s="71">
        <v>76</v>
      </c>
      <c r="AG82" s="179">
        <f t="shared" si="31"/>
        <v>3.7999601745727585E-2</v>
      </c>
      <c r="AH82" s="179">
        <v>3.799769832847022E-2</v>
      </c>
      <c r="AI82" s="179">
        <v>3.7999601745727585E-2</v>
      </c>
      <c r="AJ82" s="179">
        <f t="shared" si="18"/>
        <v>3.7999601745727585E-2</v>
      </c>
      <c r="AL82" s="4">
        <f t="shared" si="23"/>
        <v>0</v>
      </c>
      <c r="AM82" s="4">
        <f t="shared" si="24"/>
        <v>0</v>
      </c>
      <c r="AN82" s="4">
        <f t="shared" si="32"/>
        <v>0</v>
      </c>
      <c r="AP82" s="180" t="s">
        <v>180</v>
      </c>
      <c r="AR82" s="4">
        <f t="shared" si="33"/>
        <v>0</v>
      </c>
      <c r="AS82" s="4">
        <f t="shared" si="34"/>
        <v>0</v>
      </c>
      <c r="AU82" s="4">
        <f t="shared" si="36"/>
        <v>12.74281104512834</v>
      </c>
      <c r="AV82" s="4">
        <f t="shared" si="35"/>
        <v>7.8475620211154784E-2</v>
      </c>
    </row>
    <row r="83" spans="8:48">
      <c r="H83" s="31"/>
      <c r="J83" s="71">
        <v>77</v>
      </c>
      <c r="K83" s="167">
        <v>0</v>
      </c>
      <c r="L83" s="167"/>
      <c r="M83" s="167"/>
      <c r="N83" s="168">
        <f t="shared" si="25"/>
        <v>0</v>
      </c>
      <c r="O83" s="168">
        <f t="shared" si="26"/>
        <v>-1434.9604468438185</v>
      </c>
      <c r="P83" s="168">
        <f t="shared" si="27"/>
        <v>0</v>
      </c>
      <c r="Q83" s="168">
        <f t="shared" si="22"/>
        <v>0</v>
      </c>
      <c r="R83" s="140"/>
      <c r="S83" s="167">
        <v>0</v>
      </c>
      <c r="T83" s="167">
        <v>0</v>
      </c>
      <c r="U83" s="167"/>
      <c r="V83" s="167"/>
      <c r="W83" s="241">
        <f t="shared" si="28"/>
        <v>0</v>
      </c>
      <c r="X83" s="168">
        <f t="shared" si="29"/>
        <v>73.004333590218508</v>
      </c>
      <c r="Y83" s="140"/>
      <c r="Z83" s="167">
        <v>0</v>
      </c>
      <c r="AA83" s="168">
        <f t="shared" si="30"/>
        <v>228.34772655409438</v>
      </c>
      <c r="AB83" s="140"/>
      <c r="AC83" s="169"/>
      <c r="AD83" s="30"/>
      <c r="AF83" s="71">
        <v>77</v>
      </c>
      <c r="AG83" s="179">
        <f t="shared" si="31"/>
        <v>3.7999673937085587E-2</v>
      </c>
      <c r="AH83" s="179">
        <v>3.7998018936735933E-2</v>
      </c>
      <c r="AI83" s="179">
        <v>3.7999673937085587E-2</v>
      </c>
      <c r="AJ83" s="179">
        <f t="shared" si="18"/>
        <v>3.7999673937085587E-2</v>
      </c>
      <c r="AL83" s="4">
        <f t="shared" si="23"/>
        <v>0</v>
      </c>
      <c r="AM83" s="4">
        <f t="shared" si="24"/>
        <v>0</v>
      </c>
      <c r="AN83" s="4">
        <f t="shared" si="32"/>
        <v>0</v>
      </c>
      <c r="AP83" s="180" t="s">
        <v>180</v>
      </c>
      <c r="AR83" s="4">
        <f t="shared" si="33"/>
        <v>0</v>
      </c>
      <c r="AS83" s="4">
        <f t="shared" si="34"/>
        <v>0</v>
      </c>
      <c r="AU83" s="4">
        <f t="shared" si="36"/>
        <v>13.227033709885109</v>
      </c>
      <c r="AV83" s="4">
        <f t="shared" si="35"/>
        <v>7.5602740715226172E-2</v>
      </c>
    </row>
    <row r="84" spans="8:48">
      <c r="H84" s="31"/>
      <c r="J84" s="71">
        <v>78</v>
      </c>
      <c r="K84" s="167">
        <v>0</v>
      </c>
      <c r="L84" s="167"/>
      <c r="M84" s="167"/>
      <c r="N84" s="168">
        <f t="shared" si="25"/>
        <v>0</v>
      </c>
      <c r="O84" s="168">
        <f t="shared" si="26"/>
        <v>-1489.4885607501703</v>
      </c>
      <c r="P84" s="168">
        <f t="shared" si="27"/>
        <v>0</v>
      </c>
      <c r="Q84" s="168">
        <f t="shared" si="22"/>
        <v>0</v>
      </c>
      <c r="R84" s="140"/>
      <c r="S84" s="167">
        <v>0</v>
      </c>
      <c r="T84" s="167">
        <v>0</v>
      </c>
      <c r="U84" s="167"/>
      <c r="V84" s="167"/>
      <c r="W84" s="241">
        <f t="shared" si="28"/>
        <v>0</v>
      </c>
      <c r="X84" s="168">
        <f t="shared" si="29"/>
        <v>75.77847877757921</v>
      </c>
      <c r="Y84" s="140"/>
      <c r="Z84" s="167">
        <v>0</v>
      </c>
      <c r="AA84" s="168">
        <f t="shared" si="30"/>
        <v>237.02487920397041</v>
      </c>
      <c r="AB84" s="140"/>
      <c r="AC84" s="169"/>
      <c r="AD84" s="30"/>
      <c r="AF84" s="71">
        <v>78</v>
      </c>
      <c r="AG84" s="179">
        <f t="shared" si="31"/>
        <v>3.7999733042318962E-2</v>
      </c>
      <c r="AH84" s="179">
        <v>3.7998294885825956E-2</v>
      </c>
      <c r="AI84" s="179">
        <v>3.7999733042318962E-2</v>
      </c>
      <c r="AJ84" s="179">
        <f t="shared" si="18"/>
        <v>3.7999733042318962E-2</v>
      </c>
      <c r="AL84" s="4">
        <f t="shared" si="23"/>
        <v>0</v>
      </c>
      <c r="AM84" s="4">
        <f t="shared" si="24"/>
        <v>0</v>
      </c>
      <c r="AN84" s="4">
        <f t="shared" si="32"/>
        <v>0</v>
      </c>
      <c r="AP84" s="180" t="s">
        <v>180</v>
      </c>
      <c r="AR84" s="4">
        <f t="shared" si="33"/>
        <v>0</v>
      </c>
      <c r="AS84" s="4">
        <f t="shared" si="34"/>
        <v>0</v>
      </c>
      <c r="AU84" s="4">
        <f t="shared" si="36"/>
        <v>13.729657459802498</v>
      </c>
      <c r="AV84" s="4">
        <f t="shared" si="35"/>
        <v>7.2835029055006384E-2</v>
      </c>
    </row>
    <row r="85" spans="8:48">
      <c r="H85" s="31"/>
      <c r="J85" s="71">
        <v>79</v>
      </c>
      <c r="K85" s="167">
        <v>0</v>
      </c>
      <c r="L85" s="167"/>
      <c r="M85" s="167"/>
      <c r="N85" s="168">
        <f t="shared" si="25"/>
        <v>0</v>
      </c>
      <c r="O85" s="168">
        <f t="shared" si="26"/>
        <v>-1546.0888005065117</v>
      </c>
      <c r="P85" s="168">
        <f t="shared" si="27"/>
        <v>0</v>
      </c>
      <c r="Q85" s="168">
        <f t="shared" si="22"/>
        <v>0</v>
      </c>
      <c r="R85" s="140"/>
      <c r="S85" s="167">
        <v>0</v>
      </c>
      <c r="T85" s="167">
        <v>0</v>
      </c>
      <c r="U85" s="167"/>
      <c r="V85" s="167"/>
      <c r="W85" s="241">
        <f t="shared" si="28"/>
        <v>0</v>
      </c>
      <c r="X85" s="168">
        <f t="shared" si="29"/>
        <v>78.658044408497275</v>
      </c>
      <c r="Y85" s="140"/>
      <c r="Z85" s="167">
        <v>0</v>
      </c>
      <c r="AA85" s="168">
        <f t="shared" si="30"/>
        <v>246.03177280804471</v>
      </c>
      <c r="AB85" s="140"/>
      <c r="AC85" s="169"/>
      <c r="AD85" s="30"/>
      <c r="AF85" s="71">
        <v>79</v>
      </c>
      <c r="AG85" s="179">
        <f t="shared" si="31"/>
        <v>3.7999781433591506E-2</v>
      </c>
      <c r="AH85" s="179">
        <v>3.7998532396726459E-2</v>
      </c>
      <c r="AI85" s="179">
        <v>3.7999781433591506E-2</v>
      </c>
      <c r="AJ85" s="179">
        <f t="shared" si="18"/>
        <v>3.7999781433591506E-2</v>
      </c>
      <c r="AL85" s="4">
        <f t="shared" si="23"/>
        <v>0</v>
      </c>
      <c r="AM85" s="4">
        <f t="shared" si="24"/>
        <v>0</v>
      </c>
      <c r="AN85" s="4">
        <f t="shared" si="32"/>
        <v>0</v>
      </c>
      <c r="AP85" s="180" t="s">
        <v>180</v>
      </c>
      <c r="AR85" s="4">
        <f t="shared" si="33"/>
        <v>0</v>
      </c>
      <c r="AS85" s="4">
        <f t="shared" si="34"/>
        <v>0</v>
      </c>
      <c r="AU85" s="4">
        <f t="shared" si="36"/>
        <v>14.251381442433072</v>
      </c>
      <c r="AV85" s="4">
        <f t="shared" si="35"/>
        <v>7.0168636215330621E-2</v>
      </c>
    </row>
    <row r="86" spans="8:48">
      <c r="H86" s="31"/>
      <c r="J86" s="71">
        <v>80</v>
      </c>
      <c r="K86" s="167">
        <v>0</v>
      </c>
      <c r="L86" s="167"/>
      <c r="M86" s="167"/>
      <c r="N86" s="168">
        <f t="shared" si="25"/>
        <v>0</v>
      </c>
      <c r="O86" s="168">
        <f t="shared" si="26"/>
        <v>-1604.8398982577983</v>
      </c>
      <c r="P86" s="168">
        <f t="shared" si="27"/>
        <v>0</v>
      </c>
      <c r="Q86" s="168">
        <f t="shared" si="22"/>
        <v>0</v>
      </c>
      <c r="R86" s="140"/>
      <c r="S86" s="167">
        <v>0</v>
      </c>
      <c r="T86" s="167">
        <v>0</v>
      </c>
      <c r="U86" s="167"/>
      <c r="V86" s="167"/>
      <c r="W86" s="241">
        <f t="shared" si="28"/>
        <v>0</v>
      </c>
      <c r="X86" s="168">
        <f t="shared" si="29"/>
        <v>81.647036020398673</v>
      </c>
      <c r="Y86" s="140"/>
      <c r="Z86" s="167">
        <v>0</v>
      </c>
      <c r="AA86" s="168">
        <f t="shared" si="30"/>
        <v>255.38093614810143</v>
      </c>
      <c r="AB86" s="140"/>
      <c r="AC86" s="169"/>
      <c r="AD86" s="30"/>
      <c r="AF86" s="71">
        <v>80</v>
      </c>
      <c r="AG86" s="179">
        <f t="shared" si="31"/>
        <v>3.7999821052994598E-2</v>
      </c>
      <c r="AH86" s="179">
        <v>3.7998736823692481E-2</v>
      </c>
      <c r="AI86" s="179">
        <v>3.7999821052994598E-2</v>
      </c>
      <c r="AJ86" s="179">
        <f t="shared" si="18"/>
        <v>3.7999821052994598E-2</v>
      </c>
      <c r="AL86" s="4">
        <f t="shared" si="23"/>
        <v>0</v>
      </c>
      <c r="AM86" s="4">
        <f t="shared" si="24"/>
        <v>0</v>
      </c>
      <c r="AN86" s="4">
        <f t="shared" si="32"/>
        <v>0</v>
      </c>
      <c r="AP86" s="180" t="s">
        <v>180</v>
      </c>
      <c r="AR86" s="4">
        <f t="shared" si="33"/>
        <v>0</v>
      </c>
      <c r="AS86" s="4">
        <f t="shared" si="34"/>
        <v>0</v>
      </c>
      <c r="AU86" s="4">
        <f t="shared" si="36"/>
        <v>14.792931387003497</v>
      </c>
      <c r="AV86" s="4">
        <f t="shared" si="35"/>
        <v>6.7599853865242809E-2</v>
      </c>
    </row>
    <row r="87" spans="8:48">
      <c r="H87" s="31"/>
      <c r="J87" s="71">
        <v>81</v>
      </c>
      <c r="K87" s="167">
        <v>0</v>
      </c>
      <c r="L87" s="167"/>
      <c r="M87" s="167"/>
      <c r="N87" s="168">
        <f t="shared" si="25"/>
        <v>0</v>
      </c>
      <c r="O87" s="168">
        <f t="shared" si="26"/>
        <v>-1665.8235792674452</v>
      </c>
      <c r="P87" s="168">
        <f t="shared" si="27"/>
        <v>0</v>
      </c>
      <c r="Q87" s="168">
        <f t="shared" si="22"/>
        <v>0</v>
      </c>
      <c r="R87" s="140"/>
      <c r="S87" s="167">
        <v>0</v>
      </c>
      <c r="T87" s="167">
        <v>0</v>
      </c>
      <c r="U87" s="167"/>
      <c r="V87" s="167"/>
      <c r="W87" s="241">
        <f t="shared" si="28"/>
        <v>0</v>
      </c>
      <c r="X87" s="168">
        <f t="shared" si="29"/>
        <v>84.749611427114615</v>
      </c>
      <c r="Y87" s="140"/>
      <c r="Z87" s="167">
        <v>0</v>
      </c>
      <c r="AA87" s="168">
        <f t="shared" si="30"/>
        <v>265.08537430601859</v>
      </c>
      <c r="AB87" s="140"/>
      <c r="AC87" s="169"/>
      <c r="AD87" s="30"/>
      <c r="AF87" s="71">
        <v>81</v>
      </c>
      <c r="AG87" s="179">
        <f t="shared" si="31"/>
        <v>3.799985349058832E-2</v>
      </c>
      <c r="AH87" s="179">
        <v>3.799891277520695E-2</v>
      </c>
      <c r="AI87" s="179">
        <v>3.799985349058832E-2</v>
      </c>
      <c r="AJ87" s="179">
        <f t="shared" si="18"/>
        <v>3.799985349058832E-2</v>
      </c>
      <c r="AL87" s="4">
        <f t="shared" si="23"/>
        <v>0</v>
      </c>
      <c r="AM87" s="4">
        <f t="shared" si="24"/>
        <v>0</v>
      </c>
      <c r="AN87" s="4">
        <f t="shared" si="32"/>
        <v>0</v>
      </c>
      <c r="AP87" s="180" t="s">
        <v>180</v>
      </c>
      <c r="AR87" s="4">
        <f t="shared" si="33"/>
        <v>0</v>
      </c>
      <c r="AS87" s="4">
        <f t="shared" si="34"/>
        <v>0</v>
      </c>
      <c r="AU87" s="4">
        <f t="shared" si="36"/>
        <v>15.355060612405955</v>
      </c>
      <c r="AV87" s="4">
        <f t="shared" si="35"/>
        <v>6.5125109254994457E-2</v>
      </c>
    </row>
    <row r="88" spans="8:48">
      <c r="H88" s="31"/>
      <c r="J88" s="71">
        <v>82</v>
      </c>
      <c r="K88" s="167">
        <v>0</v>
      </c>
      <c r="L88" s="167"/>
      <c r="M88" s="167"/>
      <c r="N88" s="168">
        <f t="shared" si="25"/>
        <v>0</v>
      </c>
      <c r="O88" s="168">
        <f t="shared" si="26"/>
        <v>-1729.1246754611948</v>
      </c>
      <c r="P88" s="168">
        <f t="shared" si="27"/>
        <v>0</v>
      </c>
      <c r="Q88" s="168">
        <f t="shared" si="22"/>
        <v>0</v>
      </c>
      <c r="R88" s="140"/>
      <c r="S88" s="167">
        <v>0</v>
      </c>
      <c r="T88" s="167">
        <v>0</v>
      </c>
      <c r="U88" s="167"/>
      <c r="V88" s="167"/>
      <c r="W88" s="241">
        <f t="shared" si="28"/>
        <v>0</v>
      </c>
      <c r="X88" s="168">
        <f t="shared" si="29"/>
        <v>87.970086495482818</v>
      </c>
      <c r="Y88" s="140"/>
      <c r="Z88" s="167">
        <v>0</v>
      </c>
      <c r="AA88" s="168">
        <f t="shared" si="30"/>
        <v>275.15858673219913</v>
      </c>
      <c r="AB88" s="140"/>
      <c r="AC88" s="169"/>
      <c r="AD88" s="30"/>
      <c r="AF88" s="71">
        <v>82</v>
      </c>
      <c r="AG88" s="179">
        <f t="shared" si="31"/>
        <v>3.7999880048274148E-2</v>
      </c>
      <c r="AH88" s="179">
        <v>3.799906421779764E-2</v>
      </c>
      <c r="AI88" s="179">
        <v>3.7999880048274148E-2</v>
      </c>
      <c r="AJ88" s="179">
        <f t="shared" si="18"/>
        <v>3.7999880048274148E-2</v>
      </c>
      <c r="AL88" s="4">
        <f t="shared" si="23"/>
        <v>0</v>
      </c>
      <c r="AM88" s="4">
        <f t="shared" si="24"/>
        <v>0</v>
      </c>
      <c r="AN88" s="4">
        <f t="shared" si="32"/>
        <v>0</v>
      </c>
      <c r="AP88" s="180" t="s">
        <v>180</v>
      </c>
      <c r="AR88" s="4">
        <f t="shared" si="33"/>
        <v>0</v>
      </c>
      <c r="AS88" s="4">
        <f t="shared" si="34"/>
        <v>0</v>
      </c>
      <c r="AU88" s="4">
        <f t="shared" si="36"/>
        <v>15.938551073811361</v>
      </c>
      <c r="AV88" s="4">
        <f t="shared" si="35"/>
        <v>6.2740960289866018E-2</v>
      </c>
    </row>
    <row r="89" spans="8:48">
      <c r="H89" s="31"/>
      <c r="J89" s="71">
        <v>83</v>
      </c>
      <c r="K89" s="167">
        <v>0</v>
      </c>
      <c r="L89" s="167"/>
      <c r="M89" s="167"/>
      <c r="N89" s="168">
        <f t="shared" si="25"/>
        <v>0</v>
      </c>
      <c r="O89" s="168">
        <f t="shared" si="26"/>
        <v>-1794.8312433145363</v>
      </c>
      <c r="P89" s="168">
        <f t="shared" si="27"/>
        <v>0</v>
      </c>
      <c r="Q89" s="168">
        <f t="shared" si="22"/>
        <v>0</v>
      </c>
      <c r="R89" s="140"/>
      <c r="S89" s="167">
        <v>0</v>
      </c>
      <c r="T89" s="167">
        <v>0</v>
      </c>
      <c r="U89" s="167"/>
      <c r="V89" s="167"/>
      <c r="W89" s="241">
        <f t="shared" si="28"/>
        <v>0</v>
      </c>
      <c r="X89" s="168">
        <f t="shared" si="29"/>
        <v>91.312941142929247</v>
      </c>
      <c r="Y89" s="140"/>
      <c r="Z89" s="167">
        <v>0</v>
      </c>
      <c r="AA89" s="168">
        <f t="shared" si="30"/>
        <v>285.61458600519921</v>
      </c>
      <c r="AB89" s="140"/>
      <c r="AC89" s="169"/>
      <c r="AD89" s="30"/>
      <c r="AF89" s="71">
        <v>83</v>
      </c>
      <c r="AG89" s="179">
        <f t="shared" si="31"/>
        <v>3.7999901791821999E-2</v>
      </c>
      <c r="AH89" s="179">
        <v>3.7999194565429439E-2</v>
      </c>
      <c r="AI89" s="179">
        <v>3.7999901791821999E-2</v>
      </c>
      <c r="AJ89" s="179">
        <f t="shared" si="18"/>
        <v>3.7999901791821999E-2</v>
      </c>
      <c r="AL89" s="4">
        <f t="shared" si="23"/>
        <v>0</v>
      </c>
      <c r="AM89" s="4">
        <f t="shared" si="24"/>
        <v>0</v>
      </c>
      <c r="AN89" s="4">
        <f t="shared" si="32"/>
        <v>0</v>
      </c>
      <c r="AP89" s="180" t="s">
        <v>180</v>
      </c>
      <c r="AR89" s="4">
        <f t="shared" si="33"/>
        <v>0</v>
      </c>
      <c r="AS89" s="4">
        <f t="shared" si="34"/>
        <v>0</v>
      </c>
      <c r="AU89" s="4">
        <f t="shared" si="36"/>
        <v>16.544214449320133</v>
      </c>
      <c r="AV89" s="4">
        <f t="shared" si="35"/>
        <v>6.0444090776464392E-2</v>
      </c>
    </row>
    <row r="90" spans="8:48">
      <c r="H90" s="31"/>
      <c r="J90" s="71">
        <v>84</v>
      </c>
      <c r="K90" s="167">
        <v>0</v>
      </c>
      <c r="L90" s="167"/>
      <c r="M90" s="167"/>
      <c r="N90" s="168">
        <f t="shared" si="25"/>
        <v>0</v>
      </c>
      <c r="O90" s="168">
        <f t="shared" si="26"/>
        <v>-1863.0346862452354</v>
      </c>
      <c r="P90" s="168">
        <f t="shared" si="27"/>
        <v>0</v>
      </c>
      <c r="Q90" s="168">
        <f t="shared" si="22"/>
        <v>0</v>
      </c>
      <c r="R90" s="140"/>
      <c r="S90" s="167">
        <v>0</v>
      </c>
      <c r="T90" s="167">
        <v>0</v>
      </c>
      <c r="U90" s="167"/>
      <c r="V90" s="167"/>
      <c r="W90" s="241">
        <f t="shared" si="28"/>
        <v>0</v>
      </c>
      <c r="X90" s="168">
        <f t="shared" si="29"/>
        <v>94.782825564249549</v>
      </c>
      <c r="Y90" s="140"/>
      <c r="Z90" s="167">
        <v>0</v>
      </c>
      <c r="AA90" s="168">
        <f t="shared" si="30"/>
        <v>296.46791730826209</v>
      </c>
      <c r="AB90" s="140"/>
      <c r="AC90" s="169"/>
      <c r="AD90" s="30"/>
      <c r="AF90" s="71">
        <v>84</v>
      </c>
      <c r="AG90" s="179">
        <f t="shared" si="31"/>
        <v>3.7999919593970866E-2</v>
      </c>
      <c r="AH90" s="179">
        <v>3.7999306756488327E-2</v>
      </c>
      <c r="AI90" s="179">
        <v>3.7999919593970866E-2</v>
      </c>
      <c r="AJ90" s="179">
        <f t="shared" si="18"/>
        <v>3.7999919593970866E-2</v>
      </c>
      <c r="AL90" s="4">
        <f t="shared" si="23"/>
        <v>0</v>
      </c>
      <c r="AM90" s="4">
        <f t="shared" si="24"/>
        <v>0</v>
      </c>
      <c r="AN90" s="4">
        <f t="shared" si="32"/>
        <v>0</v>
      </c>
      <c r="AP90" s="180" t="s">
        <v>180</v>
      </c>
      <c r="AR90" s="4">
        <f t="shared" si="33"/>
        <v>0</v>
      </c>
      <c r="AS90" s="4">
        <f t="shared" si="34"/>
        <v>0</v>
      </c>
      <c r="AU90" s="4">
        <f t="shared" si="36"/>
        <v>17.17289326813971</v>
      </c>
      <c r="AV90" s="4">
        <f t="shared" si="35"/>
        <v>5.8231305836813553E-2</v>
      </c>
    </row>
    <row r="91" spans="8:48">
      <c r="H91" s="31"/>
      <c r="J91" s="71">
        <v>85</v>
      </c>
      <c r="K91" s="167">
        <v>0</v>
      </c>
      <c r="L91" s="167"/>
      <c r="M91" s="167"/>
      <c r="N91" s="168">
        <f t="shared" si="25"/>
        <v>0</v>
      </c>
      <c r="O91" s="168">
        <f t="shared" si="26"/>
        <v>-1933.8298816773042</v>
      </c>
      <c r="P91" s="168">
        <f t="shared" si="27"/>
        <v>0</v>
      </c>
      <c r="Q91" s="168">
        <f t="shared" si="22"/>
        <v>0</v>
      </c>
      <c r="R91" s="140"/>
      <c r="S91" s="167">
        <v>0</v>
      </c>
      <c r="T91" s="167">
        <v>0</v>
      </c>
      <c r="U91" s="167"/>
      <c r="V91" s="167"/>
      <c r="W91" s="241">
        <f t="shared" si="28"/>
        <v>0</v>
      </c>
      <c r="X91" s="168">
        <f t="shared" si="29"/>
        <v>98.384566696052318</v>
      </c>
      <c r="Y91" s="140"/>
      <c r="Z91" s="167">
        <v>0</v>
      </c>
      <c r="AA91" s="168">
        <f t="shared" si="30"/>
        <v>307.73367864922619</v>
      </c>
      <c r="AB91" s="140"/>
      <c r="AC91" s="169"/>
      <c r="AD91" s="30"/>
      <c r="AF91" s="71">
        <v>85</v>
      </c>
      <c r="AG91" s="179">
        <f t="shared" si="31"/>
        <v>3.7999934169099969E-2</v>
      </c>
      <c r="AH91" s="179">
        <v>3.7999403320126079E-2</v>
      </c>
      <c r="AI91" s="179">
        <v>3.7999934169099969E-2</v>
      </c>
      <c r="AJ91" s="179">
        <f t="shared" si="18"/>
        <v>3.7999934169099969E-2</v>
      </c>
      <c r="AL91" s="4">
        <f t="shared" si="23"/>
        <v>0</v>
      </c>
      <c r="AM91" s="4">
        <f t="shared" si="24"/>
        <v>0</v>
      </c>
      <c r="AN91" s="4">
        <f t="shared" si="32"/>
        <v>0</v>
      </c>
      <c r="AP91" s="180" t="s">
        <v>180</v>
      </c>
      <c r="AR91" s="4">
        <f t="shared" si="33"/>
        <v>0</v>
      </c>
      <c r="AS91" s="4">
        <f t="shared" si="34"/>
        <v>0</v>
      </c>
      <c r="AU91" s="4">
        <f t="shared" si="36"/>
        <v>17.825462081822</v>
      </c>
      <c r="AV91" s="4">
        <f t="shared" si="35"/>
        <v>5.6099527485448872E-2</v>
      </c>
    </row>
    <row r="92" spans="8:48">
      <c r="H92" s="31"/>
      <c r="J92" s="71">
        <v>86</v>
      </c>
      <c r="K92" s="167">
        <v>0</v>
      </c>
      <c r="L92" s="167"/>
      <c r="M92" s="167"/>
      <c r="N92" s="168">
        <f t="shared" si="25"/>
        <v>0</v>
      </c>
      <c r="O92" s="168">
        <f t="shared" si="26"/>
        <v>-2007.3153129518944</v>
      </c>
      <c r="P92" s="168">
        <f t="shared" si="27"/>
        <v>0</v>
      </c>
      <c r="Q92" s="168">
        <f t="shared" si="22"/>
        <v>0</v>
      </c>
      <c r="R92" s="140"/>
      <c r="S92" s="167">
        <v>0</v>
      </c>
      <c r="T92" s="167">
        <v>0</v>
      </c>
      <c r="U92" s="167"/>
      <c r="V92" s="167"/>
      <c r="W92" s="241">
        <f t="shared" si="28"/>
        <v>0</v>
      </c>
      <c r="X92" s="168">
        <f t="shared" si="29"/>
        <v>102.12317492779208</v>
      </c>
      <c r="Y92" s="140"/>
      <c r="Z92" s="167">
        <v>0</v>
      </c>
      <c r="AA92" s="168">
        <f t="shared" si="30"/>
        <v>319.42754185173311</v>
      </c>
      <c r="AB92" s="140"/>
      <c r="AC92" s="169"/>
      <c r="AD92" s="30"/>
      <c r="AF92" s="71">
        <v>86</v>
      </c>
      <c r="AG92" s="179">
        <f t="shared" si="31"/>
        <v>3.799994610221491E-2</v>
      </c>
      <c r="AH92" s="179">
        <v>3.7999486433138552E-2</v>
      </c>
      <c r="AI92" s="179">
        <v>3.799994610221491E-2</v>
      </c>
      <c r="AJ92" s="179">
        <f t="shared" ref="AJ92:AJ106" si="37">AI92</f>
        <v>3.799994610221491E-2</v>
      </c>
      <c r="AL92" s="4">
        <f t="shared" si="23"/>
        <v>0</v>
      </c>
      <c r="AM92" s="4">
        <f t="shared" si="24"/>
        <v>0</v>
      </c>
      <c r="AN92" s="4">
        <f t="shared" si="32"/>
        <v>0</v>
      </c>
      <c r="AP92" s="180" t="s">
        <v>180</v>
      </c>
      <c r="AR92" s="4">
        <f t="shared" si="33"/>
        <v>0</v>
      </c>
      <c r="AS92" s="4">
        <f t="shared" si="34"/>
        <v>0</v>
      </c>
      <c r="AU92" s="4">
        <f t="shared" si="36"/>
        <v>18.502828680178311</v>
      </c>
      <c r="AV92" s="4">
        <f t="shared" si="35"/>
        <v>5.4045790364544578E-2</v>
      </c>
    </row>
    <row r="93" spans="8:48">
      <c r="H93" s="31"/>
      <c r="J93" s="71">
        <v>87</v>
      </c>
      <c r="K93" s="167">
        <v>0</v>
      </c>
      <c r="L93" s="167"/>
      <c r="M93" s="167"/>
      <c r="N93" s="168">
        <f t="shared" si="25"/>
        <v>0</v>
      </c>
      <c r="O93" s="168">
        <f t="shared" si="26"/>
        <v>-2083.5932062657498</v>
      </c>
      <c r="P93" s="168">
        <f t="shared" si="27"/>
        <v>0</v>
      </c>
      <c r="Q93" s="168">
        <f t="shared" si="22"/>
        <v>0</v>
      </c>
      <c r="R93" s="140"/>
      <c r="S93" s="167">
        <v>0</v>
      </c>
      <c r="T93" s="167">
        <v>0</v>
      </c>
      <c r="U93" s="167"/>
      <c r="V93" s="167"/>
      <c r="W93" s="241">
        <f t="shared" si="28"/>
        <v>0</v>
      </c>
      <c r="X93" s="168">
        <f t="shared" si="29"/>
        <v>106.00385106858182</v>
      </c>
      <c r="Y93" s="140"/>
      <c r="Z93" s="167">
        <v>0</v>
      </c>
      <c r="AA93" s="168">
        <f t="shared" si="30"/>
        <v>331.56577434647897</v>
      </c>
      <c r="AB93" s="140"/>
      <c r="AC93" s="169"/>
      <c r="AD93" s="30"/>
      <c r="AF93" s="71">
        <v>87</v>
      </c>
      <c r="AG93" s="179">
        <f t="shared" si="31"/>
        <v>3.7999955872245916E-2</v>
      </c>
      <c r="AH93" s="179">
        <v>3.7999557969073949E-2</v>
      </c>
      <c r="AI93" s="179">
        <v>3.7999955872245916E-2</v>
      </c>
      <c r="AJ93" s="179">
        <f t="shared" si="37"/>
        <v>3.7999955872245916E-2</v>
      </c>
      <c r="AL93" s="4">
        <f t="shared" si="23"/>
        <v>0</v>
      </c>
      <c r="AM93" s="4">
        <f t="shared" si="24"/>
        <v>0</v>
      </c>
      <c r="AN93" s="4">
        <f t="shared" si="32"/>
        <v>0</v>
      </c>
      <c r="AP93" s="180" t="s">
        <v>180</v>
      </c>
      <c r="AR93" s="4">
        <f t="shared" si="33"/>
        <v>0</v>
      </c>
      <c r="AS93" s="4">
        <f t="shared" si="34"/>
        <v>0</v>
      </c>
      <c r="AU93" s="4">
        <f t="shared" si="36"/>
        <v>19.205935353536812</v>
      </c>
      <c r="AV93" s="4">
        <f t="shared" si="35"/>
        <v>5.206723763213375E-2</v>
      </c>
    </row>
    <row r="94" spans="8:48">
      <c r="H94" s="31"/>
      <c r="J94" s="71">
        <v>88</v>
      </c>
      <c r="K94" s="167">
        <v>0</v>
      </c>
      <c r="L94" s="167"/>
      <c r="M94" s="167"/>
      <c r="N94" s="168">
        <f t="shared" si="25"/>
        <v>0</v>
      </c>
      <c r="O94" s="168">
        <f t="shared" si="26"/>
        <v>-2162.7696728262003</v>
      </c>
      <c r="P94" s="168">
        <f t="shared" si="27"/>
        <v>0</v>
      </c>
      <c r="Q94" s="168">
        <f t="shared" si="22"/>
        <v>0</v>
      </c>
      <c r="R94" s="140"/>
      <c r="S94" s="167">
        <v>0</v>
      </c>
      <c r="T94" s="167">
        <v>0</v>
      </c>
      <c r="U94" s="167"/>
      <c r="V94" s="167"/>
      <c r="W94" s="241">
        <f t="shared" si="28"/>
        <v>0</v>
      </c>
      <c r="X94" s="168">
        <f t="shared" si="29"/>
        <v>110.03199357939977</v>
      </c>
      <c r="Y94" s="140"/>
      <c r="Z94" s="167">
        <v>0</v>
      </c>
      <c r="AA94" s="168">
        <f t="shared" si="30"/>
        <v>344.16526179258341</v>
      </c>
      <c r="AB94" s="140"/>
      <c r="AC94" s="169"/>
      <c r="AD94" s="30"/>
      <c r="AF94" s="71">
        <v>88</v>
      </c>
      <c r="AG94" s="179">
        <f t="shared" si="31"/>
        <v>3.7999963871235609E-2</v>
      </c>
      <c r="AH94" s="179">
        <v>3.7999619540598939E-2</v>
      </c>
      <c r="AI94" s="179">
        <v>3.7999963871235609E-2</v>
      </c>
      <c r="AJ94" s="179">
        <f t="shared" si="37"/>
        <v>3.7999963871235609E-2</v>
      </c>
      <c r="AL94" s="4">
        <f t="shared" si="23"/>
        <v>0</v>
      </c>
      <c r="AM94" s="4">
        <f t="shared" si="24"/>
        <v>0</v>
      </c>
      <c r="AN94" s="4">
        <f t="shared" si="32"/>
        <v>0</v>
      </c>
      <c r="AP94" s="180" t="s">
        <v>180</v>
      </c>
      <c r="AR94" s="4">
        <f t="shared" si="33"/>
        <v>0</v>
      </c>
      <c r="AS94" s="4">
        <f t="shared" si="34"/>
        <v>0</v>
      </c>
      <c r="AU94" s="4">
        <f t="shared" si="36"/>
        <v>19.935760203084499</v>
      </c>
      <c r="AV94" s="4">
        <f t="shared" si="35"/>
        <v>5.0161116998451764E-2</v>
      </c>
    </row>
    <row r="95" spans="8:48">
      <c r="H95" s="31"/>
      <c r="J95" s="71">
        <v>89</v>
      </c>
      <c r="K95" s="167">
        <v>0</v>
      </c>
      <c r="L95" s="167"/>
      <c r="M95" s="167"/>
      <c r="N95" s="168">
        <f t="shared" si="25"/>
        <v>0</v>
      </c>
      <c r="O95" s="168">
        <f t="shared" si="26"/>
        <v>-2244.954856419487</v>
      </c>
      <c r="P95" s="168">
        <f t="shared" si="27"/>
        <v>0</v>
      </c>
      <c r="Q95" s="168">
        <f t="shared" si="22"/>
        <v>0</v>
      </c>
      <c r="R95" s="140"/>
      <c r="S95" s="167">
        <v>0</v>
      </c>
      <c r="T95" s="167">
        <v>0</v>
      </c>
      <c r="U95" s="167"/>
      <c r="V95" s="167"/>
      <c r="W95" s="241">
        <f t="shared" si="28"/>
        <v>0</v>
      </c>
      <c r="X95" s="168">
        <f t="shared" si="29"/>
        <v>114.21320608070204</v>
      </c>
      <c r="Y95" s="140"/>
      <c r="Z95" s="167">
        <v>0</v>
      </c>
      <c r="AA95" s="168">
        <f t="shared" si="30"/>
        <v>357.24353156039149</v>
      </c>
      <c r="AB95" s="140"/>
      <c r="AC95" s="169"/>
      <c r="AD95" s="30"/>
      <c r="AF95" s="71">
        <v>89</v>
      </c>
      <c r="AG95" s="179">
        <f t="shared" si="31"/>
        <v>3.79999704202858E-2</v>
      </c>
      <c r="AH95" s="179">
        <v>3.7999672535677265E-2</v>
      </c>
      <c r="AI95" s="179">
        <v>3.79999704202858E-2</v>
      </c>
      <c r="AJ95" s="179">
        <f t="shared" si="37"/>
        <v>3.79999704202858E-2</v>
      </c>
      <c r="AL95" s="4">
        <f t="shared" si="23"/>
        <v>0</v>
      </c>
      <c r="AM95" s="4">
        <f t="shared" si="24"/>
        <v>0</v>
      </c>
      <c r="AN95" s="4">
        <f t="shared" si="32"/>
        <v>0</v>
      </c>
      <c r="AP95" s="180" t="s">
        <v>180</v>
      </c>
      <c r="AR95" s="4">
        <f t="shared" si="33"/>
        <v>0</v>
      </c>
      <c r="AS95" s="4">
        <f t="shared" si="34"/>
        <v>0</v>
      </c>
      <c r="AU95" s="4">
        <f t="shared" si="36"/>
        <v>20.693318501107619</v>
      </c>
      <c r="AV95" s="4">
        <f t="shared" si="35"/>
        <v>4.8324776905476742E-2</v>
      </c>
    </row>
    <row r="96" spans="8:48">
      <c r="H96" s="31"/>
      <c r="J96" s="71">
        <v>90</v>
      </c>
      <c r="K96" s="167">
        <v>0</v>
      </c>
      <c r="L96" s="167"/>
      <c r="M96" s="167"/>
      <c r="N96" s="168">
        <f t="shared" si="25"/>
        <v>0</v>
      </c>
      <c r="O96" s="168">
        <f t="shared" si="26"/>
        <v>-2330.2630865954989</v>
      </c>
      <c r="P96" s="168">
        <f t="shared" si="27"/>
        <v>0</v>
      </c>
      <c r="Q96" s="168">
        <f t="shared" si="22"/>
        <v>0</v>
      </c>
      <c r="R96" s="140"/>
      <c r="S96" s="167">
        <v>0</v>
      </c>
      <c r="T96" s="167">
        <v>0</v>
      </c>
      <c r="U96" s="167"/>
      <c r="V96" s="167"/>
      <c r="W96" s="241">
        <f t="shared" si="28"/>
        <v>0</v>
      </c>
      <c r="X96" s="168">
        <f t="shared" si="29"/>
        <v>118.55330514577304</v>
      </c>
      <c r="Y96" s="140"/>
      <c r="Z96" s="167">
        <v>0</v>
      </c>
      <c r="AA96" s="168">
        <f t="shared" si="30"/>
        <v>370.81877710802428</v>
      </c>
      <c r="AB96" s="140"/>
      <c r="AC96" s="169"/>
      <c r="AD96" s="30"/>
      <c r="AF96" s="71">
        <v>90</v>
      </c>
      <c r="AG96" s="179">
        <f t="shared" si="31"/>
        <v>3.7999975782172957E-2</v>
      </c>
      <c r="AH96" s="179">
        <v>3.7999718148914674E-2</v>
      </c>
      <c r="AI96" s="179">
        <v>3.7999975782172957E-2</v>
      </c>
      <c r="AJ96" s="179">
        <f t="shared" si="37"/>
        <v>3.7999975782172957E-2</v>
      </c>
      <c r="AL96" s="4">
        <f t="shared" si="23"/>
        <v>0</v>
      </c>
      <c r="AM96" s="4">
        <f t="shared" si="24"/>
        <v>0</v>
      </c>
      <c r="AN96" s="4">
        <f t="shared" si="32"/>
        <v>0</v>
      </c>
      <c r="AP96" s="180" t="s">
        <v>180</v>
      </c>
      <c r="AR96" s="4">
        <f t="shared" si="33"/>
        <v>0</v>
      </c>
      <c r="AS96" s="4">
        <f t="shared" si="34"/>
        <v>0</v>
      </c>
      <c r="AU96" s="4">
        <f t="shared" si="36"/>
        <v>21.479664103002499</v>
      </c>
      <c r="AV96" s="4">
        <f t="shared" si="35"/>
        <v>4.6555662844849452E-2</v>
      </c>
    </row>
    <row r="97" spans="8:48">
      <c r="H97" s="31"/>
      <c r="J97" s="71">
        <v>91</v>
      </c>
      <c r="K97" s="167">
        <v>0</v>
      </c>
      <c r="L97" s="167"/>
      <c r="M97" s="167"/>
      <c r="N97" s="168">
        <f t="shared" si="25"/>
        <v>0</v>
      </c>
      <c r="O97" s="168">
        <f t="shared" si="26"/>
        <v>-2418.8130376819563</v>
      </c>
      <c r="P97" s="168">
        <f t="shared" si="27"/>
        <v>0</v>
      </c>
      <c r="Q97" s="168">
        <f t="shared" si="22"/>
        <v>0</v>
      </c>
      <c r="R97" s="140"/>
      <c r="S97" s="167">
        <v>0</v>
      </c>
      <c r="T97" s="167">
        <v>0</v>
      </c>
      <c r="U97" s="167"/>
      <c r="V97" s="167"/>
      <c r="W97" s="241">
        <f t="shared" si="28"/>
        <v>0</v>
      </c>
      <c r="X97" s="168">
        <f t="shared" si="29"/>
        <v>123.05832839065197</v>
      </c>
      <c r="Y97" s="140"/>
      <c r="Z97" s="167">
        <v>0</v>
      </c>
      <c r="AA97" s="168">
        <f t="shared" si="30"/>
        <v>384.90988328557984</v>
      </c>
      <c r="AB97" s="140"/>
      <c r="AC97" s="169"/>
      <c r="AD97" s="30"/>
      <c r="AF97" s="71">
        <v>91</v>
      </c>
      <c r="AG97" s="179">
        <f t="shared" si="31"/>
        <v>3.799998017212225E-2</v>
      </c>
      <c r="AH97" s="179">
        <v>3.7999757408584189E-2</v>
      </c>
      <c r="AI97" s="179">
        <v>3.799998017212225E-2</v>
      </c>
      <c r="AJ97" s="179">
        <f t="shared" si="37"/>
        <v>3.799998017212225E-2</v>
      </c>
      <c r="AL97" s="4">
        <f t="shared" si="23"/>
        <v>0</v>
      </c>
      <c r="AM97" s="4">
        <f t="shared" si="24"/>
        <v>0</v>
      </c>
      <c r="AN97" s="4">
        <f t="shared" si="32"/>
        <v>0</v>
      </c>
      <c r="AP97" s="180" t="s">
        <v>180</v>
      </c>
      <c r="AR97" s="4">
        <f t="shared" si="33"/>
        <v>0</v>
      </c>
      <c r="AS97" s="4">
        <f t="shared" si="34"/>
        <v>0</v>
      </c>
      <c r="AU97" s="4">
        <f t="shared" si="36"/>
        <v>22.29589091302044</v>
      </c>
      <c r="AV97" s="4">
        <f t="shared" si="35"/>
        <v>4.485131380939867E-2</v>
      </c>
    </row>
    <row r="98" spans="8:48">
      <c r="H98" s="31"/>
      <c r="J98" s="71">
        <v>92</v>
      </c>
      <c r="K98" s="167">
        <v>0</v>
      </c>
      <c r="L98" s="167"/>
      <c r="M98" s="167"/>
      <c r="N98" s="168">
        <f t="shared" si="25"/>
        <v>0</v>
      </c>
      <c r="O98" s="168">
        <f t="shared" si="26"/>
        <v>-2510.727893847557</v>
      </c>
      <c r="P98" s="168">
        <f t="shared" si="27"/>
        <v>0</v>
      </c>
      <c r="Q98" s="168">
        <f t="shared" si="22"/>
        <v>0</v>
      </c>
      <c r="R98" s="140"/>
      <c r="S98" s="167">
        <v>0</v>
      </c>
      <c r="T98" s="167">
        <v>0</v>
      </c>
      <c r="U98" s="167"/>
      <c r="V98" s="167"/>
      <c r="W98" s="241">
        <f t="shared" si="28"/>
        <v>0</v>
      </c>
      <c r="X98" s="168">
        <f t="shared" si="29"/>
        <v>127.73454287180331</v>
      </c>
      <c r="Y98" s="140"/>
      <c r="Z98" s="167">
        <v>0</v>
      </c>
      <c r="AA98" s="168">
        <f t="shared" si="30"/>
        <v>399.53645260191581</v>
      </c>
      <c r="AB98" s="140"/>
      <c r="AC98" s="169"/>
      <c r="AD98" s="30"/>
      <c r="AF98" s="71">
        <v>92</v>
      </c>
      <c r="AG98" s="179">
        <f t="shared" si="31"/>
        <v>3.7999983766288326E-2</v>
      </c>
      <c r="AH98" s="179">
        <v>3.7999791199653021E-2</v>
      </c>
      <c r="AI98" s="179">
        <v>3.7999983766288326E-2</v>
      </c>
      <c r="AJ98" s="179">
        <f t="shared" si="37"/>
        <v>3.7999983766288326E-2</v>
      </c>
      <c r="AL98" s="4">
        <f t="shared" si="23"/>
        <v>0</v>
      </c>
      <c r="AM98" s="4">
        <f t="shared" si="24"/>
        <v>0</v>
      </c>
      <c r="AN98" s="4">
        <f t="shared" si="32"/>
        <v>0</v>
      </c>
      <c r="AP98" s="180" t="s">
        <v>180</v>
      </c>
      <c r="AR98" s="4">
        <f t="shared" si="33"/>
        <v>0</v>
      </c>
      <c r="AS98" s="4">
        <f t="shared" si="34"/>
        <v>0</v>
      </c>
      <c r="AU98" s="4">
        <f t="shared" si="36"/>
        <v>23.143134405770152</v>
      </c>
      <c r="AV98" s="4">
        <f t="shared" si="35"/>
        <v>4.320935887364831E-2</v>
      </c>
    </row>
    <row r="99" spans="8:48">
      <c r="H99" s="31"/>
      <c r="J99" s="71">
        <v>93</v>
      </c>
      <c r="K99" s="167">
        <v>0</v>
      </c>
      <c r="L99" s="167"/>
      <c r="M99" s="167"/>
      <c r="N99" s="168">
        <f t="shared" si="25"/>
        <v>0</v>
      </c>
      <c r="O99" s="168">
        <f t="shared" si="26"/>
        <v>-2606.1355204436527</v>
      </c>
      <c r="P99" s="168">
        <f t="shared" si="27"/>
        <v>0</v>
      </c>
      <c r="Q99" s="168">
        <f t="shared" si="22"/>
        <v>0</v>
      </c>
      <c r="R99" s="140"/>
      <c r="S99" s="167">
        <v>0</v>
      </c>
      <c r="T99" s="167">
        <v>0</v>
      </c>
      <c r="U99" s="167"/>
      <c r="V99" s="167"/>
      <c r="W99" s="241">
        <f t="shared" si="28"/>
        <v>0</v>
      </c>
      <c r="X99" s="168">
        <f t="shared" si="29"/>
        <v>132.58845380321065</v>
      </c>
      <c r="Y99" s="140"/>
      <c r="Z99" s="167">
        <v>0</v>
      </c>
      <c r="AA99" s="168">
        <f t="shared" si="30"/>
        <v>414.71883249054537</v>
      </c>
      <c r="AB99" s="140"/>
      <c r="AC99" s="169"/>
      <c r="AD99" s="30"/>
      <c r="AF99" s="71">
        <v>93</v>
      </c>
      <c r="AG99" s="179">
        <f t="shared" si="31"/>
        <v>3.7999986708989297E-2</v>
      </c>
      <c r="AH99" s="179">
        <v>3.7999820283936447E-2</v>
      </c>
      <c r="AI99" s="179">
        <v>3.7999986708989297E-2</v>
      </c>
      <c r="AJ99" s="179">
        <f t="shared" si="37"/>
        <v>3.7999986708989297E-2</v>
      </c>
      <c r="AL99" s="4">
        <f t="shared" si="23"/>
        <v>0</v>
      </c>
      <c r="AM99" s="4">
        <f t="shared" si="24"/>
        <v>0</v>
      </c>
      <c r="AN99" s="4">
        <f t="shared" si="32"/>
        <v>0</v>
      </c>
      <c r="AP99" s="180" t="s">
        <v>180</v>
      </c>
      <c r="AR99" s="4">
        <f t="shared" si="33"/>
        <v>0</v>
      </c>
      <c r="AS99" s="4">
        <f t="shared" si="34"/>
        <v>0</v>
      </c>
      <c r="AU99" s="4">
        <f t="shared" si="36"/>
        <v>24.022573205593769</v>
      </c>
      <c r="AV99" s="4">
        <f t="shared" si="35"/>
        <v>4.1627513898766899E-2</v>
      </c>
    </row>
    <row r="100" spans="8:48">
      <c r="H100" s="31"/>
      <c r="J100" s="71">
        <v>94</v>
      </c>
      <c r="K100" s="167">
        <v>0</v>
      </c>
      <c r="L100" s="167"/>
      <c r="M100" s="167"/>
      <c r="N100" s="168">
        <f t="shared" si="25"/>
        <v>0</v>
      </c>
      <c r="O100" s="168">
        <f t="shared" si="26"/>
        <v>-2705.1686418611457</v>
      </c>
      <c r="P100" s="168">
        <f t="shared" si="27"/>
        <v>0</v>
      </c>
      <c r="Q100" s="168">
        <f t="shared" si="22"/>
        <v>0</v>
      </c>
      <c r="R100" s="140"/>
      <c r="S100" s="167">
        <v>0</v>
      </c>
      <c r="T100" s="167">
        <v>0</v>
      </c>
      <c r="U100" s="167"/>
      <c r="V100" s="167"/>
      <c r="W100" s="241">
        <f t="shared" si="28"/>
        <v>0</v>
      </c>
      <c r="X100" s="168">
        <f t="shared" si="29"/>
        <v>137.62681360493568</v>
      </c>
      <c r="Y100" s="140"/>
      <c r="Z100" s="167">
        <v>0</v>
      </c>
      <c r="AA100" s="168">
        <f t="shared" si="30"/>
        <v>430.47814361231138</v>
      </c>
      <c r="AB100" s="140"/>
      <c r="AC100" s="169"/>
      <c r="AD100" s="30"/>
      <c r="AF100" s="71">
        <v>94</v>
      </c>
      <c r="AG100" s="179">
        <f t="shared" si="31"/>
        <v>3.7999989118230548E-2</v>
      </c>
      <c r="AH100" s="179">
        <v>3.799984531694256E-2</v>
      </c>
      <c r="AI100" s="179">
        <v>3.7999989118230548E-2</v>
      </c>
      <c r="AJ100" s="179">
        <f t="shared" si="37"/>
        <v>3.7999989118230548E-2</v>
      </c>
      <c r="AL100" s="4">
        <f t="shared" si="23"/>
        <v>0</v>
      </c>
      <c r="AM100" s="4">
        <f t="shared" si="24"/>
        <v>0</v>
      </c>
      <c r="AN100" s="4">
        <f t="shared" si="32"/>
        <v>0</v>
      </c>
      <c r="AP100" s="180" t="s">
        <v>180</v>
      </c>
      <c r="AR100" s="4">
        <f t="shared" si="33"/>
        <v>0</v>
      </c>
      <c r="AS100" s="4">
        <f t="shared" si="34"/>
        <v>0</v>
      </c>
      <c r="AU100" s="4">
        <f t="shared" si="36"/>
        <v>24.935430725998231</v>
      </c>
      <c r="AV100" s="4">
        <f t="shared" si="35"/>
        <v>4.0103578357576872E-2</v>
      </c>
    </row>
    <row r="101" spans="8:48">
      <c r="H101" s="31"/>
      <c r="J101" s="71">
        <v>95</v>
      </c>
      <c r="K101" s="167">
        <v>0</v>
      </c>
      <c r="L101" s="167"/>
      <c r="M101" s="167"/>
      <c r="N101" s="168">
        <f t="shared" si="25"/>
        <v>0</v>
      </c>
      <c r="O101" s="168">
        <f t="shared" si="26"/>
        <v>-2807.9650261508755</v>
      </c>
      <c r="P101" s="168">
        <f t="shared" si="27"/>
        <v>0</v>
      </c>
      <c r="Q101" s="168">
        <f t="shared" si="22"/>
        <v>0</v>
      </c>
      <c r="R101" s="140"/>
      <c r="S101" s="167">
        <v>0</v>
      </c>
      <c r="T101" s="167">
        <v>0</v>
      </c>
      <c r="U101" s="167"/>
      <c r="V101" s="167"/>
      <c r="W101" s="241">
        <f t="shared" si="28"/>
        <v>0</v>
      </c>
      <c r="X101" s="168">
        <f t="shared" si="29"/>
        <v>142.85663129577307</v>
      </c>
      <c r="Y101" s="140"/>
      <c r="Z101" s="167">
        <v>0</v>
      </c>
      <c r="AA101" s="168">
        <f t="shared" si="30"/>
        <v>446.83630923434663</v>
      </c>
      <c r="AB101" s="140"/>
      <c r="AC101" s="169"/>
      <c r="AD101" s="30"/>
      <c r="AF101" s="71">
        <v>95</v>
      </c>
      <c r="AG101" s="179">
        <f t="shared" si="31"/>
        <v>3.7999991090761132E-2</v>
      </c>
      <c r="AH101" s="179">
        <v>3.7999866863109855E-2</v>
      </c>
      <c r="AI101" s="179">
        <v>3.7999991090761132E-2</v>
      </c>
      <c r="AJ101" s="179">
        <f t="shared" si="37"/>
        <v>3.7999991090761132E-2</v>
      </c>
      <c r="AL101" s="4">
        <f t="shared" si="23"/>
        <v>0</v>
      </c>
      <c r="AM101" s="4">
        <f t="shared" si="24"/>
        <v>0</v>
      </c>
      <c r="AN101" s="4">
        <f t="shared" si="32"/>
        <v>0</v>
      </c>
      <c r="AP101" s="180" t="s">
        <v>180</v>
      </c>
      <c r="AR101" s="4">
        <f t="shared" si="33"/>
        <v>0</v>
      </c>
      <c r="AS101" s="4">
        <f t="shared" si="34"/>
        <v>0</v>
      </c>
      <c r="AU101" s="4">
        <f t="shared" si="36"/>
        <v>25.882976871430454</v>
      </c>
      <c r="AV101" s="4">
        <f t="shared" si="35"/>
        <v>3.8635432275326752E-2</v>
      </c>
    </row>
    <row r="102" spans="8:48">
      <c r="H102" s="31"/>
      <c r="J102" s="71">
        <v>96</v>
      </c>
      <c r="K102" s="167">
        <v>0</v>
      </c>
      <c r="L102" s="167"/>
      <c r="M102" s="167"/>
      <c r="N102" s="168">
        <f t="shared" si="25"/>
        <v>0</v>
      </c>
      <c r="O102" s="168">
        <f t="shared" si="26"/>
        <v>-2914.6676766625287</v>
      </c>
      <c r="P102" s="168">
        <f t="shared" si="27"/>
        <v>0</v>
      </c>
      <c r="Q102" s="168">
        <f t="shared" si="22"/>
        <v>0</v>
      </c>
      <c r="R102" s="140"/>
      <c r="S102" s="167">
        <v>0</v>
      </c>
      <c r="T102" s="167">
        <v>0</v>
      </c>
      <c r="U102" s="167"/>
      <c r="V102" s="167"/>
      <c r="W102" s="241">
        <f t="shared" si="28"/>
        <v>0</v>
      </c>
      <c r="X102" s="168">
        <f t="shared" si="29"/>
        <v>148.28518224297633</v>
      </c>
      <c r="Y102" s="140"/>
      <c r="Z102" s="167">
        <v>0</v>
      </c>
      <c r="AA102" s="168">
        <f t="shared" si="30"/>
        <v>463.81608572590312</v>
      </c>
      <c r="AB102" s="140"/>
      <c r="AC102" s="169"/>
      <c r="AD102" s="30"/>
      <c r="AF102" s="71">
        <v>96</v>
      </c>
      <c r="AG102" s="179">
        <f t="shared" si="31"/>
        <v>3.7999992705721075E-2</v>
      </c>
      <c r="AH102" s="179">
        <v>3.7999885408000589E-2</v>
      </c>
      <c r="AI102" s="179">
        <v>3.7999992705721075E-2</v>
      </c>
      <c r="AJ102" s="179">
        <f t="shared" si="37"/>
        <v>3.7999992705721075E-2</v>
      </c>
      <c r="AL102" s="4">
        <f t="shared" si="23"/>
        <v>0</v>
      </c>
      <c r="AM102" s="4">
        <f t="shared" si="24"/>
        <v>0</v>
      </c>
      <c r="AN102" s="4">
        <f t="shared" si="32"/>
        <v>0</v>
      </c>
      <c r="AP102" s="180" t="s">
        <v>180</v>
      </c>
      <c r="AR102" s="4">
        <f t="shared" si="33"/>
        <v>0</v>
      </c>
      <c r="AS102" s="4">
        <f t="shared" si="34"/>
        <v>0</v>
      </c>
      <c r="AU102" s="4">
        <f t="shared" si="36"/>
        <v>26.866529803747159</v>
      </c>
      <c r="AV102" s="4">
        <f t="shared" si="35"/>
        <v>3.7221033282107276E-2</v>
      </c>
    </row>
    <row r="103" spans="8:48">
      <c r="H103" s="31"/>
      <c r="J103" s="71">
        <v>97</v>
      </c>
      <c r="K103" s="167">
        <v>0</v>
      </c>
      <c r="L103" s="167"/>
      <c r="M103" s="167"/>
      <c r="N103" s="168">
        <f t="shared" si="25"/>
        <v>0</v>
      </c>
      <c r="O103" s="168">
        <f t="shared" si="26"/>
        <v>-3025.4250309691679</v>
      </c>
      <c r="P103" s="168">
        <f t="shared" si="27"/>
        <v>0</v>
      </c>
      <c r="Q103" s="168">
        <f t="shared" ref="Q103:Q126" si="38">IF(J103&lt;=$G$47,N103,0)</f>
        <v>0</v>
      </c>
      <c r="R103" s="140"/>
      <c r="S103" s="167">
        <v>0</v>
      </c>
      <c r="T103" s="167">
        <v>0</v>
      </c>
      <c r="U103" s="167"/>
      <c r="V103" s="167"/>
      <c r="W103" s="241">
        <f t="shared" si="28"/>
        <v>0</v>
      </c>
      <c r="X103" s="168">
        <f t="shared" si="29"/>
        <v>153.92001828264313</v>
      </c>
      <c r="Y103" s="140"/>
      <c r="Z103" s="167">
        <v>0</v>
      </c>
      <c r="AA103" s="168">
        <f t="shared" si="30"/>
        <v>481.44109421355523</v>
      </c>
      <c r="AB103" s="140"/>
      <c r="AC103" s="169"/>
      <c r="AD103" s="30"/>
      <c r="AF103" s="71">
        <v>97</v>
      </c>
      <c r="AG103" s="179">
        <f t="shared" si="31"/>
        <v>3.79999940279514E-2</v>
      </c>
      <c r="AH103" s="179">
        <v>3.799990136978515E-2</v>
      </c>
      <c r="AI103" s="179">
        <v>3.79999940279514E-2</v>
      </c>
      <c r="AJ103" s="179">
        <f t="shared" si="37"/>
        <v>3.79999940279514E-2</v>
      </c>
      <c r="AL103" s="4">
        <f t="shared" si="23"/>
        <v>0</v>
      </c>
      <c r="AM103" s="4">
        <f t="shared" si="24"/>
        <v>0</v>
      </c>
      <c r="AN103" s="4">
        <f t="shared" si="32"/>
        <v>0</v>
      </c>
      <c r="AP103" s="180" t="s">
        <v>180</v>
      </c>
      <c r="AR103" s="4">
        <f t="shared" si="33"/>
        <v>0</v>
      </c>
      <c r="AS103" s="4">
        <f t="shared" si="34"/>
        <v>0</v>
      </c>
      <c r="AU103" s="4">
        <f t="shared" si="36"/>
        <v>27.88745777584133</v>
      </c>
      <c r="AV103" s="4">
        <f t="shared" si="35"/>
        <v>3.5858413772885803E-2</v>
      </c>
    </row>
    <row r="104" spans="8:48">
      <c r="H104" s="31"/>
      <c r="J104" s="71">
        <v>98</v>
      </c>
      <c r="K104" s="167">
        <v>0</v>
      </c>
      <c r="L104" s="167"/>
      <c r="M104" s="167"/>
      <c r="N104" s="168">
        <f t="shared" si="25"/>
        <v>0</v>
      </c>
      <c r="O104" s="168">
        <f t="shared" si="26"/>
        <v>-3140.3911673532339</v>
      </c>
      <c r="P104" s="168">
        <f t="shared" si="27"/>
        <v>0</v>
      </c>
      <c r="Q104" s="168">
        <f t="shared" si="38"/>
        <v>0</v>
      </c>
      <c r="R104" s="140"/>
      <c r="S104" s="167">
        <v>0</v>
      </c>
      <c r="T104" s="167">
        <v>0</v>
      </c>
      <c r="U104" s="167"/>
      <c r="V104" s="167"/>
      <c r="W104" s="241">
        <f t="shared" si="28"/>
        <v>0</v>
      </c>
      <c r="X104" s="168">
        <f t="shared" si="29"/>
        <v>159.76897822479435</v>
      </c>
      <c r="Y104" s="140"/>
      <c r="Z104" s="167">
        <v>0</v>
      </c>
      <c r="AA104" s="168">
        <f t="shared" si="30"/>
        <v>499.73585343967261</v>
      </c>
      <c r="AB104" s="140"/>
      <c r="AC104" s="169"/>
      <c r="AD104" s="30"/>
      <c r="AF104" s="71">
        <v>98</v>
      </c>
      <c r="AG104" s="179">
        <f t="shared" si="31"/>
        <v>3.7999995110517659E-2</v>
      </c>
      <c r="AH104" s="179">
        <v>3.7999915108184901E-2</v>
      </c>
      <c r="AI104" s="179">
        <v>3.7999995110517659E-2</v>
      </c>
      <c r="AJ104" s="179">
        <f t="shared" si="37"/>
        <v>3.7999995110517659E-2</v>
      </c>
      <c r="AL104" s="4">
        <f t="shared" si="23"/>
        <v>0</v>
      </c>
      <c r="AM104" s="4">
        <f t="shared" si="24"/>
        <v>0</v>
      </c>
      <c r="AN104" s="4">
        <f t="shared" si="32"/>
        <v>0</v>
      </c>
      <c r="AP104" s="180" t="s">
        <v>180</v>
      </c>
      <c r="AR104" s="4">
        <f t="shared" si="33"/>
        <v>0</v>
      </c>
      <c r="AS104" s="4">
        <f t="shared" si="34"/>
        <v>0</v>
      </c>
      <c r="AU104" s="4">
        <f t="shared" si="36"/>
        <v>28.947181034968068</v>
      </c>
      <c r="AV104" s="4">
        <f t="shared" si="35"/>
        <v>3.4545678171287363E-2</v>
      </c>
    </row>
    <row r="105" spans="8:48">
      <c r="H105" s="31"/>
      <c r="J105" s="71">
        <v>99</v>
      </c>
      <c r="K105" s="167">
        <v>0</v>
      </c>
      <c r="L105" s="167"/>
      <c r="M105" s="167"/>
      <c r="N105" s="168">
        <f t="shared" si="25"/>
        <v>0</v>
      </c>
      <c r="O105" s="168">
        <f t="shared" si="26"/>
        <v>-3259.7260191411324</v>
      </c>
      <c r="P105" s="168">
        <f t="shared" si="27"/>
        <v>0</v>
      </c>
      <c r="Q105" s="168">
        <f t="shared" si="38"/>
        <v>0</v>
      </c>
      <c r="R105" s="140"/>
      <c r="S105" s="167">
        <v>0</v>
      </c>
      <c r="T105" s="167">
        <v>0</v>
      </c>
      <c r="U105" s="167"/>
      <c r="V105" s="167"/>
      <c r="W105" s="241">
        <f t="shared" si="28"/>
        <v>0</v>
      </c>
      <c r="X105" s="168">
        <f t="shared" si="29"/>
        <v>165.84019875775391</v>
      </c>
      <c r="Y105" s="140"/>
      <c r="Z105" s="167">
        <v>0</v>
      </c>
      <c r="AA105" s="168">
        <f t="shared" si="30"/>
        <v>518.72581386985178</v>
      </c>
      <c r="AB105" s="140"/>
      <c r="AC105" s="169"/>
      <c r="AD105" s="30"/>
      <c r="AF105" s="71">
        <v>99</v>
      </c>
      <c r="AG105" s="179">
        <f t="shared" si="31"/>
        <v>3.7999995996828462E-2</v>
      </c>
      <c r="AH105" s="179">
        <v>3.7999926932936079E-2</v>
      </c>
      <c r="AI105" s="179">
        <v>3.7999995996828462E-2</v>
      </c>
      <c r="AJ105" s="179">
        <f t="shared" si="37"/>
        <v>3.7999995996828462E-2</v>
      </c>
      <c r="AL105" s="4">
        <f t="shared" si="23"/>
        <v>0</v>
      </c>
      <c r="AM105" s="4">
        <f t="shared" si="24"/>
        <v>0</v>
      </c>
      <c r="AN105" s="4">
        <f t="shared" si="32"/>
        <v>0</v>
      </c>
      <c r="AP105" s="180" t="s">
        <v>180</v>
      </c>
      <c r="AR105" s="4">
        <f t="shared" si="33"/>
        <v>0</v>
      </c>
      <c r="AS105" s="4">
        <f t="shared" si="34"/>
        <v>0</v>
      </c>
      <c r="AU105" s="4">
        <f t="shared" si="36"/>
        <v>30.047173798416324</v>
      </c>
      <c r="AV105" s="4">
        <f t="shared" si="35"/>
        <v>3.3281000293368897E-2</v>
      </c>
    </row>
    <row r="106" spans="8:48">
      <c r="H106" s="31"/>
      <c r="J106" s="71">
        <v>100</v>
      </c>
      <c r="K106" s="167">
        <v>0</v>
      </c>
      <c r="L106" s="167"/>
      <c r="M106" s="167"/>
      <c r="N106" s="168">
        <f t="shared" si="25"/>
        <v>0</v>
      </c>
      <c r="O106" s="168">
        <f t="shared" si="26"/>
        <v>-3383.5955971846001</v>
      </c>
      <c r="P106" s="168">
        <f t="shared" si="27"/>
        <v>0</v>
      </c>
      <c r="Q106" s="168">
        <f t="shared" si="38"/>
        <v>0</v>
      </c>
      <c r="R106" s="140"/>
      <c r="S106" s="167">
        <v>0</v>
      </c>
      <c r="T106" s="167">
        <v>0</v>
      </c>
      <c r="U106" s="167"/>
      <c r="V106" s="167"/>
      <c r="W106" s="241">
        <f t="shared" si="28"/>
        <v>0</v>
      </c>
      <c r="X106" s="168">
        <f t="shared" si="29"/>
        <v>172.14212576700001</v>
      </c>
      <c r="Y106" s="140"/>
      <c r="Z106" s="167">
        <v>0</v>
      </c>
      <c r="AA106" s="168">
        <f t="shared" si="30"/>
        <v>538.43739309675948</v>
      </c>
      <c r="AB106" s="140"/>
      <c r="AC106" s="169"/>
      <c r="AD106" s="30"/>
      <c r="AF106" s="71">
        <v>100</v>
      </c>
      <c r="AG106" s="179">
        <f t="shared" si="31"/>
        <v>3.799999672245602E-2</v>
      </c>
      <c r="AH106" s="179">
        <v>3.7999937110593018E-2</v>
      </c>
      <c r="AI106" s="179">
        <v>3.799999672245602E-2</v>
      </c>
      <c r="AJ106" s="179">
        <f t="shared" si="37"/>
        <v>3.799999672245602E-2</v>
      </c>
      <c r="AL106" s="4">
        <f t="shared" si="23"/>
        <v>0</v>
      </c>
      <c r="AM106" s="4">
        <f t="shared" si="24"/>
        <v>0</v>
      </c>
      <c r="AN106" s="4">
        <f t="shared" si="32"/>
        <v>0</v>
      </c>
      <c r="AP106" s="180" t="s">
        <v>180</v>
      </c>
      <c r="AR106" s="4">
        <f t="shared" si="33"/>
        <v>0</v>
      </c>
      <c r="AS106" s="4">
        <f t="shared" si="34"/>
        <v>0</v>
      </c>
      <c r="AU106" s="4">
        <f t="shared" si="36"/>
        <v>31.188966304275212</v>
      </c>
      <c r="AV106" s="4">
        <f t="shared" si="35"/>
        <v>3.2062620807760643E-2</v>
      </c>
    </row>
    <row r="107" spans="8:48">
      <c r="H107" s="31"/>
      <c r="J107" s="71">
        <v>101</v>
      </c>
      <c r="K107" s="167">
        <v>0</v>
      </c>
      <c r="L107" s="167"/>
      <c r="M107" s="167"/>
      <c r="N107" s="168">
        <f t="shared" si="25"/>
        <v>0</v>
      </c>
      <c r="O107" s="168">
        <f t="shared" si="26"/>
        <v>-3383.5955971846001</v>
      </c>
      <c r="P107" s="168">
        <f t="shared" si="27"/>
        <v>0</v>
      </c>
      <c r="Q107" s="168">
        <f t="shared" si="38"/>
        <v>0</v>
      </c>
      <c r="R107" s="140"/>
      <c r="S107" s="167">
        <v>0</v>
      </c>
      <c r="T107" s="167">
        <v>0</v>
      </c>
      <c r="U107" s="167"/>
      <c r="V107" s="167"/>
      <c r="W107" s="241">
        <f t="shared" si="28"/>
        <v>0</v>
      </c>
      <c r="X107" s="168">
        <f t="shared" si="29"/>
        <v>172.14212576700001</v>
      </c>
      <c r="Y107" s="140"/>
      <c r="Z107" s="167">
        <v>0</v>
      </c>
      <c r="AA107" s="168">
        <f t="shared" si="30"/>
        <v>538.43739309675948</v>
      </c>
      <c r="AB107" s="140"/>
      <c r="AC107" s="169"/>
      <c r="AD107" s="30"/>
      <c r="AG107" s="179"/>
      <c r="AJ107" s="179"/>
      <c r="AP107" s="180" t="s">
        <v>180</v>
      </c>
      <c r="AR107" s="4">
        <f t="shared" si="33"/>
        <v>0</v>
      </c>
      <c r="AS107" s="4">
        <f t="shared" si="34"/>
        <v>0</v>
      </c>
      <c r="AU107" s="4">
        <f t="shared" si="36"/>
        <v>31.188966304275212</v>
      </c>
      <c r="AV107" s="4">
        <f t="shared" si="35"/>
        <v>3.2062620807760643E-2</v>
      </c>
    </row>
    <row r="108" spans="8:48">
      <c r="H108" s="31"/>
      <c r="J108" s="71">
        <v>102</v>
      </c>
      <c r="K108" s="167">
        <v>0</v>
      </c>
      <c r="L108" s="167"/>
      <c r="M108" s="167"/>
      <c r="N108" s="168">
        <f t="shared" si="25"/>
        <v>0</v>
      </c>
      <c r="O108" s="168">
        <f t="shared" si="26"/>
        <v>-3383.5955971846001</v>
      </c>
      <c r="P108" s="168">
        <f t="shared" si="27"/>
        <v>0</v>
      </c>
      <c r="Q108" s="168">
        <f t="shared" si="38"/>
        <v>0</v>
      </c>
      <c r="R108" s="140"/>
      <c r="S108" s="167">
        <v>0</v>
      </c>
      <c r="T108" s="167">
        <v>0</v>
      </c>
      <c r="U108" s="167"/>
      <c r="V108" s="167"/>
      <c r="W108" s="241">
        <f t="shared" si="28"/>
        <v>0</v>
      </c>
      <c r="X108" s="168">
        <f t="shared" si="29"/>
        <v>172.14212576700001</v>
      </c>
      <c r="Y108" s="140"/>
      <c r="Z108" s="167">
        <v>0</v>
      </c>
      <c r="AA108" s="168">
        <f t="shared" si="30"/>
        <v>538.43739309675948</v>
      </c>
      <c r="AB108" s="140"/>
      <c r="AC108" s="169"/>
      <c r="AD108" s="30"/>
      <c r="AG108" s="179"/>
      <c r="AJ108" s="179"/>
      <c r="AP108" s="180" t="s">
        <v>180</v>
      </c>
      <c r="AR108" s="4">
        <f t="shared" si="33"/>
        <v>0</v>
      </c>
      <c r="AS108" s="4">
        <f t="shared" si="34"/>
        <v>0</v>
      </c>
      <c r="AU108" s="4">
        <f t="shared" si="36"/>
        <v>31.188966304275212</v>
      </c>
      <c r="AV108" s="4">
        <f t="shared" si="35"/>
        <v>3.2062620807760643E-2</v>
      </c>
    </row>
    <row r="109" spans="8:48">
      <c r="H109" s="31"/>
      <c r="J109" s="71">
        <v>103</v>
      </c>
      <c r="K109" s="167">
        <v>0</v>
      </c>
      <c r="L109" s="167"/>
      <c r="M109" s="167"/>
      <c r="N109" s="168">
        <f t="shared" si="25"/>
        <v>0</v>
      </c>
      <c r="O109" s="168">
        <f t="shared" si="26"/>
        <v>-3383.5955971846001</v>
      </c>
      <c r="P109" s="168">
        <f t="shared" si="27"/>
        <v>0</v>
      </c>
      <c r="Q109" s="168">
        <f t="shared" si="38"/>
        <v>0</v>
      </c>
      <c r="R109" s="140"/>
      <c r="S109" s="167">
        <v>0</v>
      </c>
      <c r="T109" s="167">
        <v>0</v>
      </c>
      <c r="U109" s="167"/>
      <c r="V109" s="167"/>
      <c r="W109" s="241">
        <f t="shared" si="28"/>
        <v>0</v>
      </c>
      <c r="X109" s="168">
        <f t="shared" si="29"/>
        <v>172.14212576700001</v>
      </c>
      <c r="Y109" s="140"/>
      <c r="Z109" s="167">
        <v>0</v>
      </c>
      <c r="AA109" s="168">
        <f t="shared" si="30"/>
        <v>538.43739309675948</v>
      </c>
      <c r="AB109" s="140"/>
      <c r="AC109" s="169"/>
      <c r="AD109" s="30"/>
      <c r="AG109" s="179"/>
      <c r="AJ109" s="179"/>
      <c r="AP109" s="180" t="s">
        <v>180</v>
      </c>
      <c r="AR109" s="4">
        <f t="shared" si="33"/>
        <v>0</v>
      </c>
      <c r="AS109" s="4">
        <f t="shared" si="34"/>
        <v>0</v>
      </c>
      <c r="AU109" s="4">
        <f t="shared" si="36"/>
        <v>31.188966304275212</v>
      </c>
      <c r="AV109" s="4">
        <f t="shared" si="35"/>
        <v>3.2062620807760643E-2</v>
      </c>
    </row>
    <row r="110" spans="8:48">
      <c r="H110" s="31"/>
      <c r="J110" s="71">
        <v>104</v>
      </c>
      <c r="K110" s="167">
        <v>0</v>
      </c>
      <c r="L110" s="167"/>
      <c r="M110" s="167"/>
      <c r="N110" s="168">
        <f t="shared" si="25"/>
        <v>0</v>
      </c>
      <c r="O110" s="168">
        <f t="shared" si="26"/>
        <v>-3383.5955971846001</v>
      </c>
      <c r="P110" s="168">
        <f t="shared" si="27"/>
        <v>0</v>
      </c>
      <c r="Q110" s="168">
        <f t="shared" si="38"/>
        <v>0</v>
      </c>
      <c r="R110" s="140"/>
      <c r="S110" s="167">
        <v>0</v>
      </c>
      <c r="T110" s="167">
        <v>0</v>
      </c>
      <c r="U110" s="167"/>
      <c r="V110" s="167"/>
      <c r="W110" s="241">
        <f t="shared" si="28"/>
        <v>0</v>
      </c>
      <c r="X110" s="168">
        <f t="shared" si="29"/>
        <v>172.14212576700001</v>
      </c>
      <c r="Y110" s="140"/>
      <c r="Z110" s="167">
        <v>0</v>
      </c>
      <c r="AA110" s="168">
        <f t="shared" si="30"/>
        <v>538.43739309675948</v>
      </c>
      <c r="AB110" s="140"/>
      <c r="AC110" s="169"/>
      <c r="AD110" s="30"/>
      <c r="AG110" s="179"/>
      <c r="AJ110" s="179"/>
      <c r="AP110" s="180" t="s">
        <v>180</v>
      </c>
      <c r="AR110" s="4">
        <f t="shared" si="33"/>
        <v>0</v>
      </c>
      <c r="AS110" s="4">
        <f t="shared" si="34"/>
        <v>0</v>
      </c>
      <c r="AU110" s="4">
        <f t="shared" si="36"/>
        <v>31.188966304275212</v>
      </c>
      <c r="AV110" s="4">
        <f t="shared" si="35"/>
        <v>3.2062620807760643E-2</v>
      </c>
    </row>
    <row r="111" spans="8:48">
      <c r="H111" s="31"/>
      <c r="J111" s="71">
        <v>105</v>
      </c>
      <c r="K111" s="167">
        <v>0</v>
      </c>
      <c r="L111" s="167"/>
      <c r="M111" s="167"/>
      <c r="N111" s="168">
        <f t="shared" si="25"/>
        <v>0</v>
      </c>
      <c r="O111" s="168">
        <f t="shared" si="26"/>
        <v>-3383.5955971846001</v>
      </c>
      <c r="P111" s="168">
        <f t="shared" si="27"/>
        <v>0</v>
      </c>
      <c r="Q111" s="168">
        <f t="shared" si="38"/>
        <v>0</v>
      </c>
      <c r="R111" s="140"/>
      <c r="S111" s="167">
        <v>0</v>
      </c>
      <c r="T111" s="167">
        <v>0</v>
      </c>
      <c r="U111" s="167"/>
      <c r="V111" s="167"/>
      <c r="W111" s="241">
        <f t="shared" si="28"/>
        <v>0</v>
      </c>
      <c r="X111" s="168">
        <f t="shared" si="29"/>
        <v>172.14212576700001</v>
      </c>
      <c r="Y111" s="140"/>
      <c r="Z111" s="167">
        <v>0</v>
      </c>
      <c r="AA111" s="168">
        <f t="shared" si="30"/>
        <v>538.43739309675948</v>
      </c>
      <c r="AB111" s="140"/>
      <c r="AC111" s="169"/>
      <c r="AD111" s="30"/>
      <c r="AG111" s="179"/>
      <c r="AJ111" s="179"/>
      <c r="AP111" s="180" t="s">
        <v>180</v>
      </c>
      <c r="AR111" s="4">
        <f t="shared" si="33"/>
        <v>0</v>
      </c>
      <c r="AS111" s="4">
        <f t="shared" si="34"/>
        <v>0</v>
      </c>
      <c r="AU111" s="4">
        <f t="shared" si="36"/>
        <v>31.188966304275212</v>
      </c>
      <c r="AV111" s="4">
        <f t="shared" si="35"/>
        <v>3.2062620807760643E-2</v>
      </c>
    </row>
    <row r="112" spans="8:48">
      <c r="H112" s="31"/>
      <c r="J112" s="71">
        <v>106</v>
      </c>
      <c r="K112" s="167">
        <v>0</v>
      </c>
      <c r="L112" s="167"/>
      <c r="M112" s="167"/>
      <c r="N112" s="168">
        <f t="shared" si="25"/>
        <v>0</v>
      </c>
      <c r="O112" s="168">
        <f t="shared" si="26"/>
        <v>-3383.5955971846001</v>
      </c>
      <c r="P112" s="168">
        <f t="shared" si="27"/>
        <v>0</v>
      </c>
      <c r="Q112" s="168">
        <f t="shared" si="38"/>
        <v>0</v>
      </c>
      <c r="R112" s="140"/>
      <c r="S112" s="167">
        <v>0</v>
      </c>
      <c r="T112" s="167">
        <v>0</v>
      </c>
      <c r="U112" s="167"/>
      <c r="V112" s="167"/>
      <c r="W112" s="241">
        <f t="shared" si="28"/>
        <v>0</v>
      </c>
      <c r="X112" s="168">
        <f t="shared" si="29"/>
        <v>172.14212576700001</v>
      </c>
      <c r="Y112" s="140"/>
      <c r="Z112" s="167">
        <v>0</v>
      </c>
      <c r="AA112" s="168">
        <f t="shared" si="30"/>
        <v>538.43739309675948</v>
      </c>
      <c r="AB112" s="140"/>
      <c r="AC112" s="169"/>
      <c r="AD112" s="30"/>
      <c r="AG112" s="179"/>
      <c r="AJ112" s="179"/>
      <c r="AP112" s="180" t="s">
        <v>180</v>
      </c>
      <c r="AR112" s="4">
        <f t="shared" si="33"/>
        <v>0</v>
      </c>
      <c r="AS112" s="4">
        <f t="shared" si="34"/>
        <v>0</v>
      </c>
      <c r="AU112" s="4">
        <f t="shared" si="36"/>
        <v>31.188966304275212</v>
      </c>
      <c r="AV112" s="4">
        <f t="shared" si="35"/>
        <v>3.2062620807760643E-2</v>
      </c>
    </row>
    <row r="113" spans="1:48">
      <c r="H113" s="31"/>
      <c r="J113" s="71">
        <v>107</v>
      </c>
      <c r="K113" s="167">
        <v>0</v>
      </c>
      <c r="L113" s="167"/>
      <c r="M113" s="167"/>
      <c r="N113" s="168">
        <f t="shared" si="25"/>
        <v>0</v>
      </c>
      <c r="O113" s="168">
        <f t="shared" si="26"/>
        <v>-3383.5955971846001</v>
      </c>
      <c r="P113" s="168">
        <f t="shared" si="27"/>
        <v>0</v>
      </c>
      <c r="Q113" s="168">
        <f t="shared" si="38"/>
        <v>0</v>
      </c>
      <c r="R113" s="140"/>
      <c r="S113" s="167">
        <v>0</v>
      </c>
      <c r="T113" s="167">
        <v>0</v>
      </c>
      <c r="U113" s="167"/>
      <c r="V113" s="167"/>
      <c r="W113" s="241">
        <f t="shared" si="28"/>
        <v>0</v>
      </c>
      <c r="X113" s="168">
        <f t="shared" si="29"/>
        <v>172.14212576700001</v>
      </c>
      <c r="Y113" s="140"/>
      <c r="Z113" s="167">
        <v>0</v>
      </c>
      <c r="AA113" s="168">
        <f t="shared" si="30"/>
        <v>538.43739309675948</v>
      </c>
      <c r="AB113" s="140"/>
      <c r="AC113" s="169"/>
      <c r="AD113" s="30"/>
      <c r="AG113" s="179"/>
      <c r="AJ113" s="179"/>
      <c r="AP113" s="180" t="s">
        <v>180</v>
      </c>
      <c r="AR113" s="4">
        <f t="shared" si="33"/>
        <v>0</v>
      </c>
      <c r="AS113" s="4">
        <f t="shared" si="34"/>
        <v>0</v>
      </c>
      <c r="AU113" s="4">
        <f t="shared" si="36"/>
        <v>31.188966304275212</v>
      </c>
      <c r="AV113" s="4">
        <f t="shared" si="35"/>
        <v>3.2062620807760643E-2</v>
      </c>
    </row>
    <row r="114" spans="1:48">
      <c r="H114" s="31"/>
      <c r="J114" s="71">
        <v>108</v>
      </c>
      <c r="K114" s="167">
        <v>0</v>
      </c>
      <c r="L114" s="167"/>
      <c r="M114" s="167"/>
      <c r="N114" s="168">
        <f t="shared" si="25"/>
        <v>0</v>
      </c>
      <c r="O114" s="168">
        <f t="shared" si="26"/>
        <v>-3383.5955971846001</v>
      </c>
      <c r="P114" s="168">
        <f t="shared" si="27"/>
        <v>0</v>
      </c>
      <c r="Q114" s="168">
        <f t="shared" si="38"/>
        <v>0</v>
      </c>
      <c r="R114" s="140"/>
      <c r="S114" s="167">
        <v>0</v>
      </c>
      <c r="T114" s="167">
        <v>0</v>
      </c>
      <c r="U114" s="167"/>
      <c r="V114" s="167"/>
      <c r="W114" s="241">
        <f t="shared" si="28"/>
        <v>0</v>
      </c>
      <c r="X114" s="168">
        <f t="shared" si="29"/>
        <v>172.14212576700001</v>
      </c>
      <c r="Y114" s="140"/>
      <c r="Z114" s="167">
        <v>0</v>
      </c>
      <c r="AA114" s="168">
        <f t="shared" si="30"/>
        <v>538.43739309675948</v>
      </c>
      <c r="AB114" s="140"/>
      <c r="AC114" s="169"/>
      <c r="AD114" s="30"/>
      <c r="AG114" s="179"/>
      <c r="AJ114" s="179"/>
      <c r="AP114" s="180" t="s">
        <v>180</v>
      </c>
      <c r="AR114" s="4">
        <f t="shared" si="33"/>
        <v>0</v>
      </c>
      <c r="AS114" s="4">
        <f t="shared" si="34"/>
        <v>0</v>
      </c>
      <c r="AU114" s="4">
        <f t="shared" si="36"/>
        <v>31.188966304275212</v>
      </c>
      <c r="AV114" s="4">
        <f t="shared" si="35"/>
        <v>3.2062620807760643E-2</v>
      </c>
    </row>
    <row r="115" spans="1:48">
      <c r="H115" s="31"/>
      <c r="J115" s="71">
        <v>109</v>
      </c>
      <c r="K115" s="167">
        <v>0</v>
      </c>
      <c r="L115" s="167"/>
      <c r="M115" s="167"/>
      <c r="N115" s="168">
        <f t="shared" si="25"/>
        <v>0</v>
      </c>
      <c r="O115" s="168">
        <f t="shared" si="26"/>
        <v>-3383.5955971846001</v>
      </c>
      <c r="P115" s="168">
        <f t="shared" si="27"/>
        <v>0</v>
      </c>
      <c r="Q115" s="168">
        <f t="shared" si="38"/>
        <v>0</v>
      </c>
      <c r="R115" s="140"/>
      <c r="S115" s="167">
        <v>0</v>
      </c>
      <c r="T115" s="167">
        <v>0</v>
      </c>
      <c r="U115" s="167"/>
      <c r="V115" s="167"/>
      <c r="W115" s="241">
        <f t="shared" si="28"/>
        <v>0</v>
      </c>
      <c r="X115" s="168">
        <f t="shared" si="29"/>
        <v>172.14212576700001</v>
      </c>
      <c r="Y115" s="140"/>
      <c r="Z115" s="167">
        <v>0</v>
      </c>
      <c r="AA115" s="168">
        <f t="shared" si="30"/>
        <v>538.43739309675948</v>
      </c>
      <c r="AB115" s="140"/>
      <c r="AC115" s="169"/>
      <c r="AD115" s="30"/>
      <c r="AG115" s="179"/>
      <c r="AJ115" s="179"/>
      <c r="AP115" s="180" t="s">
        <v>180</v>
      </c>
      <c r="AR115" s="4">
        <f t="shared" si="33"/>
        <v>0</v>
      </c>
      <c r="AS115" s="4">
        <f t="shared" si="34"/>
        <v>0</v>
      </c>
      <c r="AU115" s="4">
        <f t="shared" si="36"/>
        <v>31.188966304275212</v>
      </c>
      <c r="AV115" s="4">
        <f t="shared" si="35"/>
        <v>3.2062620807760643E-2</v>
      </c>
    </row>
    <row r="116" spans="1:48">
      <c r="H116" s="31"/>
      <c r="J116" s="71">
        <v>110</v>
      </c>
      <c r="K116" s="167">
        <v>0</v>
      </c>
      <c r="L116" s="167"/>
      <c r="M116" s="167"/>
      <c r="N116" s="168">
        <f t="shared" si="25"/>
        <v>0</v>
      </c>
      <c r="O116" s="168">
        <f t="shared" si="26"/>
        <v>-3383.5955971846001</v>
      </c>
      <c r="P116" s="168">
        <f t="shared" si="27"/>
        <v>0</v>
      </c>
      <c r="Q116" s="168">
        <f t="shared" si="38"/>
        <v>0</v>
      </c>
      <c r="R116" s="140"/>
      <c r="S116" s="167">
        <v>0</v>
      </c>
      <c r="T116" s="167">
        <v>0</v>
      </c>
      <c r="U116" s="167"/>
      <c r="V116" s="167"/>
      <c r="W116" s="241">
        <f t="shared" si="28"/>
        <v>0</v>
      </c>
      <c r="X116" s="168">
        <f t="shared" si="29"/>
        <v>172.14212576700001</v>
      </c>
      <c r="Y116" s="140"/>
      <c r="Z116" s="167">
        <v>0</v>
      </c>
      <c r="AA116" s="168">
        <f t="shared" si="30"/>
        <v>538.43739309675948</v>
      </c>
      <c r="AB116" s="140"/>
      <c r="AC116" s="169"/>
      <c r="AD116" s="30"/>
      <c r="AG116" s="179"/>
      <c r="AJ116" s="179"/>
      <c r="AP116" s="180" t="s">
        <v>180</v>
      </c>
      <c r="AR116" s="4">
        <f t="shared" si="33"/>
        <v>0</v>
      </c>
      <c r="AS116" s="4">
        <f t="shared" si="34"/>
        <v>0</v>
      </c>
      <c r="AU116" s="4">
        <f t="shared" si="36"/>
        <v>31.188966304275212</v>
      </c>
      <c r="AV116" s="4">
        <f t="shared" si="35"/>
        <v>3.2062620807760643E-2</v>
      </c>
    </row>
    <row r="117" spans="1:48">
      <c r="H117" s="31"/>
      <c r="J117" s="71">
        <v>111</v>
      </c>
      <c r="K117" s="167">
        <v>0</v>
      </c>
      <c r="L117" s="167"/>
      <c r="M117" s="167"/>
      <c r="N117" s="168">
        <f t="shared" si="25"/>
        <v>0</v>
      </c>
      <c r="O117" s="168">
        <f t="shared" si="26"/>
        <v>-3383.5955971846001</v>
      </c>
      <c r="P117" s="168">
        <f t="shared" si="27"/>
        <v>0</v>
      </c>
      <c r="Q117" s="168">
        <f t="shared" si="38"/>
        <v>0</v>
      </c>
      <c r="R117" s="140"/>
      <c r="S117" s="167">
        <v>0</v>
      </c>
      <c r="T117" s="167">
        <v>0</v>
      </c>
      <c r="U117" s="167"/>
      <c r="V117" s="167"/>
      <c r="W117" s="241">
        <f t="shared" si="28"/>
        <v>0</v>
      </c>
      <c r="X117" s="168">
        <f t="shared" si="29"/>
        <v>172.14212576700001</v>
      </c>
      <c r="Y117" s="140"/>
      <c r="Z117" s="167">
        <v>0</v>
      </c>
      <c r="AA117" s="168">
        <f t="shared" si="30"/>
        <v>538.43739309675948</v>
      </c>
      <c r="AB117" s="140"/>
      <c r="AC117" s="169"/>
      <c r="AD117" s="30"/>
      <c r="AG117" s="179"/>
      <c r="AJ117" s="179"/>
      <c r="AP117" s="180" t="s">
        <v>180</v>
      </c>
      <c r="AR117" s="4">
        <f t="shared" si="33"/>
        <v>0</v>
      </c>
      <c r="AS117" s="4">
        <f t="shared" si="34"/>
        <v>0</v>
      </c>
      <c r="AU117" s="4">
        <f t="shared" si="36"/>
        <v>31.188966304275212</v>
      </c>
      <c r="AV117" s="4">
        <f t="shared" si="35"/>
        <v>3.2062620807760643E-2</v>
      </c>
    </row>
    <row r="118" spans="1:48">
      <c r="H118" s="31"/>
      <c r="J118" s="71">
        <v>112</v>
      </c>
      <c r="K118" s="167">
        <v>0</v>
      </c>
      <c r="L118" s="167"/>
      <c r="M118" s="167"/>
      <c r="N118" s="168">
        <f t="shared" si="25"/>
        <v>0</v>
      </c>
      <c r="O118" s="168">
        <f t="shared" si="26"/>
        <v>-3383.5955971846001</v>
      </c>
      <c r="P118" s="168">
        <f t="shared" si="27"/>
        <v>0</v>
      </c>
      <c r="Q118" s="168">
        <f t="shared" si="38"/>
        <v>0</v>
      </c>
      <c r="R118" s="140"/>
      <c r="S118" s="167">
        <v>0</v>
      </c>
      <c r="T118" s="167">
        <v>0</v>
      </c>
      <c r="U118" s="167"/>
      <c r="V118" s="167"/>
      <c r="W118" s="241">
        <f t="shared" si="28"/>
        <v>0</v>
      </c>
      <c r="X118" s="168">
        <f t="shared" si="29"/>
        <v>172.14212576700001</v>
      </c>
      <c r="Y118" s="140"/>
      <c r="Z118" s="167">
        <v>0</v>
      </c>
      <c r="AA118" s="168">
        <f t="shared" si="30"/>
        <v>538.43739309675948</v>
      </c>
      <c r="AB118" s="140"/>
      <c r="AC118" s="169"/>
      <c r="AD118" s="30"/>
      <c r="AG118" s="179"/>
      <c r="AJ118" s="179"/>
      <c r="AP118" s="180" t="s">
        <v>180</v>
      </c>
      <c r="AR118" s="4">
        <f t="shared" si="33"/>
        <v>0</v>
      </c>
      <c r="AS118" s="4">
        <f t="shared" si="34"/>
        <v>0</v>
      </c>
      <c r="AU118" s="4">
        <f t="shared" si="36"/>
        <v>31.188966304275212</v>
      </c>
      <c r="AV118" s="4">
        <f t="shared" si="35"/>
        <v>3.2062620807760643E-2</v>
      </c>
    </row>
    <row r="119" spans="1:48">
      <c r="H119" s="31"/>
      <c r="J119" s="71">
        <v>113</v>
      </c>
      <c r="K119" s="167">
        <v>0</v>
      </c>
      <c r="L119" s="167"/>
      <c r="M119" s="167"/>
      <c r="N119" s="168">
        <f t="shared" si="25"/>
        <v>0</v>
      </c>
      <c r="O119" s="168">
        <f t="shared" si="26"/>
        <v>-3383.5955971846001</v>
      </c>
      <c r="P119" s="168">
        <f t="shared" si="27"/>
        <v>0</v>
      </c>
      <c r="Q119" s="168">
        <f t="shared" si="38"/>
        <v>0</v>
      </c>
      <c r="R119" s="140"/>
      <c r="S119" s="167">
        <v>0</v>
      </c>
      <c r="T119" s="167">
        <v>0</v>
      </c>
      <c r="U119" s="167"/>
      <c r="V119" s="167"/>
      <c r="W119" s="241">
        <f t="shared" si="28"/>
        <v>0</v>
      </c>
      <c r="X119" s="168">
        <f t="shared" si="29"/>
        <v>172.14212576700001</v>
      </c>
      <c r="Y119" s="140"/>
      <c r="Z119" s="167">
        <v>0</v>
      </c>
      <c r="AA119" s="168">
        <f t="shared" si="30"/>
        <v>538.43739309675948</v>
      </c>
      <c r="AB119" s="140"/>
      <c r="AC119" s="169"/>
      <c r="AD119" s="30"/>
      <c r="AG119" s="179"/>
      <c r="AJ119" s="179"/>
      <c r="AP119" s="180" t="s">
        <v>180</v>
      </c>
      <c r="AR119" s="4">
        <f t="shared" si="33"/>
        <v>0</v>
      </c>
      <c r="AS119" s="4">
        <f t="shared" si="34"/>
        <v>0</v>
      </c>
      <c r="AU119" s="4">
        <f t="shared" si="36"/>
        <v>31.188966304275212</v>
      </c>
      <c r="AV119" s="4">
        <f t="shared" si="35"/>
        <v>3.2062620807760643E-2</v>
      </c>
    </row>
    <row r="120" spans="1:48">
      <c r="H120" s="31"/>
      <c r="J120" s="71">
        <v>114</v>
      </c>
      <c r="K120" s="167">
        <v>0</v>
      </c>
      <c r="L120" s="167"/>
      <c r="M120" s="167"/>
      <c r="N120" s="168">
        <f t="shared" si="25"/>
        <v>0</v>
      </c>
      <c r="O120" s="168">
        <f t="shared" si="26"/>
        <v>-3383.5955971846001</v>
      </c>
      <c r="P120" s="168">
        <f t="shared" si="27"/>
        <v>0</v>
      </c>
      <c r="Q120" s="168">
        <f t="shared" si="38"/>
        <v>0</v>
      </c>
      <c r="R120" s="140"/>
      <c r="S120" s="167">
        <v>0</v>
      </c>
      <c r="T120" s="167">
        <v>0</v>
      </c>
      <c r="U120" s="167"/>
      <c r="V120" s="167"/>
      <c r="W120" s="241">
        <f t="shared" si="28"/>
        <v>0</v>
      </c>
      <c r="X120" s="168">
        <f t="shared" si="29"/>
        <v>172.14212576700001</v>
      </c>
      <c r="Y120" s="140"/>
      <c r="Z120" s="167">
        <v>0</v>
      </c>
      <c r="AA120" s="168">
        <f t="shared" si="30"/>
        <v>538.43739309675948</v>
      </c>
      <c r="AB120" s="140"/>
      <c r="AC120" s="169"/>
      <c r="AD120" s="30"/>
      <c r="AG120" s="179"/>
      <c r="AJ120" s="179"/>
      <c r="AP120" s="180" t="s">
        <v>180</v>
      </c>
      <c r="AR120" s="4">
        <f t="shared" si="33"/>
        <v>0</v>
      </c>
      <c r="AS120" s="4">
        <f t="shared" si="34"/>
        <v>0</v>
      </c>
      <c r="AU120" s="4">
        <f t="shared" si="36"/>
        <v>31.188966304275212</v>
      </c>
      <c r="AV120" s="4">
        <f t="shared" si="35"/>
        <v>3.2062620807760643E-2</v>
      </c>
    </row>
    <row r="121" spans="1:48">
      <c r="H121" s="31"/>
      <c r="J121" s="71">
        <v>115</v>
      </c>
      <c r="K121" s="167">
        <v>0</v>
      </c>
      <c r="L121" s="167"/>
      <c r="M121" s="167"/>
      <c r="N121" s="168">
        <f t="shared" si="25"/>
        <v>0</v>
      </c>
      <c r="O121" s="168">
        <f t="shared" si="26"/>
        <v>-3383.5955971846001</v>
      </c>
      <c r="P121" s="168">
        <f t="shared" si="27"/>
        <v>0</v>
      </c>
      <c r="Q121" s="168">
        <f t="shared" si="38"/>
        <v>0</v>
      </c>
      <c r="R121" s="140"/>
      <c r="S121" s="167">
        <v>0</v>
      </c>
      <c r="T121" s="167">
        <v>0</v>
      </c>
      <c r="U121" s="167"/>
      <c r="V121" s="167"/>
      <c r="W121" s="241">
        <f t="shared" si="28"/>
        <v>0</v>
      </c>
      <c r="X121" s="168">
        <f t="shared" si="29"/>
        <v>172.14212576700001</v>
      </c>
      <c r="Y121" s="140"/>
      <c r="Z121" s="167">
        <v>0</v>
      </c>
      <c r="AA121" s="168">
        <f t="shared" si="30"/>
        <v>538.43739309675948</v>
      </c>
      <c r="AB121" s="140"/>
      <c r="AC121" s="169"/>
      <c r="AD121" s="30"/>
      <c r="AG121" s="179"/>
      <c r="AJ121" s="179"/>
      <c r="AP121" s="180" t="s">
        <v>180</v>
      </c>
      <c r="AR121" s="4">
        <f t="shared" si="33"/>
        <v>0</v>
      </c>
      <c r="AS121" s="4">
        <f t="shared" si="34"/>
        <v>0</v>
      </c>
      <c r="AU121" s="4">
        <f t="shared" si="36"/>
        <v>31.188966304275212</v>
      </c>
      <c r="AV121" s="4">
        <f t="shared" si="35"/>
        <v>3.2062620807760643E-2</v>
      </c>
    </row>
    <row r="122" spans="1:48">
      <c r="H122" s="31"/>
      <c r="J122" s="71">
        <v>116</v>
      </c>
      <c r="K122" s="167">
        <v>0</v>
      </c>
      <c r="L122" s="167"/>
      <c r="M122" s="167"/>
      <c r="N122" s="168">
        <f t="shared" si="25"/>
        <v>0</v>
      </c>
      <c r="O122" s="168">
        <f t="shared" si="26"/>
        <v>-3383.5955971846001</v>
      </c>
      <c r="P122" s="168">
        <f t="shared" si="27"/>
        <v>0</v>
      </c>
      <c r="Q122" s="168">
        <f t="shared" si="38"/>
        <v>0</v>
      </c>
      <c r="R122" s="140"/>
      <c r="S122" s="167">
        <v>0</v>
      </c>
      <c r="T122" s="167">
        <v>0</v>
      </c>
      <c r="U122" s="167"/>
      <c r="V122" s="167"/>
      <c r="W122" s="241">
        <f t="shared" si="28"/>
        <v>0</v>
      </c>
      <c r="X122" s="168">
        <f t="shared" si="29"/>
        <v>172.14212576700001</v>
      </c>
      <c r="Y122" s="140"/>
      <c r="Z122" s="167">
        <v>0</v>
      </c>
      <c r="AA122" s="168">
        <f t="shared" si="30"/>
        <v>538.43739309675948</v>
      </c>
      <c r="AB122" s="140"/>
      <c r="AC122" s="169"/>
      <c r="AD122" s="30"/>
      <c r="AG122" s="179"/>
      <c r="AJ122" s="179"/>
      <c r="AP122" s="180" t="s">
        <v>180</v>
      </c>
      <c r="AR122" s="4">
        <f t="shared" si="33"/>
        <v>0</v>
      </c>
      <c r="AS122" s="4">
        <f t="shared" si="34"/>
        <v>0</v>
      </c>
      <c r="AU122" s="4">
        <f t="shared" si="36"/>
        <v>31.188966304275212</v>
      </c>
      <c r="AV122" s="4">
        <f t="shared" si="35"/>
        <v>3.2062620807760643E-2</v>
      </c>
    </row>
    <row r="123" spans="1:48">
      <c r="H123" s="31"/>
      <c r="J123" s="71">
        <v>117</v>
      </c>
      <c r="K123" s="167">
        <v>0</v>
      </c>
      <c r="L123" s="167"/>
      <c r="M123" s="167"/>
      <c r="N123" s="168">
        <f t="shared" si="25"/>
        <v>0</v>
      </c>
      <c r="O123" s="168">
        <f t="shared" si="26"/>
        <v>-3383.5955971846001</v>
      </c>
      <c r="P123" s="168">
        <f t="shared" si="27"/>
        <v>0</v>
      </c>
      <c r="Q123" s="168">
        <f t="shared" si="38"/>
        <v>0</v>
      </c>
      <c r="R123" s="140"/>
      <c r="S123" s="167">
        <v>0</v>
      </c>
      <c r="T123" s="167">
        <v>0</v>
      </c>
      <c r="U123" s="167"/>
      <c r="V123" s="167"/>
      <c r="W123" s="241">
        <f t="shared" si="28"/>
        <v>0</v>
      </c>
      <c r="X123" s="168">
        <f t="shared" si="29"/>
        <v>172.14212576700001</v>
      </c>
      <c r="Y123" s="140"/>
      <c r="Z123" s="167">
        <v>0</v>
      </c>
      <c r="AA123" s="168">
        <f t="shared" si="30"/>
        <v>538.43739309675948</v>
      </c>
      <c r="AB123" s="140"/>
      <c r="AC123" s="169"/>
      <c r="AD123" s="30"/>
      <c r="AG123" s="179"/>
      <c r="AJ123" s="179"/>
      <c r="AP123" s="180" t="s">
        <v>180</v>
      </c>
      <c r="AR123" s="4">
        <f t="shared" si="33"/>
        <v>0</v>
      </c>
      <c r="AS123" s="4">
        <f t="shared" si="34"/>
        <v>0</v>
      </c>
      <c r="AU123" s="4">
        <f t="shared" si="36"/>
        <v>31.188966304275212</v>
      </c>
      <c r="AV123" s="4">
        <f t="shared" si="35"/>
        <v>3.2062620807760643E-2</v>
      </c>
    </row>
    <row r="124" spans="1:48">
      <c r="H124" s="31"/>
      <c r="J124" s="71">
        <v>118</v>
      </c>
      <c r="K124" s="167">
        <v>0</v>
      </c>
      <c r="L124" s="167"/>
      <c r="M124" s="167"/>
      <c r="N124" s="168">
        <f t="shared" si="25"/>
        <v>0</v>
      </c>
      <c r="O124" s="168">
        <f t="shared" si="26"/>
        <v>-3383.5955971846001</v>
      </c>
      <c r="P124" s="168">
        <f t="shared" si="27"/>
        <v>0</v>
      </c>
      <c r="Q124" s="168">
        <f t="shared" si="38"/>
        <v>0</v>
      </c>
      <c r="R124" s="140"/>
      <c r="S124" s="167">
        <v>0</v>
      </c>
      <c r="T124" s="167">
        <v>0</v>
      </c>
      <c r="U124" s="167"/>
      <c r="V124" s="167"/>
      <c r="W124" s="241">
        <f t="shared" si="28"/>
        <v>0</v>
      </c>
      <c r="X124" s="168">
        <f t="shared" si="29"/>
        <v>172.14212576700001</v>
      </c>
      <c r="Y124" s="140"/>
      <c r="Z124" s="167">
        <v>0</v>
      </c>
      <c r="AA124" s="168">
        <f t="shared" si="30"/>
        <v>538.43739309675948</v>
      </c>
      <c r="AB124" s="140"/>
      <c r="AC124" s="169"/>
      <c r="AD124" s="30"/>
      <c r="AG124" s="179"/>
      <c r="AJ124" s="179"/>
      <c r="AP124" s="180" t="s">
        <v>180</v>
      </c>
      <c r="AR124" s="4">
        <f t="shared" si="33"/>
        <v>0</v>
      </c>
      <c r="AS124" s="4">
        <f t="shared" si="34"/>
        <v>0</v>
      </c>
      <c r="AU124" s="4">
        <f t="shared" si="36"/>
        <v>31.188966304275212</v>
      </c>
      <c r="AV124" s="4">
        <f t="shared" si="35"/>
        <v>3.2062620807760643E-2</v>
      </c>
    </row>
    <row r="125" spans="1:48">
      <c r="H125" s="31"/>
      <c r="J125" s="71">
        <v>119</v>
      </c>
      <c r="K125" s="167">
        <v>0</v>
      </c>
      <c r="L125" s="167"/>
      <c r="M125" s="167"/>
      <c r="N125" s="168">
        <f t="shared" si="25"/>
        <v>0</v>
      </c>
      <c r="O125" s="168">
        <f t="shared" si="26"/>
        <v>-3383.5955971846001</v>
      </c>
      <c r="P125" s="168">
        <f t="shared" si="27"/>
        <v>0</v>
      </c>
      <c r="Q125" s="168">
        <f t="shared" si="38"/>
        <v>0</v>
      </c>
      <c r="R125" s="140"/>
      <c r="S125" s="167">
        <v>0</v>
      </c>
      <c r="T125" s="167">
        <v>0</v>
      </c>
      <c r="U125" s="167"/>
      <c r="V125" s="167"/>
      <c r="W125" s="241">
        <f t="shared" si="28"/>
        <v>0</v>
      </c>
      <c r="X125" s="168">
        <f t="shared" si="29"/>
        <v>172.14212576700001</v>
      </c>
      <c r="Y125" s="140"/>
      <c r="Z125" s="167">
        <v>0</v>
      </c>
      <c r="AA125" s="168">
        <f t="shared" si="30"/>
        <v>538.43739309675948</v>
      </c>
      <c r="AB125" s="140"/>
      <c r="AC125" s="169"/>
      <c r="AD125" s="30"/>
      <c r="AG125" s="179"/>
      <c r="AJ125" s="179"/>
      <c r="AP125" s="180" t="s">
        <v>180</v>
      </c>
      <c r="AR125" s="4">
        <f t="shared" si="33"/>
        <v>0</v>
      </c>
      <c r="AS125" s="4">
        <f t="shared" si="34"/>
        <v>0</v>
      </c>
      <c r="AU125" s="4">
        <f t="shared" si="36"/>
        <v>31.188966304275212</v>
      </c>
      <c r="AV125" s="4">
        <f t="shared" si="35"/>
        <v>3.2062620807760643E-2</v>
      </c>
    </row>
    <row r="126" spans="1:48">
      <c r="H126" s="31"/>
      <c r="J126" s="71">
        <v>120</v>
      </c>
      <c r="K126" s="167">
        <v>0</v>
      </c>
      <c r="L126" s="167"/>
      <c r="M126" s="167"/>
      <c r="N126" s="168">
        <f t="shared" si="25"/>
        <v>0</v>
      </c>
      <c r="O126" s="168">
        <f t="shared" si="26"/>
        <v>-3383.5955971846001</v>
      </c>
      <c r="P126" s="168">
        <f t="shared" si="27"/>
        <v>0</v>
      </c>
      <c r="Q126" s="168">
        <f t="shared" si="38"/>
        <v>0</v>
      </c>
      <c r="R126" s="140"/>
      <c r="S126" s="167">
        <v>0</v>
      </c>
      <c r="T126" s="167">
        <v>0</v>
      </c>
      <c r="U126" s="167"/>
      <c r="V126" s="167"/>
      <c r="W126" s="241">
        <f t="shared" si="28"/>
        <v>0</v>
      </c>
      <c r="X126" s="168">
        <f t="shared" si="29"/>
        <v>172.14212576700001</v>
      </c>
      <c r="Y126" s="140"/>
      <c r="Z126" s="167">
        <v>0</v>
      </c>
      <c r="AA126" s="168">
        <f t="shared" si="30"/>
        <v>538.43739309675948</v>
      </c>
      <c r="AB126" s="140"/>
      <c r="AC126" s="169"/>
      <c r="AD126" s="30"/>
      <c r="AG126" s="179"/>
      <c r="AJ126" s="179"/>
      <c r="AP126" s="180" t="s">
        <v>180</v>
      </c>
      <c r="AR126" s="4">
        <f t="shared" si="33"/>
        <v>0</v>
      </c>
      <c r="AS126" s="4">
        <f t="shared" si="34"/>
        <v>0</v>
      </c>
      <c r="AU126" s="4">
        <f t="shared" si="36"/>
        <v>31.188966304275212</v>
      </c>
      <c r="AV126" s="4">
        <f t="shared" si="35"/>
        <v>3.2062620807760643E-2</v>
      </c>
    </row>
    <row r="127" spans="1:48">
      <c r="H127" s="31"/>
      <c r="AP127" s="180" t="s">
        <v>180</v>
      </c>
    </row>
    <row r="128" spans="1:48">
      <c r="A128" s="180" t="s">
        <v>180</v>
      </c>
      <c r="B128" s="180" t="s">
        <v>180</v>
      </c>
      <c r="C128" s="180" t="s">
        <v>180</v>
      </c>
      <c r="D128" s="180" t="s">
        <v>180</v>
      </c>
      <c r="E128" s="180" t="s">
        <v>180</v>
      </c>
      <c r="F128" s="180" t="s">
        <v>180</v>
      </c>
      <c r="G128" s="180" t="s">
        <v>180</v>
      </c>
      <c r="H128" s="180" t="s">
        <v>180</v>
      </c>
      <c r="I128" s="180" t="s">
        <v>180</v>
      </c>
      <c r="J128" s="180" t="s">
        <v>180</v>
      </c>
      <c r="K128" s="180" t="s">
        <v>180</v>
      </c>
      <c r="L128" s="180" t="s">
        <v>180</v>
      </c>
      <c r="M128" s="180" t="s">
        <v>180</v>
      </c>
      <c r="N128" s="180" t="s">
        <v>180</v>
      </c>
      <c r="O128" s="180" t="s">
        <v>180</v>
      </c>
      <c r="P128" s="180" t="s">
        <v>180</v>
      </c>
      <c r="Q128" s="180" t="s">
        <v>180</v>
      </c>
      <c r="R128" s="180" t="s">
        <v>180</v>
      </c>
      <c r="S128" s="180" t="s">
        <v>180</v>
      </c>
      <c r="T128" s="180" t="s">
        <v>180</v>
      </c>
      <c r="U128" s="180" t="s">
        <v>180</v>
      </c>
      <c r="V128" s="180" t="s">
        <v>180</v>
      </c>
      <c r="W128" s="180" t="s">
        <v>180</v>
      </c>
      <c r="X128" s="180" t="s">
        <v>180</v>
      </c>
      <c r="Y128" s="180" t="s">
        <v>180</v>
      </c>
      <c r="Z128" s="180" t="s">
        <v>180</v>
      </c>
      <c r="AA128" s="180" t="s">
        <v>180</v>
      </c>
      <c r="AB128" s="180" t="s">
        <v>180</v>
      </c>
      <c r="AC128" s="180" t="s">
        <v>180</v>
      </c>
      <c r="AD128" s="180" t="s">
        <v>180</v>
      </c>
      <c r="AE128" s="180" t="s">
        <v>180</v>
      </c>
      <c r="AF128" s="180" t="s">
        <v>180</v>
      </c>
      <c r="AG128" s="180" t="s">
        <v>180</v>
      </c>
      <c r="AH128" s="180" t="s">
        <v>180</v>
      </c>
      <c r="AI128" s="180" t="s">
        <v>180</v>
      </c>
      <c r="AJ128" s="180" t="s">
        <v>180</v>
      </c>
      <c r="AK128" s="180" t="s">
        <v>180</v>
      </c>
      <c r="AL128" s="180" t="s">
        <v>180</v>
      </c>
      <c r="AM128" s="180" t="s">
        <v>180</v>
      </c>
      <c r="AN128" s="180" t="s">
        <v>180</v>
      </c>
      <c r="AO128" s="180" t="s">
        <v>180</v>
      </c>
      <c r="AP128" s="180" t="s">
        <v>180</v>
      </c>
    </row>
    <row r="129" spans="8:8">
      <c r="H129" s="31"/>
    </row>
    <row r="130" spans="8:8">
      <c r="H130" s="31"/>
    </row>
    <row r="131" spans="8:8">
      <c r="H131" s="31"/>
    </row>
    <row r="132" spans="8:8">
      <c r="H132" s="31"/>
    </row>
    <row r="133" spans="8:8">
      <c r="H133" s="31"/>
    </row>
    <row r="134" spans="8:8">
      <c r="H134" s="31"/>
    </row>
    <row r="135" spans="8:8">
      <c r="H135" s="31"/>
    </row>
    <row r="136" spans="8:8">
      <c r="H136" s="31"/>
    </row>
    <row r="137" spans="8:8">
      <c r="H137" s="31"/>
    </row>
    <row r="138" spans="8:8">
      <c r="H138" s="31"/>
    </row>
    <row r="139" spans="8:8">
      <c r="H139" s="31"/>
    </row>
    <row r="140" spans="8:8">
      <c r="H140" s="31"/>
    </row>
    <row r="141" spans="8:8">
      <c r="H141" s="31"/>
    </row>
    <row r="142" spans="8:8">
      <c r="H142" s="31"/>
    </row>
    <row r="143" spans="8:8">
      <c r="H143" s="31"/>
    </row>
    <row r="144" spans="8:8">
      <c r="H144" s="31"/>
    </row>
    <row r="145" spans="8:8">
      <c r="H145" s="31"/>
    </row>
    <row r="146" spans="8:8">
      <c r="H146" s="31"/>
    </row>
    <row r="147" spans="8:8">
      <c r="H147" s="31"/>
    </row>
    <row r="148" spans="8:8">
      <c r="H148" s="31"/>
    </row>
    <row r="149" spans="8:8">
      <c r="H149" s="31"/>
    </row>
    <row r="150" spans="8:8">
      <c r="H150" s="31"/>
    </row>
    <row r="151" spans="8:8">
      <c r="H151" s="31"/>
    </row>
    <row r="152" spans="8:8">
      <c r="H152" s="31"/>
    </row>
    <row r="153" spans="8:8">
      <c r="H153" s="31"/>
    </row>
  </sheetData>
  <phoneticPr fontId="2" type="noConversion"/>
  <conditionalFormatting sqref="G18">
    <cfRule type="cellIs" dxfId="5" priority="11" stopIfTrue="1" operator="equal">
      <formula>"fail"</formula>
    </cfRule>
  </conditionalFormatting>
  <conditionalFormatting sqref="G41">
    <cfRule type="cellIs" dxfId="4" priority="6" stopIfTrue="1" operator="equal">
      <formula>"fail"</formula>
    </cfRule>
  </conditionalFormatting>
  <conditionalFormatting sqref="G42">
    <cfRule type="cellIs" dxfId="3" priority="5" stopIfTrue="1" operator="equal">
      <formula>"fail"</formula>
    </cfRule>
  </conditionalFormatting>
  <conditionalFormatting sqref="G40">
    <cfRule type="cellIs" dxfId="2" priority="3" stopIfTrue="1" operator="equal">
      <formula>"fail"</formula>
    </cfRule>
  </conditionalFormatting>
  <conditionalFormatting sqref="G39">
    <cfRule type="cellIs" dxfId="1" priority="2" stopIfTrue="1" operator="equal">
      <formula>"fail"</formula>
    </cfRule>
  </conditionalFormatting>
  <conditionalFormatting sqref="G38">
    <cfRule type="cellIs" dxfId="0" priority="1" stopIfTrue="1" operator="equal">
      <formula>"fail"</formula>
    </cfRule>
  </conditionalFormatting>
  <pageMargins left="0.23622047244094491" right="0.23622047244094491" top="0.35433070866141736" bottom="0.35433070866141736" header="0.31496062992125984" footer="0.31496062992125984"/>
  <pageSetup paperSize="9" scale="45" orientation="portrait" horizont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">
    <tabColor theme="7"/>
  </sheetPr>
  <dimension ref="A1:U31"/>
  <sheetViews>
    <sheetView showGridLines="0" zoomScale="90" workbookViewId="0">
      <pane xSplit="3" topLeftCell="D1" activePane="topRight" state="frozen"/>
      <selection activeCell="E10" sqref="E10"/>
      <selection pane="topRight" activeCell="D1" sqref="D1"/>
    </sheetView>
  </sheetViews>
  <sheetFormatPr defaultColWidth="11.42578125" defaultRowHeight="12.75"/>
  <cols>
    <col min="1" max="1" width="2.85546875" style="4" customWidth="1"/>
    <col min="2" max="2" width="11.42578125" style="4" customWidth="1"/>
    <col min="3" max="3" width="11.5703125" style="4" customWidth="1"/>
    <col min="4" max="4" width="10.85546875" style="4" customWidth="1"/>
    <col min="5" max="5" width="15.28515625" style="4" customWidth="1"/>
    <col min="6" max="6" width="18.28515625" style="4" customWidth="1"/>
    <col min="7" max="7" width="17.140625" style="4" customWidth="1"/>
    <col min="8" max="9" width="14.42578125" style="4" customWidth="1"/>
    <col min="10" max="10" width="8.5703125" style="4" customWidth="1"/>
    <col min="11" max="11" width="20.42578125" style="33" customWidth="1"/>
    <col min="12" max="14" width="11.42578125" style="4"/>
    <col min="15" max="16" width="11.42578125" style="71"/>
    <col min="17" max="17" width="16.85546875" style="71" bestFit="1" customWidth="1"/>
    <col min="18" max="18" width="4.5703125" style="4" customWidth="1"/>
    <col min="19" max="19" width="12.85546875" style="4" customWidth="1"/>
    <col min="20" max="20" width="4.5703125" style="4" customWidth="1"/>
    <col min="21" max="21" width="5.5703125" style="4" customWidth="1"/>
    <col min="22" max="16384" width="11.42578125" style="4"/>
  </cols>
  <sheetData>
    <row r="1" spans="1:21" ht="17.25">
      <c r="A1" s="32" t="s">
        <v>10</v>
      </c>
      <c r="F1" s="124" t="s">
        <v>278</v>
      </c>
      <c r="U1" s="180" t="s">
        <v>180</v>
      </c>
    </row>
    <row r="2" spans="1:21">
      <c r="B2" s="34" t="s">
        <v>12</v>
      </c>
      <c r="U2" s="180" t="s">
        <v>180</v>
      </c>
    </row>
    <row r="3" spans="1:21" ht="17.25" customHeight="1">
      <c r="U3" s="180" t="s">
        <v>180</v>
      </c>
    </row>
    <row r="4" spans="1:21" ht="17.25" customHeight="1">
      <c r="B4" s="4" t="s">
        <v>11</v>
      </c>
      <c r="U4" s="180" t="s">
        <v>180</v>
      </c>
    </row>
    <row r="5" spans="1:21" ht="32.25" customHeight="1" thickBot="1">
      <c r="E5" s="276" t="s">
        <v>51</v>
      </c>
      <c r="F5" s="277"/>
      <c r="G5" s="278"/>
      <c r="H5" s="95" t="s">
        <v>88</v>
      </c>
      <c r="I5" s="95" t="s">
        <v>89</v>
      </c>
      <c r="L5" s="87" t="s">
        <v>52</v>
      </c>
      <c r="O5" s="276" t="s">
        <v>53</v>
      </c>
      <c r="P5" s="278"/>
      <c r="Q5" s="71" t="s">
        <v>44</v>
      </c>
      <c r="U5" s="180" t="s">
        <v>180</v>
      </c>
    </row>
    <row r="6" spans="1:21" s="27" customFormat="1" ht="26.25" thickBot="1">
      <c r="B6" s="93" t="s">
        <v>5</v>
      </c>
      <c r="C6" s="93" t="s">
        <v>13</v>
      </c>
      <c r="D6" s="94" t="s">
        <v>83</v>
      </c>
      <c r="E6" s="94" t="s">
        <v>14</v>
      </c>
      <c r="F6" s="95" t="s">
        <v>15</v>
      </c>
      <c r="G6" s="96" t="s">
        <v>16</v>
      </c>
      <c r="H6" s="95" t="s">
        <v>86</v>
      </c>
      <c r="I6" s="95" t="s">
        <v>87</v>
      </c>
      <c r="K6" s="98" t="s">
        <v>6</v>
      </c>
      <c r="L6" s="96" t="s">
        <v>7</v>
      </c>
      <c r="M6" s="96" t="s">
        <v>45</v>
      </c>
      <c r="N6" s="97"/>
      <c r="O6" s="98" t="s">
        <v>42</v>
      </c>
      <c r="P6" s="98" t="s">
        <v>43</v>
      </c>
      <c r="Q6" s="88">
        <f>SUMPRODUCT('Spreads for Def and DG'!O7:O26,'Spreads for Def and DG'!M7:M26,P7:P26)-MA!G35*10000</f>
        <v>73.71875</v>
      </c>
      <c r="S6" s="96" t="s">
        <v>231</v>
      </c>
      <c r="U6" s="180" t="s">
        <v>180</v>
      </c>
    </row>
    <row r="7" spans="1:21" s="27" customFormat="1">
      <c r="B7" s="90" t="s">
        <v>54</v>
      </c>
      <c r="C7" s="37" t="s">
        <v>17</v>
      </c>
      <c r="D7" s="76">
        <v>100</v>
      </c>
      <c r="E7" s="80">
        <v>0</v>
      </c>
      <c r="F7" s="81">
        <v>0</v>
      </c>
      <c r="G7" s="85">
        <f t="shared" ref="G7:G18" si="0">E7+F7</f>
        <v>0</v>
      </c>
      <c r="H7" s="84">
        <f t="shared" ref="H7:H26" si="1">MAX(D7-G7,0)</f>
        <v>100</v>
      </c>
      <c r="I7" s="84">
        <f t="shared" ref="I7:I26" si="2">H7</f>
        <v>100</v>
      </c>
      <c r="K7" s="181">
        <v>0.05</v>
      </c>
      <c r="L7" s="42">
        <v>2.5</v>
      </c>
      <c r="M7" s="134">
        <f>K7*L7/SUMPRODUCT($K$7:$K$26,$L$7:$L$26)</f>
        <v>1.2500000000000001E-2</v>
      </c>
      <c r="O7" s="149">
        <v>0</v>
      </c>
      <c r="P7" s="150">
        <v>0</v>
      </c>
      <c r="Q7" s="91"/>
      <c r="S7" s="199">
        <v>0</v>
      </c>
      <c r="U7" s="180" t="s">
        <v>180</v>
      </c>
    </row>
    <row r="8" spans="1:21" s="27" customFormat="1">
      <c r="B8" s="92" t="s">
        <v>54</v>
      </c>
      <c r="C8" s="37" t="s">
        <v>46</v>
      </c>
      <c r="D8" s="76">
        <v>200</v>
      </c>
      <c r="E8" s="80">
        <v>0</v>
      </c>
      <c r="F8" s="81">
        <v>0</v>
      </c>
      <c r="G8" s="85">
        <f t="shared" si="0"/>
        <v>0</v>
      </c>
      <c r="H8" s="84">
        <f t="shared" si="1"/>
        <v>200</v>
      </c>
      <c r="I8" s="84">
        <f t="shared" si="2"/>
        <v>200</v>
      </c>
      <c r="K8" s="181">
        <v>0.05</v>
      </c>
      <c r="L8" s="42">
        <v>7.5</v>
      </c>
      <c r="M8" s="134">
        <f t="shared" ref="M8:M26" si="3">K8*L8/SUMPRODUCT($K$7:$K$26,$L$7:$L$26)</f>
        <v>3.7499999999999999E-2</v>
      </c>
      <c r="O8" s="149">
        <v>0</v>
      </c>
      <c r="P8" s="150">
        <v>0</v>
      </c>
      <c r="Q8" s="91"/>
      <c r="S8" s="199">
        <v>0</v>
      </c>
      <c r="U8" s="180" t="s">
        <v>180</v>
      </c>
    </row>
    <row r="9" spans="1:21" s="27" customFormat="1">
      <c r="B9" s="92" t="s">
        <v>54</v>
      </c>
      <c r="C9" s="37" t="s">
        <v>47</v>
      </c>
      <c r="D9" s="76">
        <v>300</v>
      </c>
      <c r="E9" s="80">
        <v>0</v>
      </c>
      <c r="F9" s="81">
        <v>0</v>
      </c>
      <c r="G9" s="85">
        <f t="shared" si="0"/>
        <v>0</v>
      </c>
      <c r="H9" s="84">
        <f t="shared" si="1"/>
        <v>300</v>
      </c>
      <c r="I9" s="84">
        <f t="shared" si="2"/>
        <v>300</v>
      </c>
      <c r="K9" s="181">
        <v>0.05</v>
      </c>
      <c r="L9" s="42">
        <f>(10+15)/2</f>
        <v>12.5</v>
      </c>
      <c r="M9" s="134">
        <f t="shared" si="3"/>
        <v>6.25E-2</v>
      </c>
      <c r="O9" s="149">
        <v>0</v>
      </c>
      <c r="P9" s="150">
        <v>0</v>
      </c>
      <c r="Q9" s="91"/>
      <c r="S9" s="199">
        <v>0</v>
      </c>
      <c r="U9" s="180" t="s">
        <v>180</v>
      </c>
    </row>
    <row r="10" spans="1:21" s="27" customFormat="1">
      <c r="B10" s="92" t="s">
        <v>54</v>
      </c>
      <c r="C10" s="37" t="s">
        <v>48</v>
      </c>
      <c r="D10" s="76">
        <v>400</v>
      </c>
      <c r="E10" s="80">
        <v>0</v>
      </c>
      <c r="F10" s="81">
        <v>0</v>
      </c>
      <c r="G10" s="85">
        <f t="shared" si="0"/>
        <v>0</v>
      </c>
      <c r="H10" s="84">
        <f t="shared" si="1"/>
        <v>400</v>
      </c>
      <c r="I10" s="84">
        <f t="shared" si="2"/>
        <v>400</v>
      </c>
      <c r="K10" s="181">
        <v>0.05</v>
      </c>
      <c r="L10" s="42">
        <f>35/2</f>
        <v>17.5</v>
      </c>
      <c r="M10" s="134">
        <f t="shared" si="3"/>
        <v>8.7499999999999994E-2</v>
      </c>
      <c r="O10" s="149">
        <v>0</v>
      </c>
      <c r="P10" s="150">
        <v>0</v>
      </c>
      <c r="Q10" s="91"/>
      <c r="S10" s="199">
        <v>0</v>
      </c>
      <c r="U10" s="180" t="s">
        <v>180</v>
      </c>
    </row>
    <row r="11" spans="1:21">
      <c r="B11" s="36" t="s">
        <v>1</v>
      </c>
      <c r="C11" s="37" t="s">
        <v>17</v>
      </c>
      <c r="D11" s="76">
        <v>150</v>
      </c>
      <c r="E11" s="80">
        <v>2.2320000000000002</v>
      </c>
      <c r="F11" s="81">
        <v>3.2640000000000002</v>
      </c>
      <c r="G11" s="85">
        <f t="shared" si="0"/>
        <v>5.4960000000000004</v>
      </c>
      <c r="H11" s="84">
        <f t="shared" si="1"/>
        <v>144.50399999999999</v>
      </c>
      <c r="I11" s="84">
        <f t="shared" si="2"/>
        <v>144.50399999999999</v>
      </c>
      <c r="J11" s="35"/>
      <c r="K11" s="181">
        <v>0.05</v>
      </c>
      <c r="L11" s="42">
        <v>2.5</v>
      </c>
      <c r="M11" s="134">
        <f t="shared" si="3"/>
        <v>1.2500000000000001E-2</v>
      </c>
      <c r="O11" s="149">
        <v>105</v>
      </c>
      <c r="P11" s="150">
        <v>0.8</v>
      </c>
      <c r="S11" s="199">
        <v>55</v>
      </c>
      <c r="U11" s="180" t="s">
        <v>180</v>
      </c>
    </row>
    <row r="12" spans="1:21">
      <c r="B12" s="36" t="s">
        <v>2</v>
      </c>
      <c r="C12" s="37" t="s">
        <v>17</v>
      </c>
      <c r="D12" s="76">
        <v>250</v>
      </c>
      <c r="E12" s="80">
        <v>3.8879999999999999</v>
      </c>
      <c r="F12" s="81">
        <v>4.8119999999999994</v>
      </c>
      <c r="G12" s="85">
        <f t="shared" si="0"/>
        <v>8.6999999999999993</v>
      </c>
      <c r="H12" s="84">
        <f t="shared" si="1"/>
        <v>241.3</v>
      </c>
      <c r="I12" s="84">
        <f t="shared" si="2"/>
        <v>241.3</v>
      </c>
      <c r="J12" s="35"/>
      <c r="K12" s="181">
        <v>0.05</v>
      </c>
      <c r="L12" s="42">
        <v>2.5</v>
      </c>
      <c r="M12" s="134">
        <f t="shared" si="3"/>
        <v>1.2500000000000001E-2</v>
      </c>
      <c r="O12" s="149">
        <v>120</v>
      </c>
      <c r="P12" s="150">
        <v>0.8</v>
      </c>
      <c r="S12" s="199">
        <v>55</v>
      </c>
      <c r="U12" s="180" t="s">
        <v>180</v>
      </c>
    </row>
    <row r="13" spans="1:21">
      <c r="B13" s="36" t="s">
        <v>3</v>
      </c>
      <c r="C13" s="37" t="s">
        <v>17</v>
      </c>
      <c r="D13" s="76">
        <v>350</v>
      </c>
      <c r="E13" s="80">
        <v>9.5519999999999996</v>
      </c>
      <c r="F13" s="81">
        <v>12.635999999999999</v>
      </c>
      <c r="G13" s="85">
        <f t="shared" si="0"/>
        <v>22.187999999999999</v>
      </c>
      <c r="H13" s="84">
        <f t="shared" si="1"/>
        <v>327.81200000000001</v>
      </c>
      <c r="I13" s="84">
        <f t="shared" si="2"/>
        <v>327.81200000000001</v>
      </c>
      <c r="J13" s="35"/>
      <c r="K13" s="181">
        <v>0.05</v>
      </c>
      <c r="L13" s="42">
        <v>2.5</v>
      </c>
      <c r="M13" s="134">
        <f t="shared" si="3"/>
        <v>1.2500000000000001E-2</v>
      </c>
      <c r="O13" s="149">
        <v>165</v>
      </c>
      <c r="P13" s="150">
        <v>0.8</v>
      </c>
      <c r="S13" s="199">
        <v>55</v>
      </c>
      <c r="U13" s="180" t="s">
        <v>180</v>
      </c>
    </row>
    <row r="14" spans="1:21">
      <c r="B14" s="36" t="s">
        <v>4</v>
      </c>
      <c r="C14" s="37" t="s">
        <v>17</v>
      </c>
      <c r="D14" s="76">
        <v>450</v>
      </c>
      <c r="E14" s="80">
        <v>31.536000000000001</v>
      </c>
      <c r="F14" s="81">
        <v>37.991999999999997</v>
      </c>
      <c r="G14" s="85">
        <f t="shared" si="0"/>
        <v>69.527999999999992</v>
      </c>
      <c r="H14" s="84">
        <f t="shared" si="1"/>
        <v>380.47199999999998</v>
      </c>
      <c r="I14" s="84">
        <f t="shared" si="2"/>
        <v>380.47199999999998</v>
      </c>
      <c r="J14" s="35"/>
      <c r="K14" s="181">
        <v>0.05</v>
      </c>
      <c r="L14" s="42">
        <v>2.5</v>
      </c>
      <c r="M14" s="134">
        <f t="shared" si="3"/>
        <v>1.2500000000000001E-2</v>
      </c>
      <c r="O14" s="149">
        <v>245</v>
      </c>
      <c r="P14" s="150">
        <v>0.5</v>
      </c>
      <c r="S14" s="199">
        <v>55</v>
      </c>
      <c r="U14" s="180" t="s">
        <v>180</v>
      </c>
    </row>
    <row r="15" spans="1:21">
      <c r="B15" s="36" t="s">
        <v>1</v>
      </c>
      <c r="C15" s="37" t="s">
        <v>46</v>
      </c>
      <c r="D15" s="76">
        <v>300</v>
      </c>
      <c r="E15" s="80">
        <v>4.08</v>
      </c>
      <c r="F15" s="81">
        <v>7.3079999999999998</v>
      </c>
      <c r="G15" s="85">
        <f t="shared" si="0"/>
        <v>11.388</v>
      </c>
      <c r="H15" s="84">
        <f t="shared" si="1"/>
        <v>288.61200000000002</v>
      </c>
      <c r="I15" s="84">
        <f t="shared" si="2"/>
        <v>288.61200000000002</v>
      </c>
      <c r="J15" s="35"/>
      <c r="K15" s="181">
        <v>0.05</v>
      </c>
      <c r="L15" s="42">
        <v>7.5</v>
      </c>
      <c r="M15" s="134">
        <f t="shared" si="3"/>
        <v>3.7499999999999999E-2</v>
      </c>
      <c r="O15" s="149">
        <v>95</v>
      </c>
      <c r="P15" s="150">
        <v>0.8</v>
      </c>
      <c r="S15" s="199">
        <v>55</v>
      </c>
      <c r="U15" s="180" t="s">
        <v>180</v>
      </c>
    </row>
    <row r="16" spans="1:21">
      <c r="B16" s="36" t="s">
        <v>2</v>
      </c>
      <c r="C16" s="37" t="s">
        <v>46</v>
      </c>
      <c r="D16" s="76">
        <v>400</v>
      </c>
      <c r="E16" s="80">
        <v>7.14</v>
      </c>
      <c r="F16" s="81">
        <v>12.564</v>
      </c>
      <c r="G16" s="85">
        <f t="shared" si="0"/>
        <v>19.704000000000001</v>
      </c>
      <c r="H16" s="84">
        <f t="shared" si="1"/>
        <v>380.29599999999999</v>
      </c>
      <c r="I16" s="84">
        <f t="shared" si="2"/>
        <v>380.29599999999999</v>
      </c>
      <c r="J16" s="35"/>
      <c r="K16" s="181">
        <v>0.05</v>
      </c>
      <c r="L16" s="42">
        <v>7.5</v>
      </c>
      <c r="M16" s="134">
        <f t="shared" si="3"/>
        <v>3.7499999999999999E-2</v>
      </c>
      <c r="O16" s="149">
        <v>115</v>
      </c>
      <c r="P16" s="150">
        <v>0.8</v>
      </c>
      <c r="S16" s="199">
        <v>55</v>
      </c>
      <c r="U16" s="180" t="s">
        <v>180</v>
      </c>
    </row>
    <row r="17" spans="1:21">
      <c r="B17" s="36" t="s">
        <v>3</v>
      </c>
      <c r="C17" s="37" t="s">
        <v>46</v>
      </c>
      <c r="D17" s="76">
        <v>500</v>
      </c>
      <c r="E17" s="80">
        <v>15.935999999999998</v>
      </c>
      <c r="F17" s="81">
        <v>27.167999999999999</v>
      </c>
      <c r="G17" s="85">
        <f t="shared" si="0"/>
        <v>43.103999999999999</v>
      </c>
      <c r="H17" s="84">
        <f t="shared" si="1"/>
        <v>456.89600000000002</v>
      </c>
      <c r="I17" s="84">
        <f t="shared" si="2"/>
        <v>456.89600000000002</v>
      </c>
      <c r="J17" s="35"/>
      <c r="K17" s="181">
        <v>0.05</v>
      </c>
      <c r="L17" s="42">
        <v>7.5</v>
      </c>
      <c r="M17" s="134">
        <f t="shared" si="3"/>
        <v>3.7499999999999999E-2</v>
      </c>
      <c r="O17" s="149">
        <v>145</v>
      </c>
      <c r="P17" s="150">
        <v>0.8</v>
      </c>
      <c r="S17" s="199">
        <v>55</v>
      </c>
      <c r="U17" s="180" t="s">
        <v>180</v>
      </c>
    </row>
    <row r="18" spans="1:21">
      <c r="B18" s="36" t="s">
        <v>4</v>
      </c>
      <c r="C18" s="37" t="s">
        <v>46</v>
      </c>
      <c r="D18" s="76">
        <v>650</v>
      </c>
      <c r="E18" s="80">
        <v>46.727999999999994</v>
      </c>
      <c r="F18" s="81">
        <v>57.047999999999995</v>
      </c>
      <c r="G18" s="85">
        <f t="shared" si="0"/>
        <v>103.77599999999998</v>
      </c>
      <c r="H18" s="84">
        <f t="shared" si="1"/>
        <v>546.22400000000005</v>
      </c>
      <c r="I18" s="84">
        <f t="shared" si="2"/>
        <v>546.22400000000005</v>
      </c>
      <c r="J18" s="35"/>
      <c r="K18" s="181">
        <v>0.05</v>
      </c>
      <c r="L18" s="42">
        <v>7.5</v>
      </c>
      <c r="M18" s="134">
        <f t="shared" si="3"/>
        <v>3.7499999999999999E-2</v>
      </c>
      <c r="O18" s="149">
        <v>230</v>
      </c>
      <c r="P18" s="150">
        <v>0.5</v>
      </c>
      <c r="S18" s="199">
        <v>55</v>
      </c>
      <c r="U18" s="180" t="s">
        <v>180</v>
      </c>
    </row>
    <row r="19" spans="1:21">
      <c r="B19" s="36" t="s">
        <v>1</v>
      </c>
      <c r="C19" s="37" t="s">
        <v>47</v>
      </c>
      <c r="D19" s="76">
        <v>350</v>
      </c>
      <c r="E19" s="80">
        <v>5.952</v>
      </c>
      <c r="F19" s="81">
        <v>12.156000000000001</v>
      </c>
      <c r="G19" s="85">
        <f t="shared" ref="G19:G26" si="4">E19+F19</f>
        <v>18.108000000000001</v>
      </c>
      <c r="H19" s="84">
        <f t="shared" si="1"/>
        <v>331.892</v>
      </c>
      <c r="I19" s="84">
        <f t="shared" si="2"/>
        <v>331.892</v>
      </c>
      <c r="J19" s="35"/>
      <c r="K19" s="181">
        <v>0.05</v>
      </c>
      <c r="L19" s="42">
        <f>(10+15)/2</f>
        <v>12.5</v>
      </c>
      <c r="M19" s="134">
        <f t="shared" si="3"/>
        <v>6.25E-2</v>
      </c>
      <c r="O19" s="149">
        <v>90</v>
      </c>
      <c r="P19" s="150">
        <v>0.8</v>
      </c>
      <c r="S19" s="199">
        <v>55</v>
      </c>
      <c r="U19" s="180" t="s">
        <v>180</v>
      </c>
    </row>
    <row r="20" spans="1:21">
      <c r="B20" s="36" t="s">
        <v>2</v>
      </c>
      <c r="C20" s="37" t="s">
        <v>47</v>
      </c>
      <c r="D20" s="76">
        <v>450</v>
      </c>
      <c r="E20" s="80">
        <v>10.632</v>
      </c>
      <c r="F20" s="81">
        <v>20.808</v>
      </c>
      <c r="G20" s="85">
        <f t="shared" si="4"/>
        <v>31.439999999999998</v>
      </c>
      <c r="H20" s="84">
        <f t="shared" si="1"/>
        <v>418.56</v>
      </c>
      <c r="I20" s="84">
        <f t="shared" si="2"/>
        <v>418.56</v>
      </c>
      <c r="J20" s="35"/>
      <c r="K20" s="181">
        <v>0.05</v>
      </c>
      <c r="L20" s="42">
        <f>(10+15)/2</f>
        <v>12.5</v>
      </c>
      <c r="M20" s="134">
        <f t="shared" si="3"/>
        <v>6.25E-2</v>
      </c>
      <c r="O20" s="149">
        <v>95</v>
      </c>
      <c r="P20" s="150">
        <v>0.8</v>
      </c>
      <c r="S20" s="199">
        <v>55</v>
      </c>
      <c r="U20" s="180" t="s">
        <v>180</v>
      </c>
    </row>
    <row r="21" spans="1:21">
      <c r="B21" s="36" t="s">
        <v>3</v>
      </c>
      <c r="C21" s="37" t="s">
        <v>47</v>
      </c>
      <c r="D21" s="76">
        <v>550</v>
      </c>
      <c r="E21" s="80">
        <v>21.971999999999998</v>
      </c>
      <c r="F21" s="81">
        <v>37.716000000000001</v>
      </c>
      <c r="G21" s="85">
        <f t="shared" si="4"/>
        <v>59.688000000000002</v>
      </c>
      <c r="H21" s="84">
        <f t="shared" si="1"/>
        <v>490.31200000000001</v>
      </c>
      <c r="I21" s="84">
        <f t="shared" si="2"/>
        <v>490.31200000000001</v>
      </c>
      <c r="J21" s="35"/>
      <c r="K21" s="181">
        <v>0.05</v>
      </c>
      <c r="L21" s="42">
        <f>(10+15)/2</f>
        <v>12.5</v>
      </c>
      <c r="M21" s="134">
        <f t="shared" si="3"/>
        <v>6.25E-2</v>
      </c>
      <c r="O21" s="149">
        <v>125</v>
      </c>
      <c r="P21" s="150">
        <v>0.8</v>
      </c>
      <c r="S21" s="199">
        <v>55</v>
      </c>
      <c r="U21" s="180" t="s">
        <v>180</v>
      </c>
    </row>
    <row r="22" spans="1:21">
      <c r="B22" s="36" t="s">
        <v>4</v>
      </c>
      <c r="C22" s="37" t="s">
        <v>47</v>
      </c>
      <c r="D22" s="76">
        <v>700</v>
      </c>
      <c r="E22" s="80">
        <v>57.216000000000001</v>
      </c>
      <c r="F22" s="81">
        <v>64.751999999999995</v>
      </c>
      <c r="G22" s="85">
        <f t="shared" si="4"/>
        <v>121.96799999999999</v>
      </c>
      <c r="H22" s="84">
        <f t="shared" si="1"/>
        <v>578.03200000000004</v>
      </c>
      <c r="I22" s="84">
        <f t="shared" si="2"/>
        <v>578.03200000000004</v>
      </c>
      <c r="J22" s="35"/>
      <c r="K22" s="181">
        <v>0.05</v>
      </c>
      <c r="L22" s="42">
        <f>(10+15)/2</f>
        <v>12.5</v>
      </c>
      <c r="M22" s="134">
        <f t="shared" si="3"/>
        <v>6.25E-2</v>
      </c>
      <c r="O22" s="149">
        <v>215</v>
      </c>
      <c r="P22" s="150">
        <v>0.5</v>
      </c>
      <c r="S22" s="199">
        <v>55</v>
      </c>
      <c r="U22" s="180" t="s">
        <v>180</v>
      </c>
    </row>
    <row r="23" spans="1:21">
      <c r="B23" s="36" t="s">
        <v>1</v>
      </c>
      <c r="C23" s="37" t="s">
        <v>48</v>
      </c>
      <c r="D23" s="76">
        <v>600</v>
      </c>
      <c r="E23" s="80">
        <v>7.944</v>
      </c>
      <c r="F23" s="81">
        <v>17.111999999999998</v>
      </c>
      <c r="G23" s="85">
        <f t="shared" si="4"/>
        <v>25.055999999999997</v>
      </c>
      <c r="H23" s="84">
        <f t="shared" si="1"/>
        <v>574.94399999999996</v>
      </c>
      <c r="I23" s="84">
        <f t="shared" si="2"/>
        <v>574.94399999999996</v>
      </c>
      <c r="J23" s="35"/>
      <c r="K23" s="181">
        <v>0.05</v>
      </c>
      <c r="L23" s="42">
        <f>35/2</f>
        <v>17.5</v>
      </c>
      <c r="M23" s="134">
        <f t="shared" si="3"/>
        <v>8.7499999999999994E-2</v>
      </c>
      <c r="O23" s="149">
        <v>90</v>
      </c>
      <c r="P23" s="150">
        <v>0.8</v>
      </c>
      <c r="S23" s="199">
        <v>55</v>
      </c>
      <c r="U23" s="180" t="s">
        <v>180</v>
      </c>
    </row>
    <row r="24" spans="1:21">
      <c r="B24" s="36" t="s">
        <v>2</v>
      </c>
      <c r="C24" s="37" t="s">
        <v>48</v>
      </c>
      <c r="D24" s="76">
        <v>700</v>
      </c>
      <c r="E24" s="80">
        <v>14.04</v>
      </c>
      <c r="F24" s="81">
        <v>27.623999999999999</v>
      </c>
      <c r="G24" s="85">
        <f t="shared" si="4"/>
        <v>41.664000000000001</v>
      </c>
      <c r="H24" s="84">
        <f t="shared" si="1"/>
        <v>658.33600000000001</v>
      </c>
      <c r="I24" s="84">
        <f t="shared" si="2"/>
        <v>658.33600000000001</v>
      </c>
      <c r="J24" s="35"/>
      <c r="K24" s="181">
        <v>0.05</v>
      </c>
      <c r="L24" s="42">
        <f>35/2</f>
        <v>17.5</v>
      </c>
      <c r="M24" s="134">
        <f t="shared" si="3"/>
        <v>8.7499999999999994E-2</v>
      </c>
      <c r="O24" s="149">
        <v>95</v>
      </c>
      <c r="P24" s="150">
        <v>0.8</v>
      </c>
      <c r="S24" s="199">
        <v>55</v>
      </c>
      <c r="U24" s="180" t="s">
        <v>180</v>
      </c>
    </row>
    <row r="25" spans="1:21">
      <c r="B25" s="36" t="s">
        <v>3</v>
      </c>
      <c r="C25" s="37" t="s">
        <v>48</v>
      </c>
      <c r="D25" s="76">
        <v>800</v>
      </c>
      <c r="E25" s="80">
        <v>27</v>
      </c>
      <c r="F25" s="81">
        <v>44.567999999999998</v>
      </c>
      <c r="G25" s="85">
        <f t="shared" si="4"/>
        <v>71.567999999999998</v>
      </c>
      <c r="H25" s="84">
        <f t="shared" si="1"/>
        <v>728.43200000000002</v>
      </c>
      <c r="I25" s="84">
        <f t="shared" si="2"/>
        <v>728.43200000000002</v>
      </c>
      <c r="J25" s="35"/>
      <c r="K25" s="181">
        <v>0.05</v>
      </c>
      <c r="L25" s="42">
        <f>35/2</f>
        <v>17.5</v>
      </c>
      <c r="M25" s="134">
        <f t="shared" si="3"/>
        <v>8.7499999999999994E-2</v>
      </c>
      <c r="O25" s="149">
        <v>125</v>
      </c>
      <c r="P25" s="150">
        <v>0.8</v>
      </c>
      <c r="S25" s="199">
        <v>55</v>
      </c>
      <c r="U25" s="180" t="s">
        <v>180</v>
      </c>
    </row>
    <row r="26" spans="1:21">
      <c r="B26" s="38" t="s">
        <v>4</v>
      </c>
      <c r="C26" s="39" t="s">
        <v>48</v>
      </c>
      <c r="D26" s="77">
        <v>900</v>
      </c>
      <c r="E26" s="82">
        <v>63.863999999999997</v>
      </c>
      <c r="F26" s="83">
        <v>68.207999999999998</v>
      </c>
      <c r="G26" s="86">
        <f t="shared" si="4"/>
        <v>132.072</v>
      </c>
      <c r="H26" s="44">
        <f t="shared" si="1"/>
        <v>767.928</v>
      </c>
      <c r="I26" s="84">
        <f t="shared" si="2"/>
        <v>767.928</v>
      </c>
      <c r="J26" s="35"/>
      <c r="K26" s="182">
        <v>0.05</v>
      </c>
      <c r="L26" s="43">
        <f>35/2</f>
        <v>17.5</v>
      </c>
      <c r="M26" s="135">
        <f t="shared" si="3"/>
        <v>8.7499999999999994E-2</v>
      </c>
      <c r="O26" s="151">
        <v>215</v>
      </c>
      <c r="P26" s="152">
        <v>0.5</v>
      </c>
      <c r="S26" s="199">
        <v>55</v>
      </c>
      <c r="U26" s="180" t="s">
        <v>180</v>
      </c>
    </row>
    <row r="27" spans="1:21">
      <c r="B27" s="20" t="s">
        <v>85</v>
      </c>
      <c r="D27" s="132">
        <f>SUMPRODUCT(D7:D26,M7:M26)</f>
        <v>537.5</v>
      </c>
      <c r="H27" s="132">
        <f>SUMPRODUCT(H7:H26,M7:M26)</f>
        <v>491.39539999999994</v>
      </c>
      <c r="I27" s="132">
        <f>SUMPRODUCT(I7:I26,M7:M26)</f>
        <v>491.39539999999994</v>
      </c>
      <c r="J27" s="26" t="s">
        <v>50</v>
      </c>
      <c r="K27" s="183">
        <f>SUM(K7:K26)</f>
        <v>1.0000000000000002</v>
      </c>
      <c r="L27" s="41"/>
      <c r="M27" s="133">
        <f>SUM(M7:M26)</f>
        <v>1</v>
      </c>
      <c r="S27" s="132">
        <f>SUMPRODUCT(K7:K26,S7:S26)</f>
        <v>44</v>
      </c>
      <c r="U27" s="180" t="s">
        <v>180</v>
      </c>
    </row>
    <row r="28" spans="1:21">
      <c r="B28" s="20"/>
      <c r="I28" s="35"/>
      <c r="J28" s="26"/>
      <c r="K28" s="125" t="s">
        <v>84</v>
      </c>
      <c r="L28" s="41"/>
      <c r="M28" s="41" t="s">
        <v>84</v>
      </c>
      <c r="U28" s="180" t="s">
        <v>180</v>
      </c>
    </row>
    <row r="29" spans="1:21">
      <c r="B29" s="41"/>
      <c r="J29" s="26"/>
      <c r="K29" s="4"/>
      <c r="U29" s="180" t="s">
        <v>180</v>
      </c>
    </row>
    <row r="30" spans="1:21">
      <c r="K30" s="40"/>
      <c r="U30" s="180" t="s">
        <v>180</v>
      </c>
    </row>
    <row r="31" spans="1:21">
      <c r="A31" s="180" t="s">
        <v>180</v>
      </c>
      <c r="B31" s="180" t="s">
        <v>180</v>
      </c>
      <c r="C31" s="180" t="s">
        <v>180</v>
      </c>
      <c r="D31" s="180" t="s">
        <v>180</v>
      </c>
      <c r="E31" s="180" t="s">
        <v>180</v>
      </c>
      <c r="F31" s="180" t="s">
        <v>180</v>
      </c>
      <c r="G31" s="180" t="s">
        <v>180</v>
      </c>
      <c r="H31" s="180" t="s">
        <v>180</v>
      </c>
      <c r="I31" s="180" t="s">
        <v>180</v>
      </c>
      <c r="J31" s="180" t="s">
        <v>180</v>
      </c>
      <c r="K31" s="180" t="s">
        <v>180</v>
      </c>
      <c r="L31" s="180" t="s">
        <v>180</v>
      </c>
      <c r="M31" s="180" t="s">
        <v>180</v>
      </c>
      <c r="N31" s="180" t="s">
        <v>180</v>
      </c>
      <c r="O31" s="180" t="s">
        <v>180</v>
      </c>
      <c r="P31" s="180" t="s">
        <v>180</v>
      </c>
      <c r="Q31" s="180" t="s">
        <v>180</v>
      </c>
      <c r="R31" s="180" t="s">
        <v>180</v>
      </c>
      <c r="S31" s="180"/>
      <c r="T31" s="180"/>
      <c r="U31" s="180" t="s">
        <v>180</v>
      </c>
    </row>
  </sheetData>
  <mergeCells count="2">
    <mergeCell ref="E5:G5"/>
    <mergeCell ref="O5:P5"/>
  </mergeCells>
  <pageMargins left="0.75" right="0.75" top="1" bottom="1" header="0.5" footer="0.5"/>
  <pageSetup paperSize="9" orientation="portrait" horizontalDpi="300" verticalDpi="4294967295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4"/>
  <sheetViews>
    <sheetView workbookViewId="0"/>
  </sheetViews>
  <sheetFormatPr defaultColWidth="0" defaultRowHeight="12.75" zeroHeight="1"/>
  <cols>
    <col min="1" max="1" width="4.5703125" style="45" customWidth="1"/>
    <col min="2" max="2" width="59.42578125" style="45" customWidth="1"/>
    <col min="3" max="3" width="21.5703125" style="45" customWidth="1"/>
    <col min="4" max="4" width="12.7109375" style="45" customWidth="1"/>
    <col min="5" max="5" width="8.85546875" style="45" customWidth="1"/>
    <col min="6" max="6" width="5.42578125" style="45" customWidth="1"/>
    <col min="7" max="16384" width="9.140625" style="45" hidden="1"/>
  </cols>
  <sheetData>
    <row r="1" spans="1:6" ht="17.25">
      <c r="A1" s="216" t="s">
        <v>279</v>
      </c>
      <c r="F1" s="180" t="s">
        <v>180</v>
      </c>
    </row>
    <row r="2" spans="1:6">
      <c r="A2" s="45" t="s">
        <v>297</v>
      </c>
      <c r="F2" s="180" t="s">
        <v>180</v>
      </c>
    </row>
    <row r="3" spans="1:6">
      <c r="A3" s="224" t="s">
        <v>298</v>
      </c>
      <c r="F3" s="180" t="s">
        <v>180</v>
      </c>
    </row>
    <row r="4" spans="1:6">
      <c r="A4" s="224" t="s">
        <v>299</v>
      </c>
      <c r="F4" s="180" t="s">
        <v>180</v>
      </c>
    </row>
    <row r="5" spans="1:6">
      <c r="A5" s="45" t="s">
        <v>300</v>
      </c>
      <c r="F5" s="180" t="s">
        <v>180</v>
      </c>
    </row>
    <row r="6" spans="1:6">
      <c r="A6" s="224" t="s">
        <v>301</v>
      </c>
      <c r="F6" s="180" t="s">
        <v>180</v>
      </c>
    </row>
    <row r="7" spans="1:6">
      <c r="F7" s="180" t="s">
        <v>180</v>
      </c>
    </row>
    <row r="8" spans="1:6" ht="25.5">
      <c r="C8" s="226" t="s">
        <v>302</v>
      </c>
      <c r="D8" s="225" t="s">
        <v>294</v>
      </c>
      <c r="F8" s="180" t="s">
        <v>180</v>
      </c>
    </row>
    <row r="9" spans="1:6">
      <c r="B9" s="217" t="s">
        <v>303</v>
      </c>
      <c r="C9" s="218">
        <f>SUM(MA!G8,MA!G9,MA!G10)</f>
        <v>9050</v>
      </c>
      <c r="D9" s="242">
        <v>1</v>
      </c>
      <c r="F9" s="180" t="s">
        <v>180</v>
      </c>
    </row>
    <row r="10" spans="1:6">
      <c r="B10" s="219" t="s">
        <v>295</v>
      </c>
      <c r="C10" s="220">
        <f>MA!U2</f>
        <v>20</v>
      </c>
      <c r="D10" s="243">
        <v>0.75</v>
      </c>
      <c r="F10" s="180" t="s">
        <v>180</v>
      </c>
    </row>
    <row r="11" spans="1:6">
      <c r="B11" s="221" t="s">
        <v>296</v>
      </c>
      <c r="C11" s="222">
        <f>-MA!L2</f>
        <v>9200</v>
      </c>
      <c r="D11" s="244">
        <v>0.75</v>
      </c>
      <c r="F11" s="180" t="s">
        <v>180</v>
      </c>
    </row>
    <row r="12" spans="1:6">
      <c r="B12" s="221" t="s">
        <v>293</v>
      </c>
      <c r="C12" s="222">
        <f>SUM(C9,C10,C11)</f>
        <v>18270</v>
      </c>
      <c r="D12" s="223">
        <f>MIN(ROUND(SUMPRODUCT(D9:D11,C9:C11)/C12,2),100%)</f>
        <v>0.87</v>
      </c>
      <c r="F12" s="180" t="s">
        <v>180</v>
      </c>
    </row>
    <row r="13" spans="1:6">
      <c r="F13" s="180" t="s">
        <v>180</v>
      </c>
    </row>
    <row r="14" spans="1:6">
      <c r="A14" s="180" t="s">
        <v>180</v>
      </c>
      <c r="B14" s="180" t="s">
        <v>180</v>
      </c>
      <c r="C14" s="180" t="s">
        <v>180</v>
      </c>
      <c r="D14" s="180" t="s">
        <v>180</v>
      </c>
      <c r="E14" s="180" t="s">
        <v>180</v>
      </c>
      <c r="F14" s="180" t="s">
        <v>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zoomScale="85" zoomScaleNormal="85" workbookViewId="0"/>
  </sheetViews>
  <sheetFormatPr defaultColWidth="0" defaultRowHeight="12.75" zeroHeight="1"/>
  <cols>
    <col min="1" max="1" width="4" customWidth="1"/>
    <col min="2" max="2" width="15.5703125" customWidth="1"/>
    <col min="3" max="9" width="13.28515625" customWidth="1"/>
    <col min="10" max="11" width="9.140625" customWidth="1"/>
    <col min="12" max="16384" width="9.140625" hidden="1"/>
  </cols>
  <sheetData>
    <row r="1" spans="1:11" ht="15">
      <c r="A1" s="100" t="s">
        <v>57</v>
      </c>
      <c r="D1" s="101"/>
    </row>
    <row r="2" spans="1:11" ht="13.5" thickBot="1"/>
    <row r="3" spans="1:11" ht="15" customHeight="1">
      <c r="B3" s="285"/>
      <c r="C3" s="285"/>
      <c r="D3" s="283" t="s">
        <v>19</v>
      </c>
      <c r="E3" s="288" t="s">
        <v>58</v>
      </c>
      <c r="F3" s="283" t="s">
        <v>59</v>
      </c>
      <c r="G3" s="283" t="s">
        <v>21</v>
      </c>
      <c r="H3" s="283" t="s">
        <v>20</v>
      </c>
      <c r="I3" s="283" t="s">
        <v>60</v>
      </c>
    </row>
    <row r="4" spans="1:11" ht="15.75" customHeight="1" thickBot="1">
      <c r="B4" s="285"/>
      <c r="C4" s="285"/>
      <c r="D4" s="284"/>
      <c r="E4" s="287"/>
      <c r="F4" s="284"/>
      <c r="G4" s="284"/>
      <c r="H4" s="284"/>
      <c r="I4" s="284"/>
      <c r="K4" s="107" t="s">
        <v>50</v>
      </c>
    </row>
    <row r="5" spans="1:11" ht="16.5" thickBot="1">
      <c r="B5" s="279" t="s">
        <v>19</v>
      </c>
      <c r="C5" s="280"/>
      <c r="D5" s="102">
        <v>1</v>
      </c>
      <c r="E5" s="103">
        <v>-0.25</v>
      </c>
      <c r="F5" s="104">
        <v>0.25</v>
      </c>
      <c r="G5" s="104">
        <v>0.5</v>
      </c>
      <c r="H5" s="103">
        <v>0.5</v>
      </c>
      <c r="I5" s="104">
        <v>0</v>
      </c>
      <c r="K5" s="107">
        <f t="shared" ref="K5:K10" si="0">SUM(D5:I5)</f>
        <v>2</v>
      </c>
    </row>
    <row r="6" spans="1:11" ht="16.5" thickBot="1">
      <c r="B6" s="286" t="s">
        <v>58</v>
      </c>
      <c r="C6" s="287"/>
      <c r="D6" s="103">
        <v>-0.25</v>
      </c>
      <c r="E6" s="102">
        <v>1</v>
      </c>
      <c r="F6" s="104">
        <v>0</v>
      </c>
      <c r="G6" s="105">
        <v>0.25</v>
      </c>
      <c r="H6" s="103">
        <v>0.25</v>
      </c>
      <c r="I6" s="104">
        <v>0.25</v>
      </c>
      <c r="K6" s="107">
        <f t="shared" si="0"/>
        <v>1.5</v>
      </c>
    </row>
    <row r="7" spans="1:11" ht="16.5" thickBot="1">
      <c r="B7" s="279" t="s">
        <v>59</v>
      </c>
      <c r="C7" s="280"/>
      <c r="D7" s="103">
        <v>0.25</v>
      </c>
      <c r="E7" s="103">
        <v>0</v>
      </c>
      <c r="F7" s="106">
        <v>1</v>
      </c>
      <c r="G7" s="103">
        <v>0.5</v>
      </c>
      <c r="H7" s="103">
        <v>0.5</v>
      </c>
      <c r="I7" s="105">
        <v>0</v>
      </c>
      <c r="K7" s="107">
        <f t="shared" si="0"/>
        <v>2.25</v>
      </c>
    </row>
    <row r="8" spans="1:11" ht="16.5" thickBot="1">
      <c r="B8" s="279" t="s">
        <v>21</v>
      </c>
      <c r="C8" s="280"/>
      <c r="D8" s="103">
        <v>0.5</v>
      </c>
      <c r="E8" s="103">
        <v>0.25</v>
      </c>
      <c r="F8" s="105">
        <v>0.5</v>
      </c>
      <c r="G8" s="106">
        <v>1</v>
      </c>
      <c r="H8" s="103">
        <v>0.5</v>
      </c>
      <c r="I8" s="105">
        <v>0</v>
      </c>
      <c r="K8" s="107">
        <f t="shared" si="0"/>
        <v>2.75</v>
      </c>
    </row>
    <row r="9" spans="1:11" ht="16.5" thickBot="1">
      <c r="B9" s="281" t="s">
        <v>20</v>
      </c>
      <c r="C9" s="282"/>
      <c r="D9" s="103">
        <v>0.5</v>
      </c>
      <c r="E9" s="103">
        <v>0.25</v>
      </c>
      <c r="F9" s="105">
        <v>0.5</v>
      </c>
      <c r="G9" s="105">
        <v>0.5</v>
      </c>
      <c r="H9" s="102">
        <v>1</v>
      </c>
      <c r="I9" s="105">
        <v>0</v>
      </c>
      <c r="K9" s="107">
        <f t="shared" si="0"/>
        <v>2.75</v>
      </c>
    </row>
    <row r="10" spans="1:11" ht="16.5" thickBot="1">
      <c r="B10" s="279" t="s">
        <v>60</v>
      </c>
      <c r="C10" s="280"/>
      <c r="D10" s="103">
        <v>0</v>
      </c>
      <c r="E10" s="103">
        <v>0.25</v>
      </c>
      <c r="F10" s="103">
        <v>0</v>
      </c>
      <c r="G10" s="103">
        <v>0</v>
      </c>
      <c r="H10" s="103">
        <v>0</v>
      </c>
      <c r="I10" s="106">
        <v>1</v>
      </c>
      <c r="K10" s="107">
        <f t="shared" si="0"/>
        <v>1.25</v>
      </c>
    </row>
    <row r="11" spans="1:11">
      <c r="D11" s="107"/>
      <c r="E11" s="107"/>
      <c r="F11" s="107"/>
      <c r="G11" s="107"/>
      <c r="H11" s="107"/>
      <c r="I11" s="107"/>
      <c r="J11" s="108"/>
    </row>
    <row r="12" spans="1:11">
      <c r="C12" s="107" t="s">
        <v>50</v>
      </c>
      <c r="D12" s="107">
        <f t="shared" ref="D12:I12" si="1">SUM(D5:D10)</f>
        <v>2</v>
      </c>
      <c r="E12" s="107">
        <f t="shared" si="1"/>
        <v>1.5</v>
      </c>
      <c r="F12" s="107">
        <f t="shared" si="1"/>
        <v>2.25</v>
      </c>
      <c r="G12" s="107">
        <f t="shared" si="1"/>
        <v>2.75</v>
      </c>
      <c r="H12" s="107">
        <f t="shared" si="1"/>
        <v>2.75</v>
      </c>
      <c r="I12" s="107">
        <f t="shared" si="1"/>
        <v>1.25</v>
      </c>
      <c r="K12" s="107">
        <f>ABS(SUM(K5:K10)-SUM(D12:I12))</f>
        <v>0</v>
      </c>
    </row>
  </sheetData>
  <sheetProtection algorithmName="SHA-512" hashValue="dA5KofKvTxboVWVtFoObpmIwB43JI8tvomEmmxxaMytuWzlVXX0jh1lTz1FGF5RYj37n1WMXRybgoL3itpsBZg==" saltValue="XHX5PtlV7YH+am2HZwwhvg==" spinCount="100000" sheet="1" objects="1" scenarios="1"/>
  <mergeCells count="14">
    <mergeCell ref="I3:I4"/>
    <mergeCell ref="B5:C5"/>
    <mergeCell ref="B6:C6"/>
    <mergeCell ref="C3:C4"/>
    <mergeCell ref="D3:D4"/>
    <mergeCell ref="E3:E4"/>
    <mergeCell ref="F3:F4"/>
    <mergeCell ref="G3:G4"/>
    <mergeCell ref="B7:C7"/>
    <mergeCell ref="B8:C8"/>
    <mergeCell ref="B9:C9"/>
    <mergeCell ref="B10:C10"/>
    <mergeCell ref="H3:H4"/>
    <mergeCell ref="B3:B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MAS Team Document" ma:contentTypeID="0x0101003618E443DE96424ABE734F4442FBF2B30100276E4C8241E54F4CAAE1E8922ABC27BB" ma:contentTypeVersion="41" ma:contentTypeDescription="Create a new document specific to MAS Team Collaboration." ma:contentTypeScope="" ma:versionID="fb5a669347c6ae2c43f29a966526fc92">
  <xsd:schema xmlns:xsd="http://www.w3.org/2001/XMLSchema" xmlns:xs="http://www.w3.org/2001/XMLSchema" xmlns:p="http://schemas.microsoft.com/office/2006/metadata/properties" xmlns:ns2="3a90f38b-cee7-4289-b705-21e4ceceb96b" xmlns:ns4="http://schemas.microsoft.com/sharepoint/v4" xmlns:ns5="1d6eaec0-2160-47dd-9912-8c960988f22c" targetNamespace="http://schemas.microsoft.com/office/2006/metadata/properties" ma:root="true" ma:fieldsID="fb1dacd8d792ec4e1eb49d1d835b05d4" ns2:_="" ns4:_="" ns5:_="">
    <xsd:import namespace="3a90f38b-cee7-4289-b705-21e4ceceb96b"/>
    <xsd:import namespace="http://schemas.microsoft.com/sharepoint/v4"/>
    <xsd:import namespace="1d6eaec0-2160-47dd-9912-8c960988f2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pb016fef86a642189c1d23bc7cb88f0e" minOccurs="0"/>
                <xsd:element ref="ns2:TaxCatchAll" minOccurs="0"/>
                <xsd:element ref="ns2:TaxCatchAllLabel" minOccurs="0"/>
                <xsd:element ref="ns2:c569feee562949f193efcc6c33983d2e" minOccurs="0"/>
                <xsd:element ref="ns2:g5d17599f0654139ac247b509bd42854" minOccurs="0"/>
                <xsd:element ref="ns2:Document_x0020_Date" minOccurs="0"/>
                <xsd:element ref="ns2:Workflow" minOccurs="0"/>
                <xsd:element ref="ns2:a2b7da5d9b994f938881636f0a7c63d6" minOccurs="0"/>
                <xsd:element ref="ns2:ee94ffbfe3174827a439912fa17811b9" minOccurs="0"/>
                <xsd:element ref="ns2:b1f4bea4dbaa4479a68e8cee40e226b9" minOccurs="0"/>
                <xsd:element ref="ns2:h6ac82fb60e7404bb7825d9f5fed2f8a" minOccurs="0"/>
                <xsd:element ref="ns2:h63e849b28044e64bfbe5f5fa7b8c866" minOccurs="0"/>
                <xsd:element ref="ns4:IconOverlay" minOccurs="0"/>
                <xsd:element ref="ns5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90f38b-cee7-4289-b705-21e4ceceb96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pb016fef86a642189c1d23bc7cb88f0e" ma:index="11" ma:taxonomy="true" ma:internalName="pb016fef86a642189c1d23bc7cb88f0e" ma:taxonomyFieldName="Business_x0020_Functions" ma:displayName="Business Functions" ma:default="1;#Financial Supervision|58a8c56a-cf57-46b7-9144-3c93db1f5192" ma:fieldId="{9b016fef-86a6-4218-9c1d-23bc7cb88f0e}" ma:sspId="afabadb4-2257-48ec-869f-64421b8f49cd" ma:termSetId="de72b2be-0a69-4604-8964-d6861f8eac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bd761d47-38fa-4219-9213-dadc2698f9d5}" ma:internalName="TaxCatchAll" ma:showField="CatchAllData" ma:web="1d6eaec0-2160-47dd-9912-8c960988f2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bd761d47-38fa-4219-9213-dadc2698f9d5}" ma:internalName="TaxCatchAllLabel" ma:readOnly="true" ma:showField="CatchAllDataLabel" ma:web="1d6eaec0-2160-47dd-9912-8c960988f2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569feee562949f193efcc6c33983d2e" ma:index="15" ma:taxonomy="true" ma:internalName="c569feee562949f193efcc6c33983d2e" ma:taxonomyFieldName="Document_x0020_Type" ma:displayName="Document Type" ma:default="2;#Reports|eb007f16-41ba-4865-a843-24c7449f8e56" ma:fieldId="{c569feee-5629-49f1-93ef-cc6c33983d2e}" ma:sspId="afabadb4-2257-48ec-869f-64421b8f49cd" ma:termSetId="517dae02-1ab1-4993-aae9-22f62c9845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5d17599f0654139ac247b509bd42854" ma:index="17" ma:taxonomy="true" ma:internalName="g5d17599f0654139ac247b509bd42854" ma:taxonomyFieldName="Security_x0020_Classification" ma:displayName="Security Classification" ma:default="3;#Confidential|a064495a-ae26-4d7f-a893-8f95d5825856" ma:fieldId="{05d17599-f065-4139-ac24-7b509bd42854}" ma:sspId="afabadb4-2257-48ec-869f-64421b8f49cd" ma:termSetId="b00b6dbf-39ae-4d84-a129-f0bacf0fa74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_x0020_Date" ma:index="19" nillable="true" ma:displayName="Document Date" ma:default="[today]" ma:format="DateOnly" ma:internalName="Document_x0020_Date">
      <xsd:simpleType>
        <xsd:restriction base="dms:DateTime"/>
      </xsd:simpleType>
    </xsd:element>
    <xsd:element name="Workflow" ma:index="20" nillable="true" ma:displayName="Workflow" ma:format="Hyperlink" ma:hidden="true" ma:internalName="Workflow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2b7da5d9b994f938881636f0a7c63d6" ma:index="22" nillable="true" ma:taxonomy="true" ma:internalName="a2b7da5d9b994f938881636f0a7c63d6" ma:taxonomyFieldName="Projects" ma:displayName="Projects" ma:default="" ma:fieldId="{a2b7da5d-9b99-4f93-8881-636f0a7c63d6}" ma:taxonomyMulti="true" ma:sspId="afabadb4-2257-48ec-869f-64421b8f49cd" ma:termSetId="5fe96bc1-6189-41c9-b83e-08cb0563998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e94ffbfe3174827a439912fa17811b9" ma:index="24" nillable="true" ma:taxonomy="true" ma:internalName="ee94ffbfe3174827a439912fa17811b9" ma:taxonomyFieldName="Subjects" ma:displayName="Subjects" ma:default="" ma:fieldId="{ee94ffbf-e317-4827-a439-912fa17811b9}" ma:taxonomyMulti="true" ma:sspId="afabadb4-2257-48ec-869f-64421b8f49cd" ma:termSetId="d8b55116-fb8b-4ce5-bb6d-7615087702d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1f4bea4dbaa4479a68e8cee40e226b9" ma:index="26" nillable="true" ma:taxonomy="true" ma:internalName="b1f4bea4dbaa4479a68e8cee40e226b9" ma:taxonomyFieldName="Events" ma:displayName="Events" ma:default="" ma:fieldId="{b1f4bea4-dbaa-4479-a68e-8cee40e226b9}" ma:taxonomyMulti="true" ma:sspId="afabadb4-2257-48ec-869f-64421b8f49cd" ma:termSetId="ae8532c2-1b69-4678-b6a3-43209a99ff8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c82fb60e7404bb7825d9f5fed2f8a" ma:index="28" nillable="true" ma:taxonomy="true" ma:internalName="h6ac82fb60e7404bb7825d9f5fed2f8a" ma:taxonomyFieldName="Geographical" ma:displayName="Geographical" ma:default="" ma:fieldId="{16ac82fb-60e7-404b-b782-5d9f5fed2f8a}" ma:taxonomyMulti="true" ma:sspId="afabadb4-2257-48ec-869f-64421b8f49cd" ma:termSetId="7858cba8-e863-431c-a109-bcc6b0c9a35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3e849b28044e64bfbe5f5fa7b8c866" ma:index="30" nillable="true" ma:taxonomy="true" ma:internalName="h63e849b28044e64bfbe5f5fa7b8c866" ma:taxonomyFieldName="Organisations" ma:displayName="Organisations" ma:default="" ma:fieldId="{163e849b-2804-4e64-bfbe-5f5fa7b8c866}" ma:taxonomyMulti="true" ma:sspId="afabadb4-2257-48ec-869f-64421b8f49cd" ma:termSetId="f1947048-467f-4973-9028-c91de76bba85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2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eaec0-2160-47dd-9912-8c960988f22c" elementFormDefault="qualified">
    <xsd:import namespace="http://schemas.microsoft.com/office/2006/documentManagement/types"/>
    <xsd:import namespace="http://schemas.microsoft.com/office/infopath/2007/PartnerControls"/>
    <xsd:element name="SharedWithUsers" ma:index="3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afabadb4-2257-48ec-869f-64421b8f49cd" ContentTypeId="0x0101003618E443DE96424ABE734F4442FBF2B301" PreviousValue="false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orkflow xmlns="3a90f38b-cee7-4289-b705-21e4ceceb96b">
      <Url xsi:nil="true"/>
      <Description xsi:nil="true"/>
    </Workflow>
    <b1f4bea4dbaa4479a68e8cee40e226b9 xmlns="3a90f38b-cee7-4289-b705-21e4ceceb96b">
      <Terms xmlns="http://schemas.microsoft.com/office/infopath/2007/PartnerControls"/>
    </b1f4bea4dbaa4479a68e8cee40e226b9>
    <pb016fef86a642189c1d23bc7cb88f0e xmlns="3a90f38b-cee7-4289-b705-21e4ceceb96b">
      <Terms xmlns="http://schemas.microsoft.com/office/infopath/2007/PartnerControls">
        <TermInfo xmlns="http://schemas.microsoft.com/office/infopath/2007/PartnerControls">
          <TermName xmlns="http://schemas.microsoft.com/office/infopath/2007/PartnerControls">Financial Supervision</TermName>
          <TermId xmlns="http://schemas.microsoft.com/office/infopath/2007/PartnerControls">58a8c56a-cf57-46b7-9144-3c93db1f5192</TermId>
        </TermInfo>
      </Terms>
    </pb016fef86a642189c1d23bc7cb88f0e>
    <h63e849b28044e64bfbe5f5fa7b8c866 xmlns="3a90f38b-cee7-4289-b705-21e4ceceb96b">
      <Terms xmlns="http://schemas.microsoft.com/office/infopath/2007/PartnerControls"/>
    </h63e849b28044e64bfbe5f5fa7b8c866>
    <TaxCatchAll xmlns="3a90f38b-cee7-4289-b705-21e4ceceb96b">
      <Value>8</Value>
      <Value>19</Value>
      <Value>3</Value>
      <Value>1</Value>
    </TaxCatchAll>
    <a2b7da5d9b994f938881636f0a7c63d6 xmlns="3a90f38b-cee7-4289-b705-21e4ceceb96b">
      <Terms xmlns="http://schemas.microsoft.com/office/infopath/2007/PartnerControls"/>
    </a2b7da5d9b994f938881636f0a7c63d6>
    <g5d17599f0654139ac247b509bd42854 xmlns="3a90f38b-cee7-4289-b705-21e4ceceb96b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Confidential</TermName>
          <TermId xmlns="http://schemas.microsoft.com/office/infopath/2007/PartnerControls">a064495a-ae26-4d7f-a893-8f95d5825856</TermId>
        </TermInfo>
      </Terms>
    </g5d17599f0654139ac247b509bd42854>
    <h6ac82fb60e7404bb7825d9f5fed2f8a xmlns="3a90f38b-cee7-4289-b705-21e4ceceb96b">
      <Terms xmlns="http://schemas.microsoft.com/office/infopath/2007/PartnerControls"/>
    </h6ac82fb60e7404bb7825d9f5fed2f8a>
    <ee94ffbfe3174827a439912fa17811b9 xmlns="3a90f38b-cee7-4289-b705-21e4ceceb96b">
      <Terms xmlns="http://schemas.microsoft.com/office/infopath/2007/PartnerControls"/>
    </ee94ffbfe3174827a439912fa17811b9>
    <c569feee562949f193efcc6c33983d2e xmlns="3a90f38b-cee7-4289-b705-21e4ceceb96b">
      <Terms xmlns="http://schemas.microsoft.com/office/infopath/2007/PartnerControls">
        <TermInfo xmlns="http://schemas.microsoft.com/office/infopath/2007/PartnerControls">
          <TermName xmlns="http://schemas.microsoft.com/office/infopath/2007/PartnerControls">Migrated</TermName>
          <TermId xmlns="http://schemas.microsoft.com/office/infopath/2007/PartnerControls">ea3fc484-6bbe-4c9c-9dbf-075e8a312f36</TermId>
        </TermInfo>
      </Terms>
    </c569feee562949f193efcc6c33983d2e>
    <Document_x0020_Date xmlns="3a90f38b-cee7-4289-b705-21e4ceceb96b">2015-08-13T11:48:40+00:00</Document_x0020_Date>
    <_dlc_DocId xmlns="3a90f38b-cee7-4289-b705-21e4ceceb96b">e3bc45c9-630a-48dc-b187-d67dfa0bbda0</_dlc_DocId>
    <_dlc_DocIdUrl xmlns="3a90f38b-cee7-4289-b705-21e4ceceb96b">
      <Url>https://home.dms.mas.gov.sg/_layouts/15/MASGlobalID/DocAveRedirect.aspx?DocId=e3bc45c9-630a-48dc-b187-d67dfa0bbda0&amp;SiteID=d2bb8d10-5ecd-4aa4-9527-0c0e01a7b23f_1d6eaec0-2160-47dd-9912-8c960988f22c</Url>
      <Description>e3bc45c9-630a-48dc-b187-d67dfa0bbda0</Description>
    </_dlc_DocIdUrl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9CD084A6-5CCC-43EE-9C8E-5F629BE61A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EACED3-8A99-4417-8467-9450E893D633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F2E2ABC-6A78-4D91-8BBC-09D800C13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90f38b-cee7-4289-b705-21e4ceceb96b"/>
    <ds:schemaRef ds:uri="http://schemas.microsoft.com/sharepoint/v4"/>
    <ds:schemaRef ds:uri="1d6eaec0-2160-47dd-9912-8c960988f2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98A7A8B-E8F8-4E6B-844D-368980DDCE57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20E40F8E-1C7A-4A83-9CB5-C92E2BD9BFAC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sharepoint/v4"/>
    <ds:schemaRef ds:uri="http://schemas.openxmlformats.org/package/2006/metadata/core-properties"/>
    <ds:schemaRef ds:uri="1d6eaec0-2160-47dd-9912-8c960988f22c"/>
    <ds:schemaRef ds:uri="http://purl.org/dc/terms/"/>
    <ds:schemaRef ds:uri="3a90f38b-cee7-4289-b705-21e4ceceb96b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Cover Page</vt:lpstr>
      <vt:lpstr>Change Log</vt:lpstr>
      <vt:lpstr>Instructions</vt:lpstr>
      <vt:lpstr>Scenario</vt:lpstr>
      <vt:lpstr>Predictability Test</vt:lpstr>
      <vt:lpstr>MA</vt:lpstr>
      <vt:lpstr>Spreads for Def and DG</vt:lpstr>
      <vt:lpstr>Adj for reallocation</vt:lpstr>
      <vt:lpstr>Corr_matrix</vt:lpstr>
      <vt:lpstr>Lists</vt:lpstr>
      <vt:lpstr>Instructions!_ftn1</vt:lpstr>
      <vt:lpstr>Instructions!_ftnref1</vt:lpstr>
      <vt:lpstr>Fund</vt:lpstr>
      <vt:lpstr>SIF_OIF</vt:lpstr>
    </vt:vector>
  </TitlesOfParts>
  <Company>Financial Services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Gilbert CHIN (MAS)</dc:creator>
  <cp:lastModifiedBy>Gilbert</cp:lastModifiedBy>
  <cp:lastPrinted>2014-02-17T06:31:51Z</cp:lastPrinted>
  <dcterms:created xsi:type="dcterms:W3CDTF">2012-09-10T09:24:12Z</dcterms:created>
  <dcterms:modified xsi:type="dcterms:W3CDTF">2019-05-06T04:10:27Z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NotesPart">
    <vt:lpwstr/>
  </property>
  <property fmtid="{D5CDD505-2E9C-101B-9397-08002B2CF9AE}" pid="4" name="NotesUNID">
    <vt:lpwstr/>
  </property>
  <property fmtid="{D5CDD505-2E9C-101B-9397-08002B2CF9AE}" pid="5" name="ContentTypeId">
    <vt:lpwstr>0x0101003618E443DE96424ABE734F4442FBF2B30100276E4C8241E54F4CAAE1E8922ABC27BB</vt:lpwstr>
  </property>
  <property fmtid="{D5CDD505-2E9C-101B-9397-08002B2CF9AE}" pid="6" name="display_urn:schemas-microsoft-com:office:office#Editor">
    <vt:lpwstr>Gilbert Keat Howe CHIN (MAS)</vt:lpwstr>
  </property>
  <property fmtid="{D5CDD505-2E9C-101B-9397-08002B2CF9AE}" pid="7" name="kfb1d384101645d79dfb3e1eb6303efc">
    <vt:lpwstr>Grey|778f26c3-9f41-4f7d-b9d4-2a8b7f55c521</vt:lpwstr>
  </property>
  <property fmtid="{D5CDD505-2E9C-101B-9397-08002B2CF9AE}" pid="8" name="Order">
    <vt:lpwstr>3327800.00000000</vt:lpwstr>
  </property>
  <property fmtid="{D5CDD505-2E9C-101B-9397-08002B2CF9AE}" pid="9" name="TemplateUrl">
    <vt:lpwstr/>
  </property>
  <property fmtid="{D5CDD505-2E9C-101B-9397-08002B2CF9AE}" pid="10" name="Subjects">
    <vt:lpwstr/>
  </property>
  <property fmtid="{D5CDD505-2E9C-101B-9397-08002B2CF9AE}" pid="11" name="Events">
    <vt:lpwstr/>
  </property>
  <property fmtid="{D5CDD505-2E9C-101B-9397-08002B2CF9AE}" pid="12" name="URL">
    <vt:lpwstr/>
  </property>
  <property fmtid="{D5CDD505-2E9C-101B-9397-08002B2CF9AE}" pid="13" name="Projects">
    <vt:lpwstr/>
  </property>
  <property fmtid="{D5CDD505-2E9C-101B-9397-08002B2CF9AE}" pid="14" name="Remarks">
    <vt:lpwstr/>
  </property>
  <property fmtid="{D5CDD505-2E9C-101B-9397-08002B2CF9AE}" pid="15" name="Title0">
    <vt:lpwstr/>
  </property>
  <property fmtid="{D5CDD505-2E9C-101B-9397-08002B2CF9AE}" pid="16" name="Organisations">
    <vt:lpwstr/>
  </property>
  <property fmtid="{D5CDD505-2E9C-101B-9397-08002B2CF9AE}" pid="17" name="Business Functions">
    <vt:lpwstr>1;#Financial Supervision|58a8c56a-cf57-46b7-9144-3c93db1f5192</vt:lpwstr>
  </property>
  <property fmtid="{D5CDD505-2E9C-101B-9397-08002B2CF9AE}" pid="18" name="xd_ProgID">
    <vt:lpwstr/>
  </property>
  <property fmtid="{D5CDD505-2E9C-101B-9397-08002B2CF9AE}" pid="19" name="Geographical">
    <vt:lpwstr/>
  </property>
  <property fmtid="{D5CDD505-2E9C-101B-9397-08002B2CF9AE}" pid="20" name="Divisions">
    <vt:lpwstr/>
  </property>
  <property fmtid="{D5CDD505-2E9C-101B-9397-08002B2CF9AE}" pid="21" name="_Source">
    <vt:lpwstr/>
  </property>
  <property fmtid="{D5CDD505-2E9C-101B-9397-08002B2CF9AE}" pid="22" name="display_urn:schemas-microsoft-com:office:office#Author">
    <vt:lpwstr>Gilbert Keat Howe CHIN (MAS)</vt:lpwstr>
  </property>
  <property fmtid="{D5CDD505-2E9C-101B-9397-08002B2CF9AE}" pid="23" name="o1bc9418e5f14cc08546fd3687d4faf2">
    <vt:lpwstr/>
  </property>
  <property fmtid="{D5CDD505-2E9C-101B-9397-08002B2CF9AE}" pid="24" name="_dlc_DocId">
    <vt:lpwstr/>
  </property>
  <property fmtid="{D5CDD505-2E9C-101B-9397-08002B2CF9AE}" pid="25" name="_dlc_DocIdUrl">
    <vt:lpwstr/>
  </property>
  <property fmtid="{D5CDD505-2E9C-101B-9397-08002B2CF9AE}" pid="26" name="Document Type">
    <vt:lpwstr>8;#Migrated|ea3fc484-6bbe-4c9c-9dbf-075e8a312f36</vt:lpwstr>
  </property>
  <property fmtid="{D5CDD505-2E9C-101B-9397-08002B2CF9AE}" pid="27" name="Security Classification">
    <vt:lpwstr>3;#Confidential|a064495a-ae26-4d7f-a893-8f95d5825856</vt:lpwstr>
  </property>
  <property fmtid="{D5CDD505-2E9C-101B-9397-08002B2CF9AE}" pid="28" name="Title is sensitive">
    <vt:lpwstr>0</vt:lpwstr>
  </property>
  <property fmtid="{D5CDD505-2E9C-101B-9397-08002B2CF9AE}" pid="29" name="CTG_x0020_Classification">
    <vt:lpwstr/>
  </property>
  <property fmtid="{D5CDD505-2E9C-101B-9397-08002B2CF9AE}" pid="30" name="CTG Classification">
    <vt:lpwstr>19;#Grey|778f26c3-9f41-4f7d-b9d4-2a8b7f55c521</vt:lpwstr>
  </property>
  <property fmtid="{D5CDD505-2E9C-101B-9397-08002B2CF9AE}" pid="31" name="_dlc_DocIdItemGuid">
    <vt:lpwstr>e3bc45c9-630a-48dc-b187-d67dfa0bbda0</vt:lpwstr>
  </property>
</Properties>
</file>